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Lékaři" sheetId="429" r:id="rId21"/>
    <sheet name="ZV Vykáz.-A Detail" sheetId="345" r:id="rId22"/>
    <sheet name="ZV Vykáz.-H" sheetId="410" r:id="rId23"/>
    <sheet name="ZV Vykáz.-H Detail" sheetId="377" r:id="rId24"/>
    <sheet name="CaseMix" sheetId="370" r:id="rId25"/>
    <sheet name="ALOS" sheetId="374" r:id="rId26"/>
    <sheet name="Total" sheetId="371" r:id="rId27"/>
    <sheet name="ZV Vyžád." sheetId="342" r:id="rId28"/>
    <sheet name="ZV Vyžád. Detail" sheetId="343" r:id="rId29"/>
    <sheet name="OD TISS" sheetId="372" r:id="rId30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2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9" hidden="1">'OD TISS'!$A$5:$N$5</definedName>
    <definedName name="_xlnm._FilterDatabase" localSheetId="26" hidden="1">Total!$A$4:$W$4</definedName>
    <definedName name="_xlnm._FilterDatabase" localSheetId="21" hidden="1">'ZV Vykáz.-A Detail'!$A$5:$Q$5</definedName>
    <definedName name="_xlnm._FilterDatabase" localSheetId="20" hidden="1">'ZV Vykáz.-A Lékaři'!$A$4:$A$5</definedName>
    <definedName name="_xlnm._FilterDatabase" localSheetId="23" hidden="1">'ZV Vykáz.-H Detail'!$A$5:$Q$5</definedName>
    <definedName name="_xlnm._FilterDatabase" localSheetId="27" hidden="1">'ZV Vyžád.'!$A$5:$M$5</definedName>
    <definedName name="_xlnm._FilterDatabase" localSheetId="28" hidden="1">'ZV Vyžád. Detail'!$A$5:$Q$5</definedName>
    <definedName name="doměsíce">'HI Graf'!$C$11</definedName>
    <definedName name="_xlnm.Print_Area" localSheetId="25">ALOS!$A$1:$M$45</definedName>
    <definedName name="_xlnm.Print_Area" localSheetId="24">CaseMix!$A$1:$M$39</definedName>
  </definedNames>
  <calcPr calcId="152511"/>
</workbook>
</file>

<file path=xl/calcChain.xml><?xml version="1.0" encoding="utf-8"?>
<calcChain xmlns="http://schemas.openxmlformats.org/spreadsheetml/2006/main">
  <c r="T45" i="371" l="1"/>
  <c r="V45" i="371" s="1"/>
  <c r="S45" i="371"/>
  <c r="U45" i="371" s="1"/>
  <c r="R45" i="371"/>
  <c r="Q45" i="371"/>
  <c r="V44" i="371"/>
  <c r="U44" i="371"/>
  <c r="T44" i="371"/>
  <c r="S44" i="371"/>
  <c r="R44" i="371"/>
  <c r="Q44" i="371"/>
  <c r="T43" i="371"/>
  <c r="V43" i="371" s="1"/>
  <c r="S43" i="371"/>
  <c r="U43" i="371" s="1"/>
  <c r="R43" i="371"/>
  <c r="Q43" i="371"/>
  <c r="U42" i="371"/>
  <c r="T42" i="371"/>
  <c r="S42" i="371"/>
  <c r="V42" i="371" s="1"/>
  <c r="R42" i="371"/>
  <c r="Q42" i="371"/>
  <c r="T41" i="371"/>
  <c r="V41" i="371" s="1"/>
  <c r="S41" i="371"/>
  <c r="U41" i="371" s="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U38" i="371"/>
  <c r="T38" i="371"/>
  <c r="S38" i="371"/>
  <c r="V38" i="371" s="1"/>
  <c r="R38" i="371"/>
  <c r="Q38" i="371"/>
  <c r="T37" i="371"/>
  <c r="V37" i="371" s="1"/>
  <c r="S37" i="371"/>
  <c r="U37" i="371" s="1"/>
  <c r="R37" i="371"/>
  <c r="Q37" i="371"/>
  <c r="U36" i="371"/>
  <c r="T36" i="371"/>
  <c r="S36" i="371"/>
  <c r="V36" i="371" s="1"/>
  <c r="R36" i="371"/>
  <c r="Q36" i="371"/>
  <c r="T35" i="371"/>
  <c r="V35" i="371" s="1"/>
  <c r="S35" i="371"/>
  <c r="U35" i="371" s="1"/>
  <c r="R35" i="371"/>
  <c r="Q35" i="371"/>
  <c r="U34" i="371"/>
  <c r="T34" i="371"/>
  <c r="S34" i="371"/>
  <c r="V34" i="371" s="1"/>
  <c r="R34" i="371"/>
  <c r="Q34" i="371"/>
  <c r="T33" i="371"/>
  <c r="V33" i="371" s="1"/>
  <c r="S33" i="371"/>
  <c r="U33" i="371" s="1"/>
  <c r="R33" i="371"/>
  <c r="Q33" i="371"/>
  <c r="U32" i="371"/>
  <c r="T32" i="371"/>
  <c r="S32" i="371"/>
  <c r="V32" i="371" s="1"/>
  <c r="R32" i="371"/>
  <c r="Q32" i="371"/>
  <c r="T31" i="371"/>
  <c r="V31" i="371" s="1"/>
  <c r="S31" i="371"/>
  <c r="U31" i="371" s="1"/>
  <c r="R31" i="371"/>
  <c r="Q31" i="371"/>
  <c r="U30" i="371"/>
  <c r="T30" i="371"/>
  <c r="S30" i="371"/>
  <c r="V30" i="371" s="1"/>
  <c r="R30" i="371"/>
  <c r="Q30" i="371"/>
  <c r="T29" i="371"/>
  <c r="V29" i="371" s="1"/>
  <c r="S29" i="371"/>
  <c r="U29" i="371" s="1"/>
  <c r="R29" i="371"/>
  <c r="Q29" i="371"/>
  <c r="U28" i="371"/>
  <c r="T28" i="371"/>
  <c r="S28" i="371"/>
  <c r="V28" i="371" s="1"/>
  <c r="R28" i="371"/>
  <c r="Q28" i="371"/>
  <c r="T27" i="371"/>
  <c r="V27" i="371" s="1"/>
  <c r="S27" i="371"/>
  <c r="U27" i="371" s="1"/>
  <c r="R27" i="371"/>
  <c r="Q27" i="371"/>
  <c r="U26" i="371"/>
  <c r="T26" i="371"/>
  <c r="S26" i="371"/>
  <c r="V26" i="371" s="1"/>
  <c r="R26" i="371"/>
  <c r="Q26" i="371"/>
  <c r="T25" i="371"/>
  <c r="V25" i="371" s="1"/>
  <c r="S25" i="371"/>
  <c r="U25" i="371" s="1"/>
  <c r="R25" i="371"/>
  <c r="Q25" i="371"/>
  <c r="U24" i="371"/>
  <c r="T24" i="371"/>
  <c r="S24" i="371"/>
  <c r="V24" i="371" s="1"/>
  <c r="R24" i="371"/>
  <c r="Q24" i="371"/>
  <c r="T23" i="371"/>
  <c r="V23" i="371" s="1"/>
  <c r="S23" i="371"/>
  <c r="U23" i="371" s="1"/>
  <c r="R23" i="371"/>
  <c r="Q23" i="371"/>
  <c r="U22" i="371"/>
  <c r="T22" i="371"/>
  <c r="S22" i="371"/>
  <c r="V22" i="371" s="1"/>
  <c r="R22" i="371"/>
  <c r="Q22" i="371"/>
  <c r="T21" i="371"/>
  <c r="V21" i="371" s="1"/>
  <c r="S21" i="371"/>
  <c r="U21" i="371" s="1"/>
  <c r="R21" i="371"/>
  <c r="Q21" i="371"/>
  <c r="U20" i="371"/>
  <c r="T20" i="371"/>
  <c r="S20" i="371"/>
  <c r="V20" i="371" s="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T17" i="371"/>
  <c r="V17" i="371" s="1"/>
  <c r="S17" i="371"/>
  <c r="U17" i="371" s="1"/>
  <c r="R17" i="371"/>
  <c r="Q17" i="371"/>
  <c r="U16" i="371"/>
  <c r="T16" i="371"/>
  <c r="S16" i="371"/>
  <c r="V16" i="371" s="1"/>
  <c r="R16" i="371"/>
  <c r="Q16" i="371"/>
  <c r="T15" i="371"/>
  <c r="V15" i="371" s="1"/>
  <c r="S15" i="371"/>
  <c r="U15" i="371" s="1"/>
  <c r="R15" i="371"/>
  <c r="Q15" i="371"/>
  <c r="U14" i="371"/>
  <c r="T14" i="371"/>
  <c r="S14" i="371"/>
  <c r="V14" i="371" s="1"/>
  <c r="R14" i="371"/>
  <c r="Q14" i="371"/>
  <c r="T13" i="371"/>
  <c r="V13" i="371" s="1"/>
  <c r="S13" i="371"/>
  <c r="U13" i="371" s="1"/>
  <c r="R13" i="371"/>
  <c r="Q13" i="371"/>
  <c r="U12" i="371"/>
  <c r="T12" i="371"/>
  <c r="S12" i="371"/>
  <c r="V12" i="371" s="1"/>
  <c r="R12" i="371"/>
  <c r="Q12" i="371"/>
  <c r="T11" i="371"/>
  <c r="V11" i="371" s="1"/>
  <c r="S11" i="371"/>
  <c r="U11" i="371" s="1"/>
  <c r="R11" i="371"/>
  <c r="Q11" i="371"/>
  <c r="U10" i="371"/>
  <c r="T10" i="371"/>
  <c r="S10" i="371"/>
  <c r="V10" i="371" s="1"/>
  <c r="R10" i="371"/>
  <c r="Q10" i="371"/>
  <c r="T9" i="371"/>
  <c r="V9" i="371" s="1"/>
  <c r="S9" i="371"/>
  <c r="U9" i="371" s="1"/>
  <c r="R9" i="371"/>
  <c r="Q9" i="371"/>
  <c r="U8" i="371"/>
  <c r="T8" i="371"/>
  <c r="S8" i="371"/>
  <c r="V8" i="371" s="1"/>
  <c r="R8" i="371"/>
  <c r="Q8" i="371"/>
  <c r="V7" i="371"/>
  <c r="U7" i="371"/>
  <c r="T7" i="371"/>
  <c r="S7" i="371"/>
  <c r="R7" i="371"/>
  <c r="Q7" i="371"/>
  <c r="U6" i="371"/>
  <c r="T6" i="371"/>
  <c r="S6" i="371"/>
  <c r="V6" i="371" s="1"/>
  <c r="R6" i="371"/>
  <c r="Q6" i="371"/>
  <c r="T5" i="371"/>
  <c r="V5" i="371" s="1"/>
  <c r="S5" i="371"/>
  <c r="U5" i="371" s="1"/>
  <c r="R5" i="371"/>
  <c r="Q5" i="371"/>
  <c r="C26" i="419" l="1"/>
  <c r="M26" i="419" l="1"/>
  <c r="M27" i="419" s="1"/>
  <c r="M25" i="419"/>
  <c r="G26" i="419"/>
  <c r="M28" i="419" l="1"/>
  <c r="G25" i="419"/>
  <c r="C25" i="419"/>
  <c r="M20" i="419"/>
  <c r="L20" i="419"/>
  <c r="M19" i="419"/>
  <c r="L19" i="419"/>
  <c r="M17" i="419"/>
  <c r="L17" i="419"/>
  <c r="M16" i="419"/>
  <c r="L16" i="419"/>
  <c r="M14" i="419"/>
  <c r="L14" i="419"/>
  <c r="M13" i="419"/>
  <c r="L13" i="419"/>
  <c r="M12" i="419"/>
  <c r="L12" i="419"/>
  <c r="M11" i="419"/>
  <c r="L11" i="419"/>
  <c r="AW3" i="418"/>
  <c r="AV3" i="418"/>
  <c r="AU3" i="418"/>
  <c r="AT3" i="418"/>
  <c r="AS3" i="418"/>
  <c r="AR3" i="418"/>
  <c r="AQ3" i="418"/>
  <c r="AP3" i="418"/>
  <c r="L18" i="419" l="1"/>
  <c r="M18" i="419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K21" i="419" l="1"/>
  <c r="J21" i="419"/>
  <c r="J22" i="419" s="1"/>
  <c r="I21" i="419"/>
  <c r="H21" i="419"/>
  <c r="G21" i="419"/>
  <c r="K20" i="419"/>
  <c r="J20" i="419"/>
  <c r="I20" i="419"/>
  <c r="H20" i="419"/>
  <c r="G20" i="419"/>
  <c r="K19" i="419"/>
  <c r="J19" i="419"/>
  <c r="I19" i="419"/>
  <c r="H19" i="419"/>
  <c r="G19" i="419"/>
  <c r="K17" i="419"/>
  <c r="J17" i="419"/>
  <c r="I17" i="419"/>
  <c r="H17" i="419"/>
  <c r="G17" i="419"/>
  <c r="K16" i="419"/>
  <c r="J16" i="419"/>
  <c r="I16" i="419"/>
  <c r="H16" i="419"/>
  <c r="G16" i="419"/>
  <c r="K14" i="419"/>
  <c r="J14" i="419"/>
  <c r="I14" i="419"/>
  <c r="H14" i="419"/>
  <c r="G14" i="419"/>
  <c r="K13" i="419"/>
  <c r="J13" i="419"/>
  <c r="I13" i="419"/>
  <c r="H13" i="419"/>
  <c r="G13" i="419"/>
  <c r="K12" i="419"/>
  <c r="J12" i="419"/>
  <c r="I12" i="419"/>
  <c r="H12" i="419"/>
  <c r="G12" i="419"/>
  <c r="K11" i="419"/>
  <c r="J11" i="419"/>
  <c r="I11" i="419"/>
  <c r="H11" i="419"/>
  <c r="G11" i="419"/>
  <c r="G18" i="419" l="1"/>
  <c r="K18" i="419"/>
  <c r="G23" i="419"/>
  <c r="K23" i="419"/>
  <c r="I18" i="419"/>
  <c r="K22" i="419"/>
  <c r="J23" i="419"/>
  <c r="J18" i="419"/>
  <c r="H23" i="419"/>
  <c r="I23" i="419"/>
  <c r="H18" i="419"/>
  <c r="G22" i="419"/>
  <c r="H22" i="419"/>
  <c r="I22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6" i="383"/>
  <c r="G3" i="429"/>
  <c r="F3" i="429"/>
  <c r="E3" i="429"/>
  <c r="D3" i="429"/>
  <c r="C3" i="429"/>
  <c r="B3" i="429"/>
  <c r="A35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0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M6" i="419" l="1"/>
  <c r="L6" i="419"/>
  <c r="J6" i="419"/>
  <c r="I6" i="419"/>
  <c r="H6" i="419"/>
  <c r="K6" i="419"/>
  <c r="G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C16" i="414"/>
  <c r="C19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M3" i="387"/>
  <c r="K3" i="387" s="1"/>
  <c r="L3" i="387"/>
  <c r="J3" i="387"/>
  <c r="I3" i="387"/>
  <c r="H3" i="387"/>
  <c r="G3" i="387"/>
  <c r="F3" i="387"/>
  <c r="N3" i="220"/>
  <c r="L3" i="220" s="1"/>
  <c r="D22" i="414"/>
  <c r="C22" i="414"/>
  <c r="N3" i="372" l="1"/>
  <c r="F3" i="372"/>
  <c r="C28" i="414"/>
  <c r="E28" i="414" s="1"/>
  <c r="F13" i="339"/>
  <c r="E13" i="339"/>
  <c r="E15" i="339" s="1"/>
  <c r="J3" i="372"/>
  <c r="H12" i="339"/>
  <c r="G12" i="339"/>
  <c r="K3" i="390"/>
  <c r="A4" i="383"/>
  <c r="A34" i="383"/>
  <c r="A33" i="383"/>
  <c r="A32" i="383"/>
  <c r="A31" i="383"/>
  <c r="A30" i="383"/>
  <c r="A29" i="383"/>
  <c r="A28" i="383"/>
  <c r="A27" i="383"/>
  <c r="A25" i="383"/>
  <c r="A22" i="383"/>
  <c r="A21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<sst xmlns="http://schemas.openxmlformats.org/spreadsheetml/2006/main" count="11095" uniqueCount="2819">
  <si>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</si>
  <si>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</si>
  <si>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</si>
  <si>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</si>
  <si>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</si>
  <si>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</si>
  <si>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</si>
  <si>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</si>
  <si>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</si>
  <si>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</si>
  <si>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</si>
  <si>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</si>
  <si>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</si>
  <si>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</si>
  <si>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</si>
  <si>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</si>
  <si>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</si>
  <si>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</si>
  <si>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</si>
  <si>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</si>
  <si>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</si>
  <si>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</si>
  <si>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</si>
  <si>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</si>
  <si>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</si>
  <si>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</si>
  <si>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</si>
  <si>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</si>
  <si>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</si>
  <si>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</si>
  <si>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</si>
  <si>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</si>
  <si>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</si>
  <si>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</si>
  <si>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</si>
  <si>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</si>
  <si>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</si>
  <si>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</si>
  <si>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</si>
  <si>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</si>
  <si>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</si>
  <si>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</si>
  <si>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</si>
  <si>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</si>
  <si>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</si>
  <si>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</si>
  <si>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</si>
  <si>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</si>
  <si>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</si>
  <si>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</si>
  <si>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</si>
  <si>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</si>
  <si>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</si>
  <si>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</si>
  <si>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</si>
  <si>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</si>
  <si>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</si>
  <si>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</si>
  <si>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</si>
  <si>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</si>
  <si>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</si>
  <si>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</si>
  <si>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</si>
  <si>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</si>
  <si>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</si>
  <si>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</si>
  <si>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</si>
  <si>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</si>
  <si>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</si>
  <si>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</si>
  <si>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</si>
  <si>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</si>
  <si>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</si>
  <si>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</si>
  <si>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</si>
  <si>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</si>
  <si>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</si>
  <si>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</si>
  <si>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</si>
  <si>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</si>
  <si>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</si>
  <si>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</si>
  <si>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</si>
  <si>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</si>
  <si>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</si>
  <si>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</si>
  <si>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</si>
  <si>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</si>
  <si>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</si>
  <si>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</si>
  <si>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</si>
  <si>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</si>
  <si>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</si>
  <si>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</si>
  <si>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</si>
  <si>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</si>
  <si>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</si>
  <si>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</si>
  <si>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</si>
  <si>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</si>
  <si>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</si>
  <si>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</si>
  <si>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</si>
  <si>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</si>
  <si>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</si>
  <si>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</si>
  <si>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</si>
  <si>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</si>
  <si>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</si>
  <si>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</si>
  <si>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</si>
  <si>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</si>
  <si>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</si>
  <si>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</si>
  <si>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</si>
  <si>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</si>
  <si>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</si>
  <si>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</si>
  <si>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</si>
  <si>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</si>
  <si>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</si>
  <si>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</si>
  <si>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</si>
  <si>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</si>
  <si>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</si>
  <si>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</si>
  <si>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</si>
  <si>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</si>
  <si>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</si>
  <si>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</si>
  <si>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</si>
  <si>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</si>
  <si>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</si>
  <si>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</si>
  <si>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</si>
  <si>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</si>
  <si>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</si>
  <si>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</si>
  <si>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</si>
  <si>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</si>
  <si>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</si>
  <si>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</si>
  <si>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</si>
  <si>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</si>
  <si>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</si>
  <si>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</si>
  <si>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</si>
  <si>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</si>
  <si>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</si>
  <si>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</si>
  <si>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</si>
  <si>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</si>
  <si>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</si>
  <si>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</si>
  <si>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</si>
  <si>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</si>
  <si>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</si>
  <si>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</si>
  <si>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</si>
  <si>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</si>
  <si>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</si>
  <si>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</si>
  <si>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</si>
  <si>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</si>
  <si>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</si>
  <si>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</si>
  <si>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</si>
  <si>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</si>
  <si>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</si>
  <si>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</si>
  <si>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</si>
  <si>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</si>
  <si>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</si>
  <si>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</si>
  <si>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</si>
  <si>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</si>
  <si>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</si>
  <si>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</si>
  <si>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</si>
  <si>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</si>
  <si>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</si>
  <si>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</si>
  <si>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</si>
  <si>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</si>
  <si>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</si>
  <si>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</si>
  <si>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</si>
  <si>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</si>
  <si>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</si>
  <si>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</si>
  <si>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</si>
  <si>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</si>
  <si>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</si>
  <si>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</si>
  <si>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</si>
  <si>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</si>
  <si>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</si>
  <si>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</si>
  <si>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</si>
  <si>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</si>
  <si>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</si>
  <si>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</si>
  <si>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</si>
  <si>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</si>
  <si>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</si>
  <si>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</si>
  <si>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</si>
  <si>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</si>
  <si>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</si>
  <si>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</si>
  <si>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</si>
  <si>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</si>
  <si>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</si>
  <si>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</si>
  <si>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</si>
  <si>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</si>
  <si>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</si>
  <si>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</si>
  <si>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</si>
  <si>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</si>
  <si>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</si>
  <si>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</si>
  <si>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</si>
  <si>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</si>
  <si>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</si>
  <si>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</si>
  <si>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</si>
  <si>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</si>
  <si>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</si>
  <si>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</si>
  <si>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</si>
  <si>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</si>
  <si>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</si>
  <si>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</si>
  <si>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</si>
  <si>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</si>
  <si>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</si>
  <si>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</si>
  <si>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</si>
  <si>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</si>
  <si>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</si>
  <si>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</si>
  <si>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</si>
  <si>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</si>
  <si>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</si>
  <si>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</si>
  <si>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</si>
  <si>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</si>
  <si>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</si>
  <si>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</si>
  <si>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</si>
  <si>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</si>
  <si>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</si>
  <si>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</si>
  <si>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</si>
  <si>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</si>
  <si>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</si>
  <si>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</si>
  <si>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</si>
  <si>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</si>
  <si>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</si>
  <si>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</si>
  <si>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</si>
  <si>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</si>
  <si>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</si>
  <si>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</si>
  <si>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</si>
  <si>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</si>
  <si>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</si>
  <si>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</si>
  <si>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</si>
  <si>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</si>
  <si>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</si>
  <si>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</si>
  <si>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</si>
  <si>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</si>
  <si>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</si>
  <si>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</si>
  <si>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</si>
  <si>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</si>
  <si>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</si>
  <si>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</si>
  <si>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</si>
  <si>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</si>
  <si>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</si>
  <si>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</si>
  <si>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</si>
  <si>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</si>
  <si>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</si>
  <si>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</si>
  <si>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</si>
  <si>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</si>
  <si>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</si>
  <si>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</si>
  <si>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</si>
  <si>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</si>
  <si>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</si>
  <si>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</si>
  <si>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</si>
  <si>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</si>
  <si>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</si>
  <si>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Novorozenecké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</si>
  <si>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</si>
  <si>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</si>
  <si>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</si>
  <si>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</si>
  <si>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</si>
  <si>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</si>
  <si>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</si>
  <si>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</si>
  <si>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</si>
  <si>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</si>
  <si>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50113004     léky - enter. a parent. výživa (výroba LEK-OPSL)</t>
  </si>
  <si>
    <t>--</t>
  </si>
  <si>
    <t>50113006     léky - enterální výživa (LEK)</t>
  </si>
  <si>
    <t>50113008     léky - krev.deriváty ZUL (TO)</t>
  </si>
  <si>
    <t>50113013     léky - antibiotika (LEK)</t>
  </si>
  <si>
    <t>50113014     léky - antimykotika (LEK)</t>
  </si>
  <si>
    <t>50113016     léky - centra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</si>
  <si>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</si>
  <si>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</si>
  <si>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</si>
  <si>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</si>
  <si>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</si>
  <si>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</si>
  <si>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</si>
  <si>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</si>
  <si>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</si>
  <si>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</si>
  <si>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</si>
  <si>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</si>
  <si>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</si>
  <si>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</si>
  <si>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</si>
  <si>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</si>
  <si>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50116     Potraviny</t>
  </si>
  <si>
    <t>50116001     lůžk. pacienti</t>
  </si>
  <si>
    <t>50116002     lůžk. pacienti nad normu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</si>
  <si>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</si>
  <si>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</si>
  <si>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</si>
  <si>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</si>
  <si>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</si>
  <si>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</si>
  <si>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</si>
  <si>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</si>
  <si>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</si>
  <si>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</si>
  <si>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</si>
  <si>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</si>
  <si>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</si>
  <si>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</si>
  <si>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</si>
  <si>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</si>
  <si>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</si>
  <si>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</si>
  <si>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</si>
  <si>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</si>
  <si>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</si>
  <si>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</si>
  <si>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</si>
  <si>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</si>
  <si>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</si>
  <si>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</si>
  <si>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</si>
  <si>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</si>
  <si>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</si>
  <si>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</si>
  <si>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</si>
  <si>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</si>
  <si>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</si>
  <si>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</si>
  <si>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</si>
  <si>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</si>
  <si>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</si>
  <si>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50401     Prodané zb. FNOL</t>
  </si>
  <si>
    <t>50401002     prodej pacientům (pomůcky pro rodičky, USB náram....)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</si>
  <si>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</si>
  <si>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</si>
  <si>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</si>
  <si>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</si>
  <si>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</si>
  <si>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</si>
  <si>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</si>
  <si>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</si>
  <si>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</si>
  <si>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</si>
  <si>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</si>
  <si>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</si>
  <si>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</si>
  <si>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</si>
  <si>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</si>
  <si>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</si>
  <si>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</si>
  <si>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</si>
  <si>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</si>
  <si>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</si>
  <si>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</si>
  <si>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</si>
  <si>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</si>
  <si>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</si>
  <si>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</si>
  <si>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51806005     odpad (spalovna)</t>
  </si>
  <si>
    <t>51807     Stravné, pohoštění - dodavatelsky</t>
  </si>
  <si>
    <t>51807012     konference - pohoštění zajištěné dodavat.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</si>
  <si>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</si>
  <si>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</si>
  <si>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</si>
  <si>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</si>
  <si>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</si>
  <si>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</si>
  <si>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51810     Náklady - projekty EU</t>
  </si>
  <si>
    <t>51810000     náklady - projekty EU</t>
  </si>
  <si>
    <t>51874     Ostatní služby</t>
  </si>
  <si>
    <t>51874004     služby poradenské (odborní poradci)</t>
  </si>
  <si>
    <t>51874010     ostatní služby - zdravotní</t>
  </si>
  <si>
    <t>51874018     propagace, reklama, tisk (TM)</t>
  </si>
  <si>
    <t>51874020     konference  - zajišť.dodavatelsky (ubyt., nájem, ostat.sl.)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</si>
  <si>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</si>
  <si>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</si>
  <si>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</si>
  <si>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</si>
  <si>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</si>
  <si>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</si>
  <si>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</si>
  <si>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</si>
  <si>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</si>
  <si>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</si>
  <si>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</si>
  <si>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</si>
  <si>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</si>
  <si>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</si>
  <si>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</si>
  <si>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</si>
  <si>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</si>
  <si>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</si>
  <si>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</si>
  <si>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</si>
  <si>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</si>
  <si>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</si>
  <si>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</si>
  <si>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</si>
  <si>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</si>
  <si>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</si>
  <si>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</si>
  <si>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</si>
  <si>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</si>
  <si>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</si>
  <si>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</si>
  <si>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</si>
  <si>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</si>
  <si>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</si>
  <si>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</si>
  <si>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</si>
  <si>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</si>
  <si>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</si>
  <si>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</si>
  <si>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</si>
  <si>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</si>
  <si>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</si>
  <si>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55801080     DDHM - zdravotnický a laboratorní (věcné dary)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</si>
  <si>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</si>
  <si>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</si>
  <si>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</si>
  <si>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</si>
  <si>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55804     DDHM - výpočetní technika</t>
  </si>
  <si>
    <t>55804002     DDHM - telefony (sk.P_49)</t>
  </si>
  <si>
    <t>55804080     DDHM - výpočetní technika (vecné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</si>
  <si>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</si>
  <si>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</si>
  <si>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</si>
  <si>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</si>
  <si>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</si>
  <si>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</si>
  <si>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</si>
  <si>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</si>
  <si>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</si>
  <si>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</si>
  <si>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</si>
  <si>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</si>
  <si>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</si>
  <si>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</si>
  <si>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</si>
  <si>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</si>
  <si>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</si>
  <si>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</si>
  <si>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</si>
  <si>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</si>
  <si>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</si>
  <si>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</si>
  <si>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</si>
  <si>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</si>
  <si>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</si>
  <si>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</si>
  <si>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</si>
  <si>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</si>
  <si>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</si>
  <si>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</si>
  <si>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</si>
  <si>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</si>
  <si>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</si>
  <si>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</si>
  <si>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</si>
  <si>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</si>
  <si>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</si>
  <si>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</si>
  <si>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</si>
  <si>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</si>
  <si>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</si>
  <si>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</si>
  <si>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</si>
  <si>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</si>
  <si>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</si>
  <si>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</si>
  <si>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</si>
  <si>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</si>
  <si>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</si>
  <si>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</si>
  <si>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</si>
  <si>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</si>
  <si>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</si>
  <si>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</si>
  <si>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</si>
  <si>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</si>
  <si>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</si>
  <si>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</si>
  <si>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</si>
  <si>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</si>
  <si>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</si>
  <si>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</si>
  <si>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</si>
  <si>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</si>
  <si>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</si>
  <si>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</si>
  <si>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</si>
  <si>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</si>
  <si>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</si>
  <si>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</si>
  <si>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</si>
  <si>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</si>
  <si>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</si>
  <si>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</si>
  <si>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</si>
  <si>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09</t>
  </si>
  <si>
    <t>Novorozenecké oddělení</t>
  </si>
  <si>
    <t/>
  </si>
  <si>
    <t>Novorozenecké oddělení Celkem</t>
  </si>
  <si>
    <t>SumaKL</t>
  </si>
  <si>
    <t>0911</t>
  </si>
  <si>
    <t xml:space="preserve">lůžkové oddělení 16C </t>
  </si>
  <si>
    <t>lůžkové oddělení 16C  Celkem</t>
  </si>
  <si>
    <t>SumaNS</t>
  </si>
  <si>
    <t>mezeraNS</t>
  </si>
  <si>
    <t>0912</t>
  </si>
  <si>
    <t>lůžkové oddělení 16B + 16D</t>
  </si>
  <si>
    <t>lůžkové oddělení 16B + 16D Celkem</t>
  </si>
  <si>
    <t>0931</t>
  </si>
  <si>
    <t>JIP 16A</t>
  </si>
  <si>
    <t>JIP 16A Celkem</t>
  </si>
  <si>
    <t>0994</t>
  </si>
  <si>
    <t>centrum - novorozenecké</t>
  </si>
  <si>
    <t>centrum - novorozenecké Celkem</t>
  </si>
  <si>
    <t>50113001</t>
  </si>
  <si>
    <t>O</t>
  </si>
  <si>
    <t>51366</t>
  </si>
  <si>
    <t>CHLORID SODNÝ 0,9% BRAUN</t>
  </si>
  <si>
    <t>INF SOL 20X100MLPELAH</t>
  </si>
  <si>
    <t>47256</t>
  </si>
  <si>
    <t>GLUKÓZA 5 BRAUN</t>
  </si>
  <si>
    <t>INF SOL 20X100ML-PE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</si>
  <si>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</si>
  <si>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</si>
  <si>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</si>
  <si>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</si>
  <si>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</si>
  <si>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</si>
  <si>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</si>
  <si>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</si>
  <si>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</si>
  <si>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</si>
  <si>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</si>
  <si>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</si>
  <si>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</si>
  <si>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</si>
  <si>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</si>
  <si>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</si>
  <si>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152266</t>
  </si>
  <si>
    <t>52266</t>
  </si>
  <si>
    <t>INFADOLAN</t>
  </si>
  <si>
    <t>DRM UNG 1X30GM</t>
  </si>
  <si>
    <t>840220</t>
  </si>
  <si>
    <t>0</t>
  </si>
  <si>
    <t>Lactobacillus acidophil.cps.75 bez laktózy</t>
  </si>
  <si>
    <t>847713</t>
  </si>
  <si>
    <t>125526</t>
  </si>
  <si>
    <t>APO-IBUPROFEN 400 MG</t>
  </si>
  <si>
    <t>POR TBL FLM 100X400MG</t>
  </si>
  <si>
    <t>905097</t>
  </si>
  <si>
    <t>158767</t>
  </si>
  <si>
    <t>DZ OCTENISEPT 250 ml</t>
  </si>
  <si>
    <t>sprej</t>
  </si>
  <si>
    <t>930444</t>
  </si>
  <si>
    <t>KL AQUA PURIF. KUL., FAG. 1 kg</t>
  </si>
  <si>
    <t>100489</t>
  </si>
  <si>
    <t>489</t>
  </si>
  <si>
    <t>INJ 5X1ML/10MG</t>
  </si>
  <si>
    <t>102684</t>
  </si>
  <si>
    <t>2684</t>
  </si>
  <si>
    <t>MESOCAIN</t>
  </si>
  <si>
    <t>GEL 1X20GM</t>
  </si>
  <si>
    <t>841498</t>
  </si>
  <si>
    <t>Carbosorb tbl.20-blistr</t>
  </si>
  <si>
    <t>900321</t>
  </si>
  <si>
    <t>KL PRIPRAVEK</t>
  </si>
  <si>
    <t>100512</t>
  </si>
  <si>
    <t>512</t>
  </si>
  <si>
    <t>NATRIUM CHLORATUM BIOTIKA 10%</t>
  </si>
  <si>
    <t>INJ 10X5ML 10%</t>
  </si>
  <si>
    <t>122629</t>
  </si>
  <si>
    <t>SAB SIMPLEX</t>
  </si>
  <si>
    <t>POR SUS 1X30ML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</si>
  <si>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</si>
  <si>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</si>
  <si>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</si>
  <si>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</si>
  <si>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</si>
  <si>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</si>
  <si>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</si>
  <si>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840987</t>
  </si>
  <si>
    <t>IR  AQUA STERILE OPLACH.6x1000 ml</t>
  </si>
  <si>
    <t>IR OPLACH-FR</t>
  </si>
  <si>
    <t>112023</t>
  </si>
  <si>
    <t>12023</t>
  </si>
  <si>
    <t>VIGANTOL</t>
  </si>
  <si>
    <t>POR GTT SOL 1x10ML</t>
  </si>
  <si>
    <t>394072</t>
  </si>
  <si>
    <t>KL KAPSLE</t>
  </si>
  <si>
    <t>900071</t>
  </si>
  <si>
    <t>KL TBL MAGN.LACT 0,5G+B6 0,02G, 100TBL</t>
  </si>
  <si>
    <t>921017</t>
  </si>
  <si>
    <t>KL KAL.PERMANGANAS 2G</t>
  </si>
  <si>
    <t>921251</t>
  </si>
  <si>
    <t>KL SOL.NOVIKOV 20G</t>
  </si>
  <si>
    <t>900427</t>
  </si>
  <si>
    <t>KL SOL.METHYLROS.CHL.1% 20 G</t>
  </si>
  <si>
    <t>394627</t>
  </si>
  <si>
    <t>KL BARVA NA  DETI 20 g</t>
  </si>
  <si>
    <t>844879</t>
  </si>
  <si>
    <t>KL HELIANTHI OLEUM 45g</t>
  </si>
  <si>
    <t>848241</t>
  </si>
  <si>
    <t>107854</t>
  </si>
  <si>
    <t>NEOHEPATECT</t>
  </si>
  <si>
    <t>INF SOL 1X2ML/100UT</t>
  </si>
  <si>
    <t>920352</t>
  </si>
  <si>
    <t>KL HELIANTHI OLEUM 180G</t>
  </si>
  <si>
    <t>921326</t>
  </si>
  <si>
    <t>KL SOL.NOVIKOV SINE V.N. 20G</t>
  </si>
  <si>
    <t>921412</t>
  </si>
  <si>
    <t>KL UNG.LENIENS, 30G</t>
  </si>
  <si>
    <t>930332</t>
  </si>
  <si>
    <t>KL BENZINUM 20g</t>
  </si>
  <si>
    <t>930676</t>
  </si>
  <si>
    <t>KL SACCHAROSUM  24 %  65 g</t>
  </si>
  <si>
    <t>846941</t>
  </si>
  <si>
    <t>Swiss Laktobacilky baby 30 cps</t>
  </si>
  <si>
    <t>930224</t>
  </si>
  <si>
    <t>KL BENZINUM 900ml/ 600g</t>
  </si>
  <si>
    <t>UN 3295</t>
  </si>
  <si>
    <t>199814</t>
  </si>
  <si>
    <t>99814</t>
  </si>
  <si>
    <t>VODA NA INJEKCI VIAFLO</t>
  </si>
  <si>
    <t>PAR LQF 20X500ML</t>
  </si>
  <si>
    <t>930608</t>
  </si>
  <si>
    <t>KL CHLORAL.HYDRATUM 50 g</t>
  </si>
  <si>
    <t>160404</t>
  </si>
  <si>
    <t>60404</t>
  </si>
  <si>
    <t>BALNEUM HERMAL</t>
  </si>
  <si>
    <t>LIQ 200ML</t>
  </si>
  <si>
    <t>200863</t>
  </si>
  <si>
    <t>OPHTHALMO-SEPTONEX</t>
  </si>
  <si>
    <t>OPH GTT SOL 1X10ML PLAST</t>
  </si>
  <si>
    <t>500968</t>
  </si>
  <si>
    <t>KL SACCHAROSUM 24%  120g</t>
  </si>
  <si>
    <t>160405</t>
  </si>
  <si>
    <t>60405</t>
  </si>
  <si>
    <t>LIQ 1X500ML</t>
  </si>
  <si>
    <t>901176</t>
  </si>
  <si>
    <t>IR AC.BORICI AQ.OPHTAL.50 ML</t>
  </si>
  <si>
    <t>IR OČNI VODA 50 ml</t>
  </si>
  <si>
    <t>119686</t>
  </si>
  <si>
    <t>NASIVIN 0,01%</t>
  </si>
  <si>
    <t>NAS GTT SOL 1X5ML</t>
  </si>
  <si>
    <t>185625</t>
  </si>
  <si>
    <t>BRUFEN 400</t>
  </si>
  <si>
    <t>POR TBL FLM 30X400MG</t>
  </si>
  <si>
    <t>848457</t>
  </si>
  <si>
    <t>Cicatridina spray 125 ml</t>
  </si>
  <si>
    <t>60412</t>
  </si>
  <si>
    <t>BALNEUM HERMAL PLUS</t>
  </si>
  <si>
    <t>DRM BAL 1X200ML</t>
  </si>
  <si>
    <t>50113006</t>
  </si>
  <si>
    <t>987826</t>
  </si>
  <si>
    <t>NESTLÉ PreBEBA FM85 200g</t>
  </si>
  <si>
    <t>991186</t>
  </si>
  <si>
    <t>Nutrilon Protein Supplement ProExpert 50x1g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</si>
  <si>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</si>
  <si>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</si>
  <si>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</si>
  <si>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</si>
  <si>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</si>
  <si>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</si>
  <si>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</si>
  <si>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</si>
  <si>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</si>
  <si>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72973</t>
  </si>
  <si>
    <t>AMOKSIKLAV 600 MG</t>
  </si>
  <si>
    <t>INJ PLV SOL 5X600MG</t>
  </si>
  <si>
    <t>196413</t>
  </si>
  <si>
    <t>96413</t>
  </si>
  <si>
    <t>GENTAMICIN 40MG LEK</t>
  </si>
  <si>
    <t>INJ 10X2ML/40MG</t>
  </si>
  <si>
    <t>166366</t>
  </si>
  <si>
    <t>66366</t>
  </si>
  <si>
    <t>OSPAMOX 250MG/5ML</t>
  </si>
  <si>
    <t>GRA SUS 1X60ML</t>
  </si>
  <si>
    <t>186264</t>
  </si>
  <si>
    <t>86264</t>
  </si>
  <si>
    <t>TOBREX</t>
  </si>
  <si>
    <t>GTT OPH 5ML 3MG/1ML</t>
  </si>
  <si>
    <t>201970</t>
  </si>
  <si>
    <t>PAMYCON NA PŘÍPRAVU KAPEK</t>
  </si>
  <si>
    <t>DRM PLV SOL 1X1LAH</t>
  </si>
  <si>
    <t>201961</t>
  </si>
  <si>
    <t>AMPICILIN 1,0 BIOTIKA</t>
  </si>
  <si>
    <t>INJ PLV SOL 10X1000MG</t>
  </si>
  <si>
    <t>201974</t>
  </si>
  <si>
    <t>PENICILIN G 1,0 DRASELNÁ SO. BIOTIKA</t>
  </si>
  <si>
    <t>INJ PLV SOL 10X1MU</t>
  </si>
  <si>
    <t>201958</t>
  </si>
  <si>
    <t>AMPICILIN 0,5 BIOTIKA</t>
  </si>
  <si>
    <t>INJ PLV SOL 10X500MG</t>
  </si>
  <si>
    <t>P</t>
  </si>
  <si>
    <t>174991</t>
  </si>
  <si>
    <t>74991</t>
  </si>
  <si>
    <t>AMOKSIKLAV 156,25mg/5ml</t>
  </si>
  <si>
    <t>PLV SUS 1X100ML</t>
  </si>
  <si>
    <t>50113014</t>
  </si>
  <si>
    <t>113798</t>
  </si>
  <si>
    <t>13798</t>
  </si>
  <si>
    <t>CANESTEN KRÉM</t>
  </si>
  <si>
    <t>CRM 1X20GM/200MG</t>
  </si>
  <si>
    <t>116895</t>
  </si>
  <si>
    <t>16895</t>
  </si>
  <si>
    <t>IMAZOL KRÉMPASTA</t>
  </si>
  <si>
    <t>DRM PST 1X30GM</t>
  </si>
  <si>
    <t>102486</t>
  </si>
  <si>
    <t>2486</t>
  </si>
  <si>
    <t>KALIUM CHLORATUM LECIVA 7.5%</t>
  </si>
  <si>
    <t>INJ 5X10ML 7.5%</t>
  </si>
  <si>
    <t>103575</t>
  </si>
  <si>
    <t>3575</t>
  </si>
  <si>
    <t>HEPAROID LECIVA</t>
  </si>
  <si>
    <t>UNG 1X30GM</t>
  </si>
  <si>
    <t>124067</t>
  </si>
  <si>
    <t>HYDROCORTISON VUAB 100 MG</t>
  </si>
  <si>
    <t>INJ PLV SOL 1X100MG</t>
  </si>
  <si>
    <t>162315</t>
  </si>
  <si>
    <t>62315</t>
  </si>
  <si>
    <t>BETADINE - zelená</t>
  </si>
  <si>
    <t>LIQ 1X30ML</t>
  </si>
  <si>
    <t>176205</t>
  </si>
  <si>
    <t>180825</t>
  </si>
  <si>
    <t>HYDROCORTISON 10MG</t>
  </si>
  <si>
    <t>TBL 20X10MG</t>
  </si>
  <si>
    <t>184325</t>
  </si>
  <si>
    <t>84325</t>
  </si>
  <si>
    <t>VIDISIC</t>
  </si>
  <si>
    <t>GEL OPH 1X10GM</t>
  </si>
  <si>
    <t>199138</t>
  </si>
  <si>
    <t>99138</t>
  </si>
  <si>
    <t>AKTIFERRIN</t>
  </si>
  <si>
    <t>GTT 1X30ML</t>
  </si>
  <si>
    <t>189997</t>
  </si>
  <si>
    <t>89997</t>
  </si>
  <si>
    <t>LINOLA-FETT OLBAD</t>
  </si>
  <si>
    <t>OLE 1X400ML</t>
  </si>
  <si>
    <t>848783</t>
  </si>
  <si>
    <t>115400</t>
  </si>
  <si>
    <t>CLEXANE</t>
  </si>
  <si>
    <t>INJ SOL 10X0.2ML/2KU</t>
  </si>
  <si>
    <t>920064</t>
  </si>
  <si>
    <t>KL SOL.METHYLROS.CHL.1% 10G</t>
  </si>
  <si>
    <t>132082</t>
  </si>
  <si>
    <t>32082</t>
  </si>
  <si>
    <t>IBALGIN 400 (IBUPROFEN 400)</t>
  </si>
  <si>
    <t>TBL OBD 100X400MG</t>
  </si>
  <si>
    <t>120053</t>
  </si>
  <si>
    <t>20053</t>
  </si>
  <si>
    <t>BENOXI 0.4 % UNIMED PHARMA</t>
  </si>
  <si>
    <t>OPH GTT SOL 1X10ML</t>
  </si>
  <si>
    <t>156675</t>
  </si>
  <si>
    <t>56675</t>
  </si>
  <si>
    <t>FLOXAL</t>
  </si>
  <si>
    <t>GTT OPH 1X5ML</t>
  </si>
  <si>
    <t>845628</t>
  </si>
  <si>
    <t>IR OG. COLL.PHENYLEPHRINI 10g 2%</t>
  </si>
  <si>
    <t>COLL  2%</t>
  </si>
  <si>
    <t>920020</t>
  </si>
  <si>
    <t>IR OG. COLL.HOMAT.HYDROBROM.1%10G</t>
  </si>
  <si>
    <t>COLL</t>
  </si>
  <si>
    <t>920367</t>
  </si>
  <si>
    <t>KL EREVIT GTT. 18G</t>
  </si>
  <si>
    <t>921342</t>
  </si>
  <si>
    <t>KL SOL.COFFEINI 1% 50G</t>
  </si>
  <si>
    <t>167679</t>
  </si>
  <si>
    <t>PEYONA 20 MG/ML</t>
  </si>
  <si>
    <t>IVN+POR SOL 10X1ML</t>
  </si>
  <si>
    <t>191249</t>
  </si>
  <si>
    <t>91249</t>
  </si>
  <si>
    <t>PARALEN PRO INFANTIBUS</t>
  </si>
  <si>
    <t>SUP 5X100MG</t>
  </si>
  <si>
    <t>152307</t>
  </si>
  <si>
    <t>52307</t>
  </si>
  <si>
    <t>NUROFEN PRO DĚTI  pomeranč (od 3 měsíců)</t>
  </si>
  <si>
    <t>POR SUS 1X100ML TRUB</t>
  </si>
  <si>
    <t>130610</t>
  </si>
  <si>
    <t>URSOFALK SUSPENZE</t>
  </si>
  <si>
    <t>POR SUS 1X250ML</t>
  </si>
  <si>
    <t>988271</t>
  </si>
  <si>
    <t>BioLac Baby drops Generica 6 ml</t>
  </si>
  <si>
    <t>911925</t>
  </si>
  <si>
    <t>KL ETHANOLUM 60%,   20 G</t>
  </si>
  <si>
    <t>501606</t>
  </si>
  <si>
    <t>KL CPS CALC.GLUC.+CALC.PHOSPH. 100CPS</t>
  </si>
  <si>
    <t>988511</t>
  </si>
  <si>
    <t>Stérimar bébé sprej 50ml</t>
  </si>
  <si>
    <t>DPH 15%</t>
  </si>
  <si>
    <t>168999</t>
  </si>
  <si>
    <t>68999</t>
  </si>
  <si>
    <t>105114</t>
  </si>
  <si>
    <t>5114</t>
  </si>
  <si>
    <t>TARGOCID 200MG</t>
  </si>
  <si>
    <t>INJ SIC 1X200MG+SOL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</si>
  <si>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</si>
  <si>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</si>
  <si>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</si>
  <si>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</si>
  <si>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</si>
  <si>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</si>
  <si>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</si>
  <si>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203855</t>
  </si>
  <si>
    <t>CEFOTAXIME LEK 1 G PRÁŠEK PRO INJEKČNÍ ROZTOK</t>
  </si>
  <si>
    <t>IMS+IVN INJ PLV SOL 10X1GM</t>
  </si>
  <si>
    <t>166265</t>
  </si>
  <si>
    <t>VANCOMYCIN MYLAN 500 MG</t>
  </si>
  <si>
    <t>INF PLV SOL 1X500MG</t>
  </si>
  <si>
    <t>183812</t>
  </si>
  <si>
    <t>ARCHIFAR 500 MG</t>
  </si>
  <si>
    <t>INJ+INF PLV SOL 10X500MG</t>
  </si>
  <si>
    <t>164401</t>
  </si>
  <si>
    <t>FLUCONAZOL KABI 2 MG/ML</t>
  </si>
  <si>
    <t>INF SOL 10X100ML/200MG</t>
  </si>
  <si>
    <t>125034</t>
  </si>
  <si>
    <t>25034</t>
  </si>
  <si>
    <t>DORMICUM</t>
  </si>
  <si>
    <t>INJ SOL 10X1ML/5MG</t>
  </si>
  <si>
    <t>131739</t>
  </si>
  <si>
    <t>31739</t>
  </si>
  <si>
    <t>HELICID « 40 INF. LYOF.1X40MG</t>
  </si>
  <si>
    <t>130187</t>
  </si>
  <si>
    <t>30187</t>
  </si>
  <si>
    <t>MIDAZOLAM TORREX 5MG/ML</t>
  </si>
  <si>
    <t>INJ 10X1ML/5MG</t>
  </si>
  <si>
    <t>194921</t>
  </si>
  <si>
    <t>94921</t>
  </si>
  <si>
    <t>AMBROBENE</t>
  </si>
  <si>
    <t>SIR 100ML 15MG/5ML</t>
  </si>
  <si>
    <t>501694</t>
  </si>
  <si>
    <t>Cisatracurium Hameln 2mg/1ml - MIMOŘ.DOVOZ!</t>
  </si>
  <si>
    <t>inj. 10x2.5ml</t>
  </si>
  <si>
    <t>31915</t>
  </si>
  <si>
    <t>GLUKÓZA 10 BRAUN</t>
  </si>
  <si>
    <t>INF SOL 10X500ML-PE</t>
  </si>
  <si>
    <t>51367</t>
  </si>
  <si>
    <t>INF SOL 10X250MLPELAH</t>
  </si>
  <si>
    <t>100269</t>
  </si>
  <si>
    <t>269</t>
  </si>
  <si>
    <t>PREDNISON 5 LECIVA</t>
  </si>
  <si>
    <t>TBL 20X5MG</t>
  </si>
  <si>
    <t>100843</t>
  </si>
  <si>
    <t>843</t>
  </si>
  <si>
    <t>DERMAZULEN</t>
  </si>
  <si>
    <t>100876</t>
  </si>
  <si>
    <t>876</t>
  </si>
  <si>
    <t>100889</t>
  </si>
  <si>
    <t>889</t>
  </si>
  <si>
    <t>PITYOL</t>
  </si>
  <si>
    <t>102133</t>
  </si>
  <si>
    <t>2133</t>
  </si>
  <si>
    <t>FUROSEMID BIOTIKA</t>
  </si>
  <si>
    <t>INJ 5X2ML/20MG</t>
  </si>
  <si>
    <t>132090</t>
  </si>
  <si>
    <t>32090</t>
  </si>
  <si>
    <t>TRALGIT 50 INJ</t>
  </si>
  <si>
    <t>INJ SOL 5X1ML/50MG</t>
  </si>
  <si>
    <t>147193</t>
  </si>
  <si>
    <t>47193</t>
  </si>
  <si>
    <t>HUMULIN R 100 M.J./ML</t>
  </si>
  <si>
    <t>INJ 1X10ML/1KU</t>
  </si>
  <si>
    <t>149317</t>
  </si>
  <si>
    <t>49317</t>
  </si>
  <si>
    <t>CALCIUM GLUCONICUM 10% B.BRAUN</t>
  </si>
  <si>
    <t>INJ SOL 20X10ML</t>
  </si>
  <si>
    <t>162320</t>
  </si>
  <si>
    <t>62320</t>
  </si>
  <si>
    <t>BETADINE</t>
  </si>
  <si>
    <t>UNG 1X20GM</t>
  </si>
  <si>
    <t>184090</t>
  </si>
  <si>
    <t>84090</t>
  </si>
  <si>
    <t>DEXAMED</t>
  </si>
  <si>
    <t>INJ 10X2ML/8MG</t>
  </si>
  <si>
    <t>193746</t>
  </si>
  <si>
    <t>93746</t>
  </si>
  <si>
    <t>HEPARIN LECIVA</t>
  </si>
  <si>
    <t>INJ 1X10ML/50KU</t>
  </si>
  <si>
    <t>846599</t>
  </si>
  <si>
    <t>107754</t>
  </si>
  <si>
    <t>Dobutamin Admeda 250 inf.sol50ml</t>
  </si>
  <si>
    <t>846758</t>
  </si>
  <si>
    <t>103387</t>
  </si>
  <si>
    <t>ACC INJEKT</t>
  </si>
  <si>
    <t>INJ SOL 5X3ML/300MG</t>
  </si>
  <si>
    <t>100536</t>
  </si>
  <si>
    <t>536</t>
  </si>
  <si>
    <t>NORADRENALIN LECIVA</t>
  </si>
  <si>
    <t>104380</t>
  </si>
  <si>
    <t>4380</t>
  </si>
  <si>
    <t>TENSAMIN</t>
  </si>
  <si>
    <t>INJ 10X5ML</t>
  </si>
  <si>
    <t>196610</t>
  </si>
  <si>
    <t>96610</t>
  </si>
  <si>
    <t>APAURIN</t>
  </si>
  <si>
    <t>INJ 10X2ML/10MG</t>
  </si>
  <si>
    <t>100874</t>
  </si>
  <si>
    <t>874</t>
  </si>
  <si>
    <t>OPHTHALMO-AZULEN</t>
  </si>
  <si>
    <t>110555</t>
  </si>
  <si>
    <t>10555</t>
  </si>
  <si>
    <t>PAR LQF 20X100ML-PE</t>
  </si>
  <si>
    <t>159398</t>
  </si>
  <si>
    <t>59398</t>
  </si>
  <si>
    <t>TRACUTIL</t>
  </si>
  <si>
    <t>INF 5X10ML</t>
  </si>
  <si>
    <t>187822</t>
  </si>
  <si>
    <t>87822</t>
  </si>
  <si>
    <t>ARDUAN</t>
  </si>
  <si>
    <t>INJ SIC 25X4MG+2ML</t>
  </si>
  <si>
    <t>194852</t>
  </si>
  <si>
    <t>94852</t>
  </si>
  <si>
    <t>SOLUVIT N PRO INFUS.</t>
  </si>
  <si>
    <t>INJ SIC 10</t>
  </si>
  <si>
    <t>194916</t>
  </si>
  <si>
    <t>94916</t>
  </si>
  <si>
    <t>INJ 5X2ML/15MG</t>
  </si>
  <si>
    <t>500280</t>
  </si>
  <si>
    <t>159836</t>
  </si>
  <si>
    <t>Propanorm 35mg/10ml inj.10 x 10 ml/35mg</t>
  </si>
  <si>
    <t>198864</t>
  </si>
  <si>
    <t>98864</t>
  </si>
  <si>
    <t>FYZIOLOGICKÝ ROZTOK VIAFLO</t>
  </si>
  <si>
    <t>INF SOL 50X100ML</t>
  </si>
  <si>
    <t>117011</t>
  </si>
  <si>
    <t>17011</t>
  </si>
  <si>
    <t>DICYNONE 250</t>
  </si>
  <si>
    <t>INJ SOL 4X2ML/250MG</t>
  </si>
  <si>
    <t>102668</t>
  </si>
  <si>
    <t>2668</t>
  </si>
  <si>
    <t>OPHTHALMO-HYDROCORTISON LECIVA</t>
  </si>
  <si>
    <t>UNG OPH 1X5GM 0.5%</t>
  </si>
  <si>
    <t>119372</t>
  </si>
  <si>
    <t>19372</t>
  </si>
  <si>
    <t>OFTAQUIX 5MG/ML OČNÍ KAPKY</t>
  </si>
  <si>
    <t>OPH GTT SOL 5X5MG</t>
  </si>
  <si>
    <t>169724</t>
  </si>
  <si>
    <t>69724</t>
  </si>
  <si>
    <t>ARDEAELYTOSOL NA.HYDR.CARB.4.2%</t>
  </si>
  <si>
    <t>INF 1X80ML</t>
  </si>
  <si>
    <t>169755</t>
  </si>
  <si>
    <t>69755</t>
  </si>
  <si>
    <t>ARDEANUTRISOL G 40</t>
  </si>
  <si>
    <t>117996</t>
  </si>
  <si>
    <t>17996</t>
  </si>
  <si>
    <t>KINEDRYL</t>
  </si>
  <si>
    <t>TBL 10</t>
  </si>
  <si>
    <t>840333</t>
  </si>
  <si>
    <t>Vincentka přírod.0.7l-nevrat.láhev</t>
  </si>
  <si>
    <t>840939</t>
  </si>
  <si>
    <t>PROGLICEM tbl.100x25mg</t>
  </si>
  <si>
    <t>tbl.100x25mg</t>
  </si>
  <si>
    <t>169667</t>
  </si>
  <si>
    <t>69667</t>
  </si>
  <si>
    <t>ARDEAELYTOSOL NA.HYDR.FOSF.8.7%</t>
  </si>
  <si>
    <t>INF 1X200ML</t>
  </si>
  <si>
    <t>101681</t>
  </si>
  <si>
    <t>1681</t>
  </si>
  <si>
    <t>EMLA KREM 5%</t>
  </si>
  <si>
    <t>CRM 1X30GM</t>
  </si>
  <si>
    <t>186970</t>
  </si>
  <si>
    <t>86970</t>
  </si>
  <si>
    <t>ARDEANUTRISOL G 20</t>
  </si>
  <si>
    <t>INF SOL 1X250ML</t>
  </si>
  <si>
    <t>100584</t>
  </si>
  <si>
    <t>584</t>
  </si>
  <si>
    <t>PYRIDOXIN LECIVA</t>
  </si>
  <si>
    <t>INJ 5X1ML 50MG</t>
  </si>
  <si>
    <t>185256</t>
  </si>
  <si>
    <t>85256</t>
  </si>
  <si>
    <t>RIVOTRIL 2.5MG/ML</t>
  </si>
  <si>
    <t>186968</t>
  </si>
  <si>
    <t>86968</t>
  </si>
  <si>
    <t>ARDEANUTRISOL G 10</t>
  </si>
  <si>
    <t>INF 1X250ML</t>
  </si>
  <si>
    <t>155939</t>
  </si>
  <si>
    <t>HERPESIN 250</t>
  </si>
  <si>
    <t>INJ SIC 10X250MG</t>
  </si>
  <si>
    <t>395850</t>
  </si>
  <si>
    <t>OptiLube lubrikační gel</t>
  </si>
  <si>
    <t>tuba 113g</t>
  </si>
  <si>
    <t>921142</t>
  </si>
  <si>
    <t>KL POLYSAN, OL.HELIANTHI AA AD 250G</t>
  </si>
  <si>
    <t>921416</t>
  </si>
  <si>
    <t>KL CPS CALC.GLUC.+KAL.DIH. 100CPS</t>
  </si>
  <si>
    <t>92305</t>
  </si>
  <si>
    <t>ALPROSTAN</t>
  </si>
  <si>
    <t>INF CNC SOL 10X0.2ML</t>
  </si>
  <si>
    <t>142594</t>
  </si>
  <si>
    <t>42594</t>
  </si>
  <si>
    <t>VITALIPID N INFANT</t>
  </si>
  <si>
    <t>INF CNC SOL 10X10ML</t>
  </si>
  <si>
    <t>169747</t>
  </si>
  <si>
    <t>69747</t>
  </si>
  <si>
    <t>169751</t>
  </si>
  <si>
    <t>69751</t>
  </si>
  <si>
    <t>INF SOL 1X80ML</t>
  </si>
  <si>
    <t>184449</t>
  </si>
  <si>
    <t>84449</t>
  </si>
  <si>
    <t>LUMINAL</t>
  </si>
  <si>
    <t>INJ 5X1ML/219MG</t>
  </si>
  <si>
    <t>187226</t>
  </si>
  <si>
    <t>87226</t>
  </si>
  <si>
    <t>CUROSURF</t>
  </si>
  <si>
    <t>SUS 2X1.5ML/120MG</t>
  </si>
  <si>
    <t>196023</t>
  </si>
  <si>
    <t>2693</t>
  </si>
  <si>
    <t>PENTAGLOBIN- Mimořádný dovoz !!!</t>
  </si>
  <si>
    <t>INJ 1X10ML</t>
  </si>
  <si>
    <t>501062</t>
  </si>
  <si>
    <t>KL MORPHINI HYDROCHL. 0,008 AQ.P. AD 20G</t>
  </si>
  <si>
    <t>Novoroz. odd.</t>
  </si>
  <si>
    <t>900892</t>
  </si>
  <si>
    <t>KL SUPP.DIAZEPAMI 0,0005G  10KS</t>
  </si>
  <si>
    <t>920368</t>
  </si>
  <si>
    <t>KL EREVIT GTT. 30G</t>
  </si>
  <si>
    <t>921231</t>
  </si>
  <si>
    <t>KL MAST NA SPALENINY, 20G</t>
  </si>
  <si>
    <t>921296</t>
  </si>
  <si>
    <t>KL SUPP.GLYCEROLI  30KS, pro novorozence</t>
  </si>
  <si>
    <t>921404</t>
  </si>
  <si>
    <t>KL SUPP.IBUPROFENI 0,05G  20KS</t>
  </si>
  <si>
    <t>921573</t>
  </si>
  <si>
    <t>KL SUPP.PARACETAMOLI 0,02G  30KS</t>
  </si>
  <si>
    <t>168578</t>
  </si>
  <si>
    <t>68578</t>
  </si>
  <si>
    <t>PHENAEMALETTEN</t>
  </si>
  <si>
    <t>TBL 50X15MG</t>
  </si>
  <si>
    <t>845031</t>
  </si>
  <si>
    <t>101113</t>
  </si>
  <si>
    <t>NUROFEN PRO DĚTI JAHODA (od 3 měsíců)</t>
  </si>
  <si>
    <t>POR SUS 2000MG/100ML TRUB</t>
  </si>
  <si>
    <t>395293</t>
  </si>
  <si>
    <t>180305</t>
  </si>
  <si>
    <t>TANTUM VERDE</t>
  </si>
  <si>
    <t>LIQ 1X120ML-PET TR</t>
  </si>
  <si>
    <t>107273</t>
  </si>
  <si>
    <t>7273</t>
  </si>
  <si>
    <t>L-CARNITIN FRESENIUS 1GM</t>
  </si>
  <si>
    <t>INJ 5X5ML/1GM</t>
  </si>
  <si>
    <t>157871</t>
  </si>
  <si>
    <t>PARACETAMOL KABI 10 MG/ML</t>
  </si>
  <si>
    <t>INF SOL 10X50ML/500MG</t>
  </si>
  <si>
    <t>395180</t>
  </si>
  <si>
    <t>Arfen 400mg/3ml inj. 6 amp.-MIMOŘÁDNÝ DOVOZ!!</t>
  </si>
  <si>
    <t>500065</t>
  </si>
  <si>
    <t>MS MORPHINI HYDROCHL.</t>
  </si>
  <si>
    <t>176577</t>
  </si>
  <si>
    <t>Dubová kůra sypaná 50 g Fytopharma</t>
  </si>
  <si>
    <t>397576</t>
  </si>
  <si>
    <t>KL OMEPRAZOL SIRUP 2mg/ml</t>
  </si>
  <si>
    <t>990465</t>
  </si>
  <si>
    <t>DrKonrad Cutozinc 10% spray 100ml</t>
  </si>
  <si>
    <t>197425</t>
  </si>
  <si>
    <t>IPROFENEX 100 MG/5 ML PERORÁLNÍ SUSPENZE</t>
  </si>
  <si>
    <t>POR SUS 1X100ML/100MG</t>
  </si>
  <si>
    <t>501605</t>
  </si>
  <si>
    <t>315413</t>
  </si>
  <si>
    <t>Natriumglycerophosphat 20ml-MIMOŘÁDNÝ DOVOZ!!</t>
  </si>
  <si>
    <t xml:space="preserve"> SOL 20x20ML</t>
  </si>
  <si>
    <t>67558</t>
  </si>
  <si>
    <t>MABRON</t>
  </si>
  <si>
    <t>INJ SOL 5X2ML</t>
  </si>
  <si>
    <t>193969</t>
  </si>
  <si>
    <t>93969</t>
  </si>
  <si>
    <t>RANITAL</t>
  </si>
  <si>
    <t>INJ 5X2ML/50MG</t>
  </si>
  <si>
    <t>131934</t>
  </si>
  <si>
    <t>31934</t>
  </si>
  <si>
    <t>VENTOLIN INHALER N</t>
  </si>
  <si>
    <t>INHSUSPSS200X100RG</t>
  </si>
  <si>
    <t>849266</t>
  </si>
  <si>
    <t>162444</t>
  </si>
  <si>
    <t xml:space="preserve">SUFENTANIL TORREX 5 MCG/ML </t>
  </si>
  <si>
    <t>INJ SOL 5X2ML/10RG</t>
  </si>
  <si>
    <t>195604</t>
  </si>
  <si>
    <t>95604</t>
  </si>
  <si>
    <t>FLIXOTIDE 50 INHALER N</t>
  </si>
  <si>
    <t>INH SUS PSS120X50RG</t>
  </si>
  <si>
    <t>127736</t>
  </si>
  <si>
    <t>MIDAZOLAM ACCORD 1 MG/ML</t>
  </si>
  <si>
    <t>INJ+INF SOL 10X5MLX1MG/ML</t>
  </si>
  <si>
    <t>127737</t>
  </si>
  <si>
    <t>MIDAZOLAM ACCORD 5 MG/ML</t>
  </si>
  <si>
    <t>INJ+INF SOL 10X1MLX5MG/ML</t>
  </si>
  <si>
    <t>133491</t>
  </si>
  <si>
    <t>33491</t>
  </si>
  <si>
    <t>PREBEBA DISCHARGE</t>
  </si>
  <si>
    <t>POR SOL 1X400GM</t>
  </si>
  <si>
    <t>841583</t>
  </si>
  <si>
    <t>33218</t>
  </si>
  <si>
    <t>Nutrilon Nutriton ProExpert 135g</t>
  </si>
  <si>
    <t>161451</t>
  </si>
  <si>
    <t>NUTRILON 1 Pronutra 800g</t>
  </si>
  <si>
    <t>500708</t>
  </si>
  <si>
    <t>Nutrilon 0 Nenatal ProExpert 24 x 70ml</t>
  </si>
  <si>
    <t>850713</t>
  </si>
  <si>
    <t>Nutrilon 0 Nenatal (Premature) ProExpert 400g</t>
  </si>
  <si>
    <t>988073</t>
  </si>
  <si>
    <t>NESTLÉ Beba H.A.1 800g NEW</t>
  </si>
  <si>
    <t>990209</t>
  </si>
  <si>
    <t>NESTLE Beba H.A.1 Premium tekutá 32x90ml</t>
  </si>
  <si>
    <t>990889</t>
  </si>
  <si>
    <t>Nutrilon 1 Profutura RTF 24x 70ml</t>
  </si>
  <si>
    <t>990683</t>
  </si>
  <si>
    <t>Nutrilon 1 Profutura 800g</t>
  </si>
  <si>
    <t>33938</t>
  </si>
  <si>
    <t>INFATRINI</t>
  </si>
  <si>
    <t>POR SOL 24X125ML</t>
  </si>
  <si>
    <t>156183</t>
  </si>
  <si>
    <t>MEROPENEM KABI 500 MG</t>
  </si>
  <si>
    <t>116600</t>
  </si>
  <si>
    <t>16600</t>
  </si>
  <si>
    <t>UNASYN</t>
  </si>
  <si>
    <t>INJ PLV SOL 1X1.5GM</t>
  </si>
  <si>
    <t>120605</t>
  </si>
  <si>
    <t>20605</t>
  </si>
  <si>
    <t>COLOMYCIN INJEKCE 1000000 IU</t>
  </si>
  <si>
    <t>131654</t>
  </si>
  <si>
    <t>CEFTAZIDIM KABI 1 GM</t>
  </si>
  <si>
    <t>INJ PLV SOL 10X1GM</t>
  </si>
  <si>
    <t>117170</t>
  </si>
  <si>
    <t>17170</t>
  </si>
  <si>
    <t>BELOGENT KRÉM</t>
  </si>
  <si>
    <t>111706</t>
  </si>
  <si>
    <t>11706</t>
  </si>
  <si>
    <t>BISEPTOL 480</t>
  </si>
  <si>
    <t>193207</t>
  </si>
  <si>
    <t>93207</t>
  </si>
  <si>
    <t>UNG OPH 3.5GM 0.3%</t>
  </si>
  <si>
    <t>137499</t>
  </si>
  <si>
    <t>KLACID I.V.</t>
  </si>
  <si>
    <t>162180</t>
  </si>
  <si>
    <t>CIPROFLOXACIN KABI 200 MG/100 ML INFUZNÍ ROZTOK</t>
  </si>
  <si>
    <t>INF SOL 10X200MG/100ML</t>
  </si>
  <si>
    <t>216183</t>
  </si>
  <si>
    <t>197000</t>
  </si>
  <si>
    <t>97000</t>
  </si>
  <si>
    <t>METRONIDAZOLE 0.5% POLFA</t>
  </si>
  <si>
    <t>INJ 1X100ML 5MG/1ML</t>
  </si>
  <si>
    <t>116896</t>
  </si>
  <si>
    <t>16896</t>
  </si>
  <si>
    <t>IMAZOL PLUS</t>
  </si>
  <si>
    <t>DRM CRM 1X30GM</t>
  </si>
  <si>
    <t>50113008</t>
  </si>
  <si>
    <t>26039</t>
  </si>
  <si>
    <t>KIOVIG 1 g CZ Baxter</t>
  </si>
  <si>
    <t>42144</t>
  </si>
  <si>
    <t>Human Albumin 20% 10 ml GRIFOLS</t>
  </si>
  <si>
    <t>0138455</t>
  </si>
  <si>
    <t>ALBUNORM 20%</t>
  </si>
  <si>
    <t>200G/L INF SOL 1X100ML</t>
  </si>
  <si>
    <t>0129056</t>
  </si>
  <si>
    <t>ATENATIV 500 I.U. Phoenix</t>
  </si>
  <si>
    <t>50113002</t>
  </si>
  <si>
    <t>17820</t>
  </si>
  <si>
    <t>AMINOVENOES N PAED 10%</t>
  </si>
  <si>
    <t>INF SOL 10X100ML 10%</t>
  </si>
  <si>
    <t>101420</t>
  </si>
  <si>
    <t>SMOFLIPID</t>
  </si>
  <si>
    <t>INF EML 10X100ML</t>
  </si>
  <si>
    <t>50113004</t>
  </si>
  <si>
    <t>501533</t>
  </si>
  <si>
    <t>IR  PARENT.VÝŽIVA  NOVOROZENCI</t>
  </si>
  <si>
    <t>vak 125ml</t>
  </si>
  <si>
    <t>501534</t>
  </si>
  <si>
    <t>vak 50 ml</t>
  </si>
  <si>
    <t>501546</t>
  </si>
  <si>
    <t>vak 250 ml</t>
  </si>
  <si>
    <t>501547</t>
  </si>
  <si>
    <t>vak 500 ml</t>
  </si>
  <si>
    <t>50113016</t>
  </si>
  <si>
    <t>210114</t>
  </si>
  <si>
    <t>SYNAGIS 100 MG/ML</t>
  </si>
  <si>
    <t>INJ SOL 1X0.5ML</t>
  </si>
  <si>
    <t>210115</t>
  </si>
  <si>
    <t>INJ SOL 1X1ML</t>
  </si>
  <si>
    <t>NOVO: lůžkové oddělení 16C</t>
  </si>
  <si>
    <t>NOVO: lůžkové oddělení 16B + 16D</t>
  </si>
  <si>
    <t>NOVO: JIP 16A</t>
  </si>
  <si>
    <t>NOVO: centrum - novorozenecké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</si>
  <si>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</si>
  <si>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</si>
  <si>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</si>
  <si>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</si>
  <si>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</si>
  <si>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Lékárna - parenter. výživa</t>
  </si>
  <si>
    <t>Lékárna - parenter. výživa - výroba</t>
  </si>
  <si>
    <t>Lékárna - centrové léky</t>
  </si>
  <si>
    <t>0931 - NOVO: JIP 16A</t>
  </si>
  <si>
    <t>0912 - NOVO: lůžkové oddělení 16B + 16D</t>
  </si>
  <si>
    <t>0911 - NOVO: lůžkové oddělení 16C</t>
  </si>
  <si>
    <t>N05CD08 - Midazolam</t>
  </si>
  <si>
    <t>A02BC01 - Omeprazol</t>
  </si>
  <si>
    <t>V06XX - Potraviny pro zvláštní lékařské účely (PZLÚ)</t>
  </si>
  <si>
    <t>J01DH02 - Meropenem</t>
  </si>
  <si>
    <t>R05CB06 - Ambroxol</t>
  </si>
  <si>
    <t>N01AH03 - Sufentanyl</t>
  </si>
  <si>
    <t>J01XD01 - Metronidazol</t>
  </si>
  <si>
    <t>R03AC02 - Salbutamol</t>
  </si>
  <si>
    <t>J01DH51 - Imipenem a enzymový inhibitor</t>
  </si>
  <si>
    <t>J02AC01 - Flukonazol</t>
  </si>
  <si>
    <t>R03BA05 - Flutikason</t>
  </si>
  <si>
    <t>J01DD02 - Ceftazidim</t>
  </si>
  <si>
    <t>J01CR02 - Amoxicilin a enzymový inhibitor</t>
  </si>
  <si>
    <t>J01CA01 - Ampicilin</t>
  </si>
  <si>
    <t>J01XA01 - Vankomycin</t>
  </si>
  <si>
    <t>J01FA09 - Klarithromycin</t>
  </si>
  <si>
    <t>A02BA02 - Ranitidin</t>
  </si>
  <si>
    <t>J01GB03 - Gentamicin</t>
  </si>
  <si>
    <t>J01CR02</t>
  </si>
  <si>
    <t>500MG/100MG INJ+INF PLV SOL 5</t>
  </si>
  <si>
    <t>AMOKSIKLAV 156,25 MG/5 ML SUSPENZE</t>
  </si>
  <si>
    <t>125/31,25MG/5ML POR PLV SUS 1</t>
  </si>
  <si>
    <t>J01GB03</t>
  </si>
  <si>
    <t>GENTAMICIN LEK 40 MG/2 ML</t>
  </si>
  <si>
    <t>20MG/ML INJ+INF SOL 10X2ML</t>
  </si>
  <si>
    <t>J01CA01</t>
  </si>
  <si>
    <t>0,5G INJ PLV SOL 10</t>
  </si>
  <si>
    <t>J01DH02</t>
  </si>
  <si>
    <t>ARCHIFAR</t>
  </si>
  <si>
    <t>500MG INJ+INF PLV SOL 10</t>
  </si>
  <si>
    <t>J01XA01</t>
  </si>
  <si>
    <t>VANCOMYCIN MYLAN</t>
  </si>
  <si>
    <t>500MG INF PLV SOL 1</t>
  </si>
  <si>
    <t>J02AC01</t>
  </si>
  <si>
    <t>FLUCONAZOL KABI</t>
  </si>
  <si>
    <t>2MG/ML INF SOL 10X100ML</t>
  </si>
  <si>
    <t>A02BA02</t>
  </si>
  <si>
    <t>RANITAL 50 MG/2 ML</t>
  </si>
  <si>
    <t>25MG/ML INJ SOL 5X2ML</t>
  </si>
  <si>
    <t>A02BC01</t>
  </si>
  <si>
    <t>HELICID 40 INF</t>
  </si>
  <si>
    <t>40MG INF PLV SOL 1</t>
  </si>
  <si>
    <t>J01DD02</t>
  </si>
  <si>
    <t>CEFTAZIDIM KABI</t>
  </si>
  <si>
    <t>1G INJ PLV SOL 10</t>
  </si>
  <si>
    <t>MEROPENEM KABI</t>
  </si>
  <si>
    <t>J01DH51</t>
  </si>
  <si>
    <t>500MG/500MG INF PLV SOL 1X10</t>
  </si>
  <si>
    <t>J01FA09</t>
  </si>
  <si>
    <t>J01XD01</t>
  </si>
  <si>
    <t>METRONIDAZOLE 0,5%-POLPHARMA</t>
  </si>
  <si>
    <t>5MG/ML INF SOL 1X100ML</t>
  </si>
  <si>
    <t>N01AH03</t>
  </si>
  <si>
    <t>SUFENTANIL TORREX</t>
  </si>
  <si>
    <t>5MCG/ML INJ SOL 5X2ML</t>
  </si>
  <si>
    <t>N05CD08</t>
  </si>
  <si>
    <t>MIDAZOLAM ACCORD</t>
  </si>
  <si>
    <t>1MG/ML INJ+INF SOL 10X5ML</t>
  </si>
  <si>
    <t>5MG/ML INJ+INF SOL 10X1ML</t>
  </si>
  <si>
    <t>5MG/ML INJ SOL 10X1ML</t>
  </si>
  <si>
    <t>MIDAZOLAM TORREX</t>
  </si>
  <si>
    <t>R03AC02</t>
  </si>
  <si>
    <t>100MCG/DÁV INH SUS PSS 200DÁV</t>
  </si>
  <si>
    <t>R03BA05</t>
  </si>
  <si>
    <t>50MCG/DÁV INH SUS PSS 120DÁV</t>
  </si>
  <si>
    <t>R05CB06</t>
  </si>
  <si>
    <t>AMBROBENE 15 MG/5 ML</t>
  </si>
  <si>
    <t>3MG/ML SIR 100ML</t>
  </si>
  <si>
    <t>V06XX</t>
  </si>
  <si>
    <t>NUTRITON</t>
  </si>
  <si>
    <t>POR SOL 1X135G</t>
  </si>
  <si>
    <t>PRE BEBA DISCHARGE</t>
  </si>
  <si>
    <t>POR SOL 1X400G</t>
  </si>
  <si>
    <t>Přehled plnění pozitivního listu - spotřeba léčivých přípravků - orientační přehled</t>
  </si>
  <si>
    <t>09 - Novorozenecké oddělení</t>
  </si>
  <si>
    <t xml:space="preserve">0911 - lůžkové oddělení 16C </t>
  </si>
  <si>
    <t>0912 - lůžkové oddělení 16B + 16D</t>
  </si>
  <si>
    <t>0931 - JIP 16A</t>
  </si>
  <si>
    <t>0994 - centrum - novorozenecké</t>
  </si>
  <si>
    <t>HVLP</t>
  </si>
  <si>
    <t>IPLP</t>
  </si>
  <si>
    <t>9</t>
  </si>
  <si>
    <t>89301091</t>
  </si>
  <si>
    <t>Standardní lůžková péče Celkem</t>
  </si>
  <si>
    <t xml:space="preserve"> </t>
  </si>
  <si>
    <t>* Legenda</t>
  </si>
  <si>
    <t>DIAPZT = Pomůcky pro diabetiky, jejichž název začíná slovem "Pumpa"</t>
  </si>
  <si>
    <t>Hálek Jan</t>
  </si>
  <si>
    <t>Kouřilová Martina</t>
  </si>
  <si>
    <t>Mišuth Vladimír</t>
  </si>
  <si>
    <t>Sulovská Lucie</t>
  </si>
  <si>
    <t>Špenerová Michaela</t>
  </si>
  <si>
    <t>Vránová Ivana</t>
  </si>
  <si>
    <t>Zatloukalová Ĺudmila</t>
  </si>
  <si>
    <t>Přehled plnění pozitivního listu (PL) - 
   preskripce léčivých přípravků dle objemu Kč mimo PL</t>
  </si>
  <si>
    <t>33403</t>
  </si>
  <si>
    <t>NUTRILON 1 NENATAL</t>
  </si>
  <si>
    <t>33399</t>
  </si>
  <si>
    <t>NUTRILON 0 NENATAL</t>
  </si>
  <si>
    <t>Přehled plnění PL - Preskripce léčivých přípravků - orientační přehled</t>
  </si>
  <si>
    <t>50115090     ZPr - zubolékařský materiál (Z509)</t>
  </si>
  <si>
    <t>0921</t>
  </si>
  <si>
    <t>ambulance</t>
  </si>
  <si>
    <t>ambulance Celkem</t>
  </si>
  <si>
    <t>ZA318</t>
  </si>
  <si>
    <t>Náplast transpore 1,25 cm x 9,14 m 1527-0</t>
  </si>
  <si>
    <t>ZA443</t>
  </si>
  <si>
    <t>Šátek trojcípý pletený 125 x 85 x 85 cm 20001</t>
  </si>
  <si>
    <t>ZA444</t>
  </si>
  <si>
    <t>Tampon nesterilní stáčený 20 x 19 cm bez RTG nití bal. á 100 ks 1320300404</t>
  </si>
  <si>
    <t>ZA446</t>
  </si>
  <si>
    <t>Vata buničitá přířezy 20 x 30 cm 1230200129</t>
  </si>
  <si>
    <t>ZA466</t>
  </si>
  <si>
    <t>Tyčinka vatová sterilní 14 cm bal. á 200 ks 9679501</t>
  </si>
  <si>
    <t>ZA467</t>
  </si>
  <si>
    <t>Tyčinka vatová nesterilní 15 cm bal. á 100 ks 9679369</t>
  </si>
  <si>
    <t>ZA570</t>
  </si>
  <si>
    <t>Náplast tegaderm 4,4 cm x 4,4 cm bal. á 100 ks 1622W</t>
  </si>
  <si>
    <t>ZC100</t>
  </si>
  <si>
    <t>Vata buničitá dělená 2 role / 500 ks 40 x 50 mm 1230200310</t>
  </si>
  <si>
    <t>ZF225</t>
  </si>
  <si>
    <t>Náplast hypoalergenní á 250 ks 5353811</t>
  </si>
  <si>
    <t>ZK522</t>
  </si>
  <si>
    <t>Tampon sterilní z buničité vaty / 20 ks karton á 2400 ks 1230213120</t>
  </si>
  <si>
    <t>ZA674</t>
  </si>
  <si>
    <t>Cévka CN-01, bal.á 40 ks, 646959</t>
  </si>
  <si>
    <t>ZA737</t>
  </si>
  <si>
    <t>Filtr mini spike modrý 4550234</t>
  </si>
  <si>
    <t>ZA743</t>
  </si>
  <si>
    <t>Zkumavka odběrová 0,5 ml tapval fialová 11170</t>
  </si>
  <si>
    <t>ZA744</t>
  </si>
  <si>
    <t>Kanyla neoflon 24G žlutá BDC391350</t>
  </si>
  <si>
    <t>ZA746</t>
  </si>
  <si>
    <t>Stříkačka injekční 3-dílná 1 ml L tuberculin Omnifix Solo 9161406V</t>
  </si>
  <si>
    <t>ZA775</t>
  </si>
  <si>
    <t>Sáček močový lepicí dětský pro novoroz. 80x220 mm d744988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</si>
  <si>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</si>
  <si>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</si>
  <si>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</si>
  <si>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</si>
  <si>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</si>
  <si>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</si>
  <si>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</si>
  <si>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</si>
  <si>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ZA888</t>
  </si>
  <si>
    <t>Zkumavka odběrová s gelem tapval bílá 19860</t>
  </si>
  <si>
    <t>ZB117</t>
  </si>
  <si>
    <t>Lanceta haemolance modrá plus low flow bal. á 100 ks DIS7371</t>
  </si>
  <si>
    <t>ZB299</t>
  </si>
  <si>
    <t>Konektor bezjehlový s prodl.hadičkou, bal.á 50 ks, 4097154</t>
  </si>
  <si>
    <t>ZB338</t>
  </si>
  <si>
    <t>Hadička tlaková spojovací unicath 1,0 mm x 200 cm PB 3120 M</t>
  </si>
  <si>
    <t>ZB384</t>
  </si>
  <si>
    <t>Stříkačka injekční 3-dílná 20 ml LL Omnifix Solo se závitem bal. á 100 ks 4617207V</t>
  </si>
  <si>
    <t>ZB439</t>
  </si>
  <si>
    <t>Odstraňovač náplastí Convacare á 100 ks 0011279 37443</t>
  </si>
  <si>
    <t>ZB668</t>
  </si>
  <si>
    <t>Hadička spojovací tlaková unicath pr. 1,0 mm x   50 cm PB 3105 M</t>
  </si>
  <si>
    <t>ZB760</t>
  </si>
  <si>
    <t>Zkumavka červená 3 ml 454095</t>
  </si>
  <si>
    <t>ZB949</t>
  </si>
  <si>
    <t>Pinzeta UH sterilní HAR478 165 (HAR999565)</t>
  </si>
  <si>
    <t>ZC722</t>
  </si>
  <si>
    <t>Páska fixační bal. á 12 ks LNOP 1053</t>
  </si>
  <si>
    <t>ZC768</t>
  </si>
  <si>
    <t>Zkumavka 10 ml sterilní bal. á 1250 ks 1009/TE/SG/ES</t>
  </si>
  <si>
    <t>ZD350</t>
  </si>
  <si>
    <t>Lanceta haemolance zelená 21 G á 100 ks DIS7372</t>
  </si>
  <si>
    <t>ZD662</t>
  </si>
  <si>
    <t>Cévka odsávací CH8 s přerušovačem sání  bal. á 60 ks ZAR-CO-A08-60</t>
  </si>
  <si>
    <t>ZF159</t>
  </si>
  <si>
    <t>Nádoba na kontaminovaný odpad 1 l 15-0002</t>
  </si>
  <si>
    <t>ZG515</t>
  </si>
  <si>
    <t>Zkumavka močová vacuette 10,5 ml bal. á 50 ks 455007</t>
  </si>
  <si>
    <t>ZI179</t>
  </si>
  <si>
    <t>Zkumavka s mediem+ flovakovaný tampon eSwab růžový 490CE.A</t>
  </si>
  <si>
    <t>ZI681</t>
  </si>
  <si>
    <t>Kapilára heparin litný 140 ul / 2,35 x 90 mm UH bal. á 100 ks 102090</t>
  </si>
  <si>
    <t>ZK799</t>
  </si>
  <si>
    <t>Zátka combi červená 4495101</t>
  </si>
  <si>
    <t>ZL688</t>
  </si>
  <si>
    <t>Proužky Accu-Check Inform IIStrip 50 EU1 á 50 ks 05942861</t>
  </si>
  <si>
    <t>Proužky Accu-Check Inform IIStrip 50 EU1 á 50 ks 05942861041</t>
  </si>
  <si>
    <t>ZL689</t>
  </si>
  <si>
    <t>Roztok Accu-Check Performa Int´l Controls 1+2 level 04861736</t>
  </si>
  <si>
    <t>ZC793</t>
  </si>
  <si>
    <t>Čidlo saturační neonatální LNOP Neo-L děti 1 - 10 kg adhesivní sens. bal. á 20 ks 1798</t>
  </si>
  <si>
    <t>ZH286</t>
  </si>
  <si>
    <t>Teploměr digitální s ohebným hrotem Flexo 91925</t>
  </si>
  <si>
    <t>Teploměr digitální s ohebným hrotem Thermoval Kids flex - voděodolný, nárazuvzdorný (91925) 9250532</t>
  </si>
  <si>
    <t>ZB088</t>
  </si>
  <si>
    <t>Kanyla ET 3,0 bez manžety bal. á 10 ks 9336E</t>
  </si>
  <si>
    <t>ZC837</t>
  </si>
  <si>
    <t>Fonendoskop neonatální dvoustranný modrý P00202</t>
  </si>
  <si>
    <t>ZA400</t>
  </si>
  <si>
    <t>Sáček jímací dětský sterilní bal. á 10 ks 4425030</t>
  </si>
  <si>
    <t>ZM517</t>
  </si>
  <si>
    <t>Ventil včetně 6 bílých membrán K800.0727</t>
  </si>
  <si>
    <t>ZB428</t>
  </si>
  <si>
    <t>Kanyla ET 2,5 bez manžety bal. á 10 ks 9325E</t>
  </si>
  <si>
    <t>ZB966</t>
  </si>
  <si>
    <t>Nůžky rovné chirurgické hrotnaté 150 mm B397113920005</t>
  </si>
  <si>
    <t>ZF672</t>
  </si>
  <si>
    <t>Set resuscitační neonatální 1,2 m s variabilním PEEP 6431000</t>
  </si>
  <si>
    <t>ZN206</t>
  </si>
  <si>
    <t>Lopatka ústní dřevěná lékařská sterilní 150 x 17 mm bal. á 500 ks 4002/SG/CS/L</t>
  </si>
  <si>
    <t>ZA118</t>
  </si>
  <si>
    <t>Kanyla ET 3,5 bez manžetou bal. á 10 ks 9335E</t>
  </si>
  <si>
    <t>ZI683</t>
  </si>
  <si>
    <t>Drátek míchací á 500 ks 110009</t>
  </si>
  <si>
    <t>ZB416</t>
  </si>
  <si>
    <t>Kanyla ET 4,0 bez manžety bal. á 10 ks 9342E</t>
  </si>
  <si>
    <t>ZN692</t>
  </si>
  <si>
    <t>Lanceta Solace modrá bezpečnostní 26G/1,8 mm bal. á 100 ks NT-PA26-100</t>
  </si>
  <si>
    <t>ZN691</t>
  </si>
  <si>
    <t>Lanceta Solace zelená bezpečnostní 21G/2,2 mm bal. á 100 ks NT-PA21-100</t>
  </si>
  <si>
    <t>ZB898</t>
  </si>
  <si>
    <t>Klobouček kojící kontaktní vel. S 16 mm K200.1628</t>
  </si>
  <si>
    <t>ZI682</t>
  </si>
  <si>
    <t>Zátka ke kapiláře á 500 ks (8153) 110180</t>
  </si>
  <si>
    <t>ZB843</t>
  </si>
  <si>
    <t>Zavaděč trach. rourek pro TR malý 2.5 - 4.5 mm bal. á 10 ks 100/120/100</t>
  </si>
  <si>
    <t>ZD892</t>
  </si>
  <si>
    <t>Filtr akustický echo screen bal. á 5 ks 1770</t>
  </si>
  <si>
    <t>ZC236</t>
  </si>
  <si>
    <t>Cévka odsávací CH10 s přerušovačem sání bal. á 70 ks GCR1021-10</t>
  </si>
  <si>
    <t>ZB452</t>
  </si>
  <si>
    <t>Víko kompletní kompaktní podtl. odsáv. P00341</t>
  </si>
  <si>
    <t>ZO493</t>
  </si>
  <si>
    <t>Adapter kabelu k saturačnímu čidlu masimo RD SET/masimo LNOP 4088LHL</t>
  </si>
  <si>
    <t>ZO492</t>
  </si>
  <si>
    <t>Čidlo saturační masimo jednorázové pro novorozence RD SET Neo 4003LHL</t>
  </si>
  <si>
    <t>ZD784</t>
  </si>
  <si>
    <t>Nástavec ušní echoscreen 4,0 mm modrý bal. á 10 ks 1908</t>
  </si>
  <si>
    <t>ZO776</t>
  </si>
  <si>
    <t>Nástavec ušní echoscreen Tree Tip žlutý bal. á 10 ks 1918</t>
  </si>
  <si>
    <t>ZO777</t>
  </si>
  <si>
    <t>Nástroj čistící echoscreen bal.á10ks 1040</t>
  </si>
  <si>
    <t>ZA832</t>
  </si>
  <si>
    <t>Jehla injekční 0,9 x 40 mm žlutá 4657519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</si>
  <si>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</si>
  <si>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</si>
  <si>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</si>
  <si>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</si>
  <si>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</si>
  <si>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</si>
  <si>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ZN041</t>
  </si>
  <si>
    <t>Rukavice operační gammex ansell PF bez pudru 6,5 330048065</t>
  </si>
  <si>
    <t>Rukavice operační gammex latex PF bez pudru 6,5 330048065</t>
  </si>
  <si>
    <t>ZN126</t>
  </si>
  <si>
    <t>Rukavice operační gammex ansell PF bez pudru 7,0 330048070</t>
  </si>
  <si>
    <t>Rukavice operační gammex latex PF bez pudru 7,0 330048070</t>
  </si>
  <si>
    <t>DG383</t>
  </si>
  <si>
    <t>Bactec PEDS</t>
  </si>
  <si>
    <t>DG388</t>
  </si>
  <si>
    <t>Játrový bujon (10ml)</t>
  </si>
  <si>
    <t>DF171</t>
  </si>
  <si>
    <t>KALIBRAČNÍ ROZTOK 1  S1820 (ABL 825)</t>
  </si>
  <si>
    <t>DB942</t>
  </si>
  <si>
    <t>MEMBRÁNOVÁ SOUPRAVA pCO2</t>
  </si>
  <si>
    <t>DF169</t>
  </si>
  <si>
    <t>PROPLACHOVACÍ ROZTOK 600 ml S4980 (ABL 825)</t>
  </si>
  <si>
    <t>DD305</t>
  </si>
  <si>
    <t>KARTICKY TEST.SCREENING 45X70 á 100 ks</t>
  </si>
  <si>
    <t>DD268</t>
  </si>
  <si>
    <t>MEMBRÁNOVÁ SOUPRAVA Ca</t>
  </si>
  <si>
    <t>DD076</t>
  </si>
  <si>
    <t>MEMBRÁNOVÁ SOUPRAVA pO2</t>
  </si>
  <si>
    <t>DD269</t>
  </si>
  <si>
    <t>MEMBRÁNOVÁ SOUPRAVA Cl</t>
  </si>
  <si>
    <t>DC959</t>
  </si>
  <si>
    <t>MEMBRÁNOVÁ SOUPRAVA  Na+</t>
  </si>
  <si>
    <t>DD267</t>
  </si>
  <si>
    <t>MEMBRÁNOVÁ SOUPRAVA K+</t>
  </si>
  <si>
    <t>ZC905</t>
  </si>
  <si>
    <t>Hadice silikon 7 x 11,0 x 2,00 mm á 10 m pro drenáž těl.dutin KVS60-070110</t>
  </si>
  <si>
    <t>ZA516</t>
  </si>
  <si>
    <t>Kompresa NT 7,5 x 7,5 cm/10 ks sterilní karton á 900 ks 1230119526</t>
  </si>
  <si>
    <t>ZA593</t>
  </si>
  <si>
    <t>Tampon sterilní stáčený 20 x 20 cm / 5 ks 28003+</t>
  </si>
  <si>
    <t>ZC845</t>
  </si>
  <si>
    <t>Kompresa NT 10 x 20 cm/5 ks sterilní 26621</t>
  </si>
  <si>
    <t>ZF351</t>
  </si>
  <si>
    <t>Náplast transpore bílá 1,25 cm x 9,14 m bal. á 24 ks 1534-0</t>
  </si>
  <si>
    <t>ZF352</t>
  </si>
  <si>
    <t>Náplast transpore bílá 2,50 cm x 9,14 m bal. á 12 ks 1534-1</t>
  </si>
  <si>
    <t>ZI558</t>
  </si>
  <si>
    <t>Náplast curapor   7 x   5 cm 22120 ( náhrada za cosmopor )</t>
  </si>
  <si>
    <t>Náplast curapor   7 x   5 cm 32912  (22120,  náhrada za cosmopor )</t>
  </si>
  <si>
    <t>ZF749</t>
  </si>
  <si>
    <t>Fixace nosních katetrů nasofix niko S střední bal. á 100 ks 49-625-S(625M-S)</t>
  </si>
  <si>
    <t>ZA415</t>
  </si>
  <si>
    <t>Obinadlo idealast-haft 6 cm x 10 m 931114</t>
  </si>
  <si>
    <t>ZO123</t>
  </si>
  <si>
    <t>Fixace nosních katetrů nasofix niko M – I dětský bal. á 100 ks 49 - 625M - I</t>
  </si>
  <si>
    <t>Fixace nosních katetrů nasofix niko M – I dětský bal. á 100 ks 49-625M-I</t>
  </si>
  <si>
    <t>ZA729</t>
  </si>
  <si>
    <t>Tyčinka vatová sterilní velká 1 bal/200 ks 9679520</t>
  </si>
  <si>
    <t>ZA749</t>
  </si>
  <si>
    <t>Stříkačka injekční 3-dílná 50 ml LL Omnifix Solo 4617509F</t>
  </si>
  <si>
    <t>ZB199</t>
  </si>
  <si>
    <t>Kanyla neoflon 26G fialová BDC391349</t>
  </si>
  <si>
    <t>ZB360</t>
  </si>
  <si>
    <t>Rourka rektální CH12 délka 12 cm sterilní bal. á 20 ks 646699</t>
  </si>
  <si>
    <t>ZB501</t>
  </si>
  <si>
    <t>Přerušovač sání fingertip sterilní bal. á 100 ks 07.031.00.000</t>
  </si>
  <si>
    <t>Hadička spojovací tlaková unicath pr. 1,0 mm x   50 cm á 40 ks PB 3105 M</t>
  </si>
  <si>
    <t>ZB675</t>
  </si>
  <si>
    <t>Elektroda EKG pro novorozence bal. á 150 ks 19.000.00.916</t>
  </si>
  <si>
    <t>ZB755</t>
  </si>
  <si>
    <t>Zkumavka 1,0 ml K3 edta fialová 454034</t>
  </si>
  <si>
    <t>Pinzeta UH sterilní HAR999565</t>
  </si>
  <si>
    <t>ZH168</t>
  </si>
  <si>
    <t>Stříkačka injekční 3-dílná 1 ml L tuberculin s jehlou KD-JECT III 831786</t>
  </si>
  <si>
    <t>ZK798</t>
  </si>
  <si>
    <t>Zátka combi modrá 4495152</t>
  </si>
  <si>
    <t>ZI026</t>
  </si>
  <si>
    <t>Šidítko dětské Flora 03 kytička bal. á 30 ks 1001</t>
  </si>
  <si>
    <t>ZK083</t>
  </si>
  <si>
    <t>Elektroda EKG bal. á 12 ks 100 BRS-50-K/12</t>
  </si>
  <si>
    <t>ZB701</t>
  </si>
  <si>
    <t>Šidítko pro nezralé novorozence do 30.týdne čiré Wee Thumbie P03373</t>
  </si>
  <si>
    <t>ZB985</t>
  </si>
  <si>
    <t>Urin-Monovette s pístem 10 ml sterilní bal. á 100 ks 10.252.020</t>
  </si>
  <si>
    <t>Zkumavka močová urin-monovette s pístem 10 ml sterilní bal. á 100 ks 10.252.020</t>
  </si>
  <si>
    <t>ZN570</t>
  </si>
  <si>
    <t>Láhev kojenecká jednorázová se šroub.víčkem 50ml multipack bal. á 42 ks 37512</t>
  </si>
  <si>
    <t>ZN573</t>
  </si>
  <si>
    <t>Dudlík růžový 3-rychlostní s ochranným krytem předčasně narozené děti bal. á 180 ks 37585</t>
  </si>
  <si>
    <t>ZN572</t>
  </si>
  <si>
    <t>Láhev kojenecká jednorázová se šroub.víčkem 240ml multipack bal. á 18 ks 37616</t>
  </si>
  <si>
    <t>ZN571</t>
  </si>
  <si>
    <t>Láhev kojenecká jednorázová se šroub.víčkem 130ml multipack bal. á 24 ks 37614</t>
  </si>
  <si>
    <t>ZN574</t>
  </si>
  <si>
    <t>Dudlík modrý 3-rychlostní s ochranným krytem novorozenci a starší bal. á 180 ks 37587</t>
  </si>
  <si>
    <t>ZN575</t>
  </si>
  <si>
    <t>Dudlík červený 1-rychlostní s ochranným krytem novorozenci bal. á 180 ks 37589</t>
  </si>
  <si>
    <t>ZD281</t>
  </si>
  <si>
    <t>Aplikátor nasální infant intermediate á 25 ks MI1300B</t>
  </si>
  <si>
    <t>ZC792</t>
  </si>
  <si>
    <t>Čidlo saturační jednorázové nellcor lepící pod 3 kg bal. á 24 ks 1776</t>
  </si>
  <si>
    <t>ZN892</t>
  </si>
  <si>
    <t>Sonda pro enterální výživu graduovaná 6F /40 cm PVC 310.06</t>
  </si>
  <si>
    <t>ZN891</t>
  </si>
  <si>
    <t>Sonda pro enterální výživu graduovaná 5F /40 cm PVC 310.05</t>
  </si>
  <si>
    <t>ZI035</t>
  </si>
  <si>
    <t>Savička náhradní kulatá k šidítkům Flora kytička 100N</t>
  </si>
  <si>
    <t>ZM515</t>
  </si>
  <si>
    <t>Souprava odsávací nástavec+ventil+membrána+láhev šroub. uzávěr+víčko K800.0607</t>
  </si>
  <si>
    <t>ZC048</t>
  </si>
  <si>
    <t>Miska třecí drsná 211a/0 6,0 cm JIZE211A/0</t>
  </si>
  <si>
    <t>ZD965</t>
  </si>
  <si>
    <t>Kádinka vysoká s výlevkou 50 ml KAVA632411012050_U</t>
  </si>
  <si>
    <t>ZE079</t>
  </si>
  <si>
    <t>Set transfúzní non PVC s odvzdušněním a bakteriálním filtrem ZAR-I-TS</t>
  </si>
  <si>
    <t>ZA360</t>
  </si>
  <si>
    <t>Jehla sterican 0,5 x 25 mm oranžová 9186158</t>
  </si>
  <si>
    <t>ZA834</t>
  </si>
  <si>
    <t>Jehla injekční 0,7 x 40 mm černá 4660021</t>
  </si>
  <si>
    <t>ZA999</t>
  </si>
  <si>
    <t>Jehla injekční 0,5 x 16 mm oranžová 4657853</t>
  </si>
  <si>
    <t>ZF925</t>
  </si>
  <si>
    <t>Jehla injekční 0,9 x 25 mm žlutá á 100 ks 4657500</t>
  </si>
  <si>
    <t>ZI758</t>
  </si>
  <si>
    <t>Rukavice vinyl bez p. M á 100 ks EFEKTVR03</t>
  </si>
  <si>
    <t>ZN108</t>
  </si>
  <si>
    <t>Rukavice operační gammex ansell PF bez pudru 8,0 330048080</t>
  </si>
  <si>
    <t>ZN125</t>
  </si>
  <si>
    <t>Rukavice operační gammex ansell PF bez pudru 7,5 330048075</t>
  </si>
  <si>
    <t>ZO257</t>
  </si>
  <si>
    <t>Rukavice nitril sempercare bez p. Soft růžové bal. á 200 ks vel. L 34433 - pouze pro novorozence</t>
  </si>
  <si>
    <t>ZO258</t>
  </si>
  <si>
    <t>Rukavice nitril sempercare bez p. Soft růžové bal. á 180 ks vel. XL 34434 - pouze pro novorozence</t>
  </si>
  <si>
    <t>ZO254</t>
  </si>
  <si>
    <t>Rukavice nitril sempercare bez p. Soft růžové bal. á 200 ks vel. XS 34430 - pouze pro novorozence</t>
  </si>
  <si>
    <t>ZO255</t>
  </si>
  <si>
    <t>Rukavice nitril sempercare bez p. Soft růžové bal. á 200 ks vel. S 34431 - pouze pro novorozence</t>
  </si>
  <si>
    <t>ZO256</t>
  </si>
  <si>
    <t>Rukavice nitril sempercare bez p. Soft růžové bal. á 200 ks vel. M 34432 - pouze pro novorozence</t>
  </si>
  <si>
    <t>DG395</t>
  </si>
  <si>
    <t>Diagnostická souprava AB0 set monoklonální na 30</t>
  </si>
  <si>
    <t>DD075</t>
  </si>
  <si>
    <t>MEMBRÁNOVÁ SOUPRAVA REF.</t>
  </si>
  <si>
    <t>DC515</t>
  </si>
  <si>
    <t>Čistící roztok k dekontaminaci 100 ml  (HYPOCHLORID.ROZTOK,S5362)</t>
  </si>
  <si>
    <t>DB437</t>
  </si>
  <si>
    <t>KALIBRACNI PLYN 1(10 bar)</t>
  </si>
  <si>
    <t>DF170</t>
  </si>
  <si>
    <t>NOVÝ ČISTÍCÍ ROZTOK s aditivem, S8375 (ABL 825)</t>
  </si>
  <si>
    <t>DC853</t>
  </si>
  <si>
    <t>KALIBRACNI PLYN 2</t>
  </si>
  <si>
    <t>DF166</t>
  </si>
  <si>
    <t>KALIBRAČNÍ ROZTOK 2  S1830 (ABL 825)</t>
  </si>
  <si>
    <t>DF445</t>
  </si>
  <si>
    <t>Odpadni nadoba D512 600 ml</t>
  </si>
  <si>
    <t>DG191</t>
  </si>
  <si>
    <t>UNIV.INDIK.PAPIRKY pH 0-12</t>
  </si>
  <si>
    <t>DE022</t>
  </si>
  <si>
    <t>Glukózová membránová souprava</t>
  </si>
  <si>
    <t>DD309</t>
  </si>
  <si>
    <t>Laktátová membránová souprava</t>
  </si>
  <si>
    <t>DA376</t>
  </si>
  <si>
    <t>Zachycovače krevních sraženin, Clot Catchers ,250</t>
  </si>
  <si>
    <t>DH263</t>
  </si>
  <si>
    <t>Termo papír (8ks)</t>
  </si>
  <si>
    <t>DC634</t>
  </si>
  <si>
    <t>THB KALIBRAČNÍ ROZTOK,S7770</t>
  </si>
  <si>
    <t>ZA542</t>
  </si>
  <si>
    <t>Náplast wet pruf voduvzd. 1,25 cm x 9,14 m bal. á 24 ks K00-3063C</t>
  </si>
  <si>
    <t>ZA544</t>
  </si>
  <si>
    <t>Krytí inadine nepřilnavé 5,0 x 5,0 cm 1/10 SYS01481EE</t>
  </si>
  <si>
    <t>ZA627</t>
  </si>
  <si>
    <t>Krytí granuflex extra thin 5 x 10 cm á 10 ks 0021661 187959</t>
  </si>
  <si>
    <t>ZE108</t>
  </si>
  <si>
    <t>Krytí mepilex lite 10 x 10 cm bal. á 10 ks 284100-01</t>
  </si>
  <si>
    <t>Krytí mepilex lite 10 x 10 cm bal. á 5 ks 284100-01</t>
  </si>
  <si>
    <t>ZE748</t>
  </si>
  <si>
    <t>Krytí melgisorb Ag alginátové absorpční 10 x 10 cm bal. á 10 ks 256100-00</t>
  </si>
  <si>
    <t>ZF108</t>
  </si>
  <si>
    <t>Krytí mepilex lite 6 x  8,5 cm bal. á 5 ks 284000-01</t>
  </si>
  <si>
    <t>ZG613</t>
  </si>
  <si>
    <t>Krytí mepitel one 8 x 10 cm  bal. á 5 ks 289200-00</t>
  </si>
  <si>
    <t>ZI599</t>
  </si>
  <si>
    <t>Náplast curapor 10 x   8 cm 22121 ( náhrada za cosmopor )</t>
  </si>
  <si>
    <t>ZA326</t>
  </si>
  <si>
    <t>Krytí hypro-sorb R 20 x 25 mm bal. á 6 ks 003</t>
  </si>
  <si>
    <t>ZL410</t>
  </si>
  <si>
    <t>Krytí gelové Hemagel 100 g A2681147</t>
  </si>
  <si>
    <t>ZK087</t>
  </si>
  <si>
    <t>Krém cavilon ochranný bariérový á 28 g bal. á 12 ks 3391E</t>
  </si>
  <si>
    <t>ZA525</t>
  </si>
  <si>
    <t>Normlgel 5 g bal. á 10 ks 370500</t>
  </si>
  <si>
    <t>Normlgel 8 g bal. á 10 ks 371000-00</t>
  </si>
  <si>
    <t>ZA630</t>
  </si>
  <si>
    <t>Tampon sterilní stáčený 9 x 9 cm / 5 ks karton á 650 ks 1230110421</t>
  </si>
  <si>
    <t>ZA623</t>
  </si>
  <si>
    <t>Krytí silvercel hydroalg. 11 x 11 cm bal. á 10 ks SYS-CAD011EE</t>
  </si>
  <si>
    <t>ZN101</t>
  </si>
  <si>
    <t>Náplast Neo Smile k měření teploty v inkubátoru GIRAFFE bal. á 150 ks N731</t>
  </si>
  <si>
    <t>ZN959</t>
  </si>
  <si>
    <t>Krytí bioclusive 5,1 x 7,6 cm bal. á 10 ks BIP0607</t>
  </si>
  <si>
    <t>ZA548</t>
  </si>
  <si>
    <t>Náplast wet pruf voduvzd. 2,50 cm x 9,14 m bal. á 12 ks 3142</t>
  </si>
  <si>
    <t>ZN100</t>
  </si>
  <si>
    <t>Náplast reflexní k měření teploty v inkubátoru GIRAFFE á 50 ks 0203-1980-300</t>
  </si>
  <si>
    <t>ZA485</t>
  </si>
  <si>
    <t>Krytí bioclusive 10 x 12 cm bal. á 10 ks BIP1012 SYS (2463)</t>
  </si>
  <si>
    <t>ZN893</t>
  </si>
  <si>
    <t>Fixace nosních katetrů nasofix niko M střední bal. á 100 ks 49-625-M</t>
  </si>
  <si>
    <t>ZH318</t>
  </si>
  <si>
    <t>Náplast hydrokoloidní extra small Grip-Lok H á 100 ks ZEF:3100ESH</t>
  </si>
  <si>
    <t>ZA210</t>
  </si>
  <si>
    <t>Cévka vyživovací CV-01 GAM646957</t>
  </si>
  <si>
    <t>ZA687</t>
  </si>
  <si>
    <t>Sáček močový curity s hod. diurézou 200 ml hadička 150 cm 6502</t>
  </si>
  <si>
    <t>ZA691</t>
  </si>
  <si>
    <t>Rampa 3 kohouty discofix 16600C/4085434/</t>
  </si>
  <si>
    <t>ZA754</t>
  </si>
  <si>
    <t>Stříkačka injekční 3-dílná 10 ml LL Omnifix Solo se závitem 4617100V</t>
  </si>
  <si>
    <t>ZB102</t>
  </si>
  <si>
    <t>Láhev k odsávačce flovac 1l hadice 1,8 m á 45 ks 000-036-020</t>
  </si>
  <si>
    <t>ZB103</t>
  </si>
  <si>
    <t>Láhev k odsávačce flovac 2l hadice 1,8 m 000-036-021</t>
  </si>
  <si>
    <t>ZB301</t>
  </si>
  <si>
    <t>Rampa 5 kohoutů bez PVC lipidorezistentní bal. á 20 ks RP 5000 M</t>
  </si>
  <si>
    <t>ZB336</t>
  </si>
  <si>
    <t>Zkumavka odběrová 1 ml tapval modrá bal. á 50 ks 13060</t>
  </si>
  <si>
    <t>ZB488</t>
  </si>
  <si>
    <t>Sprej cavilon 28 ml bal. á 12 ks 3346E</t>
  </si>
  <si>
    <t>ZB543</t>
  </si>
  <si>
    <t>Souprava odběrová tracheální G05206</t>
  </si>
  <si>
    <t>Souprava odběrová tracheální na odběr sekretu G05206</t>
  </si>
  <si>
    <t>ZB754</t>
  </si>
  <si>
    <t>Zkumavka černá 2 ml 454073</t>
  </si>
  <si>
    <t>ZB766</t>
  </si>
  <si>
    <t>Zkumavka zelená 9 ml 455084</t>
  </si>
  <si>
    <t>ZB773</t>
  </si>
  <si>
    <t>Zkumavka šedá-glykemie 454085</t>
  </si>
  <si>
    <t>ZB776</t>
  </si>
  <si>
    <t>Zkumavka zelená 3 ml 454082</t>
  </si>
  <si>
    <t>ZB815</t>
  </si>
  <si>
    <t>Stříkačka injekční 3-dílná 50 ml LL spec. Original-Perfusor černá s jehlou 50 ml 8728828F</t>
  </si>
  <si>
    <t>ZD808</t>
  </si>
  <si>
    <t>Kanyla vasofix 22G modrá safety 4269098S-01</t>
  </si>
  <si>
    <t>ZD903</t>
  </si>
  <si>
    <t>Kontejner+ lopatka 30 ml nesterilní FLME25133</t>
  </si>
  <si>
    <t>ZE308</t>
  </si>
  <si>
    <t>Stříkačka injekční 3-dílná 5 ml LL Omnifix Solo se závitem 4617053V</t>
  </si>
  <si>
    <t>ZF233</t>
  </si>
  <si>
    <t>Stříkačka injekční arteriální 3 ml bez jehly line draw L/S bal. á 200 ks 4043E</t>
  </si>
  <si>
    <t>ZH845</t>
  </si>
  <si>
    <t>Tyčinka vatová medcomfort + glyc. citónová příchuť bal. á 75 ks 09157-100</t>
  </si>
  <si>
    <t>ZI182</t>
  </si>
  <si>
    <t>Zkumavka + aplikátor s chem.stabilizátorem UriSwab žlutá 802CE.A</t>
  </si>
  <si>
    <t>ZJ659</t>
  </si>
  <si>
    <t>Kohout trojcestný s bezjehlovým konektorem Discofix C bal. á 100 ks 16494CSF</t>
  </si>
  <si>
    <t>ZK884</t>
  </si>
  <si>
    <t>Kohout trojcestný discofix modrý 4095111</t>
  </si>
  <si>
    <t>ZB533</t>
  </si>
  <si>
    <t>Zkumavka na kovy 6 ml 456080</t>
  </si>
  <si>
    <t>ZD992</t>
  </si>
  <si>
    <t>Čidlo saturační jednorázové pro novorozence masimo k monitoru Mindray bal. á 20 ks 2329LHL</t>
  </si>
  <si>
    <t>Čidlo saturační masimo jednorázové pro novorozence k monitoru Mindray bal. á 20 ks 2329LHL</t>
  </si>
  <si>
    <t>ZL952</t>
  </si>
  <si>
    <t>Stříkačka injekční 50 ml LL light protected bal.á 60 ks 2022920A</t>
  </si>
  <si>
    <t>ZL951</t>
  </si>
  <si>
    <t>Hadička prodlužovací PVC 150 cm pro světlocitlivé léky NO DOP bal. á 20  ks V686423</t>
  </si>
  <si>
    <t>ZD030</t>
  </si>
  <si>
    <t>Skalpel jednorázový cutfix sterilní bal. á 10 ks 5518040</t>
  </si>
  <si>
    <t>ZE784</t>
  </si>
  <si>
    <t>Konektor bezjehlový smartsite modrý 2000E7D</t>
  </si>
  <si>
    <t>ZB095</t>
  </si>
  <si>
    <t>Systém odsávací uzavřený TC CH6 neo / pedi 30,5 cm 196-5</t>
  </si>
  <si>
    <t>ZE783</t>
  </si>
  <si>
    <t>Trn na vak jednosměrný bal. á 100 ks 2309E</t>
  </si>
  <si>
    <t>ZI119</t>
  </si>
  <si>
    <t>Manžeta TK novorozenecká č. 2 M1868B  (dřív.kč.M1868A se již nevyrábí)</t>
  </si>
  <si>
    <t>ZL887</t>
  </si>
  <si>
    <t>Kanyla nasální CPAP extra malá bal. á 10 ks 8888162024</t>
  </si>
  <si>
    <t>ZL537</t>
  </si>
  <si>
    <t>Čidlo teplotní jednorázové bal. á 10 ks 2074816-001</t>
  </si>
  <si>
    <t>ZM753</t>
  </si>
  <si>
    <t>Sada Infant Flow LP nCPAP aolikátor. okruh, komora zvlhčovače s automatickým plněním bal. á 10 ks 7772011AK</t>
  </si>
  <si>
    <t>ZM756</t>
  </si>
  <si>
    <t>Čelenka fixační Infant Flow nCPAP S/M 24 - 28 cm bal. á 10 ks 777040SM</t>
  </si>
  <si>
    <t>ZM600</t>
  </si>
  <si>
    <t>Spojka flovac žlutá 000-036-102</t>
  </si>
  <si>
    <t>ZB965</t>
  </si>
  <si>
    <t>Nůžky chirurgické rovné hrotnaté 130 mm B397113920003</t>
  </si>
  <si>
    <t>ZM757</t>
  </si>
  <si>
    <t>Čelenka fixační Infant Flow nCPAP M 26 - 32 cm bal. á 10 ks 777040M</t>
  </si>
  <si>
    <t>ZM758</t>
  </si>
  <si>
    <t>Čelenka fixační Infant Flow nCPAP L 32 - 37 cm bal. á 10 ks 777040L</t>
  </si>
  <si>
    <t>ZB708</t>
  </si>
  <si>
    <t>Katetr močový foley CH6 silikon 23.000.14.206</t>
  </si>
  <si>
    <t>ZN156</t>
  </si>
  <si>
    <t>Kanyla ET 2,0 bez manžety bal. á 10 ks 100/111/020</t>
  </si>
  <si>
    <t>ZC847</t>
  </si>
  <si>
    <t>Systém odsávací uzavřený TC CH5  neo / pedi Y adaptér 30,5 cm 195-5</t>
  </si>
  <si>
    <t>ZM755</t>
  </si>
  <si>
    <t>Čelenka fixační Infant Flow nCPAP S 21 - 26 cm bal. á 10 ks 777040S</t>
  </si>
  <si>
    <t>ZN296</t>
  </si>
  <si>
    <t>Hadička spojovací Gamaplus 1,8 x 450 UNIV NO DOP 606306-ND</t>
  </si>
  <si>
    <t>ZB228</t>
  </si>
  <si>
    <t>Systém hrudní drenáže Pleur-evac bal. á 6 ks pro děti A-6020-08LF</t>
  </si>
  <si>
    <t>ZB195</t>
  </si>
  <si>
    <t>Systém odsávací uzavřený TC CH8 neo / pedi 30,5 cm 198-5</t>
  </si>
  <si>
    <t>ZM754</t>
  </si>
  <si>
    <t>Čelenka fixační Infant Flow nCPAP XS 17 - 21 cm bal. á 10 ks 777040XS</t>
  </si>
  <si>
    <t>ZN890</t>
  </si>
  <si>
    <t>Sonda pro enterální výživu graduovaná 4F /40 cm PVC 310.04</t>
  </si>
  <si>
    <t>ZN854</t>
  </si>
  <si>
    <t>Stříkačka injekční arteriální 3 ml bez jehly s heparinem bal. á 100 ks safePICO Aspirator 956-622</t>
  </si>
  <si>
    <t>ZJ485</t>
  </si>
  <si>
    <t>Rozvěrač oční dětský barraquer drátěné čepele 11 mm celková délka 30 mm E4107P</t>
  </si>
  <si>
    <t>ZC134</t>
  </si>
  <si>
    <t>Manžeta TK novorozenecká č. 3 M1870B + konektor (M1870A se již nevyrábí)</t>
  </si>
  <si>
    <t>ZB614</t>
  </si>
  <si>
    <t>Set Spike k napojení vaku k Vapothermu 2000i bal. á 20 ks ( WR1200 - již se nevyrábí) VSS-1</t>
  </si>
  <si>
    <t>ZD283</t>
  </si>
  <si>
    <t>Aplikátor nasální neonatal bal. á 25 ks MN1100B</t>
  </si>
  <si>
    <t>ZD147</t>
  </si>
  <si>
    <t>Trokar hrudní 8F 8 cm á 15 ks 625.08</t>
  </si>
  <si>
    <t>ZO372</t>
  </si>
  <si>
    <t>Konektor bezjehlový OptiSyte JIM:JSM4001</t>
  </si>
  <si>
    <t>ZB672</t>
  </si>
  <si>
    <t>Spojka drénová variabilní  bal. á 100 ks 5524989</t>
  </si>
  <si>
    <t>ZA980</t>
  </si>
  <si>
    <t>Elektroda EEG subdermalní needle PRO-E3 bal. á 30 ks 62056</t>
  </si>
  <si>
    <t>ZC376</t>
  </si>
  <si>
    <t>Cévka odsávací CH10 s přerušovačem sání bal. á 50 ks ZAR-CO-A10-60</t>
  </si>
  <si>
    <t>ZE623</t>
  </si>
  <si>
    <t>Cévka odsávací CH6 s přerušovačem sání bal. á 80 ks GCR1021-6</t>
  </si>
  <si>
    <t>ZN771</t>
  </si>
  <si>
    <t>Sada k přístroji NO-A pro pediatrické použití 10002076</t>
  </si>
  <si>
    <t>ZD282</t>
  </si>
  <si>
    <t>Aplikátor nasální infant bal. á 25 ks MI1300</t>
  </si>
  <si>
    <t>ZL818</t>
  </si>
  <si>
    <t>Katetr pupeční dvoucestný 1272.14</t>
  </si>
  <si>
    <t>ZC618</t>
  </si>
  <si>
    <t>Mikrokatetr jednocestný premicath 1F 28G/20 cm 1261.203</t>
  </si>
  <si>
    <t>ZC628</t>
  </si>
  <si>
    <t>Katetr pupeční žilní  F3,5/38 cm jednocestný bal. á 10 ks 8888160333</t>
  </si>
  <si>
    <t>Katetr pupeční žilní  F3,5/38 cm jednocestný bal. á 10 ks 8888160333-již se nevyrábí</t>
  </si>
  <si>
    <t>ZH961</t>
  </si>
  <si>
    <t>Katetr pupeční jednocestný průměr 5ch bal. á 10 ks 8888160341</t>
  </si>
  <si>
    <t>ZA716</t>
  </si>
  <si>
    <t>Set infuzní intrafix air bez PVC 180 cm 4063002</t>
  </si>
  <si>
    <t>ZA878</t>
  </si>
  <si>
    <t>Šití ethilon bl 4-0 bal. á 12 ks W319</t>
  </si>
  <si>
    <t>ZA925</t>
  </si>
  <si>
    <t>Jehla spinální spinocan 22 G x 40 mm černá 4507401-13</t>
  </si>
  <si>
    <t>Rukavice operační gammex latex PF bez pudru 8,0 330048080</t>
  </si>
  <si>
    <t>Rukavice operační gammex latex PF bez pudru 7,5 330048075</t>
  </si>
  <si>
    <t>DC320</t>
  </si>
  <si>
    <t>AUTOCHECK TM5+/LEVEL3/S7755</t>
  </si>
  <si>
    <t>DC319</t>
  </si>
  <si>
    <t>AUTOCHECK TM5+/LEVEL1/S7735</t>
  </si>
  <si>
    <t>DC402</t>
  </si>
  <si>
    <t>AUTOCHECK TM5+/LEVEL2/S7745</t>
  </si>
  <si>
    <t>DC321</t>
  </si>
  <si>
    <t>AUTOCHECK TM5+/LEVEL4/,S7765</t>
  </si>
  <si>
    <t>ZD478</t>
  </si>
  <si>
    <t>Převodník tlakový arteriální 90 cm jednokom. pediatrický 1 linka bal. á 20 ks T432105A</t>
  </si>
  <si>
    <t>ZK806</t>
  </si>
  <si>
    <t>Okruh dýchací ventilační jednorázový k ventilátoru babylog 8000IC 5068810</t>
  </si>
  <si>
    <t>ZD406</t>
  </si>
  <si>
    <t>Okruh dýchací pro novorozence jednorázový 150 cm á 10 ks 305/8173</t>
  </si>
  <si>
    <t>ZM761</t>
  </si>
  <si>
    <t>Maska Infant Flow LP nCPAP S bal. á 10 ks 777002S</t>
  </si>
  <si>
    <t>ZK465</t>
  </si>
  <si>
    <t>Hadička propojovací ventilátor/zvlhčovač jednorázová k ventilátoru Fabian bal. á 10 ks 270.520</t>
  </si>
  <si>
    <t>ZM999</t>
  </si>
  <si>
    <t>Adaptér HFO autoklávovatelný k ventilátoru Fabian 7209</t>
  </si>
  <si>
    <t>ZN304</t>
  </si>
  <si>
    <t>Nostrilka Infant Flow LP nCPAP velikost XS bal. á 10 ks 777000XS</t>
  </si>
  <si>
    <t>ZN667</t>
  </si>
  <si>
    <t>Patrona vysokoprůtoková vapotherm pro dospělé a děti 6 – 40 l/ min. bal. á 2 ks VT01-AS - již se nedodává, zastaralý typ</t>
  </si>
  <si>
    <t>ZB270</t>
  </si>
  <si>
    <t>Okruh dýchací anesteziologický vyhřívaný bal. á 20 ks DTPV9007</t>
  </si>
  <si>
    <t>ZB026</t>
  </si>
  <si>
    <t>Hadice silikon 5 x 9 x 2,00 mm á 10 m pro drenáž těl.dutin KVS 60-050090</t>
  </si>
  <si>
    <t>ZM762</t>
  </si>
  <si>
    <t>Maska Infant Flow LP nCPAP M bal. á 10 ks 777002M</t>
  </si>
  <si>
    <t>ZI235</t>
  </si>
  <si>
    <t>Komora pro zvlhčovače jednorázová k ventilátoru Fabian bal. á 10 ks 500380</t>
  </si>
  <si>
    <t>ZM760</t>
  </si>
  <si>
    <t>Maska Infant Flow LP nCPAP X/S bal. á 10 ks 777002XS</t>
  </si>
  <si>
    <t>ZK464</t>
  </si>
  <si>
    <t>Okruh dýchací jednorázový BTS118W k ventilátoru Fabian bal. á 10 ks 270.471</t>
  </si>
  <si>
    <t>ZM763</t>
  </si>
  <si>
    <t>Maska Infant Flow LP nCPAP L bal. á 10 ks 777002L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</si>
  <si>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</si>
  <si>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</si>
  <si>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</si>
  <si>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</si>
  <si>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</si>
  <si>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</si>
  <si>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</si>
  <si>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</si>
  <si>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</si>
  <si>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</si>
  <si>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</si>
  <si>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</si>
  <si>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50115040</t>
  </si>
  <si>
    <t>505 SZM laboratorní sklo a materiál (112 02 140)</t>
  </si>
  <si>
    <t>50115063</t>
  </si>
  <si>
    <t>528 SZM sety (112 02 105)</t>
  </si>
  <si>
    <t>50115070</t>
  </si>
  <si>
    <t>513 SZM katetry (112 02 101)</t>
  </si>
  <si>
    <t>50115064</t>
  </si>
  <si>
    <t>529 SZM šicí materiál (112 02 106)</t>
  </si>
  <si>
    <t>Spotřeba zdravotnického materiálu - orientační přehled</t>
  </si>
  <si>
    <t>ON Data</t>
  </si>
  <si>
    <t>209 - Pracoviště neurologie</t>
  </si>
  <si>
    <t>301 - Pracoviště pediatrie</t>
  </si>
  <si>
    <t>Zdravotní výkony vykázané na pracovišti v rámci ambulantní péče *</t>
  </si>
  <si>
    <t>(prázdné)</t>
  </si>
  <si>
    <t>Ambulantní péče znamená, že pacient v den poskytnutí zdravotní péče není hospitalizován ve FNOL</t>
  </si>
  <si>
    <t>beze jména</t>
  </si>
  <si>
    <t>Bodnár Vojtěch</t>
  </si>
  <si>
    <t>Drápalová Radka</t>
  </si>
  <si>
    <t>Faixová Petra</t>
  </si>
  <si>
    <t>Heroldová Jana</t>
  </si>
  <si>
    <t>Punová Lucia</t>
  </si>
  <si>
    <t>Rovný David</t>
  </si>
  <si>
    <t>Škodová Hana</t>
  </si>
  <si>
    <t>Šuláková Soňa</t>
  </si>
  <si>
    <t>Wita Martin</t>
  </si>
  <si>
    <t>Zdravotní výkony vykázané na pracovišti v rámci ambulantní péče dle lékařů *</t>
  </si>
  <si>
    <t>209</t>
  </si>
  <si>
    <t>V</t>
  </si>
  <si>
    <t>31022</t>
  </si>
  <si>
    <t>CÍLENÉ VYŠETŘENÍ DĚTSKÝM LÉKAŘEM</t>
  </si>
  <si>
    <t>29002</t>
  </si>
  <si>
    <t>CÍLENÉ VYŠETŘENÍ DĚTSKÝM NEUROLOGEM</t>
  </si>
  <si>
    <t>301</t>
  </si>
  <si>
    <t>1</t>
  </si>
  <si>
    <t>0027635</t>
  </si>
  <si>
    <t>SYNAGI</t>
  </si>
  <si>
    <t>0027636</t>
  </si>
  <si>
    <t>0210115</t>
  </si>
  <si>
    <t>0210114</t>
  </si>
  <si>
    <t>SYNAGIS 50 MG</t>
  </si>
  <si>
    <t>SYNAGIS 100 MG</t>
  </si>
  <si>
    <t>09111</t>
  </si>
  <si>
    <t>ODBĚR KAPILÁRNÍ KRVE</t>
  </si>
  <si>
    <t>09117</t>
  </si>
  <si>
    <t>ODBĚR KRVE ZE ŽÍLY U DÍTĚTĚ DO 10 LET</t>
  </si>
  <si>
    <t>09511</t>
  </si>
  <si>
    <t>MINIMÁLNÍ KONTAKT LÉKAŘE S PACIENTEM</t>
  </si>
  <si>
    <t>31023</t>
  </si>
  <si>
    <t>KONTROLNÍ VYŠETŘENÍ DĚTSKÝM LÉKAŘEM</t>
  </si>
  <si>
    <t>99991</t>
  </si>
  <si>
    <t>(VZP) KÓD POUZE PRO CENTRA DLE VYHL. 368/2006 - SL</t>
  </si>
  <si>
    <t>09555</t>
  </si>
  <si>
    <t>OŠETŘENÍ DÍTĚTE DO 6 LET</t>
  </si>
  <si>
    <t>09245</t>
  </si>
  <si>
    <t>ZAVEDENÍ GASTRICKÉ SONDY PRO ENTERÁLNÍ VÝŽIVU</t>
  </si>
  <si>
    <t>09215</t>
  </si>
  <si>
    <t>INJEKCE I. M., S. C., I. D.</t>
  </si>
  <si>
    <t>09513</t>
  </si>
  <si>
    <t>TELEFONICKÁ KONZULTACE OŠETŘUJÍCÍHO LÉKAŘE PACIENT</t>
  </si>
  <si>
    <t>31021</t>
  </si>
  <si>
    <t>KOMPLEXNÍ VYŠETŘENÍ DĚTSKÝM LÉKAŘEM</t>
  </si>
  <si>
    <t>09115</t>
  </si>
  <si>
    <t>ODBĚR BIOLOGICKÉHO MATERIÁLU JINÉHO NEŽ KREV NA KV</t>
  </si>
  <si>
    <t>99999</t>
  </si>
  <si>
    <t>Nespecifikovany vykon</t>
  </si>
  <si>
    <t>Zdravotní výkony + ZUM + ZULP vykázané na pracovišti v rámci ambulantní péče - orientační přehled</t>
  </si>
  <si>
    <t>08 - Porodnicko-gynekologická klinika</t>
  </si>
  <si>
    <t>10 - Dětská klinika</t>
  </si>
  <si>
    <t>08</t>
  </si>
  <si>
    <t>3F4</t>
  </si>
  <si>
    <t>0005114</t>
  </si>
  <si>
    <t>TARGOCID 200 MG</t>
  </si>
  <si>
    <t>0015273</t>
  </si>
  <si>
    <t>SULPERAZON 2 G IM/IV</t>
  </si>
  <si>
    <t>0026039</t>
  </si>
  <si>
    <t>KIOVIG 100 MG/ML</t>
  </si>
  <si>
    <t>0053922</t>
  </si>
  <si>
    <t>CIPHIN PRO INFUSIONE 200 MG/100 ML</t>
  </si>
  <si>
    <t>0065989</t>
  </si>
  <si>
    <t>MYCOMAX INF</t>
  </si>
  <si>
    <t>0068998</t>
  </si>
  <si>
    <t>0068999</t>
  </si>
  <si>
    <t>0072973</t>
  </si>
  <si>
    <t>0077044</t>
  </si>
  <si>
    <t>ZINACEF 750 MG</t>
  </si>
  <si>
    <t>0092206</t>
  </si>
  <si>
    <t>AUGMENTIN 600 MG</t>
  </si>
  <si>
    <t>0092289</t>
  </si>
  <si>
    <t>EDICIN 0,5 G</t>
  </si>
  <si>
    <t>0094176</t>
  </si>
  <si>
    <t>0096413</t>
  </si>
  <si>
    <t>0096414</t>
  </si>
  <si>
    <t>GENTAMICIN LEK 80 MG/2 ML</t>
  </si>
  <si>
    <t>0137499</t>
  </si>
  <si>
    <t>0142077</t>
  </si>
  <si>
    <t>0155939</t>
  </si>
  <si>
    <t>0164350</t>
  </si>
  <si>
    <t>TAZOCIN 4 G/0,5 G</t>
  </si>
  <si>
    <t>0107854</t>
  </si>
  <si>
    <t>2</t>
  </si>
  <si>
    <t>0007957</t>
  </si>
  <si>
    <t>Erytrocyty deleukotizované</t>
  </si>
  <si>
    <t>0107960</t>
  </si>
  <si>
    <t>0407942</t>
  </si>
  <si>
    <t>Příplatek za ozáření</t>
  </si>
  <si>
    <t>00631</t>
  </si>
  <si>
    <t>OD TYPU 31 - PRO NEMOCNICE TYPU 3, (KATEGORIE 6)</t>
  </si>
  <si>
    <t>09227</t>
  </si>
  <si>
    <t>I. V. APLIKACE KRVE NEBO KREVNÍCH DERIVÁTŮ</t>
  </si>
  <si>
    <t>17261</t>
  </si>
  <si>
    <t>SPECIALIZOVANÉ ECHOKARDIOGRAFICKÉ VYŠETŘENÍ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</si>
  <si>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</si>
  <si>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</si>
  <si>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</si>
  <si>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</si>
  <si>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</si>
  <si>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(VZP) PORODNÍ VÁHA NOVOROZENCE OD 2000 DO 2499 GRA</t>
  </si>
  <si>
    <t>34450</t>
  </si>
  <si>
    <t>(VZP) PORODNÍ VÁHA NOVOROZENCE POD 750 GRAMŮ</t>
  </si>
  <si>
    <t>34455</t>
  </si>
  <si>
    <t>(VZP) PORODNÍ VÁHA NOVOROZENCE NAD 2499 GRAMŮ</t>
  </si>
  <si>
    <t>09135</t>
  </si>
  <si>
    <t>UZ VYŠETŘENÍ POUZE JEDNOHO ORGÁNU V NĚKOLIKA ROVIN</t>
  </si>
  <si>
    <t>34453</t>
  </si>
  <si>
    <t>(VZP) PORODNÍ VÁHA NOVOROZENCE OD 1500 DO 1999 GRA</t>
  </si>
  <si>
    <t>31130</t>
  </si>
  <si>
    <t>PŘIJETÍ DOPROVODU DÍTĚTE</t>
  </si>
  <si>
    <t>00612</t>
  </si>
  <si>
    <t>OD TYPU 12 - PRO NEMOCNICE TYPU 3, (KATEGORIE 6)</t>
  </si>
  <si>
    <t>34452</t>
  </si>
  <si>
    <t>(VZP) PORODNÍ VÁHA NOVOROZENCE OD 1000 DO 1499 GRA</t>
  </si>
  <si>
    <t>34451</t>
  </si>
  <si>
    <t>(VZP) PORODNÍ VÁHA NOVOROZENCE OD 750 DO 999 GRAMŮ</t>
  </si>
  <si>
    <t>3T4</t>
  </si>
  <si>
    <t>0003952</t>
  </si>
  <si>
    <t>AMIKIN 500 MG</t>
  </si>
  <si>
    <t>0011592</t>
  </si>
  <si>
    <t>METRONIDAZOL B. BRAUN 5 MG/ML</t>
  </si>
  <si>
    <t>0014583</t>
  </si>
  <si>
    <t>0016600</t>
  </si>
  <si>
    <t>0020605</t>
  </si>
  <si>
    <t>COLOMYCIN INJEKCE 1 000 000 MEZINÁRODNÍCH JEDNOTEK</t>
  </si>
  <si>
    <t>0042144</t>
  </si>
  <si>
    <t>HUMAN ALBUMIN GRIFOLS 20%</t>
  </si>
  <si>
    <t>0072972</t>
  </si>
  <si>
    <t>AMOKSIKLAV 1,2 G</t>
  </si>
  <si>
    <t>0076360</t>
  </si>
  <si>
    <t>ZINACEF 1,5 G</t>
  </si>
  <si>
    <t>0083050</t>
  </si>
  <si>
    <t>0083487</t>
  </si>
  <si>
    <t>MERONEM 500 MG</t>
  </si>
  <si>
    <t>0087226</t>
  </si>
  <si>
    <t>0131654</t>
  </si>
  <si>
    <t>CEFTAZIDIM KABI 1 G</t>
  </si>
  <si>
    <t>0156258</t>
  </si>
  <si>
    <t>VANCOMYCIN KABI 500 MG</t>
  </si>
  <si>
    <t>0162180</t>
  </si>
  <si>
    <t>0166269</t>
  </si>
  <si>
    <t>VANCOMYCIN MYLAN 1000 MG</t>
  </si>
  <si>
    <t>ATENATIV</t>
  </si>
  <si>
    <t>0198192</t>
  </si>
  <si>
    <t>SEFOTAK 1 G</t>
  </si>
  <si>
    <t>0166265</t>
  </si>
  <si>
    <t>0088214</t>
  </si>
  <si>
    <t>EFLORAN</t>
  </si>
  <si>
    <t>0076355</t>
  </si>
  <si>
    <t>FORTUM 500 MG</t>
  </si>
  <si>
    <t>0007955</t>
  </si>
  <si>
    <t>Trombocyty z aferézy deleukotizované</t>
  </si>
  <si>
    <t>0207921</t>
  </si>
  <si>
    <t>Plazma čerstvá zmrazená</t>
  </si>
  <si>
    <t>3</t>
  </si>
  <si>
    <t>0012999</t>
  </si>
  <si>
    <t>STAPLER LINEÁRNÍ S NOŽEM - TCT55; TLC55</t>
  </si>
  <si>
    <t>0068197</t>
  </si>
  <si>
    <t>SYSTÉM HYDROCEPHALNÍ DRENÁŽNÍ</t>
  </si>
  <si>
    <t>0069598</t>
  </si>
  <si>
    <t>SYSTÉM HYDROCEPHALNÍ DRENÁŽNÍ-SHUNT</t>
  </si>
  <si>
    <t>0095636</t>
  </si>
  <si>
    <t>SYSTÉM HYDROCEPHALNÍ DRENÁŽNÍ - SHUNT HAKIM BACTIS</t>
  </si>
  <si>
    <t>0095661</t>
  </si>
  <si>
    <t>SYSTÉM ZEVNÍ DRENÁŽNÍ LIKVOROVÝ DOČASNÝ CODMAN</t>
  </si>
  <si>
    <t>00671</t>
  </si>
  <si>
    <t>OD TYPU 71 - PRO NEMOCNICE TYPU 3, (KATEGORIE 6) -</t>
  </si>
  <si>
    <t>00675</t>
  </si>
  <si>
    <t>OD TYPU 75 - PRO NEMOCNICE TYPU 3, (KATEGORIE 6) -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</si>
  <si>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</si>
  <si>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</si>
  <si>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</si>
  <si>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</si>
  <si>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90906</t>
  </si>
  <si>
    <t>90907</t>
  </si>
  <si>
    <t>90903</t>
  </si>
  <si>
    <t>90904</t>
  </si>
  <si>
    <t>00678</t>
  </si>
  <si>
    <t>OD TYPU 78 - PRO NEMOCNICE TYPU 3, (KATEGORIE 6) -</t>
  </si>
  <si>
    <t>00672</t>
  </si>
  <si>
    <t>OD TYPU 72 - PRO NEMOCNICE TYPU 3, (KATEGORIE 6) -</t>
  </si>
  <si>
    <t>78310</t>
  </si>
  <si>
    <t xml:space="preserve">NEODKLADNÁ KARDIOPULMONÁLNÍ RESUSCITACE ROZŠÍŘENÁ </t>
  </si>
  <si>
    <t>78320</t>
  </si>
  <si>
    <t>90905</t>
  </si>
  <si>
    <t>90955</t>
  </si>
  <si>
    <t>(DRG) VENTILAČNÍ PODPORA U NOVOROZENCŮ</t>
  </si>
  <si>
    <t>34320</t>
  </si>
  <si>
    <t>SELEKTIVNÍ PLICNÍ VAZODILATACE POMOCÍ OXIDU DUSNAT</t>
  </si>
  <si>
    <t>503</t>
  </si>
  <si>
    <t>61115</t>
  </si>
  <si>
    <t xml:space="preserve">REVIZE, EXCIZE A SUTURA PORANĚNÍ KŮŽE A PODKOŽÍ A </t>
  </si>
  <si>
    <t>5F1</t>
  </si>
  <si>
    <t>51343</t>
  </si>
  <si>
    <t>LOKÁLNÍ EXCIZE JATER NEBO OŠETŘENÍ MALÉ TRHLINY JA</t>
  </si>
  <si>
    <t>51353</t>
  </si>
  <si>
    <t>PUNKCE, ODSÁTÍ TENKÉHO STŘEVA, MANIPULACE SE STŘEV</t>
  </si>
  <si>
    <t>51359</t>
  </si>
  <si>
    <t>RESEKCE A ANASTOMÓZA TLUSTÉHO STŘEVA NEBO REKTOSIG</t>
  </si>
  <si>
    <t>51383</t>
  </si>
  <si>
    <t>GASTROTOMIE, DUODENOTOMIE NEBO JEDNODUCHÁ PYLOROPL</t>
  </si>
  <si>
    <t>51387</t>
  </si>
  <si>
    <t>TOTÁLNÍ GASTREKTOMIE, SUBTOTÁLNÍ GASTREKTOMIE</t>
  </si>
  <si>
    <t>51388</t>
  </si>
  <si>
    <t>GASTROENTEROANASTOMÓZA  NEBO RESEKCE A (NEBO) ANAS</t>
  </si>
  <si>
    <t>51392</t>
  </si>
  <si>
    <t>RELAPAROTOMIE PRO POOPERAČNÍ KRVÁCENÍ, PERITONITID</t>
  </si>
  <si>
    <t>51623</t>
  </si>
  <si>
    <t>POUŽITÍ ULTRAZVUKOVÉHO SKALPELU</t>
  </si>
  <si>
    <t>52219</t>
  </si>
  <si>
    <t>OPERACE PRO NEKROTIZUJÍCÍ ENTEROKOLIDU</t>
  </si>
  <si>
    <t>51111</t>
  </si>
  <si>
    <t>OPERACE CYSTY NEBO HEMANGIOMU NEBO LIPOMU NEBO PIL</t>
  </si>
  <si>
    <t>51386</t>
  </si>
  <si>
    <t>SUTURA EV. EXCIZE A SUTURA LÉZE STĚNY ŽALUDKU NEBO</t>
  </si>
  <si>
    <t>APENDEKTOMIE NEBO OPERAČNÍ DRENÁŽ PERIAPENDIKULÁRN</t>
  </si>
  <si>
    <t>51821</t>
  </si>
  <si>
    <t>CHIRURGICKÉ ODSTRANĚNÍ CIZÍHO TĚLESA</t>
  </si>
  <si>
    <t>51357</t>
  </si>
  <si>
    <t>JEJUNOSTOMIE, ILEOSTOMIE NEBO KOLOSTOMIE, ANTEPOZI</t>
  </si>
  <si>
    <t>52311</t>
  </si>
  <si>
    <t xml:space="preserve">OPERACE TŘÍSELNÉ NEBO FEMORÁLNÍ NEBO PUPEČNÍ KÝLY </t>
  </si>
  <si>
    <t>51355</t>
  </si>
  <si>
    <t>DVOJ - A VÍCENÁSOBNÁ RESEKCE A (NEBO) ANASTOMÓZA T</t>
  </si>
  <si>
    <t>52221</t>
  </si>
  <si>
    <t>ATRESIE TENKÉHO STŘEVA VČETNĚ DUODENA U NOVOROZENC</t>
  </si>
  <si>
    <t>51361</t>
  </si>
  <si>
    <t>KOLEKTOMIE SUBTOTÁLNÍ S ILEOSTOMIÍ A UZÁVĚREM REKT</t>
  </si>
  <si>
    <t>52231</t>
  </si>
  <si>
    <t>OPERACE OMFALOKÉLY NEBO GASTROSCHÍZY</t>
  </si>
  <si>
    <t>52237</t>
  </si>
  <si>
    <t xml:space="preserve">KOREKCE VYSOKÉ VROZENÉ ANOREKTÁLNÍ NEPRŮCHODNOSTI </t>
  </si>
  <si>
    <t>52239</t>
  </si>
  <si>
    <t>KOREKCE VYSOKÉ ANOREKTÁLNÍ MALFORMACE</t>
  </si>
  <si>
    <t>5F6</t>
  </si>
  <si>
    <t>56163</t>
  </si>
  <si>
    <t>ZEVNÍ KOMOROVÁ DRENÁŽ NEBO ZAVEDENÍ ČIDLA NA MĚŘEN</t>
  </si>
  <si>
    <t>56125</t>
  </si>
  <si>
    <t>OPERAČNÍ REVIZE NEBO ZAVEDENÍ DRENÁŽE MOZKOMÍŠNÍHO</t>
  </si>
  <si>
    <t>606</t>
  </si>
  <si>
    <t>66031</t>
  </si>
  <si>
    <t>PREVENTIVNÍ VYŠETŘENÍ KYČELNÍCH KLOUBŮ U KOJENCE</t>
  </si>
  <si>
    <t>7F6</t>
  </si>
  <si>
    <t>76439</t>
  </si>
  <si>
    <t>ORCHIECTOMIE JEDNOSTRANNÁ</t>
  </si>
  <si>
    <t>76335</t>
  </si>
  <si>
    <t>OPERAČNÍ REVIZE PERIRENÁLNÍCH NEBO PERIURETERÁLNÍC</t>
  </si>
  <si>
    <t>10</t>
  </si>
  <si>
    <t>Zdravotní výkony vykázané na pracovišti pro pacienty hospitalizované ve FNOL - orientační přehled</t>
  </si>
  <si>
    <t>05422</t>
  </si>
  <si>
    <t>A</t>
  </si>
  <si>
    <t xml:space="preserve">SRDEČNÍ ARYTMIE A PORUCHY VEDENÍ S CC                                                               </t>
  </si>
  <si>
    <t>06383</t>
  </si>
  <si>
    <t xml:space="preserve">JINÉ PORUCHY TRÁVICÍHO SYSTÉMU S MCC                                                                </t>
  </si>
  <si>
    <t>10302</t>
  </si>
  <si>
    <t xml:space="preserve">DIABETES, NUTRIČNÍ A JINÉ METABOLICKÉ PORUCHY S CC                                                  </t>
  </si>
  <si>
    <t>15601</t>
  </si>
  <si>
    <t xml:space="preserve">NOVOROZENEC, MRTVÝ NEBO PŘELOŽENÝ &lt;= 5 DNÍ BEZ CC                                                   </t>
  </si>
  <si>
    <t>15602</t>
  </si>
  <si>
    <t xml:space="preserve">NOVOROZENEC, MRTVÝ NEBO PŘELOŽENÝ &lt;= 5 DNÍ S CC                                                     </t>
  </si>
  <si>
    <t>15603</t>
  </si>
  <si>
    <t xml:space="preserve">NOVOROZENEC, MRTVÝ NEBO PŘELOŽENÝ &lt;= 5 DNÍ S MCC                                                    </t>
  </si>
  <si>
    <t>15623</t>
  </si>
  <si>
    <t>B</t>
  </si>
  <si>
    <t xml:space="preserve">NOVOROZENEC, VÁHA PŘI PORODU &lt;=1000G, SE ZÁKLADNÍM VÝKO                                             </t>
  </si>
  <si>
    <t>15633</t>
  </si>
  <si>
    <t xml:space="preserve">NOVOROZENEC, VÁHA PŘI PORODU &lt;=1000G, BEZ ZÁKLADNÍHO VÝ                                             </t>
  </si>
  <si>
    <t>15642</t>
  </si>
  <si>
    <t xml:space="preserve">NOVOROZENEC, VÁHA PŘI PORODU 1000-1499G, SE ZÁKLADNÍM V                                             </t>
  </si>
  <si>
    <t>15643</t>
  </si>
  <si>
    <t>15651</t>
  </si>
  <si>
    <t xml:space="preserve">NOVOROZENEC, VÁHA PŘI PORODU 1000-1499G, BEZ ZÁKLADNÍHO                                             </t>
  </si>
  <si>
    <t>15652</t>
  </si>
  <si>
    <t>15653</t>
  </si>
  <si>
    <t>15662</t>
  </si>
  <si>
    <t xml:space="preserve">NOVOROZENEC, VÁHA PŘI PORODU 1500-1999G, SE ZÁKLADNÍM V                                             </t>
  </si>
  <si>
    <t>15663</t>
  </si>
  <si>
    <t>15671</t>
  </si>
  <si>
    <t xml:space="preserve">NOVOROZENEC, VÁHA PŘI PORODU 1500-1999G, BEZ ZÁKLADNÍHO                                             </t>
  </si>
  <si>
    <t>15672</t>
  </si>
  <si>
    <t>15673</t>
  </si>
  <si>
    <t>15691</t>
  </si>
  <si>
    <t xml:space="preserve">NOVOROZENEC, VÁHA PŘI PORODU 2000-2499G, BEZ ZÁKLADNÍHO                                             </t>
  </si>
  <si>
    <t>15692</t>
  </si>
  <si>
    <t>15693</t>
  </si>
  <si>
    <t>15702</t>
  </si>
  <si>
    <t xml:space="preserve">NOVOROZENEC, VÁHA PŘI PORODU &gt;2499G, SE ZÁKLADNÍM VÝKON                                             </t>
  </si>
  <si>
    <t>15703</t>
  </si>
  <si>
    <t>15711</t>
  </si>
  <si>
    <t xml:space="preserve">NOVOROZENEC, VÁHA PŘI PORODU &gt;2499G, S VÁŽNOU ANOMÁLIÍ                                              </t>
  </si>
  <si>
    <t>15712</t>
  </si>
  <si>
    <t>15713</t>
  </si>
  <si>
    <t>15720</t>
  </si>
  <si>
    <t xml:space="preserve">NOVOROZENEC, VÁHA PŘI PORODU &gt; 2499G, SE SYNDROMEM DÝCH                                             </t>
  </si>
  <si>
    <t>15733</t>
  </si>
  <si>
    <t xml:space="preserve">NOVOROZENEC, VÁHA PŘI PORODU &gt; 2499G, S ASPIRAČNÍM SYND                                             </t>
  </si>
  <si>
    <t>15741</t>
  </si>
  <si>
    <t xml:space="preserve">NOVOROZENEC, VÁHA PŘI PORODU &gt; 2499G, S VROZENOU NEBO P                                             </t>
  </si>
  <si>
    <t>15742</t>
  </si>
  <si>
    <t>15743</t>
  </si>
  <si>
    <t>15751</t>
  </si>
  <si>
    <t xml:space="preserve">NOVOROZENEC, VÁHA PŘI PORODU &gt; 2499G, BEZ ZÁKLADNÍHO VÝ                                             </t>
  </si>
  <si>
    <t>15752</t>
  </si>
  <si>
    <t>15753</t>
  </si>
  <si>
    <t>21351</t>
  </si>
  <si>
    <t xml:space="preserve">JINÉ DIAGNÓZY ZRANĚNÍ, OTRAVY A TOXICKÝCH ÚČINKŮ BEZ CC                                             </t>
  </si>
  <si>
    <t>23013</t>
  </si>
  <si>
    <t xml:space="preserve">OPERAČNÍ VÝKON S DIAGNÓZOU JINÉHO KONTAKTU SE ZDRAVOTNI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</si>
  <si>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</si>
  <si>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</si>
  <si>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</si>
  <si>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</si>
  <si>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</si>
  <si>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</si>
  <si>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99980</t>
  </si>
  <si>
    <t xml:space="preserve">HLAVNÍ DIAGNÓZA NEPLATNÁ JAKO PROPOUŠTĚCÍ DIAGNÓZA     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</si>
  <si>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</si>
  <si>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</si>
  <si>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</si>
  <si>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28 - Ústav lékařské genetiky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</si>
  <si>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</si>
  <si>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</si>
  <si>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</si>
  <si>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</si>
  <si>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</si>
  <si>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</si>
  <si>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</si>
  <si>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</si>
  <si>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28</t>
  </si>
  <si>
    <t>816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</si>
  <si>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</si>
  <si>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</si>
  <si>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</si>
  <si>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</si>
  <si>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</si>
  <si>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</si>
  <si>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94123</t>
  </si>
  <si>
    <t>PCR ANALÝZA LIDSKÉ DNA</t>
  </si>
  <si>
    <t>94129</t>
  </si>
  <si>
    <t>RUTINNÍ VYŠETŘENÍ CHROMOZOMU Z PERIFERNÍ KRVE</t>
  </si>
  <si>
    <t>32</t>
  </si>
  <si>
    <t>94191</t>
  </si>
  <si>
    <t>FOTOGRAFIE GELU</t>
  </si>
  <si>
    <t>94193</t>
  </si>
  <si>
    <t>ELEKTROFORÉZA NUKLEOVÝCH KYSELIN</t>
  </si>
  <si>
    <t>94199</t>
  </si>
  <si>
    <t>AMPLIFIKACE METODOU PCR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</si>
  <si>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</si>
  <si>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</si>
  <si>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</si>
  <si>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</si>
  <si>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</si>
  <si>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</si>
  <si>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</si>
  <si>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</si>
  <si>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</si>
  <si>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</si>
  <si>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</si>
  <si>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</si>
  <si>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</si>
  <si>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</si>
  <si>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</si>
  <si>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</si>
  <si>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</si>
  <si>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96811</t>
  </si>
  <si>
    <t>PINK TEST</t>
  </si>
  <si>
    <t>96847</t>
  </si>
  <si>
    <t>FIBRIN/FIBRINOGEN DEGRADAČNÍ PRODUKTY SEMIKVANTITA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</si>
  <si>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</si>
  <si>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</si>
  <si>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</si>
  <si>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</si>
  <si>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</si>
  <si>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</si>
  <si>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</si>
  <si>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</si>
  <si>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</si>
  <si>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</si>
  <si>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96163</t>
  </si>
  <si>
    <t>KREVNÍ OBRAZ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</si>
  <si>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</si>
  <si>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</si>
  <si>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</si>
  <si>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</si>
  <si>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</si>
  <si>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</si>
  <si>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</si>
  <si>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</si>
  <si>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</si>
  <si>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</si>
  <si>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</si>
  <si>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</si>
  <si>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</si>
  <si>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</si>
  <si>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96715</t>
  </si>
  <si>
    <t>ANALÝZA NÁTĚRU KOSTNÍ DŘENĚ, MÍZNÍ UZLINY NEBO TKÁ</t>
  </si>
  <si>
    <t>96199</t>
  </si>
  <si>
    <t>PROTEIN C - FUNKČNÍ AKTIVITA</t>
  </si>
  <si>
    <t>96215</t>
  </si>
  <si>
    <t>APC REZISTENCE</t>
  </si>
  <si>
    <t>96879</t>
  </si>
  <si>
    <t>DRVVT - SCREENING LA</t>
  </si>
  <si>
    <t>96143</t>
  </si>
  <si>
    <t>T - PA AG</t>
  </si>
  <si>
    <t>96149</t>
  </si>
  <si>
    <t>PAI  ANTIGEN</t>
  </si>
  <si>
    <t>91435</t>
  </si>
  <si>
    <t>DVOUSTUPŇOVÁ IZOLACE GRANULOCYTŮ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</si>
  <si>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</si>
  <si>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</si>
  <si>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</si>
  <si>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</si>
  <si>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</si>
  <si>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</si>
  <si>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</si>
  <si>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</si>
  <si>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</si>
  <si>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</si>
  <si>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</si>
  <si>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</si>
  <si>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</si>
  <si>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</si>
  <si>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</si>
  <si>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</si>
  <si>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</si>
  <si>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</si>
  <si>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</si>
  <si>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</si>
  <si>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81221</t>
  </si>
  <si>
    <t>POTNÍ TEST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</si>
  <si>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</si>
  <si>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</si>
  <si>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</si>
  <si>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</si>
  <si>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</si>
  <si>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</si>
  <si>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81317</t>
  </si>
  <si>
    <t>INSULIN - LIKE GROWTH FACTOR - BINDING PROTEIN 3 (</t>
  </si>
  <si>
    <t>81341</t>
  </si>
  <si>
    <t>AMONIAK</t>
  </si>
  <si>
    <t>81347</t>
  </si>
  <si>
    <t>ANALÝZA MOČI CHEMICKY A MIKROSKOPICKY</t>
  </si>
  <si>
    <t>81351</t>
  </si>
  <si>
    <t>ANDROSTENDION</t>
  </si>
  <si>
    <t>81377</t>
  </si>
  <si>
    <t>SACHARIDY TENKOVRSTEVNOU CHROMATOGRAFIÍ V MOČI</t>
  </si>
  <si>
    <t>81391</t>
  </si>
  <si>
    <t>DISACHARIDY</t>
  </si>
  <si>
    <t>81427</t>
  </si>
  <si>
    <t>FOSFOR ANORGANICKÝ</t>
  </si>
  <si>
    <t>81461</t>
  </si>
  <si>
    <t>HOMOCYSTEIN CELKOVÝ</t>
  </si>
  <si>
    <t>81481</t>
  </si>
  <si>
    <t>AMYLÁZA PANKREATICKÁ</t>
  </si>
  <si>
    <t>81521</t>
  </si>
  <si>
    <t>LAKTÁT (KYSELINA MLÉČNÁ)</t>
  </si>
  <si>
    <t>81527</t>
  </si>
  <si>
    <t>CHOLESTEROL LDL</t>
  </si>
  <si>
    <t>81641</t>
  </si>
  <si>
    <t>ŽELEZO CELKOVÉ</t>
  </si>
  <si>
    <t>81651</t>
  </si>
  <si>
    <t xml:space="preserve">VYŠETŘENÍ DĚDIČNÝCH PORUCH METABOLISMU (DÁLE DPM) 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</si>
  <si>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</si>
  <si>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</si>
  <si>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</si>
  <si>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</si>
  <si>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</si>
  <si>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</si>
  <si>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</si>
  <si>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</si>
  <si>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</si>
  <si>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</si>
  <si>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</si>
  <si>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</si>
  <si>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</si>
  <si>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</si>
  <si>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91141</t>
  </si>
  <si>
    <t>STANOVENÍ CERULOPLASMINU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</si>
  <si>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</si>
  <si>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</si>
  <si>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</si>
  <si>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</si>
  <si>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</si>
  <si>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</si>
  <si>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</si>
  <si>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</si>
  <si>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</si>
  <si>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</si>
  <si>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</si>
  <si>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</si>
  <si>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</si>
  <si>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</si>
  <si>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</si>
  <si>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</si>
  <si>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</si>
  <si>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</si>
  <si>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</si>
  <si>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</si>
  <si>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93191</t>
  </si>
  <si>
    <t>TESTOSTERON</t>
  </si>
  <si>
    <t>93217</t>
  </si>
  <si>
    <t>AUTOPROTILÁTKY PROTI MIKROSOMÁLNÍMU ANTIGENU</t>
  </si>
  <si>
    <t>93231</t>
  </si>
  <si>
    <t>TYREOGLOBULIN AUTOPROTILÁTKY</t>
  </si>
  <si>
    <t>93267</t>
  </si>
  <si>
    <t>VOLNÝ TESTOSTERON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</si>
  <si>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</si>
  <si>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</si>
  <si>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</si>
  <si>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</si>
  <si>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</si>
  <si>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</si>
  <si>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</si>
  <si>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</si>
  <si>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</si>
  <si>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</si>
  <si>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</si>
  <si>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</si>
  <si>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</si>
  <si>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</si>
  <si>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</si>
  <si>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</si>
  <si>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</si>
  <si>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</si>
  <si>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</si>
  <si>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</si>
  <si>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</si>
  <si>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</si>
  <si>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</si>
  <si>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</si>
  <si>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</si>
  <si>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</si>
  <si>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</si>
  <si>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</si>
  <si>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</si>
  <si>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</si>
  <si>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</si>
  <si>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</si>
  <si>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</si>
  <si>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</si>
  <si>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</si>
  <si>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</si>
  <si>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</si>
  <si>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</si>
  <si>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</si>
  <si>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</si>
  <si>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</si>
  <si>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</si>
  <si>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</si>
  <si>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</si>
  <si>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</si>
  <si>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</si>
  <si>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</si>
  <si>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</si>
  <si>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</si>
  <si>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</si>
  <si>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</si>
  <si>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</si>
  <si>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81269</t>
  </si>
  <si>
    <t>ANGIOTENSIN KONVERTUJÍCÍ ENZYM V SÉRU (ACE)</t>
  </si>
  <si>
    <t>91129</t>
  </si>
  <si>
    <t>STANOVENÍ IgG</t>
  </si>
  <si>
    <t>93235</t>
  </si>
  <si>
    <t>AUTOPROTILÁTKY PROTI RECEPTORŮM (hTSH)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</si>
  <si>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</si>
  <si>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</si>
  <si>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</si>
  <si>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</si>
  <si>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</si>
  <si>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</si>
  <si>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</si>
  <si>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</si>
  <si>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</si>
  <si>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</si>
  <si>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</si>
  <si>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</si>
  <si>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</si>
  <si>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</si>
  <si>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</si>
  <si>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</si>
  <si>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</si>
  <si>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</si>
  <si>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</si>
  <si>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</si>
  <si>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</si>
  <si>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</si>
  <si>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81533</t>
  </si>
  <si>
    <t>LIPÁZA</t>
  </si>
  <si>
    <t>81339</t>
  </si>
  <si>
    <t>AMINOKYSELINY STANOVENÍ CELKOVÉHO SPEKTRA V BIOLOG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</si>
  <si>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</si>
  <si>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</si>
  <si>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</si>
  <si>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</si>
  <si>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</si>
  <si>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</si>
  <si>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</si>
  <si>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</si>
  <si>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</si>
  <si>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</si>
  <si>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</si>
  <si>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</si>
  <si>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</si>
  <si>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</si>
  <si>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94189</t>
  </si>
  <si>
    <t>HYBRIDIZACE DNA SE ZNAČENOU SONDOU</t>
  </si>
  <si>
    <t>93145</t>
  </si>
  <si>
    <t>C-PEPTID</t>
  </si>
  <si>
    <t>81665</t>
  </si>
  <si>
    <t>VYŠ. DPM - AKTIVITA LYZOSOMÁLNÍCH ENZYMŮ S NERADIO</t>
  </si>
  <si>
    <t>81675</t>
  </si>
  <si>
    <t>MIKROALBUMINURIE</t>
  </si>
  <si>
    <t>93183</t>
  </si>
  <si>
    <t>SEXUÁLNÍ HORMONY VÁZAJÍCÍ GLOBULIN (SHBG)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</si>
  <si>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</si>
  <si>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</si>
  <si>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</si>
  <si>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</si>
  <si>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</si>
  <si>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</si>
  <si>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93135</t>
  </si>
  <si>
    <t>MYOGLOBIN V SÉRII</t>
  </si>
  <si>
    <t>94195</t>
  </si>
  <si>
    <t>SYNTÉZA cDNA REVERZNÍ TRANSKRIPCÍ</t>
  </si>
  <si>
    <t>81165</t>
  </si>
  <si>
    <t>KREATINKINÁZA (CK) STATIM</t>
  </si>
  <si>
    <t>81749</t>
  </si>
  <si>
    <t>81389</t>
  </si>
  <si>
    <t>DEHYDROEPIANDROSTERON SULFÁT (DHEA-S)</t>
  </si>
  <si>
    <t>81233</t>
  </si>
  <si>
    <t>KARBONYLHEMOGLOBIN KVANTITATIVNĚ</t>
  </si>
  <si>
    <t>81659</t>
  </si>
  <si>
    <t>VYŠETŘENÍ DPM, STANOVENÍ METABOLITU PLYNOVOU CHROM</t>
  </si>
  <si>
    <t>93223</t>
  </si>
  <si>
    <t>NÁDOROVÉ ANTIGENY CA - TYPU</t>
  </si>
  <si>
    <t>81129</t>
  </si>
  <si>
    <t>BÍLKOVINA KVANTITATIVNĚ (MOČ, VÝPOTEK, CSF) STATIM</t>
  </si>
  <si>
    <t>81433</t>
  </si>
  <si>
    <t>GALAKTOSA-1-FOSFÁTURIDYLTRANSFERÁZA</t>
  </si>
  <si>
    <t>93175</t>
  </si>
  <si>
    <t>17-HYDROXYPROGESTERON</t>
  </si>
  <si>
    <t>81489</t>
  </si>
  <si>
    <t>KATECHOLAMIN A JEHO METABOLITY</t>
  </si>
  <si>
    <t>93179</t>
  </si>
  <si>
    <t>PLAZMATICKÁ RENINOVÁ AKTIVITA (PRA)</t>
  </si>
  <si>
    <t>93139</t>
  </si>
  <si>
    <t>ADRENOKORTIKOTROPIN (ACTH)</t>
  </si>
  <si>
    <t>81725</t>
  </si>
  <si>
    <t>KVANTITATIVNÍ STANOVENÍ ELASTÁSY 1 (PANKREATICKÉHO</t>
  </si>
  <si>
    <t>91151</t>
  </si>
  <si>
    <t>STANOVENÍ OROSOMUKOIDU</t>
  </si>
  <si>
    <t>81687</t>
  </si>
  <si>
    <t>DIHYDROTESTOSTERON</t>
  </si>
  <si>
    <t>81773</t>
  </si>
  <si>
    <t>KREATINKINÁZA IZOENZYMY CK-MB MASS</t>
  </si>
  <si>
    <t>81775</t>
  </si>
  <si>
    <t>KVANTITATIVNÍ ANALÝZA MOCE</t>
  </si>
  <si>
    <t>81777</t>
  </si>
  <si>
    <t>PÍSEMNÁ INTERPRETACE SOUBORU BIOCHEMICKÝCH LABORAT</t>
  </si>
  <si>
    <t>81755</t>
  </si>
  <si>
    <t xml:space="preserve">VYŠETŘENÍ METABOLITŮ KAPALINOVOU CHROMATOGRAFIÍ S 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</si>
  <si>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</si>
  <si>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</si>
  <si>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</si>
  <si>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</si>
  <si>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</si>
  <si>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</si>
  <si>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809</t>
  </si>
  <si>
    <t>0017039</t>
  </si>
  <si>
    <t>VISIPAQUE 320 MG I/ML</t>
  </si>
  <si>
    <t>0022075</t>
  </si>
  <si>
    <t>IOMERON 400</t>
  </si>
  <si>
    <t>0042433</t>
  </si>
  <si>
    <t>0045119</t>
  </si>
  <si>
    <t>VISIPAQUE 270 MG I/ML</t>
  </si>
  <si>
    <t>0045123</t>
  </si>
  <si>
    <t>0045124</t>
  </si>
  <si>
    <t>0065978</t>
  </si>
  <si>
    <t>DOTAREM</t>
  </si>
  <si>
    <t>0077018</t>
  </si>
  <si>
    <t>ULTRAVIST 370</t>
  </si>
  <si>
    <t>0077019</t>
  </si>
  <si>
    <t>0077024</t>
  </si>
  <si>
    <t>ULTRAVIST 300</t>
  </si>
  <si>
    <t>0093626</t>
  </si>
  <si>
    <t>0095609</t>
  </si>
  <si>
    <t>MICROPAQUE CT</t>
  </si>
  <si>
    <t>0151208</t>
  </si>
  <si>
    <t>0038482</t>
  </si>
  <si>
    <t>DRÁT VODÍCÍ GUIDE WIRE M</t>
  </si>
  <si>
    <t>0052140</t>
  </si>
  <si>
    <t>KATETR BALÓNKOVÝ PTA - WANDA; SMASH</t>
  </si>
  <si>
    <t>0053563</t>
  </si>
  <si>
    <t>KATETR DIAGNOSTICKÝ TEMPO4F,5F</t>
  </si>
  <si>
    <t>0059345</t>
  </si>
  <si>
    <t>INDEFLÁTOR - ZAŘÍZENÍ INSUFLAČNÍ - INFLATION DEVIC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</si>
  <si>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</si>
  <si>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</si>
  <si>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</si>
  <si>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</si>
  <si>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</si>
  <si>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</si>
  <si>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</si>
  <si>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</si>
  <si>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</si>
  <si>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</si>
  <si>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89147</t>
  </si>
  <si>
    <t>RTG ŽALUDKU A DUODENA</t>
  </si>
  <si>
    <t>89167</t>
  </si>
  <si>
    <t>CYSTOGRAFIE</t>
  </si>
  <si>
    <t>89337</t>
  </si>
  <si>
    <t xml:space="preserve">DILATACE STENÓZ JÍCNU, GASTROINTESTINÁLNÍ TRUBICE 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</si>
  <si>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</si>
  <si>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</si>
  <si>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</si>
  <si>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</si>
  <si>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</si>
  <si>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</si>
  <si>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</si>
  <si>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</si>
  <si>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</si>
  <si>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</si>
  <si>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</si>
  <si>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</si>
  <si>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</si>
  <si>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</si>
  <si>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</si>
  <si>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</si>
  <si>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</si>
  <si>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</si>
  <si>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89169</t>
  </si>
  <si>
    <t>CYSTOURETROGRAFIE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</si>
  <si>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</si>
  <si>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</si>
  <si>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</si>
  <si>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</si>
  <si>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</si>
  <si>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</si>
  <si>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</si>
  <si>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</si>
  <si>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</si>
  <si>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</si>
  <si>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</si>
  <si>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</si>
  <si>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89155</t>
  </si>
  <si>
    <t>RTG VYŠETŘENÍ TLUSTÉHO STŘEVA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</si>
  <si>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</si>
  <si>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</si>
  <si>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</si>
  <si>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</si>
  <si>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</si>
  <si>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</si>
  <si>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</si>
  <si>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</si>
  <si>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</si>
  <si>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</si>
  <si>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</si>
  <si>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</si>
  <si>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</si>
  <si>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</si>
  <si>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</si>
  <si>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</si>
  <si>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</si>
  <si>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</si>
  <si>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</si>
  <si>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</si>
  <si>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</si>
  <si>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</si>
  <si>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</si>
  <si>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</si>
  <si>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</si>
  <si>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</si>
  <si>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</si>
  <si>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</si>
  <si>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</si>
  <si>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</si>
  <si>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</si>
  <si>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</si>
  <si>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</si>
  <si>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</si>
  <si>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</si>
  <si>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</si>
  <si>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</si>
  <si>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</si>
  <si>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</si>
  <si>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</si>
  <si>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</si>
  <si>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</si>
  <si>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</si>
  <si>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</si>
  <si>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</si>
  <si>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</si>
  <si>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</si>
  <si>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</si>
  <si>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</si>
  <si>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</si>
  <si>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</si>
  <si>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</si>
  <si>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</si>
  <si>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</si>
  <si>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</si>
  <si>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</si>
  <si>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</si>
  <si>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</si>
  <si>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</si>
  <si>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</si>
  <si>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</si>
  <si>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</si>
  <si>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</si>
  <si>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</si>
  <si>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</si>
  <si>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</si>
  <si>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</si>
  <si>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</si>
  <si>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</si>
  <si>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</si>
  <si>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</si>
  <si>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</si>
  <si>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</si>
  <si>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</si>
  <si>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</si>
  <si>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</si>
  <si>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</si>
  <si>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</si>
  <si>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</si>
  <si>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</si>
  <si>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</si>
  <si>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</si>
  <si>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</si>
  <si>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</si>
  <si>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</si>
  <si>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</si>
  <si>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</si>
  <si>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</si>
  <si>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</si>
  <si>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</si>
  <si>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</si>
  <si>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</si>
  <si>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</si>
  <si>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</si>
  <si>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</si>
  <si>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</si>
  <si>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</si>
  <si>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</si>
  <si>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</si>
  <si>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</si>
  <si>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</si>
  <si>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</si>
  <si>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</si>
  <si>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</si>
  <si>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</si>
  <si>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</si>
  <si>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</si>
  <si>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</si>
  <si>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</si>
  <si>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</si>
  <si>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</si>
  <si>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</si>
  <si>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</si>
  <si>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</si>
  <si>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82059</t>
  </si>
  <si>
    <t>IDENTIFIKACE KMENE PODROBNÁ</t>
  </si>
  <si>
    <t>82015</t>
  </si>
  <si>
    <t>KVANTITATIVNÍ KULTIVAČNÍ VYŠETŘENÍ MOČI</t>
  </si>
  <si>
    <t>82063</t>
  </si>
  <si>
    <t>STANOVENÍ CITLIVOSTI NA ATB KVALITATIVNÍ METODOU</t>
  </si>
  <si>
    <t>82083</t>
  </si>
  <si>
    <t>PRŮKAZ BAKTERIÁLNÍHO TOXINU BIOLOGICKÝM POKUSEM NA</t>
  </si>
  <si>
    <t>82233</t>
  </si>
  <si>
    <t>IDENTIFIKACE MYKOPLASMAT</t>
  </si>
  <si>
    <t>82149</t>
  </si>
  <si>
    <t>SEROTYPIZACE STŘEVNÍCH A JINÝCH PATOGENŮ</t>
  </si>
  <si>
    <t>41</t>
  </si>
  <si>
    <t>91131</t>
  </si>
  <si>
    <t>STANOVENÍ IgA</t>
  </si>
  <si>
    <t>91161</t>
  </si>
  <si>
    <t>STANOVENÍ C4 SLOŽKY KOMPLEMENTU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</si>
  <si>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</si>
  <si>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</si>
  <si>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</si>
  <si>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</si>
  <si>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</si>
  <si>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</si>
  <si>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91317</t>
  </si>
  <si>
    <t>PRŮKAZ ANTINUKLEÁRNÍCH PROTILÁTEK - JINÉ SUBSTRÁTY</t>
  </si>
  <si>
    <t>91431</t>
  </si>
  <si>
    <t>ZVLÁŠTĚ NÁROČNÉ IZOLACE BUNĚK GRADIENTOVOU CENTRIF</t>
  </si>
  <si>
    <t>91567</t>
  </si>
  <si>
    <t>IMUNOANALYTICKÉ STANOVENÍ AUTOPROTILÁTEK</t>
  </si>
  <si>
    <t>91355</t>
  </si>
  <si>
    <t>STANOVENÍ CIK METODOU PEG-IKEM</t>
  </si>
  <si>
    <t>22321</t>
  </si>
  <si>
    <t>URČENÍ SPECIFITY TROMBOCYTÁRNÍ PROTILÁTKY</t>
  </si>
  <si>
    <t>91259</t>
  </si>
  <si>
    <t>STANOVENÍ ANTI NUKLEOHISTON Ab ELISA</t>
  </si>
  <si>
    <t>91189</t>
  </si>
  <si>
    <t>STANOVENÍ IgE</t>
  </si>
  <si>
    <t>91133</t>
  </si>
  <si>
    <t>STANOVENÍ IgM</t>
  </si>
  <si>
    <t>91265</t>
  </si>
  <si>
    <t>STANOVENÍ ANTI SS-B/La Ab ELISA</t>
  </si>
  <si>
    <t>91263</t>
  </si>
  <si>
    <t>STANOVENÍ ANTI SS-A/Ro Ab ELISA</t>
  </si>
  <si>
    <t>91253</t>
  </si>
  <si>
    <t>STANOVENÍ ANTI ds-DNA Ab ELISA</t>
  </si>
  <si>
    <t>91159</t>
  </si>
  <si>
    <t>STANOVENÍ C3 SLOŽKY KOMPLEMENTU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</si>
  <si>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</si>
  <si>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</si>
  <si>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</si>
  <si>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</si>
  <si>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</si>
  <si>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</si>
  <si>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44</t>
  </si>
  <si>
    <t>94183</t>
  </si>
  <si>
    <t>ŠTĚPENÍ DNA RESTRIKČNÍMI ENZYMY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</si>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</sst>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84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39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39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164" fontId="3" fillId="0" borderId="62" xfId="53" applyNumberFormat="1" applyFont="1" applyFill="1" applyBorder="1"/>
    <xf numFmtId="9" fontId="3" fillId="0" borderId="62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57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56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60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43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57" xfId="33" applyFont="1" applyFill="1" applyBorder="1" applyAlignment="1">
      <alignment horizontal="center" vertical="center"/>
    </xf>
    <xf numFmtId="9" fontId="3" fillId="0" borderId="61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39" xfId="0" applyFont="1" applyFill="1" applyBorder="1"/>
    <xf numFmtId="0" fontId="35" fillId="5" borderId="4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60" xfId="53" applyFont="1" applyFill="1" applyBorder="1" applyAlignment="1">
      <alignment horizontal="right"/>
    </xf>
    <xf numFmtId="164" fontId="34" fillId="0" borderId="65" xfId="53" applyNumberFormat="1" applyFont="1" applyFill="1" applyBorder="1"/>
    <xf numFmtId="164" fontId="34" fillId="0" borderId="66" xfId="53" applyNumberFormat="1" applyFont="1" applyFill="1" applyBorder="1"/>
    <xf numFmtId="9" fontId="34" fillId="0" borderId="67" xfId="83" applyNumberFormat="1" applyFont="1" applyFill="1" applyBorder="1"/>
    <xf numFmtId="3" fontId="34" fillId="0" borderId="67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5" xfId="26" applyFont="1" applyFill="1" applyBorder="1" applyAlignment="1">
      <alignment horizontal="right"/>
    </xf>
    <xf numFmtId="170" fontId="32" fillId="0" borderId="4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4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45" xfId="0" applyFont="1" applyFill="1" applyBorder="1" applyAlignment="1">
      <alignment horizontal="center"/>
    </xf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3" fontId="3" fillId="0" borderId="63" xfId="53" applyNumberFormat="1" applyFont="1" applyFill="1" applyBorder="1"/>
    <xf numFmtId="0" fontId="34" fillId="2" borderId="45" xfId="0" applyNumberFormat="1" applyFont="1" applyFill="1" applyBorder="1" applyAlignment="1">
      <alignment horizontal="center"/>
    </xf>
    <xf numFmtId="3" fontId="3" fillId="0" borderId="64" xfId="53" applyNumberFormat="1" applyFont="1" applyFill="1" applyBorder="1"/>
    <xf numFmtId="3" fontId="3" fillId="0" borderId="69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1" xfId="74" applyFont="1" applyFill="1" applyBorder="1" applyAlignment="1">
      <alignment horizontal="center"/>
    </xf>
    <xf numFmtId="0" fontId="30" fillId="5" borderId="39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19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2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71" xfId="26" applyNumberFormat="1" applyFont="1" applyFill="1" applyBorder="1"/>
    <xf numFmtId="3" fontId="32" fillId="7" borderId="54" xfId="26" applyNumberFormat="1" applyFont="1" applyFill="1" applyBorder="1"/>
    <xf numFmtId="167" fontId="34" fillId="7" borderId="59" xfId="86" applyNumberFormat="1" applyFont="1" applyFill="1" applyBorder="1" applyAlignment="1">
      <alignment horizontal="right"/>
    </xf>
    <xf numFmtId="3" fontId="32" fillId="7" borderId="72" xfId="26" applyNumberFormat="1" applyFont="1" applyFill="1" applyBorder="1"/>
    <xf numFmtId="167" fontId="34" fillId="7" borderId="59" xfId="86" applyNumberFormat="1" applyFont="1" applyFill="1" applyBorder="1"/>
    <xf numFmtId="3" fontId="32" fillId="0" borderId="71" xfId="26" applyNumberFormat="1" applyFont="1" applyFill="1" applyBorder="1" applyAlignment="1">
      <alignment horizontal="center"/>
    </xf>
    <xf numFmtId="3" fontId="32" fillId="0" borderId="59" xfId="26" applyNumberFormat="1" applyFont="1" applyFill="1" applyBorder="1" applyAlignment="1">
      <alignment horizontal="center"/>
    </xf>
    <xf numFmtId="3" fontId="32" fillId="7" borderId="71" xfId="26" applyNumberFormat="1" applyFont="1" applyFill="1" applyBorder="1" applyAlignment="1">
      <alignment horizontal="center"/>
    </xf>
    <xf numFmtId="3" fontId="32" fillId="7" borderId="59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5" xfId="0" applyFont="1" applyFill="1" applyBorder="1" applyAlignment="1"/>
    <xf numFmtId="0" fontId="35" fillId="0" borderId="0" xfId="0" applyFont="1" applyFill="1" applyAlignment="1"/>
    <xf numFmtId="0" fontId="50" fillId="4" borderId="35" xfId="1" applyFont="1" applyFill="1" applyBorder="1"/>
    <xf numFmtId="0" fontId="50" fillId="4" borderId="19" xfId="1" applyFont="1" applyFill="1" applyBorder="1"/>
    <xf numFmtId="0" fontId="50" fillId="3" borderId="20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55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48" xfId="0" applyNumberFormat="1" applyFont="1" applyFill="1" applyBorder="1"/>
    <xf numFmtId="3" fontId="42" fillId="2" borderId="50" xfId="0" applyNumberFormat="1" applyFont="1" applyFill="1" applyBorder="1"/>
    <xf numFmtId="9" fontId="42" fillId="2" borderId="56" xfId="0" applyNumberFormat="1" applyFont="1" applyFill="1" applyBorder="1"/>
    <xf numFmtId="0" fontId="54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53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50" fillId="2" borderId="36" xfId="1" applyFont="1" applyFill="1" applyBorder="1" applyAlignment="1">
      <alignment horizontal="left" indent="2"/>
    </xf>
    <xf numFmtId="0" fontId="54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39" xfId="0" applyFont="1" applyFill="1" applyBorder="1" applyAlignment="1">
      <alignment horizontal="left" indent="2"/>
    </xf>
    <xf numFmtId="0" fontId="35" fillId="0" borderId="39" xfId="0" applyFont="1" applyBorder="1" applyAlignment="1"/>
    <xf numFmtId="3" fontId="35" fillId="0" borderId="39" xfId="0" applyNumberFormat="1" applyFont="1" applyBorder="1" applyAlignment="1"/>
    <xf numFmtId="9" fontId="35" fillId="0" borderId="39" xfId="0" applyNumberFormat="1" applyFont="1" applyBorder="1" applyAlignment="1"/>
    <xf numFmtId="0" fontId="54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4" fillId="4" borderId="53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2"/>
    </xf>
    <xf numFmtId="0" fontId="54" fillId="4" borderId="36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50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5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39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4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5" xfId="0" applyNumberFormat="1" applyFont="1" applyFill="1" applyBorder="1" applyAlignment="1"/>
    <xf numFmtId="9" fontId="35" fillId="0" borderId="4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8" fontId="3" fillId="0" borderId="39" xfId="26" applyNumberFormat="1" applyFont="1" applyFill="1" applyBorder="1" applyAlignment="1">
      <alignment vertical="center"/>
    </xf>
    <xf numFmtId="166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3" xfId="0" applyNumberFormat="1" applyFont="1" applyFill="1" applyBorder="1"/>
    <xf numFmtId="3" fontId="60" fillId="9" borderId="74" xfId="0" applyNumberFormat="1" applyFont="1" applyFill="1" applyBorder="1"/>
    <xf numFmtId="3" fontId="60" fillId="9" borderId="73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77" xfId="0" applyNumberFormat="1" applyFont="1" applyFill="1" applyBorder="1" applyAlignment="1">
      <alignment horizontal="center" vertical="center"/>
    </xf>
    <xf numFmtId="0" fontId="42" fillId="2" borderId="78" xfId="0" applyFont="1" applyFill="1" applyBorder="1" applyAlignment="1">
      <alignment horizontal="center" vertical="center"/>
    </xf>
    <xf numFmtId="3" fontId="62" fillId="2" borderId="80" xfId="0" applyNumberFormat="1" applyFont="1" applyFill="1" applyBorder="1" applyAlignment="1">
      <alignment horizontal="center" vertical="center" wrapText="1"/>
    </xf>
    <xf numFmtId="0" fontId="62" fillId="2" borderId="81" xfId="0" applyFont="1" applyFill="1" applyBorder="1" applyAlignment="1">
      <alignment horizontal="center" vertical="center" wrapText="1"/>
    </xf>
    <xf numFmtId="0" fontId="42" fillId="2" borderId="83" xfId="0" applyFont="1" applyFill="1" applyBorder="1" applyAlignment="1"/>
    <xf numFmtId="0" fontId="42" fillId="2" borderId="85" xfId="0" applyFont="1" applyFill="1" applyBorder="1" applyAlignment="1">
      <alignment horizontal="left" indent="1"/>
    </xf>
    <xf numFmtId="0" fontId="42" fillId="2" borderId="91" xfId="0" applyFont="1" applyFill="1" applyBorder="1" applyAlignment="1">
      <alignment horizontal="left" indent="1"/>
    </xf>
    <xf numFmtId="0" fontId="42" fillId="4" borderId="83" xfId="0" applyFont="1" applyFill="1" applyBorder="1" applyAlignment="1"/>
    <xf numFmtId="0" fontId="42" fillId="4" borderId="85" xfId="0" applyFont="1" applyFill="1" applyBorder="1" applyAlignment="1">
      <alignment horizontal="left" indent="1"/>
    </xf>
    <xf numFmtId="0" fontId="42" fillId="4" borderId="96" xfId="0" applyFont="1" applyFill="1" applyBorder="1" applyAlignment="1">
      <alignment horizontal="left" indent="1"/>
    </xf>
    <xf numFmtId="0" fontId="35" fillId="2" borderId="85" xfId="0" quotePrefix="1" applyFont="1" applyFill="1" applyBorder="1" applyAlignment="1">
      <alignment horizontal="left" indent="2"/>
    </xf>
    <xf numFmtId="0" fontId="35" fillId="2" borderId="91" xfId="0" quotePrefix="1" applyFont="1" applyFill="1" applyBorder="1" applyAlignment="1">
      <alignment horizontal="left" indent="2"/>
    </xf>
    <xf numFmtId="0" fontId="42" fillId="2" borderId="83" xfId="0" applyFont="1" applyFill="1" applyBorder="1" applyAlignment="1">
      <alignment horizontal="left" indent="1"/>
    </xf>
    <xf numFmtId="0" fontId="42" fillId="2" borderId="96" xfId="0" applyFont="1" applyFill="1" applyBorder="1" applyAlignment="1">
      <alignment horizontal="left" indent="1"/>
    </xf>
    <xf numFmtId="0" fontId="42" fillId="4" borderId="91" xfId="0" applyFont="1" applyFill="1" applyBorder="1" applyAlignment="1">
      <alignment horizontal="left" indent="1"/>
    </xf>
    <xf numFmtId="0" fontId="35" fillId="0" borderId="101" xfId="0" applyFont="1" applyBorder="1"/>
    <xf numFmtId="3" fontId="35" fillId="0" borderId="101" xfId="0" applyNumberFormat="1" applyFont="1" applyBorder="1"/>
    <xf numFmtId="0" fontId="42" fillId="4" borderId="75" xfId="0" applyFont="1" applyFill="1" applyBorder="1" applyAlignment="1">
      <alignment horizontal="center" vertical="center"/>
    </xf>
    <xf numFmtId="0" fontId="42" fillId="4" borderId="57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00" xfId="0" applyNumberFormat="1" applyFont="1" applyFill="1" applyBorder="1" applyAlignment="1">
      <alignment horizontal="center" vertical="center"/>
    </xf>
    <xf numFmtId="3" fontId="62" fillId="2" borderId="98" xfId="0" applyNumberFormat="1" applyFont="1" applyFill="1" applyBorder="1" applyAlignment="1">
      <alignment horizontal="center" vertical="center" wrapText="1"/>
    </xf>
    <xf numFmtId="173" fontId="42" fillId="4" borderId="84" xfId="0" applyNumberFormat="1" applyFont="1" applyFill="1" applyBorder="1" applyAlignment="1"/>
    <xf numFmtId="173" fontId="42" fillId="4" borderId="77" xfId="0" applyNumberFormat="1" applyFont="1" applyFill="1" applyBorder="1" applyAlignment="1"/>
    <xf numFmtId="173" fontId="42" fillId="4" borderId="78" xfId="0" applyNumberFormat="1" applyFont="1" applyFill="1" applyBorder="1" applyAlignment="1"/>
    <xf numFmtId="173" fontId="42" fillId="0" borderId="86" xfId="0" applyNumberFormat="1" applyFont="1" applyBorder="1"/>
    <xf numFmtId="173" fontId="35" fillId="0" borderId="90" xfId="0" applyNumberFormat="1" applyFont="1" applyBorder="1"/>
    <xf numFmtId="173" fontId="35" fillId="0" borderId="88" xfId="0" applyNumberFormat="1" applyFont="1" applyBorder="1"/>
    <xf numFmtId="173" fontId="42" fillId="0" borderId="97" xfId="0" applyNumberFormat="1" applyFont="1" applyBorder="1"/>
    <xf numFmtId="173" fontId="35" fillId="0" borderId="98" xfId="0" applyNumberFormat="1" applyFont="1" applyBorder="1"/>
    <xf numFmtId="173" fontId="35" fillId="0" borderId="81" xfId="0" applyNumberFormat="1" applyFont="1" applyBorder="1"/>
    <xf numFmtId="173" fontId="42" fillId="2" borderId="99" xfId="0" applyNumberFormat="1" applyFont="1" applyFill="1" applyBorder="1" applyAlignment="1"/>
    <xf numFmtId="173" fontId="42" fillId="2" borderId="77" xfId="0" applyNumberFormat="1" applyFont="1" applyFill="1" applyBorder="1" applyAlignment="1"/>
    <xf numFmtId="173" fontId="42" fillId="2" borderId="78" xfId="0" applyNumberFormat="1" applyFont="1" applyFill="1" applyBorder="1" applyAlignment="1"/>
    <xf numFmtId="173" fontId="42" fillId="0" borderId="92" xfId="0" applyNumberFormat="1" applyFont="1" applyBorder="1"/>
    <xf numFmtId="173" fontId="35" fillId="0" borderId="93" xfId="0" applyNumberFormat="1" applyFont="1" applyBorder="1"/>
    <xf numFmtId="173" fontId="35" fillId="0" borderId="94" xfId="0" applyNumberFormat="1" applyFont="1" applyBorder="1"/>
    <xf numFmtId="173" fontId="42" fillId="0" borderId="84" xfId="0" applyNumberFormat="1" applyFont="1" applyBorder="1"/>
    <xf numFmtId="173" fontId="35" fillId="0" borderId="100" xfId="0" applyNumberFormat="1" applyFont="1" applyBorder="1"/>
    <xf numFmtId="173" fontId="35" fillId="0" borderId="78" xfId="0" applyNumberFormat="1" applyFont="1" applyBorder="1"/>
    <xf numFmtId="174" fontId="42" fillId="2" borderId="84" xfId="0" applyNumberFormat="1" applyFont="1" applyFill="1" applyBorder="1" applyAlignment="1"/>
    <xf numFmtId="174" fontId="35" fillId="2" borderId="77" xfId="0" applyNumberFormat="1" applyFont="1" applyFill="1" applyBorder="1" applyAlignment="1"/>
    <xf numFmtId="174" fontId="35" fillId="2" borderId="78" xfId="0" applyNumberFormat="1" applyFont="1" applyFill="1" applyBorder="1" applyAlignment="1"/>
    <xf numFmtId="174" fontId="42" fillId="0" borderId="86" xfId="0" applyNumberFormat="1" applyFont="1" applyBorder="1"/>
    <xf numFmtId="174" fontId="35" fillId="0" borderId="87" xfId="0" applyNumberFormat="1" applyFont="1" applyBorder="1"/>
    <xf numFmtId="174" fontId="35" fillId="0" borderId="88" xfId="0" applyNumberFormat="1" applyFont="1" applyBorder="1"/>
    <xf numFmtId="174" fontId="35" fillId="0" borderId="90" xfId="0" applyNumberFormat="1" applyFont="1" applyBorder="1"/>
    <xf numFmtId="174" fontId="42" fillId="0" borderId="92" xfId="0" applyNumberFormat="1" applyFont="1" applyBorder="1"/>
    <xf numFmtId="174" fontId="35" fillId="0" borderId="93" xfId="0" applyNumberFormat="1" applyFont="1" applyBorder="1"/>
    <xf numFmtId="174" fontId="35" fillId="0" borderId="94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84" xfId="0" applyNumberFormat="1" applyFont="1" applyFill="1" applyBorder="1" applyAlignment="1">
      <alignment horizontal="center"/>
    </xf>
    <xf numFmtId="175" fontId="42" fillId="0" borderId="92" xfId="0" applyNumberFormat="1" applyFont="1" applyBorder="1"/>
    <xf numFmtId="0" fontId="34" fillId="2" borderId="109" xfId="74" applyFont="1" applyFill="1" applyBorder="1" applyAlignment="1">
      <alignment horizontal="center"/>
    </xf>
    <xf numFmtId="0" fontId="34" fillId="2" borderId="79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82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5" xfId="53" applyNumberFormat="1" applyFont="1" applyFill="1" applyBorder="1"/>
    <xf numFmtId="3" fontId="34" fillId="0" borderId="66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89" xfId="0" applyFont="1" applyFill="1" applyBorder="1"/>
    <xf numFmtId="0" fontId="35" fillId="0" borderId="90" xfId="0" applyFont="1" applyBorder="1" applyAlignment="1"/>
    <xf numFmtId="9" fontId="35" fillId="0" borderId="88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01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86" xfId="0" applyNumberFormat="1" applyFont="1" applyBorder="1"/>
    <xf numFmtId="9" fontId="35" fillId="0" borderId="90" xfId="0" applyNumberFormat="1" applyFont="1" applyBorder="1"/>
    <xf numFmtId="9" fontId="35" fillId="0" borderId="88" xfId="0" applyNumberFormat="1" applyFont="1" applyBorder="1"/>
    <xf numFmtId="0" fontId="43" fillId="0" borderId="101" xfId="0" applyFont="1" applyFill="1" applyBorder="1" applyAlignment="1"/>
    <xf numFmtId="0" fontId="42" fillId="3" borderId="28" xfId="0" applyFont="1" applyFill="1" applyBorder="1" applyAlignment="1"/>
    <xf numFmtId="0" fontId="35" fillId="0" borderId="40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43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41" xfId="81" applyFont="1" applyFill="1" applyBorder="1" applyAlignment="1">
      <alignment horizontal="center"/>
    </xf>
    <xf numFmtId="0" fontId="34" fillId="2" borderId="70" xfId="81" applyFont="1" applyFill="1" applyBorder="1" applyAlignment="1">
      <alignment horizontal="center"/>
    </xf>
    <xf numFmtId="0" fontId="34" fillId="2" borderId="42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09" xfId="81" applyFont="1" applyFill="1" applyBorder="1" applyAlignment="1">
      <alignment horizontal="center"/>
    </xf>
    <xf numFmtId="0" fontId="34" fillId="2" borderId="105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34" fillId="2" borderId="97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58" xfId="78" applyNumberFormat="1" applyFont="1" applyFill="1" applyBorder="1" applyAlignment="1">
      <alignment horizontal="left"/>
    </xf>
    <xf numFmtId="0" fontId="35" fillId="2" borderId="49" xfId="0" applyFont="1" applyFill="1" applyBorder="1" applyAlignment="1"/>
    <xf numFmtId="3" fontId="31" fillId="2" borderId="51" xfId="78" applyNumberFormat="1" applyFont="1" applyFill="1" applyBorder="1" applyAlignment="1"/>
    <xf numFmtId="0" fontId="42" fillId="2" borderId="58" xfId="0" applyFont="1" applyFill="1" applyBorder="1" applyAlignment="1">
      <alignment horizontal="left"/>
    </xf>
    <xf numFmtId="0" fontId="35" fillId="2" borderId="45" xfId="0" applyFont="1" applyFill="1" applyBorder="1" applyAlignment="1">
      <alignment horizontal="left"/>
    </xf>
    <xf numFmtId="0" fontId="35" fillId="2" borderId="49" xfId="0" applyFont="1" applyFill="1" applyBorder="1" applyAlignment="1">
      <alignment horizontal="left"/>
    </xf>
    <xf numFmtId="0" fontId="42" fillId="2" borderId="51" xfId="0" applyFont="1" applyFill="1" applyBorder="1" applyAlignment="1">
      <alignment horizontal="left"/>
    </xf>
    <xf numFmtId="3" fontId="42" fillId="2" borderId="51" xfId="0" applyNumberFormat="1" applyFont="1" applyFill="1" applyBorder="1" applyAlignment="1">
      <alignment horizontal="left"/>
    </xf>
    <xf numFmtId="3" fontId="35" fillId="2" borderId="46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99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2" xfId="80" applyFont="1" applyFill="1" applyBorder="1" applyAlignment="1">
      <alignment horizontal="left"/>
    </xf>
    <xf numFmtId="166" fontId="42" fillId="2" borderId="76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56" xfId="0" applyFont="1" applyFill="1" applyBorder="1" applyAlignment="1">
      <alignment vertical="center"/>
    </xf>
    <xf numFmtId="3" fontId="34" fillId="2" borderId="58" xfId="26" applyNumberFormat="1" applyFont="1" applyFill="1" applyBorder="1" applyAlignment="1">
      <alignment horizontal="center"/>
    </xf>
    <xf numFmtId="3" fontId="34" fillId="2" borderId="45" xfId="26" applyNumberFormat="1" applyFont="1" applyFill="1" applyBorder="1" applyAlignment="1">
      <alignment horizontal="center"/>
    </xf>
    <xf numFmtId="3" fontId="34" fillId="2" borderId="46" xfId="26" applyNumberFormat="1" applyFont="1" applyFill="1" applyBorder="1" applyAlignment="1">
      <alignment horizontal="center"/>
    </xf>
    <xf numFmtId="3" fontId="34" fillId="2" borderId="110" xfId="26" applyNumberFormat="1" applyFont="1" applyFill="1" applyBorder="1" applyAlignment="1">
      <alignment horizontal="center"/>
    </xf>
    <xf numFmtId="3" fontId="34" fillId="2" borderId="101" xfId="26" applyNumberFormat="1" applyFont="1" applyFill="1" applyBorder="1" applyAlignment="1">
      <alignment horizontal="center"/>
    </xf>
    <xf numFmtId="3" fontId="34" fillId="2" borderId="76" xfId="26" applyNumberFormat="1" applyFont="1" applyFill="1" applyBorder="1" applyAlignment="1">
      <alignment horizontal="center"/>
    </xf>
    <xf numFmtId="3" fontId="34" fillId="2" borderId="46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58" xfId="0" quotePrefix="1" applyFont="1" applyFill="1" applyBorder="1" applyAlignment="1">
      <alignment horizontal="center"/>
    </xf>
    <xf numFmtId="0" fontId="34" fillId="2" borderId="46" xfId="0" applyFont="1" applyFill="1" applyBorder="1" applyAlignment="1">
      <alignment horizontal="center"/>
    </xf>
    <xf numFmtId="9" fontId="47" fillId="2" borderId="46" xfId="0" applyNumberFormat="1" applyFont="1" applyFill="1" applyBorder="1" applyAlignment="1">
      <alignment horizontal="center" vertical="top"/>
    </xf>
    <xf numFmtId="0" fontId="34" fillId="2" borderId="75" xfId="0" applyNumberFormat="1" applyFont="1" applyFill="1" applyBorder="1" applyAlignment="1">
      <alignment horizontal="center" vertical="top"/>
    </xf>
    <xf numFmtId="0" fontId="34" fillId="2" borderId="75" xfId="0" applyFont="1" applyFill="1" applyBorder="1" applyAlignment="1">
      <alignment horizontal="center" vertical="top" wrapText="1"/>
    </xf>
    <xf numFmtId="0" fontId="34" fillId="2" borderId="58" xfId="0" quotePrefix="1" applyNumberFormat="1" applyFont="1" applyFill="1" applyBorder="1" applyAlignment="1">
      <alignment horizontal="center"/>
    </xf>
    <xf numFmtId="0" fontId="34" fillId="2" borderId="46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7" fillId="2" borderId="46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58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58" xfId="26" applyNumberFormat="1" applyFont="1" applyFill="1" applyBorder="1" applyAlignment="1">
      <alignment horizontal="center"/>
    </xf>
    <xf numFmtId="3" fontId="34" fillId="4" borderId="45" xfId="26" applyNumberFormat="1" applyFont="1" applyFill="1" applyBorder="1" applyAlignment="1">
      <alignment horizontal="center"/>
    </xf>
    <xf numFmtId="3" fontId="34" fillId="4" borderId="46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57" xfId="26" applyNumberFormat="1" applyFont="1" applyFill="1" applyBorder="1" applyAlignment="1">
      <alignment horizontal="center" vertical="center" wrapText="1"/>
    </xf>
    <xf numFmtId="3" fontId="34" fillId="3" borderId="58" xfId="26" applyNumberFormat="1" applyFont="1" applyFill="1" applyBorder="1" applyAlignment="1">
      <alignment horizontal="center"/>
    </xf>
    <xf numFmtId="3" fontId="34" fillId="3" borderId="45" xfId="26" applyNumberFormat="1" applyFont="1" applyFill="1" applyBorder="1" applyAlignment="1">
      <alignment horizontal="center"/>
    </xf>
    <xf numFmtId="3" fontId="34" fillId="3" borderId="46" xfId="26" applyNumberFormat="1" applyFont="1" applyFill="1" applyBorder="1" applyAlignment="1">
      <alignment horizontal="center"/>
    </xf>
    <xf numFmtId="3" fontId="34" fillId="0" borderId="45" xfId="26" applyNumberFormat="1" applyFont="1" applyFill="1" applyBorder="1" applyAlignment="1">
      <alignment horizontal="right" vertical="top"/>
    </xf>
    <xf numFmtId="0" fontId="35" fillId="0" borderId="45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57" xfId="26" applyNumberFormat="1" applyFont="1" applyFill="1" applyBorder="1" applyAlignment="1">
      <alignment horizontal="center" vertical="center"/>
    </xf>
    <xf numFmtId="3" fontId="3" fillId="2" borderId="58" xfId="27" applyNumberFormat="1" applyFont="1" applyFill="1" applyBorder="1" applyAlignment="1">
      <alignment horizontal="center"/>
    </xf>
    <xf numFmtId="0" fontId="35" fillId="2" borderId="45" xfId="14" applyFont="1" applyFill="1" applyBorder="1" applyAlignment="1">
      <alignment horizontal="center"/>
    </xf>
    <xf numFmtId="0" fontId="35" fillId="2" borderId="46" xfId="14" applyFont="1" applyFill="1" applyBorder="1" applyAlignment="1">
      <alignment horizontal="center"/>
    </xf>
    <xf numFmtId="3" fontId="3" fillId="2" borderId="58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8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8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48" xfId="76" applyNumberFormat="1" applyFont="1" applyFill="1" applyBorder="1" applyAlignment="1">
      <alignment horizontal="center" vertical="center"/>
    </xf>
    <xf numFmtId="3" fontId="34" fillId="2" borderId="5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68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4" xfId="0" applyNumberFormat="1" applyFont="1" applyFill="1" applyBorder="1" applyAlignment="1">
      <alignment horizontal="right" vertical="top"/>
    </xf>
    <xf numFmtId="3" fontId="36" fillId="10" borderId="115" xfId="0" applyNumberFormat="1" applyFont="1" applyFill="1" applyBorder="1" applyAlignment="1">
      <alignment horizontal="right" vertical="top"/>
    </xf>
    <xf numFmtId="176" fontId="36" fillId="10" borderId="116" xfId="0" applyNumberFormat="1" applyFont="1" applyFill="1" applyBorder="1" applyAlignment="1">
      <alignment horizontal="right" vertical="top"/>
    </xf>
    <xf numFmtId="3" fontId="36" fillId="0" borderId="114" xfId="0" applyNumberFormat="1" applyFont="1" applyBorder="1" applyAlignment="1">
      <alignment horizontal="right" vertical="top"/>
    </xf>
    <xf numFmtId="176" fontId="36" fillId="10" borderId="117" xfId="0" applyNumberFormat="1" applyFont="1" applyFill="1" applyBorder="1" applyAlignment="1">
      <alignment horizontal="right" vertical="top"/>
    </xf>
    <xf numFmtId="3" fontId="38" fillId="10" borderId="119" xfId="0" applyNumberFormat="1" applyFont="1" applyFill="1" applyBorder="1" applyAlignment="1">
      <alignment horizontal="right" vertical="top"/>
    </xf>
    <xf numFmtId="3" fontId="38" fillId="10" borderId="120" xfId="0" applyNumberFormat="1" applyFont="1" applyFill="1" applyBorder="1" applyAlignment="1">
      <alignment horizontal="right" vertical="top"/>
    </xf>
    <xf numFmtId="0" fontId="38" fillId="10" borderId="121" xfId="0" applyFont="1" applyFill="1" applyBorder="1" applyAlignment="1">
      <alignment horizontal="right" vertical="top"/>
    </xf>
    <xf numFmtId="3" fontId="38" fillId="0" borderId="119" xfId="0" applyNumberFormat="1" applyFont="1" applyBorder="1" applyAlignment="1">
      <alignment horizontal="right" vertical="top"/>
    </xf>
    <xf numFmtId="0" fontId="38" fillId="10" borderId="122" xfId="0" applyFont="1" applyFill="1" applyBorder="1" applyAlignment="1">
      <alignment horizontal="right" vertical="top"/>
    </xf>
    <xf numFmtId="0" fontId="36" fillId="10" borderId="116" xfId="0" applyFont="1" applyFill="1" applyBorder="1" applyAlignment="1">
      <alignment horizontal="right" vertical="top"/>
    </xf>
    <xf numFmtId="0" fontId="36" fillId="10" borderId="117" xfId="0" applyFont="1" applyFill="1" applyBorder="1" applyAlignment="1">
      <alignment horizontal="right" vertical="top"/>
    </xf>
    <xf numFmtId="176" fontId="38" fillId="10" borderId="121" xfId="0" applyNumberFormat="1" applyFont="1" applyFill="1" applyBorder="1" applyAlignment="1">
      <alignment horizontal="right" vertical="top"/>
    </xf>
    <xf numFmtId="176" fontId="38" fillId="10" borderId="122" xfId="0" applyNumberFormat="1" applyFont="1" applyFill="1" applyBorder="1" applyAlignment="1">
      <alignment horizontal="right" vertical="top"/>
    </xf>
    <xf numFmtId="3" fontId="38" fillId="0" borderId="123" xfId="0" applyNumberFormat="1" applyFont="1" applyBorder="1" applyAlignment="1">
      <alignment horizontal="right" vertical="top"/>
    </xf>
    <xf numFmtId="3" fontId="38" fillId="0" borderId="124" xfId="0" applyNumberFormat="1" applyFont="1" applyBorder="1" applyAlignment="1">
      <alignment horizontal="right" vertical="top"/>
    </xf>
    <xf numFmtId="0" fontId="38" fillId="0" borderId="125" xfId="0" applyFont="1" applyBorder="1" applyAlignment="1">
      <alignment horizontal="right" vertical="top"/>
    </xf>
    <xf numFmtId="176" fontId="38" fillId="10" borderId="126" xfId="0" applyNumberFormat="1" applyFont="1" applyFill="1" applyBorder="1" applyAlignment="1">
      <alignment horizontal="right" vertical="top"/>
    </xf>
    <xf numFmtId="0" fontId="40" fillId="11" borderId="113" xfId="0" applyFont="1" applyFill="1" applyBorder="1" applyAlignment="1">
      <alignment vertical="top"/>
    </xf>
    <xf numFmtId="0" fontId="40" fillId="11" borderId="113" xfId="0" applyFont="1" applyFill="1" applyBorder="1" applyAlignment="1">
      <alignment vertical="top" indent="2"/>
    </xf>
    <xf numFmtId="0" fontId="40" fillId="11" borderId="113" xfId="0" applyFont="1" applyFill="1" applyBorder="1" applyAlignment="1">
      <alignment vertical="top" indent="4"/>
    </xf>
    <xf numFmtId="0" fontId="41" fillId="11" borderId="118" xfId="0" applyFont="1" applyFill="1" applyBorder="1" applyAlignment="1">
      <alignment vertical="top" indent="6"/>
    </xf>
    <xf numFmtId="0" fontId="40" fillId="11" borderId="113" xfId="0" applyFont="1" applyFill="1" applyBorder="1" applyAlignment="1">
      <alignment vertical="top" indent="8"/>
    </xf>
    <xf numFmtId="0" fontId="41" fillId="11" borderId="118" xfId="0" applyFont="1" applyFill="1" applyBorder="1" applyAlignment="1">
      <alignment vertical="top" indent="2"/>
    </xf>
    <xf numFmtId="0" fontId="40" fillId="11" borderId="113" xfId="0" applyFont="1" applyFill="1" applyBorder="1" applyAlignment="1">
      <alignment vertical="top" indent="6"/>
    </xf>
    <xf numFmtId="0" fontId="41" fillId="11" borderId="118" xfId="0" applyFont="1" applyFill="1" applyBorder="1" applyAlignment="1">
      <alignment vertical="top" indent="4"/>
    </xf>
    <xf numFmtId="0" fontId="41" fillId="11" borderId="118" xfId="0" applyFont="1" applyFill="1" applyBorder="1" applyAlignment="1">
      <alignment vertical="top"/>
    </xf>
    <xf numFmtId="0" fontId="35" fillId="11" borderId="11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27" xfId="53" applyNumberFormat="1" applyFont="1" applyFill="1" applyBorder="1" applyAlignment="1">
      <alignment horizontal="left"/>
    </xf>
    <xf numFmtId="164" fontId="34" fillId="2" borderId="128" xfId="53" applyNumberFormat="1" applyFont="1" applyFill="1" applyBorder="1" applyAlignment="1">
      <alignment horizontal="left"/>
    </xf>
    <xf numFmtId="164" fontId="34" fillId="2" borderId="54" xfId="53" applyNumberFormat="1" applyFont="1" applyFill="1" applyBorder="1" applyAlignment="1">
      <alignment horizontal="left"/>
    </xf>
    <xf numFmtId="3" fontId="34" fillId="2" borderId="54" xfId="53" applyNumberFormat="1" applyFont="1" applyFill="1" applyBorder="1" applyAlignment="1">
      <alignment horizontal="left"/>
    </xf>
    <xf numFmtId="3" fontId="34" fillId="2" borderId="59" xfId="53" applyNumberFormat="1" applyFont="1" applyFill="1" applyBorder="1" applyAlignment="1">
      <alignment horizontal="left"/>
    </xf>
    <xf numFmtId="3" fontId="35" fillId="0" borderId="128" xfId="0" applyNumberFormat="1" applyFont="1" applyFill="1" applyBorder="1"/>
    <xf numFmtId="3" fontId="35" fillId="0" borderId="130" xfId="0" applyNumberFormat="1" applyFont="1" applyFill="1" applyBorder="1"/>
    <xf numFmtId="0" fontId="35" fillId="0" borderId="77" xfId="0" applyFont="1" applyFill="1" applyBorder="1"/>
    <xf numFmtId="0" fontId="35" fillId="0" borderId="78" xfId="0" applyFont="1" applyFill="1" applyBorder="1"/>
    <xf numFmtId="164" fontId="35" fillId="0" borderId="78" xfId="0" applyNumberFormat="1" applyFont="1" applyFill="1" applyBorder="1"/>
    <xf numFmtId="164" fontId="35" fillId="0" borderId="78" xfId="0" applyNumberFormat="1" applyFont="1" applyFill="1" applyBorder="1" applyAlignment="1">
      <alignment horizontal="right"/>
    </xf>
    <xf numFmtId="3" fontId="35" fillId="0" borderId="78" xfId="0" applyNumberFormat="1" applyFont="1" applyFill="1" applyBorder="1"/>
    <xf numFmtId="3" fontId="35" fillId="0" borderId="79" xfId="0" applyNumberFormat="1" applyFont="1" applyFill="1" applyBorder="1"/>
    <xf numFmtId="0" fontId="35" fillId="0" borderId="87" xfId="0" applyFont="1" applyFill="1" applyBorder="1"/>
    <xf numFmtId="0" fontId="35" fillId="0" borderId="88" xfId="0" applyFont="1" applyFill="1" applyBorder="1"/>
    <xf numFmtId="164" fontId="35" fillId="0" borderId="88" xfId="0" applyNumberFormat="1" applyFont="1" applyFill="1" applyBorder="1"/>
    <xf numFmtId="164" fontId="35" fillId="0" borderId="88" xfId="0" applyNumberFormat="1" applyFont="1" applyFill="1" applyBorder="1" applyAlignment="1">
      <alignment horizontal="right"/>
    </xf>
    <xf numFmtId="3" fontId="35" fillId="0" borderId="88" xfId="0" applyNumberFormat="1" applyFont="1" applyFill="1" applyBorder="1"/>
    <xf numFmtId="3" fontId="35" fillId="0" borderId="89" xfId="0" applyNumberFormat="1" applyFont="1" applyFill="1" applyBorder="1"/>
    <xf numFmtId="0" fontId="35" fillId="0" borderId="80" xfId="0" applyFont="1" applyFill="1" applyBorder="1"/>
    <xf numFmtId="0" fontId="35" fillId="0" borderId="81" xfId="0" applyFont="1" applyFill="1" applyBorder="1"/>
    <xf numFmtId="164" fontId="35" fillId="0" borderId="81" xfId="0" applyNumberFormat="1" applyFont="1" applyFill="1" applyBorder="1"/>
    <xf numFmtId="164" fontId="35" fillId="0" borderId="81" xfId="0" applyNumberFormat="1" applyFont="1" applyFill="1" applyBorder="1" applyAlignment="1">
      <alignment horizontal="right"/>
    </xf>
    <xf numFmtId="3" fontId="35" fillId="0" borderId="81" xfId="0" applyNumberFormat="1" applyFont="1" applyFill="1" applyBorder="1"/>
    <xf numFmtId="3" fontId="35" fillId="0" borderId="82" xfId="0" applyNumberFormat="1" applyFont="1" applyFill="1" applyBorder="1"/>
    <xf numFmtId="0" fontId="42" fillId="2" borderId="127" xfId="0" applyFont="1" applyFill="1" applyBorder="1"/>
    <xf numFmtId="3" fontId="42" fillId="2" borderId="129" xfId="0" applyNumberFormat="1" applyFont="1" applyFill="1" applyBorder="1"/>
    <xf numFmtId="9" fontId="42" fillId="2" borderId="72" xfId="0" applyNumberFormat="1" applyFont="1" applyFill="1" applyBorder="1"/>
    <xf numFmtId="3" fontId="42" fillId="2" borderId="59" xfId="0" applyNumberFormat="1" applyFont="1" applyFill="1" applyBorder="1"/>
    <xf numFmtId="9" fontId="35" fillId="0" borderId="128" xfId="0" applyNumberFormat="1" applyFont="1" applyFill="1" applyBorder="1"/>
    <xf numFmtId="9" fontId="35" fillId="0" borderId="78" xfId="0" applyNumberFormat="1" applyFont="1" applyFill="1" applyBorder="1"/>
    <xf numFmtId="9" fontId="35" fillId="0" borderId="88" xfId="0" applyNumberFormat="1" applyFont="1" applyFill="1" applyBorder="1"/>
    <xf numFmtId="9" fontId="35" fillId="0" borderId="81" xfId="0" applyNumberFormat="1" applyFont="1" applyFill="1" applyBorder="1"/>
    <xf numFmtId="3" fontId="35" fillId="0" borderId="94" xfId="0" applyNumberFormat="1" applyFont="1" applyFill="1" applyBorder="1"/>
    <xf numFmtId="9" fontId="35" fillId="0" borderId="94" xfId="0" applyNumberFormat="1" applyFont="1" applyFill="1" applyBorder="1"/>
    <xf numFmtId="3" fontId="35" fillId="0" borderId="95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77" xfId="0" applyFont="1" applyFill="1" applyBorder="1"/>
    <xf numFmtId="0" fontId="42" fillId="0" borderId="87" xfId="0" applyFont="1" applyFill="1" applyBorder="1"/>
    <xf numFmtId="0" fontId="42" fillId="0" borderId="131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2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4" xfId="80" applyNumberFormat="1" applyFont="1" applyFill="1" applyBorder="1"/>
    <xf numFmtId="3" fontId="3" fillId="2" borderId="95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0" fontId="42" fillId="0" borderId="127" xfId="0" applyFont="1" applyFill="1" applyBorder="1"/>
    <xf numFmtId="9" fontId="35" fillId="0" borderId="79" xfId="0" applyNumberFormat="1" applyFont="1" applyFill="1" applyBorder="1"/>
    <xf numFmtId="9" fontId="35" fillId="0" borderId="89" xfId="0" applyNumberFormat="1" applyFont="1" applyFill="1" applyBorder="1"/>
    <xf numFmtId="9" fontId="35" fillId="0" borderId="82" xfId="0" applyNumberFormat="1" applyFont="1" applyFill="1" applyBorder="1"/>
    <xf numFmtId="0" fontId="42" fillId="0" borderId="109" xfId="0" applyFont="1" applyFill="1" applyBorder="1"/>
    <xf numFmtId="0" fontId="42" fillId="0" borderId="107" xfId="0" applyFont="1" applyFill="1" applyBorder="1" applyAlignment="1">
      <alignment horizontal="left" indent="1"/>
    </xf>
    <xf numFmtId="0" fontId="42" fillId="0" borderId="108" xfId="0" applyFont="1" applyFill="1" applyBorder="1" applyAlignment="1">
      <alignment horizontal="left" indent="1"/>
    </xf>
    <xf numFmtId="9" fontId="35" fillId="0" borderId="100" xfId="0" applyNumberFormat="1" applyFont="1" applyFill="1" applyBorder="1"/>
    <xf numFmtId="9" fontId="35" fillId="0" borderId="90" xfId="0" applyNumberFormat="1" applyFont="1" applyFill="1" applyBorder="1"/>
    <xf numFmtId="9" fontId="35" fillId="0" borderId="98" xfId="0" applyNumberFormat="1" applyFont="1" applyFill="1" applyBorder="1"/>
    <xf numFmtId="3" fontId="35" fillId="0" borderId="77" xfId="0" applyNumberFormat="1" applyFont="1" applyFill="1" applyBorder="1"/>
    <xf numFmtId="3" fontId="35" fillId="0" borderId="87" xfId="0" applyNumberFormat="1" applyFont="1" applyFill="1" applyBorder="1"/>
    <xf numFmtId="3" fontId="35" fillId="0" borderId="80" xfId="0" applyNumberFormat="1" applyFont="1" applyFill="1" applyBorder="1"/>
    <xf numFmtId="9" fontId="35" fillId="0" borderId="104" xfId="0" applyNumberFormat="1" applyFont="1" applyFill="1" applyBorder="1"/>
    <xf numFmtId="9" fontId="35" fillId="0" borderId="102" xfId="0" applyNumberFormat="1" applyFont="1" applyFill="1" applyBorder="1"/>
    <xf numFmtId="9" fontId="35" fillId="0" borderId="103" xfId="0" applyNumberFormat="1" applyFont="1" applyFill="1" applyBorder="1"/>
    <xf numFmtId="9" fontId="32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2" fillId="11" borderId="109" xfId="0" applyFont="1" applyFill="1" applyBorder="1"/>
    <xf numFmtId="0" fontId="42" fillId="11" borderId="107" xfId="0" applyFont="1" applyFill="1" applyBorder="1"/>
    <xf numFmtId="0" fontId="42" fillId="11" borderId="108" xfId="0" applyFont="1" applyFill="1" applyBorder="1"/>
    <xf numFmtId="0" fontId="3" fillId="2" borderId="94" xfId="80" applyFont="1" applyFill="1" applyBorder="1"/>
    <xf numFmtId="3" fontId="35" fillId="0" borderId="104" xfId="0" applyNumberFormat="1" applyFont="1" applyFill="1" applyBorder="1"/>
    <xf numFmtId="3" fontId="35" fillId="0" borderId="102" xfId="0" applyNumberFormat="1" applyFont="1" applyFill="1" applyBorder="1"/>
    <xf numFmtId="3" fontId="35" fillId="0" borderId="103" xfId="0" applyNumberFormat="1" applyFont="1" applyFill="1" applyBorder="1"/>
    <xf numFmtId="0" fontId="35" fillId="0" borderId="109" xfId="0" applyFont="1" applyFill="1" applyBorder="1"/>
    <xf numFmtId="0" fontId="35" fillId="0" borderId="107" xfId="0" applyFont="1" applyFill="1" applyBorder="1"/>
    <xf numFmtId="0" fontId="35" fillId="0" borderId="108" xfId="0" applyFont="1" applyFill="1" applyBorder="1"/>
    <xf numFmtId="3" fontId="35" fillId="0" borderId="100" xfId="0" applyNumberFormat="1" applyFont="1" applyFill="1" applyBorder="1"/>
    <xf numFmtId="3" fontId="35" fillId="0" borderId="90" xfId="0" applyNumberFormat="1" applyFont="1" applyFill="1" applyBorder="1"/>
    <xf numFmtId="3" fontId="35" fillId="0" borderId="98" xfId="0" applyNumberFormat="1" applyFont="1" applyFill="1" applyBorder="1"/>
    <xf numFmtId="173" fontId="42" fillId="4" borderId="133" xfId="0" applyNumberFormat="1" applyFont="1" applyFill="1" applyBorder="1" applyAlignment="1">
      <alignment horizontal="center"/>
    </xf>
    <xf numFmtId="173" fontId="42" fillId="4" borderId="134" xfId="0" applyNumberFormat="1" applyFont="1" applyFill="1" applyBorder="1" applyAlignment="1">
      <alignment horizontal="center"/>
    </xf>
    <xf numFmtId="0" fontId="0" fillId="0" borderId="134" xfId="0" applyBorder="1" applyAlignment="1"/>
    <xf numFmtId="0" fontId="0" fillId="0" borderId="134" xfId="0" applyBorder="1" applyAlignment="1">
      <alignment horizontal="center"/>
    </xf>
    <xf numFmtId="173" fontId="35" fillId="0" borderId="135" xfId="0" applyNumberFormat="1" applyFont="1" applyBorder="1" applyAlignment="1">
      <alignment horizontal="right"/>
    </xf>
    <xf numFmtId="173" fontId="35" fillId="0" borderId="136" xfId="0" applyNumberFormat="1" applyFont="1" applyBorder="1" applyAlignment="1">
      <alignment horizontal="right"/>
    </xf>
    <xf numFmtId="0" fontId="0" fillId="0" borderId="136" xfId="0" applyBorder="1" applyAlignment="1">
      <alignment horizontal="right"/>
    </xf>
    <xf numFmtId="173" fontId="35" fillId="0" borderId="136" xfId="0" applyNumberFormat="1" applyFont="1" applyBorder="1" applyAlignment="1">
      <alignment horizontal="right" wrapText="1"/>
    </xf>
    <xf numFmtId="0" fontId="0" fillId="0" borderId="136" xfId="0" applyBorder="1" applyAlignment="1">
      <alignment horizontal="right" wrapText="1"/>
    </xf>
    <xf numFmtId="175" fontId="35" fillId="0" borderId="135" xfId="0" applyNumberFormat="1" applyFont="1" applyBorder="1" applyAlignment="1">
      <alignment horizontal="right"/>
    </xf>
    <xf numFmtId="175" fontId="35" fillId="0" borderId="136" xfId="0" applyNumberFormat="1" applyFont="1" applyBorder="1" applyAlignment="1">
      <alignment horizontal="right"/>
    </xf>
    <xf numFmtId="173" fontId="35" fillId="0" borderId="137" xfId="0" applyNumberFormat="1" applyFont="1" applyBorder="1" applyAlignment="1">
      <alignment horizontal="right"/>
    </xf>
    <xf numFmtId="173" fontId="35" fillId="0" borderId="138" xfId="0" applyNumberFormat="1" applyFont="1" applyBorder="1" applyAlignment="1">
      <alignment horizontal="right"/>
    </xf>
    <xf numFmtId="0" fontId="0" fillId="0" borderId="138" xfId="0" applyBorder="1" applyAlignment="1">
      <alignment horizontal="right"/>
    </xf>
    <xf numFmtId="0" fontId="42" fillId="2" borderId="104" xfId="0" applyFont="1" applyFill="1" applyBorder="1" applyAlignment="1">
      <alignment horizontal="center" vertical="center"/>
    </xf>
    <xf numFmtId="0" fontId="62" fillId="2" borderId="103" xfId="0" applyFont="1" applyFill="1" applyBorder="1" applyAlignment="1">
      <alignment horizontal="center" vertical="center" wrapText="1"/>
    </xf>
    <xf numFmtId="174" fontId="35" fillId="2" borderId="104" xfId="0" applyNumberFormat="1" applyFont="1" applyFill="1" applyBorder="1" applyAlignment="1"/>
    <xf numFmtId="174" fontId="35" fillId="0" borderId="102" xfId="0" applyNumberFormat="1" applyFont="1" applyBorder="1"/>
    <xf numFmtId="174" fontId="35" fillId="0" borderId="140" xfId="0" applyNumberFormat="1" applyFont="1" applyBorder="1"/>
    <xf numFmtId="173" fontId="42" fillId="4" borderId="104" xfId="0" applyNumberFormat="1" applyFont="1" applyFill="1" applyBorder="1" applyAlignment="1"/>
    <xf numFmtId="173" fontId="35" fillId="0" borderId="102" xfId="0" applyNumberFormat="1" applyFont="1" applyBorder="1"/>
    <xf numFmtId="173" fontId="35" fillId="0" borderId="103" xfId="0" applyNumberFormat="1" applyFont="1" applyBorder="1"/>
    <xf numFmtId="173" fontId="42" fillId="2" borderId="104" xfId="0" applyNumberFormat="1" applyFont="1" applyFill="1" applyBorder="1" applyAlignment="1"/>
    <xf numFmtId="173" fontId="35" fillId="0" borderId="140" xfId="0" applyNumberFormat="1" applyFont="1" applyBorder="1"/>
    <xf numFmtId="173" fontId="35" fillId="0" borderId="104" xfId="0" applyNumberFormat="1" applyFont="1" applyBorder="1"/>
    <xf numFmtId="173" fontId="42" fillId="4" borderId="141" xfId="0" applyNumberFormat="1" applyFont="1" applyFill="1" applyBorder="1" applyAlignment="1">
      <alignment horizontal="center"/>
    </xf>
    <xf numFmtId="173" fontId="35" fillId="0" borderId="142" xfId="0" applyNumberFormat="1" applyFont="1" applyBorder="1" applyAlignment="1">
      <alignment horizontal="right"/>
    </xf>
    <xf numFmtId="175" fontId="35" fillId="0" borderId="142" xfId="0" applyNumberFormat="1" applyFont="1" applyBorder="1" applyAlignment="1">
      <alignment horizontal="right"/>
    </xf>
    <xf numFmtId="173" fontId="35" fillId="0" borderId="143" xfId="0" applyNumberFormat="1" applyFont="1" applyBorder="1" applyAlignment="1">
      <alignment horizontal="right"/>
    </xf>
    <xf numFmtId="0" fontId="0" fillId="0" borderId="139" xfId="0" applyBorder="1"/>
    <xf numFmtId="173" fontId="42" fillId="4" borderId="83" xfId="0" applyNumberFormat="1" applyFont="1" applyFill="1" applyBorder="1" applyAlignment="1">
      <alignment horizontal="center"/>
    </xf>
    <xf numFmtId="173" fontId="35" fillId="0" borderId="85" xfId="0" applyNumberFormat="1" applyFont="1" applyBorder="1" applyAlignment="1">
      <alignment horizontal="right"/>
    </xf>
    <xf numFmtId="175" fontId="35" fillId="0" borderId="85" xfId="0" applyNumberFormat="1" applyFont="1" applyBorder="1" applyAlignment="1">
      <alignment horizontal="right"/>
    </xf>
    <xf numFmtId="173" fontId="35" fillId="0" borderId="96" xfId="0" applyNumberFormat="1" applyFont="1" applyBorder="1" applyAlignment="1">
      <alignment horizontal="right"/>
    </xf>
    <xf numFmtId="0" fontId="35" fillId="2" borderId="59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78" xfId="0" applyNumberFormat="1" applyFont="1" applyFill="1" applyBorder="1"/>
    <xf numFmtId="169" fontId="35" fillId="0" borderId="81" xfId="0" applyNumberFormat="1" applyFont="1" applyFill="1" applyBorder="1"/>
    <xf numFmtId="0" fontId="42" fillId="0" borderId="80" xfId="0" applyFont="1" applyFill="1" applyBorder="1"/>
    <xf numFmtId="169" fontId="35" fillId="0" borderId="88" xfId="0" applyNumberFormat="1" applyFont="1" applyFill="1" applyBorder="1"/>
    <xf numFmtId="169" fontId="35" fillId="0" borderId="79" xfId="0" applyNumberFormat="1" applyFont="1" applyFill="1" applyBorder="1"/>
    <xf numFmtId="169" fontId="35" fillId="0" borderId="89" xfId="0" applyNumberFormat="1" applyFont="1" applyFill="1" applyBorder="1"/>
    <xf numFmtId="169" fontId="35" fillId="0" borderId="82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8" xfId="0" applyNumberFormat="1" applyFont="1" applyFill="1" applyBorder="1" applyAlignment="1">
      <alignment horizontal="center" vertical="top"/>
    </xf>
    <xf numFmtId="166" fontId="5" fillId="0" borderId="132" xfId="0" applyNumberFormat="1" applyFont="1" applyBorder="1" applyAlignment="1">
      <alignment horizontal="right"/>
    </xf>
    <xf numFmtId="166" fontId="5" fillId="0" borderId="92" xfId="0" applyNumberFormat="1" applyFont="1" applyBorder="1" applyAlignment="1">
      <alignment horizontal="right"/>
    </xf>
    <xf numFmtId="3" fontId="12" fillId="0" borderId="132" xfId="0" applyNumberFormat="1" applyFont="1" applyBorder="1" applyAlignment="1">
      <alignment horizontal="right"/>
    </xf>
    <xf numFmtId="166" fontId="12" fillId="0" borderId="132" xfId="0" applyNumberFormat="1" applyFont="1" applyBorder="1" applyAlignment="1">
      <alignment horizontal="right"/>
    </xf>
    <xf numFmtId="166" fontId="12" fillId="0" borderId="92" xfId="0" applyNumberFormat="1" applyFont="1" applyBorder="1" applyAlignment="1">
      <alignment horizontal="right"/>
    </xf>
    <xf numFmtId="177" fontId="5" fillId="0" borderId="132" xfId="0" applyNumberFormat="1" applyFont="1" applyBorder="1" applyAlignment="1">
      <alignment horizontal="right"/>
    </xf>
    <xf numFmtId="3" fontId="5" fillId="0" borderId="132" xfId="0" applyNumberFormat="1" applyFont="1" applyBorder="1" applyAlignment="1">
      <alignment horizontal="right"/>
    </xf>
    <xf numFmtId="4" fontId="5" fillId="0" borderId="132" xfId="0" applyNumberFormat="1" applyFont="1" applyBorder="1" applyAlignment="1">
      <alignment horizontal="right"/>
    </xf>
    <xf numFmtId="3" fontId="5" fillId="0" borderId="132" xfId="0" applyNumberFormat="1" applyFont="1" applyBorder="1"/>
    <xf numFmtId="3" fontId="11" fillId="0" borderId="91" xfId="0" applyNumberFormat="1" applyFont="1" applyBorder="1" applyAlignment="1">
      <alignment horizontal="center"/>
    </xf>
    <xf numFmtId="166" fontId="11" fillId="0" borderId="92" xfId="0" applyNumberFormat="1" applyFont="1" applyBorder="1" applyAlignment="1">
      <alignment horizontal="right"/>
    </xf>
    <xf numFmtId="3" fontId="12" fillId="0" borderId="132" xfId="0" applyNumberFormat="1" applyFont="1" applyBorder="1"/>
    <xf numFmtId="166" fontId="12" fillId="0" borderId="132" xfId="0" applyNumberFormat="1" applyFont="1" applyBorder="1"/>
    <xf numFmtId="166" fontId="12" fillId="0" borderId="92" xfId="0" applyNumberFormat="1" applyFont="1" applyBorder="1"/>
    <xf numFmtId="166" fontId="12" fillId="0" borderId="18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1" fillId="0" borderId="18" xfId="0" applyNumberFormat="1" applyFont="1" applyBorder="1" applyAlignment="1">
      <alignment horizontal="right"/>
    </xf>
    <xf numFmtId="166" fontId="12" fillId="0" borderId="18" xfId="0" applyNumberFormat="1" applyFont="1" applyBorder="1"/>
    <xf numFmtId="3" fontId="35" fillId="0" borderId="132" xfId="0" applyNumberFormat="1" applyFont="1" applyBorder="1"/>
    <xf numFmtId="166" fontId="35" fillId="0" borderId="132" xfId="0" applyNumberFormat="1" applyFont="1" applyBorder="1"/>
    <xf numFmtId="166" fontId="35" fillId="0" borderId="92" xfId="0" applyNumberFormat="1" applyFont="1" applyBorder="1"/>
    <xf numFmtId="3" fontId="35" fillId="0" borderId="132" xfId="0" applyNumberFormat="1" applyFont="1" applyBorder="1" applyAlignment="1">
      <alignment horizontal="right"/>
    </xf>
    <xf numFmtId="0" fontId="5" fillId="0" borderId="132" xfId="0" applyFont="1" applyBorder="1"/>
    <xf numFmtId="9" fontId="35" fillId="0" borderId="132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166" fontId="35" fillId="0" borderId="101" xfId="0" applyNumberFormat="1" applyFont="1" applyBorder="1"/>
    <xf numFmtId="166" fontId="35" fillId="0" borderId="76" xfId="0" applyNumberFormat="1" applyFont="1" applyBorder="1"/>
    <xf numFmtId="3" fontId="35" fillId="0" borderId="101" xfId="0" applyNumberFormat="1" applyFont="1" applyBorder="1" applyAlignment="1">
      <alignment horizontal="right"/>
    </xf>
    <xf numFmtId="166" fontId="5" fillId="0" borderId="101" xfId="0" applyNumberFormat="1" applyFont="1" applyBorder="1" applyAlignment="1">
      <alignment horizontal="right"/>
    </xf>
    <xf numFmtId="166" fontId="5" fillId="0" borderId="76" xfId="0" applyNumberFormat="1" applyFont="1" applyBorder="1" applyAlignment="1">
      <alignment horizontal="right"/>
    </xf>
    <xf numFmtId="3" fontId="12" fillId="0" borderId="101" xfId="0" applyNumberFormat="1" applyFont="1" applyBorder="1" applyAlignment="1">
      <alignment horizontal="right"/>
    </xf>
    <xf numFmtId="166" fontId="12" fillId="0" borderId="101" xfId="0" applyNumberFormat="1" applyFont="1" applyBorder="1" applyAlignment="1">
      <alignment horizontal="right"/>
    </xf>
    <xf numFmtId="166" fontId="12" fillId="0" borderId="76" xfId="0" applyNumberFormat="1" applyFont="1" applyBorder="1" applyAlignment="1">
      <alignment horizontal="right"/>
    </xf>
    <xf numFmtId="177" fontId="5" fillId="0" borderId="101" xfId="0" applyNumberFormat="1" applyFont="1" applyBorder="1" applyAlignment="1">
      <alignment horizontal="right"/>
    </xf>
    <xf numFmtId="3" fontId="5" fillId="0" borderId="101" xfId="0" applyNumberFormat="1" applyFont="1" applyBorder="1" applyAlignment="1">
      <alignment horizontal="right"/>
    </xf>
    <xf numFmtId="4" fontId="5" fillId="0" borderId="101" xfId="0" applyNumberFormat="1" applyFont="1" applyBorder="1" applyAlignment="1">
      <alignment horizontal="right"/>
    </xf>
    <xf numFmtId="0" fontId="5" fillId="0" borderId="101" xfId="0" applyFont="1" applyBorder="1"/>
    <xf numFmtId="3" fontId="5" fillId="0" borderId="101" xfId="0" applyNumberFormat="1" applyFont="1" applyBorder="1"/>
    <xf numFmtId="9" fontId="35" fillId="0" borderId="101" xfId="0" applyNumberFormat="1" applyFont="1" applyBorder="1"/>
    <xf numFmtId="3" fontId="11" fillId="0" borderId="75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75" xfId="0" applyNumberFormat="1" applyFont="1" applyBorder="1" applyAlignment="1">
      <alignment horizontal="center"/>
    </xf>
    <xf numFmtId="49" fontId="3" fillId="0" borderId="91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96" xfId="0" applyNumberFormat="1" applyFont="1" applyBorder="1" applyAlignment="1">
      <alignment horizontal="center"/>
    </xf>
    <xf numFmtId="3" fontId="12" fillId="0" borderId="106" xfId="0" applyNumberFormat="1" applyFont="1" applyBorder="1"/>
    <xf numFmtId="166" fontId="12" fillId="0" borderId="106" xfId="0" applyNumberFormat="1" applyFont="1" applyBorder="1"/>
    <xf numFmtId="166" fontId="12" fillId="0" borderId="97" xfId="0" applyNumberFormat="1" applyFont="1" applyBorder="1"/>
    <xf numFmtId="3" fontId="35" fillId="0" borderId="106" xfId="0" applyNumberFormat="1" applyFont="1" applyBorder="1" applyAlignment="1">
      <alignment horizontal="right"/>
    </xf>
    <xf numFmtId="166" fontId="5" fillId="0" borderId="106" xfId="0" applyNumberFormat="1" applyFont="1" applyBorder="1" applyAlignment="1">
      <alignment horizontal="right"/>
    </xf>
    <xf numFmtId="166" fontId="5" fillId="0" borderId="97" xfId="0" applyNumberFormat="1" applyFont="1" applyBorder="1" applyAlignment="1">
      <alignment horizontal="right"/>
    </xf>
    <xf numFmtId="3" fontId="5" fillId="0" borderId="106" xfId="0" applyNumberFormat="1" applyFont="1" applyBorder="1" applyAlignment="1">
      <alignment horizontal="right"/>
    </xf>
    <xf numFmtId="177" fontId="5" fillId="0" borderId="106" xfId="0" applyNumberFormat="1" applyFont="1" applyBorder="1" applyAlignment="1">
      <alignment horizontal="right"/>
    </xf>
    <xf numFmtId="4" fontId="5" fillId="0" borderId="106" xfId="0" applyNumberFormat="1" applyFont="1" applyBorder="1" applyAlignment="1">
      <alignment horizontal="right"/>
    </xf>
    <xf numFmtId="0" fontId="5" fillId="0" borderId="106" xfId="0" applyFont="1" applyBorder="1"/>
    <xf numFmtId="3" fontId="5" fillId="0" borderId="106" xfId="0" applyNumberFormat="1" applyFont="1" applyBorder="1"/>
    <xf numFmtId="3" fontId="35" fillId="0" borderId="106" xfId="0" applyNumberFormat="1" applyFont="1" applyBorder="1"/>
    <xf numFmtId="9" fontId="35" fillId="0" borderId="106" xfId="0" applyNumberFormat="1" applyFont="1" applyBorder="1"/>
    <xf numFmtId="3" fontId="11" fillId="0" borderId="96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71" xfId="76" applyNumberFormat="1" applyFont="1" applyFill="1" applyBorder="1" applyAlignment="1">
      <alignment horizontal="center" vertical="center"/>
    </xf>
    <xf numFmtId="3" fontId="34" fillId="2" borderId="54" xfId="76" applyNumberFormat="1" applyFont="1" applyFill="1" applyBorder="1" applyAlignment="1">
      <alignment horizontal="center" vertical="center"/>
    </xf>
    <xf numFmtId="0" fontId="32" fillId="0" borderId="77" xfId="76" applyFont="1" applyFill="1" applyBorder="1"/>
    <xf numFmtId="0" fontId="32" fillId="0" borderId="87" xfId="76" applyFont="1" applyFill="1" applyBorder="1"/>
    <xf numFmtId="0" fontId="32" fillId="0" borderId="80" xfId="76" applyFont="1" applyFill="1" applyBorder="1"/>
    <xf numFmtId="0" fontId="32" fillId="0" borderId="104" xfId="76" applyFont="1" applyFill="1" applyBorder="1"/>
    <xf numFmtId="0" fontId="32" fillId="0" borderId="102" xfId="76" applyFont="1" applyFill="1" applyBorder="1"/>
    <xf numFmtId="0" fontId="32" fillId="0" borderId="103" xfId="76" applyFont="1" applyFill="1" applyBorder="1"/>
    <xf numFmtId="0" fontId="34" fillId="2" borderId="94" xfId="76" applyNumberFormat="1" applyFont="1" applyFill="1" applyBorder="1" applyAlignment="1">
      <alignment horizontal="left"/>
    </xf>
    <xf numFmtId="0" fontId="34" fillId="2" borderId="144" xfId="76" applyNumberFormat="1" applyFont="1" applyFill="1" applyBorder="1" applyAlignment="1">
      <alignment horizontal="left"/>
    </xf>
    <xf numFmtId="3" fontId="32" fillId="0" borderId="77" xfId="76" applyNumberFormat="1" applyFont="1" applyFill="1" applyBorder="1"/>
    <xf numFmtId="3" fontId="32" fillId="0" borderId="78" xfId="76" applyNumberFormat="1" applyFont="1" applyFill="1" applyBorder="1"/>
    <xf numFmtId="3" fontId="32" fillId="0" borderId="87" xfId="76" applyNumberFormat="1" applyFont="1" applyFill="1" applyBorder="1"/>
    <xf numFmtId="3" fontId="32" fillId="0" borderId="88" xfId="76" applyNumberFormat="1" applyFont="1" applyFill="1" applyBorder="1"/>
    <xf numFmtId="3" fontId="32" fillId="0" borderId="80" xfId="76" applyNumberFormat="1" applyFont="1" applyFill="1" applyBorder="1"/>
    <xf numFmtId="3" fontId="32" fillId="0" borderId="81" xfId="76" applyNumberFormat="1" applyFont="1" applyFill="1" applyBorder="1"/>
    <xf numFmtId="9" fontId="32" fillId="0" borderId="104" xfId="76" applyNumberFormat="1" applyFont="1" applyFill="1" applyBorder="1"/>
    <xf numFmtId="9" fontId="32" fillId="0" borderId="102" xfId="76" applyNumberFormat="1" applyFont="1" applyFill="1" applyBorder="1"/>
    <xf numFmtId="9" fontId="32" fillId="0" borderId="103" xfId="76" applyNumberFormat="1" applyFont="1" applyFill="1" applyBorder="1"/>
    <xf numFmtId="0" fontId="34" fillId="2" borderId="93" xfId="76" applyNumberFormat="1" applyFont="1" applyFill="1" applyBorder="1" applyAlignment="1">
      <alignment horizontal="left"/>
    </xf>
    <xf numFmtId="0" fontId="34" fillId="2" borderId="95" xfId="76" applyNumberFormat="1" applyFont="1" applyFill="1" applyBorder="1" applyAlignment="1">
      <alignment horizontal="left"/>
    </xf>
    <xf numFmtId="3" fontId="32" fillId="0" borderId="79" xfId="76" applyNumberFormat="1" applyFont="1" applyFill="1" applyBorder="1"/>
    <xf numFmtId="3" fontId="32" fillId="0" borderId="89" xfId="76" applyNumberFormat="1" applyFont="1" applyFill="1" applyBorder="1"/>
    <xf numFmtId="3" fontId="32" fillId="0" borderId="8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0.92407282367320764</c:v>
                </c:pt>
                <c:pt idx="1">
                  <c:v>0.83760205992276693</c:v>
                </c:pt>
                <c:pt idx="2">
                  <c:v>1.1046924145957431</c:v>
                </c:pt>
                <c:pt idx="3">
                  <c:v>1.138513825073477</c:v>
                </c:pt>
                <c:pt idx="4">
                  <c:v>1.2111866814535064</c:v>
                </c:pt>
                <c:pt idx="5">
                  <c:v>1.2058688477698412</c:v>
                </c:pt>
                <c:pt idx="6">
                  <c:v>1.1795309122411117</c:v>
                </c:pt>
                <c:pt idx="7">
                  <c:v>1.2343680515733786</c:v>
                </c:pt>
                <c:pt idx="8">
                  <c:v>1.3002472318954026</c:v>
                </c:pt>
                <c:pt idx="9">
                  <c:v>1.2765909336244325</c:v>
                </c:pt>
                <c:pt idx="10">
                  <c:v>1.2722529249560914</c:v>
                </c:pt>
                <c:pt idx="11">
                  <c:v>1.2402315632551097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4618576"/>
        <c:axId val="-96461096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1.2223194492104181</c:v>
                </c:pt>
                <c:pt idx="1">
                  <c:v>1.2223194492104181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64621296"/>
        <c:axId val="-964615856"/>
      </c:scatterChart>
      <c:catAx>
        <c:axId val="-96461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6461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6461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964618576"/>
        <c:crosses val="autoZero"/>
        <c:crossBetween val="between"/>
      </c:valAx>
      <c:valAx>
        <c:axId val="-9646212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964615856"/>
        <c:crosses val="max"/>
        <c:crossBetween val="midCat"/>
      </c:valAx>
      <c:valAx>
        <c:axId val="-9646158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96462129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ALOS!$E$33:$E$44</c:f>
              <c:numCache>
                <c:formatCode>0%</c:formatCode>
                <c:ptCount val="12"/>
                <c:pt idx="0">
                  <c:v>0.940080971659919</c:v>
                </c:pt>
                <c:pt idx="1">
                  <c:v>0.95024671052631582</c:v>
                </c:pt>
                <c:pt idx="2">
                  <c:v>0.97795497185741087</c:v>
                </c:pt>
                <c:pt idx="3">
                  <c:v>0.97336907953529939</c:v>
                </c:pt>
                <c:pt idx="4">
                  <c:v>0.96738832556864895</c:v>
                </c:pt>
                <c:pt idx="5">
                  <c:v>0.956130355515041</c:v>
                </c:pt>
                <c:pt idx="6">
                  <c:v>0.95185007208073047</c:v>
                </c:pt>
                <c:pt idx="7">
                  <c:v>0.95396483078964833</c:v>
                </c:pt>
                <c:pt idx="8">
                  <c:v>0.94904458598726116</c:v>
                </c:pt>
                <c:pt idx="9">
                  <c:v>0.95425887802367471</c:v>
                </c:pt>
                <c:pt idx="10">
                  <c:v>0.95764336761373536</c:v>
                </c:pt>
                <c:pt idx="11">
                  <c:v>0.95087548638132291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4614768"/>
        <c:axId val="-96462020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96273664"/>
        <c:axId val="-296268224"/>
      </c:scatterChart>
      <c:catAx>
        <c:axId val="-964614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6462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646202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964614768"/>
        <c:crosses val="autoZero"/>
        <c:crossBetween val="between"/>
      </c:valAx>
      <c:valAx>
        <c:axId val="-29627366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96268224"/>
        <c:crosses val="max"/>
        <c:crossBetween val="midCat"/>
      </c:valAx>
      <c:valAx>
        <c:axId val="-29626822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29627366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4" bestFit="1" customWidth="1"/>
    <col min="2" max="2" width="102.21875" style="244" bestFit="1" customWidth="1"/>
    <col min="3" max="3" width="16.109375" style="51" hidden="1" customWidth="1"/>
    <col min="4" max="16384" width="8.88671875" style="244"/>
  </cols>
  <sheetData>
    <row r="1" spans="1:3" ht="18.600000000000001" customHeight="1" thickBot="1" x14ac:dyDescent="0.4">
      <c r="A1" s="464" t="s">
        <v>125</v>
      </c>
      <c r="B1" s="464"/>
    </row>
    <row r="2" spans="1:3" ht="14.4" customHeight="1" thickBot="1" x14ac:dyDescent="0.35">
      <c r="A2" s="368" t="s">
        <v>301</v>
      </c>
      <c r="B2" s="50"/>
    </row>
    <row r="3" spans="1:3" ht="14.4" customHeight="1" thickBot="1" x14ac:dyDescent="0.35">
      <c r="A3" s="460" t="s">
        <v>174</v>
      </c>
      <c r="B3" s="461"/>
    </row>
    <row r="4" spans="1:3" ht="14.4" customHeight="1" x14ac:dyDescent="0.3">
      <c r="A4" s="261" t="str">
        <f t="shared" ref="A4:A8" si="0">HYPERLINK("#'"&amp;C4&amp;"'!A1",C4)</f>
        <v>Motivace</v>
      </c>
      <c r="B4" s="172" t="s">
        <v>143</v>
      </c>
      <c r="C4" s="51" t="s">
        <v>144</v>
      </c>
    </row>
    <row r="5" spans="1:3" ht="14.4" customHeight="1" x14ac:dyDescent="0.3">
      <c r="A5" s="262" t="str">
        <f t="shared" si="0"/>
        <v>HI</v>
      </c>
      <c r="B5" s="173" t="s">
        <v>167</v>
      </c>
      <c r="C5" s="51" t="s">
        <v>129</v>
      </c>
    </row>
    <row r="6" spans="1:3" ht="14.4" customHeight="1" x14ac:dyDescent="0.3">
      <c r="A6" s="263" t="str">
        <f t="shared" si="0"/>
        <v>HI Graf</v>
      </c>
      <c r="B6" s="174" t="s">
        <v>121</v>
      </c>
      <c r="C6" s="51" t="s">
        <v>130</v>
      </c>
    </row>
    <row r="7" spans="1:3" ht="14.4" customHeight="1" x14ac:dyDescent="0.3">
      <c r="A7" s="263" t="str">
        <f t="shared" si="0"/>
        <v>Man Tab</v>
      </c>
      <c r="B7" s="174" t="s">
        <v>303</v>
      </c>
      <c r="C7" s="51" t="s">
        <v>131</v>
      </c>
    </row>
    <row r="8" spans="1:3" ht="14.4" customHeight="1" thickBot="1" x14ac:dyDescent="0.35">
      <c r="A8" s="264" t="str">
        <f t="shared" si="0"/>
        <v>HV</v>
      </c>
      <c r="B8" s="175" t="s">
        <v>54</v>
      </c>
      <c r="C8" s="51" t="s">
        <v>59</v>
      </c>
    </row>
    <row r="9" spans="1:3" ht="14.4" customHeight="1" thickBot="1" x14ac:dyDescent="0.35">
      <c r="A9" s="176"/>
      <c r="B9" s="176"/>
    </row>
    <row r="10" spans="1:3" ht="14.4" customHeight="1" thickBot="1" x14ac:dyDescent="0.35">
      <c r="A10" s="462" t="s">
        <v>126</v>
      </c>
      <c r="B10" s="461"/>
    </row>
    <row r="11" spans="1:3" ht="14.4" customHeight="1" x14ac:dyDescent="0.3">
      <c r="A11" s="265" t="str">
        <f t="shared" ref="A11" si="1">HYPERLINK("#'"&amp;C11&amp;"'!A1",C11)</f>
        <v>Léky Žádanky</v>
      </c>
      <c r="B11" s="173" t="s">
        <v>168</v>
      </c>
      <c r="C11" s="51" t="s">
        <v>132</v>
      </c>
    </row>
    <row r="12" spans="1:3" ht="14.4" customHeight="1" x14ac:dyDescent="0.3">
      <c r="A12" s="263" t="str">
        <f t="shared" ref="A12:A22" si="2">HYPERLINK("#'"&amp;C12&amp;"'!A1",C12)</f>
        <v>LŽ Detail</v>
      </c>
      <c r="B12" s="174" t="s">
        <v>196</v>
      </c>
      <c r="C12" s="51" t="s">
        <v>133</v>
      </c>
    </row>
    <row r="13" spans="1:3" ht="28.8" customHeight="1" x14ac:dyDescent="0.3">
      <c r="A13" s="263" t="str">
        <f t="shared" si="2"/>
        <v>LŽ PL</v>
      </c>
      <c r="B13" s="668" t="s">
        <v>197</v>
      </c>
      <c r="C13" s="51" t="s">
        <v>178</v>
      </c>
    </row>
    <row r="14" spans="1:3" ht="14.4" customHeight="1" x14ac:dyDescent="0.3">
      <c r="A14" s="263" t="str">
        <f t="shared" si="2"/>
        <v>LŽ PL Detail</v>
      </c>
      <c r="B14" s="174" t="s">
        <v>1312</v>
      </c>
      <c r="C14" s="51" t="s">
        <v>180</v>
      </c>
    </row>
    <row r="15" spans="1:3" ht="14.4" customHeight="1" x14ac:dyDescent="0.3">
      <c r="A15" s="263" t="str">
        <f t="shared" si="2"/>
        <v>LŽ Statim</v>
      </c>
      <c r="B15" s="447" t="s">
        <v>250</v>
      </c>
      <c r="C15" s="51" t="s">
        <v>260</v>
      </c>
    </row>
    <row r="16" spans="1:3" ht="14.4" customHeight="1" x14ac:dyDescent="0.3">
      <c r="A16" s="263" t="str">
        <f t="shared" si="2"/>
        <v>Léky Recepty</v>
      </c>
      <c r="B16" s="174" t="s">
        <v>169</v>
      </c>
      <c r="C16" s="51" t="s">
        <v>134</v>
      </c>
    </row>
    <row r="17" spans="1:3" ht="14.4" customHeight="1" x14ac:dyDescent="0.3">
      <c r="A17" s="263" t="str">
        <f t="shared" si="2"/>
        <v>LRp Lékaři</v>
      </c>
      <c r="B17" s="174" t="s">
        <v>183</v>
      </c>
      <c r="C17" s="51" t="s">
        <v>184</v>
      </c>
    </row>
    <row r="18" spans="1:3" ht="28.8" customHeight="1" x14ac:dyDescent="0.3">
      <c r="A18" s="263" t="str">
        <f t="shared" si="2"/>
        <v>LRp PL</v>
      </c>
      <c r="B18" s="668" t="s">
        <v>1333</v>
      </c>
      <c r="C18" s="51" t="s">
        <v>179</v>
      </c>
    </row>
    <row r="19" spans="1:3" ht="14.4" customHeight="1" x14ac:dyDescent="0.3">
      <c r="A19" s="263" t="str">
        <f>HYPERLINK("#'"&amp;C19&amp;"'!A1",C19)</f>
        <v>LRp PL Detail</v>
      </c>
      <c r="B19" s="174" t="s">
        <v>1338</v>
      </c>
      <c r="C19" s="51" t="s">
        <v>181</v>
      </c>
    </row>
    <row r="20" spans="1:3" ht="14.4" customHeight="1" x14ac:dyDescent="0.3">
      <c r="A20" s="265" t="str">
        <f t="shared" ref="A20" si="3">HYPERLINK("#'"&amp;C20&amp;"'!A1",C20)</f>
        <v>Materiál Žádanky</v>
      </c>
      <c r="B20" s="174" t="s">
        <v>170</v>
      </c>
      <c r="C20" s="51" t="s">
        <v>135</v>
      </c>
    </row>
    <row r="21" spans="1:3" ht="14.4" customHeight="1" x14ac:dyDescent="0.3">
      <c r="A21" s="263" t="str">
        <f t="shared" si="2"/>
        <v>MŽ Detail</v>
      </c>
      <c r="B21" s="174" t="s">
        <v>1891</v>
      </c>
      <c r="C21" s="51" t="s">
        <v>136</v>
      </c>
    </row>
    <row r="22" spans="1:3" ht="14.4" customHeight="1" thickBot="1" x14ac:dyDescent="0.35">
      <c r="A22" s="265" t="str">
        <f t="shared" si="2"/>
        <v>Osobní náklady</v>
      </c>
      <c r="B22" s="174" t="s">
        <v>123</v>
      </c>
      <c r="C22" s="51" t="s">
        <v>137</v>
      </c>
    </row>
    <row r="23" spans="1:3" ht="14.4" customHeight="1" thickBot="1" x14ac:dyDescent="0.35">
      <c r="A23" s="177"/>
      <c r="B23" s="177"/>
    </row>
    <row r="24" spans="1:3" ht="14.4" customHeight="1" thickBot="1" x14ac:dyDescent="0.35">
      <c r="A24" s="463" t="s">
        <v>127</v>
      </c>
      <c r="B24" s="461"/>
    </row>
    <row r="25" spans="1:3" ht="14.4" customHeight="1" x14ac:dyDescent="0.3">
      <c r="A25" s="266" t="str">
        <f t="shared" ref="A25:A35" si="4">HYPERLINK("#'"&amp;C25&amp;"'!A1",C25)</f>
        <v>ZV Vykáz.-A</v>
      </c>
      <c r="B25" s="173" t="s">
        <v>1895</v>
      </c>
      <c r="C25" s="51" t="s">
        <v>145</v>
      </c>
    </row>
    <row r="26" spans="1:3" ht="14.4" customHeight="1" x14ac:dyDescent="0.3">
      <c r="A26" s="263" t="str">
        <f t="shared" ref="A26" si="5">HYPERLINK("#'"&amp;C26&amp;"'!A1",C26)</f>
        <v>ZV Vykáz.-A Lékaři</v>
      </c>
      <c r="B26" s="174" t="s">
        <v>1908</v>
      </c>
      <c r="C26" s="51" t="s">
        <v>263</v>
      </c>
    </row>
    <row r="27" spans="1:3" ht="14.4" customHeight="1" x14ac:dyDescent="0.3">
      <c r="A27" s="263" t="str">
        <f t="shared" si="4"/>
        <v>ZV Vykáz.-A Detail</v>
      </c>
      <c r="B27" s="174" t="s">
        <v>1948</v>
      </c>
      <c r="C27" s="51" t="s">
        <v>146</v>
      </c>
    </row>
    <row r="28" spans="1:3" ht="14.4" customHeight="1" x14ac:dyDescent="0.3">
      <c r="A28" s="263" t="str">
        <f t="shared" si="4"/>
        <v>ZV Vykáz.-H</v>
      </c>
      <c r="B28" s="174" t="s">
        <v>149</v>
      </c>
      <c r="C28" s="51" t="s">
        <v>147</v>
      </c>
    </row>
    <row r="29" spans="1:3" ht="14.4" customHeight="1" x14ac:dyDescent="0.3">
      <c r="A29" s="263" t="str">
        <f t="shared" si="4"/>
        <v>ZV Vykáz.-H Detail</v>
      </c>
      <c r="B29" s="174" t="s">
        <v>2148</v>
      </c>
      <c r="C29" s="51" t="s">
        <v>148</v>
      </c>
    </row>
    <row r="30" spans="1:3" ht="14.4" customHeight="1" x14ac:dyDescent="0.3">
      <c r="A30" s="266" t="str">
        <f t="shared" si="4"/>
        <v>CaseMix</v>
      </c>
      <c r="B30" s="174" t="s">
        <v>128</v>
      </c>
      <c r="C30" s="51" t="s">
        <v>138</v>
      </c>
    </row>
    <row r="31" spans="1:3" ht="14.4" customHeight="1" x14ac:dyDescent="0.3">
      <c r="A31" s="263" t="str">
        <f t="shared" si="4"/>
        <v>ALOS</v>
      </c>
      <c r="B31" s="174" t="s">
        <v>108</v>
      </c>
      <c r="C31" s="51" t="s">
        <v>79</v>
      </c>
    </row>
    <row r="32" spans="1:3" ht="14.4" customHeight="1" x14ac:dyDescent="0.3">
      <c r="A32" s="263" t="str">
        <f t="shared" si="4"/>
        <v>Total</v>
      </c>
      <c r="B32" s="174" t="s">
        <v>2218</v>
      </c>
      <c r="C32" s="51" t="s">
        <v>139</v>
      </c>
    </row>
    <row r="33" spans="1:3" ht="14.4" customHeight="1" x14ac:dyDescent="0.3">
      <c r="A33" s="263" t="str">
        <f t="shared" si="4"/>
        <v>ZV Vyžád.</v>
      </c>
      <c r="B33" s="174" t="s">
        <v>150</v>
      </c>
      <c r="C33" s="51" t="s">
        <v>142</v>
      </c>
    </row>
    <row r="34" spans="1:3" ht="14.4" customHeight="1" x14ac:dyDescent="0.3">
      <c r="A34" s="263" t="str">
        <f t="shared" si="4"/>
        <v>ZV Vyžád. Detail</v>
      </c>
      <c r="B34" s="174" t="s">
        <v>2816</v>
      </c>
      <c r="C34" s="51" t="s">
        <v>141</v>
      </c>
    </row>
    <row r="35" spans="1:3" ht="14.4" customHeight="1" x14ac:dyDescent="0.3">
      <c r="A35" s="263" t="str">
        <f t="shared" si="4"/>
        <v>OD TISS</v>
      </c>
      <c r="B35" s="174" t="s">
        <v>173</v>
      </c>
      <c r="C35" s="51" t="s">
        <v>140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3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4" bestFit="1" customWidth="1"/>
    <col min="2" max="2" width="8.88671875" style="244" bestFit="1" customWidth="1"/>
    <col min="3" max="3" width="7" style="244" bestFit="1" customWidth="1"/>
    <col min="4" max="4" width="53.44140625" style="244" bestFit="1" customWidth="1"/>
    <col min="5" max="5" width="28.44140625" style="244" bestFit="1" customWidth="1"/>
    <col min="6" max="6" width="6.6640625" style="326" customWidth="1"/>
    <col min="7" max="7" width="10" style="326" customWidth="1"/>
    <col min="8" max="8" width="6.77734375" style="329" bestFit="1" customWidth="1"/>
    <col min="9" max="9" width="6.6640625" style="326" customWidth="1"/>
    <col min="10" max="10" width="10" style="326" customWidth="1"/>
    <col min="11" max="11" width="6.77734375" style="329" bestFit="1" customWidth="1"/>
    <col min="12" max="12" width="6.6640625" style="326" customWidth="1"/>
    <col min="13" max="13" width="10" style="326" customWidth="1"/>
    <col min="14" max="16384" width="8.88671875" style="244"/>
  </cols>
  <sheetData>
    <row r="1" spans="1:13" ht="18.600000000000001" customHeight="1" thickBot="1" x14ac:dyDescent="0.4">
      <c r="A1" s="502" t="s">
        <v>1312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464"/>
      <c r="M1" s="464"/>
    </row>
    <row r="2" spans="1:13" ht="14.4" customHeight="1" thickBot="1" x14ac:dyDescent="0.35">
      <c r="A2" s="368" t="s">
        <v>301</v>
      </c>
      <c r="B2" s="325"/>
      <c r="C2" s="325"/>
      <c r="D2" s="325"/>
      <c r="E2" s="325"/>
      <c r="F2" s="333"/>
      <c r="G2" s="333"/>
      <c r="H2" s="334"/>
      <c r="I2" s="333"/>
      <c r="J2" s="333"/>
      <c r="K2" s="334"/>
      <c r="L2" s="333"/>
    </row>
    <row r="3" spans="1:13" ht="14.4" customHeight="1" thickBot="1" x14ac:dyDescent="0.35">
      <c r="E3" s="96" t="s">
        <v>151</v>
      </c>
      <c r="F3" s="47">
        <f>SUBTOTAL(9,F6:F1048576)</f>
        <v>107.1</v>
      </c>
      <c r="G3" s="47">
        <f>SUBTOTAL(9,G6:G1048576)</f>
        <v>12364.933105893759</v>
      </c>
      <c r="H3" s="48">
        <f>IF(M3=0,0,G3/M3)</f>
        <v>0.17275402078067745</v>
      </c>
      <c r="I3" s="47">
        <f>SUBTOTAL(9,I6:I1048576)</f>
        <v>646.4</v>
      </c>
      <c r="J3" s="47">
        <f>SUBTOTAL(9,J6:J1048576)</f>
        <v>59210.437759666893</v>
      </c>
      <c r="K3" s="48">
        <f>IF(M3=0,0,J3/M3)</f>
        <v>0.82724597921932264</v>
      </c>
      <c r="L3" s="47">
        <f>SUBTOTAL(9,L6:L1048576)</f>
        <v>753.5</v>
      </c>
      <c r="M3" s="49">
        <f>SUBTOTAL(9,M6:M1048576)</f>
        <v>71575.370865560646</v>
      </c>
    </row>
    <row r="4" spans="1:13" ht="14.4" customHeight="1" thickBot="1" x14ac:dyDescent="0.35">
      <c r="A4" s="45"/>
      <c r="B4" s="45"/>
      <c r="C4" s="45"/>
      <c r="D4" s="45"/>
      <c r="E4" s="46"/>
      <c r="F4" s="506" t="s">
        <v>153</v>
      </c>
      <c r="G4" s="507"/>
      <c r="H4" s="508"/>
      <c r="I4" s="509" t="s">
        <v>152</v>
      </c>
      <c r="J4" s="507"/>
      <c r="K4" s="508"/>
      <c r="L4" s="510" t="s">
        <v>3</v>
      </c>
      <c r="M4" s="511"/>
    </row>
    <row r="5" spans="1:13" ht="14.4" customHeight="1" thickBot="1" x14ac:dyDescent="0.35">
      <c r="A5" s="650" t="s">
        <v>154</v>
      </c>
      <c r="B5" s="669" t="s">
        <v>155</v>
      </c>
      <c r="C5" s="669" t="s">
        <v>83</v>
      </c>
      <c r="D5" s="669" t="s">
        <v>156</v>
      </c>
      <c r="E5" s="669" t="s">
        <v>157</v>
      </c>
      <c r="F5" s="670" t="s">
        <v>21</v>
      </c>
      <c r="G5" s="670" t="s">
        <v>14</v>
      </c>
      <c r="H5" s="652" t="s">
        <v>158</v>
      </c>
      <c r="I5" s="651" t="s">
        <v>21</v>
      </c>
      <c r="J5" s="670" t="s">
        <v>14</v>
      </c>
      <c r="K5" s="652" t="s">
        <v>158</v>
      </c>
      <c r="L5" s="651" t="s">
        <v>21</v>
      </c>
      <c r="M5" s="671" t="s">
        <v>14</v>
      </c>
    </row>
    <row r="6" spans="1:13" ht="14.4" customHeight="1" x14ac:dyDescent="0.3">
      <c r="A6" s="632" t="s">
        <v>548</v>
      </c>
      <c r="B6" s="633" t="s">
        <v>1257</v>
      </c>
      <c r="C6" s="633" t="s">
        <v>714</v>
      </c>
      <c r="D6" s="633" t="s">
        <v>715</v>
      </c>
      <c r="E6" s="633" t="s">
        <v>1258</v>
      </c>
      <c r="F6" s="636"/>
      <c r="G6" s="636"/>
      <c r="H6" s="655">
        <v>0</v>
      </c>
      <c r="I6" s="636">
        <v>4</v>
      </c>
      <c r="J6" s="636">
        <v>444.43999999999994</v>
      </c>
      <c r="K6" s="655">
        <v>1</v>
      </c>
      <c r="L6" s="636">
        <v>4</v>
      </c>
      <c r="M6" s="637">
        <v>444.43999999999994</v>
      </c>
    </row>
    <row r="7" spans="1:13" ht="14.4" customHeight="1" x14ac:dyDescent="0.3">
      <c r="A7" s="638" t="s">
        <v>548</v>
      </c>
      <c r="B7" s="639" t="s">
        <v>1257</v>
      </c>
      <c r="C7" s="639" t="s">
        <v>743</v>
      </c>
      <c r="D7" s="639" t="s">
        <v>1259</v>
      </c>
      <c r="E7" s="639" t="s">
        <v>1260</v>
      </c>
      <c r="F7" s="642"/>
      <c r="G7" s="642"/>
      <c r="H7" s="656">
        <v>0</v>
      </c>
      <c r="I7" s="642">
        <v>1</v>
      </c>
      <c r="J7" s="642">
        <v>49.529648524841342</v>
      </c>
      <c r="K7" s="656">
        <v>1</v>
      </c>
      <c r="L7" s="642">
        <v>1</v>
      </c>
      <c r="M7" s="643">
        <v>49.529648524841342</v>
      </c>
    </row>
    <row r="8" spans="1:13" ht="14.4" customHeight="1" x14ac:dyDescent="0.3">
      <c r="A8" s="638" t="s">
        <v>548</v>
      </c>
      <c r="B8" s="639" t="s">
        <v>1261</v>
      </c>
      <c r="C8" s="639" t="s">
        <v>718</v>
      </c>
      <c r="D8" s="639" t="s">
        <v>1262</v>
      </c>
      <c r="E8" s="639" t="s">
        <v>1263</v>
      </c>
      <c r="F8" s="642"/>
      <c r="G8" s="642"/>
      <c r="H8" s="656">
        <v>0</v>
      </c>
      <c r="I8" s="642">
        <v>2</v>
      </c>
      <c r="J8" s="642">
        <v>119.68</v>
      </c>
      <c r="K8" s="656">
        <v>1</v>
      </c>
      <c r="L8" s="642">
        <v>2</v>
      </c>
      <c r="M8" s="643">
        <v>119.68</v>
      </c>
    </row>
    <row r="9" spans="1:13" ht="14.4" customHeight="1" x14ac:dyDescent="0.3">
      <c r="A9" s="638" t="s">
        <v>553</v>
      </c>
      <c r="B9" s="639" t="s">
        <v>1264</v>
      </c>
      <c r="C9" s="639" t="s">
        <v>838</v>
      </c>
      <c r="D9" s="639" t="s">
        <v>739</v>
      </c>
      <c r="E9" s="639" t="s">
        <v>1265</v>
      </c>
      <c r="F9" s="642"/>
      <c r="G9" s="642"/>
      <c r="H9" s="656">
        <v>0</v>
      </c>
      <c r="I9" s="642">
        <v>4</v>
      </c>
      <c r="J9" s="642">
        <v>542.5200000000001</v>
      </c>
      <c r="K9" s="656">
        <v>1</v>
      </c>
      <c r="L9" s="642">
        <v>4</v>
      </c>
      <c r="M9" s="643">
        <v>542.5200000000001</v>
      </c>
    </row>
    <row r="10" spans="1:13" ht="14.4" customHeight="1" x14ac:dyDescent="0.3">
      <c r="A10" s="638" t="s">
        <v>553</v>
      </c>
      <c r="B10" s="639" t="s">
        <v>1257</v>
      </c>
      <c r="C10" s="639" t="s">
        <v>743</v>
      </c>
      <c r="D10" s="639" t="s">
        <v>1259</v>
      </c>
      <c r="E10" s="639" t="s">
        <v>1260</v>
      </c>
      <c r="F10" s="642"/>
      <c r="G10" s="642"/>
      <c r="H10" s="656">
        <v>0</v>
      </c>
      <c r="I10" s="642">
        <v>3</v>
      </c>
      <c r="J10" s="642">
        <v>148.58910309075628</v>
      </c>
      <c r="K10" s="656">
        <v>1</v>
      </c>
      <c r="L10" s="642">
        <v>3</v>
      </c>
      <c r="M10" s="643">
        <v>148.58910309075628</v>
      </c>
    </row>
    <row r="11" spans="1:13" ht="14.4" customHeight="1" x14ac:dyDescent="0.3">
      <c r="A11" s="638" t="s">
        <v>553</v>
      </c>
      <c r="B11" s="639" t="s">
        <v>1266</v>
      </c>
      <c r="C11" s="639" t="s">
        <v>856</v>
      </c>
      <c r="D11" s="639" t="s">
        <v>1267</v>
      </c>
      <c r="E11" s="639" t="s">
        <v>1268</v>
      </c>
      <c r="F11" s="642"/>
      <c r="G11" s="642"/>
      <c r="H11" s="656">
        <v>0</v>
      </c>
      <c r="I11" s="642">
        <v>1.5</v>
      </c>
      <c r="J11" s="642">
        <v>811.30499999999984</v>
      </c>
      <c r="K11" s="656">
        <v>1</v>
      </c>
      <c r="L11" s="642">
        <v>1.5</v>
      </c>
      <c r="M11" s="643">
        <v>811.30499999999984</v>
      </c>
    </row>
    <row r="12" spans="1:13" ht="14.4" customHeight="1" x14ac:dyDescent="0.3">
      <c r="A12" s="638" t="s">
        <v>553</v>
      </c>
      <c r="B12" s="639" t="s">
        <v>1261</v>
      </c>
      <c r="C12" s="639" t="s">
        <v>718</v>
      </c>
      <c r="D12" s="639" t="s">
        <v>1262</v>
      </c>
      <c r="E12" s="639" t="s">
        <v>1263</v>
      </c>
      <c r="F12" s="642"/>
      <c r="G12" s="642"/>
      <c r="H12" s="656">
        <v>0</v>
      </c>
      <c r="I12" s="642">
        <v>1</v>
      </c>
      <c r="J12" s="642">
        <v>59.839999999999996</v>
      </c>
      <c r="K12" s="656">
        <v>1</v>
      </c>
      <c r="L12" s="642">
        <v>1</v>
      </c>
      <c r="M12" s="643">
        <v>59.839999999999996</v>
      </c>
    </row>
    <row r="13" spans="1:13" ht="14.4" customHeight="1" x14ac:dyDescent="0.3">
      <c r="A13" s="638" t="s">
        <v>553</v>
      </c>
      <c r="B13" s="639" t="s">
        <v>1269</v>
      </c>
      <c r="C13" s="639" t="s">
        <v>853</v>
      </c>
      <c r="D13" s="639" t="s">
        <v>1270</v>
      </c>
      <c r="E13" s="639" t="s">
        <v>1271</v>
      </c>
      <c r="F13" s="642"/>
      <c r="G13" s="642"/>
      <c r="H13" s="656">
        <v>0</v>
      </c>
      <c r="I13" s="642">
        <v>10</v>
      </c>
      <c r="J13" s="642">
        <v>346.59999999999997</v>
      </c>
      <c r="K13" s="656">
        <v>1</v>
      </c>
      <c r="L13" s="642">
        <v>10</v>
      </c>
      <c r="M13" s="643">
        <v>346.59999999999997</v>
      </c>
    </row>
    <row r="14" spans="1:13" ht="14.4" customHeight="1" x14ac:dyDescent="0.3">
      <c r="A14" s="638" t="s">
        <v>553</v>
      </c>
      <c r="B14" s="639" t="s">
        <v>1272</v>
      </c>
      <c r="C14" s="639" t="s">
        <v>859</v>
      </c>
      <c r="D14" s="639" t="s">
        <v>1273</v>
      </c>
      <c r="E14" s="639" t="s">
        <v>1274</v>
      </c>
      <c r="F14" s="642"/>
      <c r="G14" s="642"/>
      <c r="H14" s="656">
        <v>0</v>
      </c>
      <c r="I14" s="642">
        <v>1</v>
      </c>
      <c r="J14" s="642">
        <v>159.5</v>
      </c>
      <c r="K14" s="656">
        <v>1</v>
      </c>
      <c r="L14" s="642">
        <v>1</v>
      </c>
      <c r="M14" s="643">
        <v>159.5</v>
      </c>
    </row>
    <row r="15" spans="1:13" ht="14.4" customHeight="1" x14ac:dyDescent="0.3">
      <c r="A15" s="638" t="s">
        <v>556</v>
      </c>
      <c r="B15" s="639" t="s">
        <v>1275</v>
      </c>
      <c r="C15" s="639" t="s">
        <v>1111</v>
      </c>
      <c r="D15" s="639" t="s">
        <v>1276</v>
      </c>
      <c r="E15" s="639" t="s">
        <v>1277</v>
      </c>
      <c r="F15" s="642"/>
      <c r="G15" s="642"/>
      <c r="H15" s="656">
        <v>0</v>
      </c>
      <c r="I15" s="642">
        <v>1</v>
      </c>
      <c r="J15" s="642">
        <v>67.110000000000014</v>
      </c>
      <c r="K15" s="656">
        <v>1</v>
      </c>
      <c r="L15" s="642">
        <v>1</v>
      </c>
      <c r="M15" s="643">
        <v>67.110000000000014</v>
      </c>
    </row>
    <row r="16" spans="1:13" ht="14.4" customHeight="1" x14ac:dyDescent="0.3">
      <c r="A16" s="638" t="s">
        <v>556</v>
      </c>
      <c r="B16" s="639" t="s">
        <v>1278</v>
      </c>
      <c r="C16" s="639" t="s">
        <v>867</v>
      </c>
      <c r="D16" s="639" t="s">
        <v>1279</v>
      </c>
      <c r="E16" s="639" t="s">
        <v>1280</v>
      </c>
      <c r="F16" s="642">
        <v>38</v>
      </c>
      <c r="G16" s="642">
        <v>2758.6400000000003</v>
      </c>
      <c r="H16" s="656">
        <v>1</v>
      </c>
      <c r="I16" s="642"/>
      <c r="J16" s="642"/>
      <c r="K16" s="656">
        <v>0</v>
      </c>
      <c r="L16" s="642">
        <v>38</v>
      </c>
      <c r="M16" s="643">
        <v>2758.6400000000003</v>
      </c>
    </row>
    <row r="17" spans="1:13" ht="14.4" customHeight="1" x14ac:dyDescent="0.3">
      <c r="A17" s="638" t="s">
        <v>556</v>
      </c>
      <c r="B17" s="639" t="s">
        <v>1264</v>
      </c>
      <c r="C17" s="639" t="s">
        <v>838</v>
      </c>
      <c r="D17" s="639" t="s">
        <v>739</v>
      </c>
      <c r="E17" s="639" t="s">
        <v>1265</v>
      </c>
      <c r="F17" s="642"/>
      <c r="G17" s="642"/>
      <c r="H17" s="656">
        <v>0</v>
      </c>
      <c r="I17" s="642">
        <v>16</v>
      </c>
      <c r="J17" s="642">
        <v>2170.0800000000004</v>
      </c>
      <c r="K17" s="656">
        <v>1</v>
      </c>
      <c r="L17" s="642">
        <v>16</v>
      </c>
      <c r="M17" s="643">
        <v>2170.0800000000004</v>
      </c>
    </row>
    <row r="18" spans="1:13" ht="14.4" customHeight="1" x14ac:dyDescent="0.3">
      <c r="A18" s="638" t="s">
        <v>556</v>
      </c>
      <c r="B18" s="639" t="s">
        <v>1257</v>
      </c>
      <c r="C18" s="639" t="s">
        <v>714</v>
      </c>
      <c r="D18" s="639" t="s">
        <v>715</v>
      </c>
      <c r="E18" s="639" t="s">
        <v>1258</v>
      </c>
      <c r="F18" s="642"/>
      <c r="G18" s="642"/>
      <c r="H18" s="656">
        <v>0</v>
      </c>
      <c r="I18" s="642">
        <v>11</v>
      </c>
      <c r="J18" s="642">
        <v>1061.17</v>
      </c>
      <c r="K18" s="656">
        <v>1</v>
      </c>
      <c r="L18" s="642">
        <v>11</v>
      </c>
      <c r="M18" s="643">
        <v>1061.17</v>
      </c>
    </row>
    <row r="19" spans="1:13" ht="14.4" customHeight="1" x14ac:dyDescent="0.3">
      <c r="A19" s="638" t="s">
        <v>556</v>
      </c>
      <c r="B19" s="639" t="s">
        <v>1281</v>
      </c>
      <c r="C19" s="639" t="s">
        <v>1165</v>
      </c>
      <c r="D19" s="639" t="s">
        <v>1282</v>
      </c>
      <c r="E19" s="639" t="s">
        <v>1283</v>
      </c>
      <c r="F19" s="642"/>
      <c r="G19" s="642"/>
      <c r="H19" s="656">
        <v>0</v>
      </c>
      <c r="I19" s="642">
        <v>1</v>
      </c>
      <c r="J19" s="642">
        <v>264</v>
      </c>
      <c r="K19" s="656">
        <v>1</v>
      </c>
      <c r="L19" s="642">
        <v>1</v>
      </c>
      <c r="M19" s="643">
        <v>264</v>
      </c>
    </row>
    <row r="20" spans="1:13" ht="14.4" customHeight="1" x14ac:dyDescent="0.3">
      <c r="A20" s="638" t="s">
        <v>556</v>
      </c>
      <c r="B20" s="639" t="s">
        <v>1266</v>
      </c>
      <c r="C20" s="639" t="s">
        <v>1156</v>
      </c>
      <c r="D20" s="639" t="s">
        <v>1284</v>
      </c>
      <c r="E20" s="639" t="s">
        <v>1268</v>
      </c>
      <c r="F20" s="642">
        <v>1.1000000000000001</v>
      </c>
      <c r="G20" s="642">
        <v>955.9</v>
      </c>
      <c r="H20" s="656">
        <v>1</v>
      </c>
      <c r="I20" s="642"/>
      <c r="J20" s="642"/>
      <c r="K20" s="656">
        <v>0</v>
      </c>
      <c r="L20" s="642">
        <v>1.1000000000000001</v>
      </c>
      <c r="M20" s="643">
        <v>955.9</v>
      </c>
    </row>
    <row r="21" spans="1:13" ht="14.4" customHeight="1" x14ac:dyDescent="0.3">
      <c r="A21" s="638" t="s">
        <v>556</v>
      </c>
      <c r="B21" s="639" t="s">
        <v>1266</v>
      </c>
      <c r="C21" s="639" t="s">
        <v>856</v>
      </c>
      <c r="D21" s="639" t="s">
        <v>1267</v>
      </c>
      <c r="E21" s="639" t="s">
        <v>1268</v>
      </c>
      <c r="F21" s="642"/>
      <c r="G21" s="642"/>
      <c r="H21" s="656">
        <v>0</v>
      </c>
      <c r="I21" s="642">
        <v>4.8</v>
      </c>
      <c r="J21" s="642">
        <v>2574.16</v>
      </c>
      <c r="K21" s="656">
        <v>1</v>
      </c>
      <c r="L21" s="642">
        <v>4.8</v>
      </c>
      <c r="M21" s="643">
        <v>2574.16</v>
      </c>
    </row>
    <row r="22" spans="1:13" ht="14.4" customHeight="1" x14ac:dyDescent="0.3">
      <c r="A22" s="638" t="s">
        <v>556</v>
      </c>
      <c r="B22" s="639" t="s">
        <v>1285</v>
      </c>
      <c r="C22" s="639" t="s">
        <v>844</v>
      </c>
      <c r="D22" s="639" t="s">
        <v>845</v>
      </c>
      <c r="E22" s="639" t="s">
        <v>1286</v>
      </c>
      <c r="F22" s="642"/>
      <c r="G22" s="642"/>
      <c r="H22" s="656">
        <v>0</v>
      </c>
      <c r="I22" s="642">
        <v>3</v>
      </c>
      <c r="J22" s="642">
        <v>2316.2399999999998</v>
      </c>
      <c r="K22" s="656">
        <v>1</v>
      </c>
      <c r="L22" s="642">
        <v>3</v>
      </c>
      <c r="M22" s="643">
        <v>2316.2399999999998</v>
      </c>
    </row>
    <row r="23" spans="1:13" ht="14.4" customHeight="1" x14ac:dyDescent="0.3">
      <c r="A23" s="638" t="s">
        <v>556</v>
      </c>
      <c r="B23" s="639" t="s">
        <v>1287</v>
      </c>
      <c r="C23" s="639" t="s">
        <v>1177</v>
      </c>
      <c r="D23" s="639" t="s">
        <v>1178</v>
      </c>
      <c r="E23" s="639" t="s">
        <v>1271</v>
      </c>
      <c r="F23" s="642"/>
      <c r="G23" s="642"/>
      <c r="H23" s="656">
        <v>0</v>
      </c>
      <c r="I23" s="642">
        <v>26</v>
      </c>
      <c r="J23" s="642">
        <v>3736.8551498949346</v>
      </c>
      <c r="K23" s="656">
        <v>1</v>
      </c>
      <c r="L23" s="642">
        <v>26</v>
      </c>
      <c r="M23" s="643">
        <v>3736.8551498949346</v>
      </c>
    </row>
    <row r="24" spans="1:13" ht="14.4" customHeight="1" x14ac:dyDescent="0.3">
      <c r="A24" s="638" t="s">
        <v>556</v>
      </c>
      <c r="B24" s="639" t="s">
        <v>1261</v>
      </c>
      <c r="C24" s="639" t="s">
        <v>718</v>
      </c>
      <c r="D24" s="639" t="s">
        <v>1262</v>
      </c>
      <c r="E24" s="639" t="s">
        <v>1263</v>
      </c>
      <c r="F24" s="642"/>
      <c r="G24" s="642"/>
      <c r="H24" s="656">
        <v>0</v>
      </c>
      <c r="I24" s="642">
        <v>10</v>
      </c>
      <c r="J24" s="642">
        <v>598.32399999999996</v>
      </c>
      <c r="K24" s="656">
        <v>1</v>
      </c>
      <c r="L24" s="642">
        <v>10</v>
      </c>
      <c r="M24" s="643">
        <v>598.32399999999996</v>
      </c>
    </row>
    <row r="25" spans="1:13" ht="14.4" customHeight="1" x14ac:dyDescent="0.3">
      <c r="A25" s="638" t="s">
        <v>556</v>
      </c>
      <c r="B25" s="639" t="s">
        <v>1269</v>
      </c>
      <c r="C25" s="639" t="s">
        <v>853</v>
      </c>
      <c r="D25" s="639" t="s">
        <v>1270</v>
      </c>
      <c r="E25" s="639" t="s">
        <v>1271</v>
      </c>
      <c r="F25" s="642"/>
      <c r="G25" s="642"/>
      <c r="H25" s="656">
        <v>0</v>
      </c>
      <c r="I25" s="642">
        <v>47</v>
      </c>
      <c r="J25" s="642">
        <v>1629.02</v>
      </c>
      <c r="K25" s="656">
        <v>1</v>
      </c>
      <c r="L25" s="642">
        <v>47</v>
      </c>
      <c r="M25" s="643">
        <v>1629.02</v>
      </c>
    </row>
    <row r="26" spans="1:13" ht="14.4" customHeight="1" x14ac:dyDescent="0.3">
      <c r="A26" s="638" t="s">
        <v>556</v>
      </c>
      <c r="B26" s="639" t="s">
        <v>1288</v>
      </c>
      <c r="C26" s="639" t="s">
        <v>1184</v>
      </c>
      <c r="D26" s="639" t="s">
        <v>1289</v>
      </c>
      <c r="E26" s="639" t="s">
        <v>1290</v>
      </c>
      <c r="F26" s="642"/>
      <c r="G26" s="642"/>
      <c r="H26" s="656">
        <v>0</v>
      </c>
      <c r="I26" s="642">
        <v>30</v>
      </c>
      <c r="J26" s="642">
        <v>866.69999999999993</v>
      </c>
      <c r="K26" s="656">
        <v>1</v>
      </c>
      <c r="L26" s="642">
        <v>30</v>
      </c>
      <c r="M26" s="643">
        <v>866.69999999999993</v>
      </c>
    </row>
    <row r="27" spans="1:13" ht="14.4" customHeight="1" x14ac:dyDescent="0.3">
      <c r="A27" s="638" t="s">
        <v>556</v>
      </c>
      <c r="B27" s="639" t="s">
        <v>1272</v>
      </c>
      <c r="C27" s="639" t="s">
        <v>859</v>
      </c>
      <c r="D27" s="639" t="s">
        <v>1273</v>
      </c>
      <c r="E27" s="639" t="s">
        <v>1274</v>
      </c>
      <c r="F27" s="642"/>
      <c r="G27" s="642"/>
      <c r="H27" s="656">
        <v>0</v>
      </c>
      <c r="I27" s="642">
        <v>10.1</v>
      </c>
      <c r="J27" s="642">
        <v>1610.95</v>
      </c>
      <c r="K27" s="656">
        <v>1</v>
      </c>
      <c r="L27" s="642">
        <v>10.1</v>
      </c>
      <c r="M27" s="643">
        <v>1610.95</v>
      </c>
    </row>
    <row r="28" spans="1:13" ht="14.4" customHeight="1" x14ac:dyDescent="0.3">
      <c r="A28" s="638" t="s">
        <v>556</v>
      </c>
      <c r="B28" s="639" t="s">
        <v>1291</v>
      </c>
      <c r="C28" s="639" t="s">
        <v>1119</v>
      </c>
      <c r="D28" s="639" t="s">
        <v>1292</v>
      </c>
      <c r="E28" s="639" t="s">
        <v>1293</v>
      </c>
      <c r="F28" s="642"/>
      <c r="G28" s="642"/>
      <c r="H28" s="656">
        <v>0</v>
      </c>
      <c r="I28" s="642">
        <v>420</v>
      </c>
      <c r="J28" s="642">
        <v>35233.728582089883</v>
      </c>
      <c r="K28" s="656">
        <v>1</v>
      </c>
      <c r="L28" s="642">
        <v>420</v>
      </c>
      <c r="M28" s="643">
        <v>35233.728582089883</v>
      </c>
    </row>
    <row r="29" spans="1:13" ht="14.4" customHeight="1" x14ac:dyDescent="0.3">
      <c r="A29" s="638" t="s">
        <v>556</v>
      </c>
      <c r="B29" s="639" t="s">
        <v>1294</v>
      </c>
      <c r="C29" s="639" t="s">
        <v>1126</v>
      </c>
      <c r="D29" s="639" t="s">
        <v>1295</v>
      </c>
      <c r="E29" s="639" t="s">
        <v>1296</v>
      </c>
      <c r="F29" s="642"/>
      <c r="G29" s="642"/>
      <c r="H29" s="656">
        <v>0</v>
      </c>
      <c r="I29" s="642">
        <v>0</v>
      </c>
      <c r="J29" s="642">
        <v>-2.8421709430404007E-14</v>
      </c>
      <c r="K29" s="656">
        <v>1</v>
      </c>
      <c r="L29" s="642">
        <v>0</v>
      </c>
      <c r="M29" s="643">
        <v>-2.8421709430404007E-14</v>
      </c>
    </row>
    <row r="30" spans="1:13" ht="14.4" customHeight="1" x14ac:dyDescent="0.3">
      <c r="A30" s="638" t="s">
        <v>556</v>
      </c>
      <c r="B30" s="639" t="s">
        <v>1294</v>
      </c>
      <c r="C30" s="639" t="s">
        <v>1129</v>
      </c>
      <c r="D30" s="639" t="s">
        <v>1295</v>
      </c>
      <c r="E30" s="639" t="s">
        <v>1297</v>
      </c>
      <c r="F30" s="642"/>
      <c r="G30" s="642"/>
      <c r="H30" s="656">
        <v>0</v>
      </c>
      <c r="I30" s="642">
        <v>27</v>
      </c>
      <c r="J30" s="642">
        <v>1821.1783408424471</v>
      </c>
      <c r="K30" s="656">
        <v>1</v>
      </c>
      <c r="L30" s="642">
        <v>27</v>
      </c>
      <c r="M30" s="643">
        <v>1821.1783408424471</v>
      </c>
    </row>
    <row r="31" spans="1:13" ht="14.4" customHeight="1" x14ac:dyDescent="0.3">
      <c r="A31" s="638" t="s">
        <v>556</v>
      </c>
      <c r="B31" s="639" t="s">
        <v>1294</v>
      </c>
      <c r="C31" s="639" t="s">
        <v>863</v>
      </c>
      <c r="D31" s="639" t="s">
        <v>864</v>
      </c>
      <c r="E31" s="639" t="s">
        <v>1298</v>
      </c>
      <c r="F31" s="642">
        <v>15</v>
      </c>
      <c r="G31" s="642">
        <v>1434.75</v>
      </c>
      <c r="H31" s="656">
        <v>1</v>
      </c>
      <c r="I31" s="642"/>
      <c r="J31" s="642"/>
      <c r="K31" s="656">
        <v>0</v>
      </c>
      <c r="L31" s="642">
        <v>15</v>
      </c>
      <c r="M31" s="643">
        <v>1434.75</v>
      </c>
    </row>
    <row r="32" spans="1:13" ht="14.4" customHeight="1" x14ac:dyDescent="0.3">
      <c r="A32" s="638" t="s">
        <v>556</v>
      </c>
      <c r="B32" s="639" t="s">
        <v>1294</v>
      </c>
      <c r="C32" s="639" t="s">
        <v>870</v>
      </c>
      <c r="D32" s="639" t="s">
        <v>1299</v>
      </c>
      <c r="E32" s="639" t="s">
        <v>1298</v>
      </c>
      <c r="F32" s="642">
        <v>45</v>
      </c>
      <c r="G32" s="642">
        <v>5729.2031127497885</v>
      </c>
      <c r="H32" s="656">
        <v>1</v>
      </c>
      <c r="I32" s="642"/>
      <c r="J32" s="642"/>
      <c r="K32" s="656">
        <v>0</v>
      </c>
      <c r="L32" s="642">
        <v>45</v>
      </c>
      <c r="M32" s="643">
        <v>5729.2031127497885</v>
      </c>
    </row>
    <row r="33" spans="1:13" ht="14.4" customHeight="1" x14ac:dyDescent="0.3">
      <c r="A33" s="638" t="s">
        <v>556</v>
      </c>
      <c r="B33" s="639" t="s">
        <v>1300</v>
      </c>
      <c r="C33" s="639" t="s">
        <v>1115</v>
      </c>
      <c r="D33" s="639" t="s">
        <v>1116</v>
      </c>
      <c r="E33" s="639" t="s">
        <v>1301</v>
      </c>
      <c r="F33" s="642"/>
      <c r="G33" s="642"/>
      <c r="H33" s="656">
        <v>0</v>
      </c>
      <c r="I33" s="642">
        <v>7</v>
      </c>
      <c r="J33" s="642">
        <v>345.85</v>
      </c>
      <c r="K33" s="656">
        <v>1</v>
      </c>
      <c r="L33" s="642">
        <v>7</v>
      </c>
      <c r="M33" s="643">
        <v>345.85</v>
      </c>
    </row>
    <row r="34" spans="1:13" ht="14.4" customHeight="1" x14ac:dyDescent="0.3">
      <c r="A34" s="638" t="s">
        <v>556</v>
      </c>
      <c r="B34" s="639" t="s">
        <v>1302</v>
      </c>
      <c r="C34" s="639" t="s">
        <v>1123</v>
      </c>
      <c r="D34" s="639" t="s">
        <v>1124</v>
      </c>
      <c r="E34" s="639" t="s">
        <v>1303</v>
      </c>
      <c r="F34" s="642"/>
      <c r="G34" s="642"/>
      <c r="H34" s="656">
        <v>0</v>
      </c>
      <c r="I34" s="642">
        <v>4</v>
      </c>
      <c r="J34" s="642">
        <v>360.28</v>
      </c>
      <c r="K34" s="656">
        <v>1</v>
      </c>
      <c r="L34" s="642">
        <v>4</v>
      </c>
      <c r="M34" s="643">
        <v>360.28</v>
      </c>
    </row>
    <row r="35" spans="1:13" ht="14.4" customHeight="1" x14ac:dyDescent="0.3">
      <c r="A35" s="638" t="s">
        <v>556</v>
      </c>
      <c r="B35" s="639" t="s">
        <v>1304</v>
      </c>
      <c r="C35" s="639" t="s">
        <v>874</v>
      </c>
      <c r="D35" s="639" t="s">
        <v>1305</v>
      </c>
      <c r="E35" s="639" t="s">
        <v>1306</v>
      </c>
      <c r="F35" s="642">
        <v>1</v>
      </c>
      <c r="G35" s="642">
        <v>67.39</v>
      </c>
      <c r="H35" s="656">
        <v>1</v>
      </c>
      <c r="I35" s="642"/>
      <c r="J35" s="642"/>
      <c r="K35" s="656">
        <v>0</v>
      </c>
      <c r="L35" s="642">
        <v>1</v>
      </c>
      <c r="M35" s="643">
        <v>67.39</v>
      </c>
    </row>
    <row r="36" spans="1:13" ht="14.4" customHeight="1" x14ac:dyDescent="0.3">
      <c r="A36" s="638" t="s">
        <v>556</v>
      </c>
      <c r="B36" s="639" t="s">
        <v>1307</v>
      </c>
      <c r="C36" s="639" t="s">
        <v>1137</v>
      </c>
      <c r="D36" s="639" t="s">
        <v>1308</v>
      </c>
      <c r="E36" s="639" t="s">
        <v>1309</v>
      </c>
      <c r="F36" s="642">
        <v>1</v>
      </c>
      <c r="G36" s="642">
        <v>188.54999314396946</v>
      </c>
      <c r="H36" s="656">
        <v>1</v>
      </c>
      <c r="I36" s="642"/>
      <c r="J36" s="642"/>
      <c r="K36" s="656">
        <v>0</v>
      </c>
      <c r="L36" s="642">
        <v>1</v>
      </c>
      <c r="M36" s="643">
        <v>188.54999314396946</v>
      </c>
    </row>
    <row r="37" spans="1:13" ht="14.4" customHeight="1" x14ac:dyDescent="0.3">
      <c r="A37" s="638" t="s">
        <v>556</v>
      </c>
      <c r="B37" s="639" t="s">
        <v>1307</v>
      </c>
      <c r="C37" s="639" t="s">
        <v>1133</v>
      </c>
      <c r="D37" s="639" t="s">
        <v>1310</v>
      </c>
      <c r="E37" s="639" t="s">
        <v>1311</v>
      </c>
      <c r="F37" s="642">
        <v>6</v>
      </c>
      <c r="G37" s="642">
        <v>1230.5</v>
      </c>
      <c r="H37" s="656">
        <v>1</v>
      </c>
      <c r="I37" s="642"/>
      <c r="J37" s="642"/>
      <c r="K37" s="656">
        <v>0</v>
      </c>
      <c r="L37" s="642">
        <v>6</v>
      </c>
      <c r="M37" s="643">
        <v>1230.5</v>
      </c>
    </row>
    <row r="38" spans="1:13" ht="14.4" customHeight="1" thickBot="1" x14ac:dyDescent="0.35">
      <c r="A38" s="644" t="s">
        <v>556</v>
      </c>
      <c r="B38" s="645" t="s">
        <v>1307</v>
      </c>
      <c r="C38" s="645" t="s">
        <v>1153</v>
      </c>
      <c r="D38" s="645" t="s">
        <v>1154</v>
      </c>
      <c r="E38" s="645" t="s">
        <v>1155</v>
      </c>
      <c r="F38" s="648"/>
      <c r="G38" s="648"/>
      <c r="H38" s="657">
        <v>0</v>
      </c>
      <c r="I38" s="648">
        <v>1</v>
      </c>
      <c r="J38" s="648">
        <v>1872.7879352240332</v>
      </c>
      <c r="K38" s="657">
        <v>1</v>
      </c>
      <c r="L38" s="648">
        <v>1</v>
      </c>
      <c r="M38" s="649">
        <v>1872.7879352240332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51" customWidth="1"/>
    <col min="2" max="2" width="5.44140625" style="326" bestFit="1" customWidth="1"/>
    <col min="3" max="3" width="6.109375" style="326" bestFit="1" customWidth="1"/>
    <col min="4" max="4" width="7.44140625" style="326" bestFit="1" customWidth="1"/>
    <col min="5" max="5" width="6.21875" style="326" bestFit="1" customWidth="1"/>
    <col min="6" max="6" width="6.33203125" style="329" bestFit="1" customWidth="1"/>
    <col min="7" max="7" width="6.109375" style="329" bestFit="1" customWidth="1"/>
    <col min="8" max="8" width="7.44140625" style="329" bestFit="1" customWidth="1"/>
    <col min="9" max="9" width="6.21875" style="329" bestFit="1" customWidth="1"/>
    <col min="10" max="10" width="5.44140625" style="326" bestFit="1" customWidth="1"/>
    <col min="11" max="11" width="6.109375" style="326" bestFit="1" customWidth="1"/>
    <col min="12" max="12" width="7.44140625" style="326" bestFit="1" customWidth="1"/>
    <col min="13" max="13" width="6.21875" style="326" bestFit="1" customWidth="1"/>
    <col min="14" max="14" width="5.33203125" style="329" bestFit="1" customWidth="1"/>
    <col min="15" max="15" width="6.109375" style="329" bestFit="1" customWidth="1"/>
    <col min="16" max="16" width="7.44140625" style="329" bestFit="1" customWidth="1"/>
    <col min="17" max="17" width="6.21875" style="329" bestFit="1" customWidth="1"/>
    <col min="18" max="16384" width="8.88671875" style="244"/>
  </cols>
  <sheetData>
    <row r="1" spans="1:17" ht="18.600000000000001" customHeight="1" thickBot="1" x14ac:dyDescent="0.4">
      <c r="A1" s="502" t="s">
        <v>250</v>
      </c>
      <c r="B1" s="502"/>
      <c r="C1" s="502"/>
      <c r="D1" s="502"/>
      <c r="E1" s="502"/>
      <c r="F1" s="465"/>
      <c r="G1" s="465"/>
      <c r="H1" s="465"/>
      <c r="I1" s="465"/>
      <c r="J1" s="495"/>
      <c r="K1" s="495"/>
      <c r="L1" s="495"/>
      <c r="M1" s="495"/>
      <c r="N1" s="495"/>
      <c r="O1" s="495"/>
      <c r="P1" s="495"/>
      <c r="Q1" s="495"/>
    </row>
    <row r="2" spans="1:17" ht="14.4" customHeight="1" thickBot="1" x14ac:dyDescent="0.35">
      <c r="A2" s="368" t="s">
        <v>301</v>
      </c>
      <c r="B2" s="333"/>
      <c r="C2" s="333"/>
      <c r="D2" s="333"/>
      <c r="E2" s="333"/>
    </row>
    <row r="3" spans="1:17" ht="14.4" customHeight="1" thickBot="1" x14ac:dyDescent="0.35">
      <c r="A3" s="440" t="s">
        <v>3</v>
      </c>
      <c r="B3" s="444">
        <f>SUM(B6:B1048576)</f>
        <v>2911</v>
      </c>
      <c r="C3" s="445">
        <f>SUM(C6:C1048576)</f>
        <v>496</v>
      </c>
      <c r="D3" s="445">
        <f>SUM(D6:D1048576)</f>
        <v>151</v>
      </c>
      <c r="E3" s="446">
        <f>SUM(E6:E1048576)</f>
        <v>22</v>
      </c>
      <c r="F3" s="443">
        <f>IF(SUM($B3:$E3)=0,"",B3/SUM($B3:$E3))</f>
        <v>0.81312849162011169</v>
      </c>
      <c r="G3" s="441">
        <f t="shared" ref="G3:I3" si="0">IF(SUM($B3:$E3)=0,"",C3/SUM($B3:$E3))</f>
        <v>0.13854748603351955</v>
      </c>
      <c r="H3" s="441">
        <f t="shared" si="0"/>
        <v>4.2178770949720668E-2</v>
      </c>
      <c r="I3" s="442">
        <f t="shared" si="0"/>
        <v>6.1452513966480443E-3</v>
      </c>
      <c r="J3" s="445">
        <f>SUM(J6:J1048576)</f>
        <v>468</v>
      </c>
      <c r="K3" s="445">
        <f>SUM(K6:K1048576)</f>
        <v>278</v>
      </c>
      <c r="L3" s="445">
        <f>SUM(L6:L1048576)</f>
        <v>151</v>
      </c>
      <c r="M3" s="446">
        <f>SUM(M6:M1048576)</f>
        <v>14</v>
      </c>
      <c r="N3" s="443">
        <f>IF(SUM($J3:$M3)=0,"",J3/SUM($J3:$M3))</f>
        <v>0.51372118551042811</v>
      </c>
      <c r="O3" s="441">
        <f t="shared" ref="O3:Q3" si="1">IF(SUM($J3:$M3)=0,"",K3/SUM($J3:$M3))</f>
        <v>0.30515916575192098</v>
      </c>
      <c r="P3" s="441">
        <f t="shared" si="1"/>
        <v>0.16575192096597147</v>
      </c>
      <c r="Q3" s="442">
        <f t="shared" si="1"/>
        <v>1.5367727771679473E-2</v>
      </c>
    </row>
    <row r="4" spans="1:17" ht="14.4" customHeight="1" thickBot="1" x14ac:dyDescent="0.35">
      <c r="A4" s="439"/>
      <c r="B4" s="515" t="s">
        <v>252</v>
      </c>
      <c r="C4" s="516"/>
      <c r="D4" s="516"/>
      <c r="E4" s="517"/>
      <c r="F4" s="512" t="s">
        <v>257</v>
      </c>
      <c r="G4" s="513"/>
      <c r="H4" s="513"/>
      <c r="I4" s="514"/>
      <c r="J4" s="515" t="s">
        <v>258</v>
      </c>
      <c r="K4" s="516"/>
      <c r="L4" s="516"/>
      <c r="M4" s="517"/>
      <c r="N4" s="512" t="s">
        <v>259</v>
      </c>
      <c r="O4" s="513"/>
      <c r="P4" s="513"/>
      <c r="Q4" s="514"/>
    </row>
    <row r="5" spans="1:17" ht="14.4" customHeight="1" thickBot="1" x14ac:dyDescent="0.35">
      <c r="A5" s="672" t="s">
        <v>251</v>
      </c>
      <c r="B5" s="673" t="s">
        <v>253</v>
      </c>
      <c r="C5" s="673" t="s">
        <v>254</v>
      </c>
      <c r="D5" s="673" t="s">
        <v>255</v>
      </c>
      <c r="E5" s="674" t="s">
        <v>256</v>
      </c>
      <c r="F5" s="675" t="s">
        <v>253</v>
      </c>
      <c r="G5" s="676" t="s">
        <v>254</v>
      </c>
      <c r="H5" s="676" t="s">
        <v>255</v>
      </c>
      <c r="I5" s="677" t="s">
        <v>256</v>
      </c>
      <c r="J5" s="673" t="s">
        <v>253</v>
      </c>
      <c r="K5" s="673" t="s">
        <v>254</v>
      </c>
      <c r="L5" s="673" t="s">
        <v>255</v>
      </c>
      <c r="M5" s="674" t="s">
        <v>256</v>
      </c>
      <c r="N5" s="675" t="s">
        <v>253</v>
      </c>
      <c r="O5" s="676" t="s">
        <v>254</v>
      </c>
      <c r="P5" s="676" t="s">
        <v>255</v>
      </c>
      <c r="Q5" s="677" t="s">
        <v>256</v>
      </c>
    </row>
    <row r="6" spans="1:17" ht="14.4" customHeight="1" x14ac:dyDescent="0.3">
      <c r="A6" s="682" t="s">
        <v>1313</v>
      </c>
      <c r="B6" s="688"/>
      <c r="C6" s="636"/>
      <c r="D6" s="636"/>
      <c r="E6" s="637"/>
      <c r="F6" s="685"/>
      <c r="G6" s="655"/>
      <c r="H6" s="655"/>
      <c r="I6" s="691"/>
      <c r="J6" s="688"/>
      <c r="K6" s="636"/>
      <c r="L6" s="636"/>
      <c r="M6" s="637"/>
      <c r="N6" s="685"/>
      <c r="O6" s="655"/>
      <c r="P6" s="655"/>
      <c r="Q6" s="679"/>
    </row>
    <row r="7" spans="1:17" ht="14.4" customHeight="1" x14ac:dyDescent="0.3">
      <c r="A7" s="683" t="s">
        <v>1314</v>
      </c>
      <c r="B7" s="689">
        <v>568</v>
      </c>
      <c r="C7" s="642">
        <v>22</v>
      </c>
      <c r="D7" s="642">
        <v>14</v>
      </c>
      <c r="E7" s="643"/>
      <c r="F7" s="686">
        <v>0.94039735099337751</v>
      </c>
      <c r="G7" s="656">
        <v>3.6423841059602648E-2</v>
      </c>
      <c r="H7" s="656">
        <v>2.3178807947019868E-2</v>
      </c>
      <c r="I7" s="692">
        <v>0</v>
      </c>
      <c r="J7" s="689">
        <v>134</v>
      </c>
      <c r="K7" s="642">
        <v>15</v>
      </c>
      <c r="L7" s="642">
        <v>14</v>
      </c>
      <c r="M7" s="643"/>
      <c r="N7" s="686">
        <v>0.82208588957055218</v>
      </c>
      <c r="O7" s="656">
        <v>9.202453987730061E-2</v>
      </c>
      <c r="P7" s="656">
        <v>8.5889570552147243E-2</v>
      </c>
      <c r="Q7" s="680">
        <v>0</v>
      </c>
    </row>
    <row r="8" spans="1:17" ht="14.4" customHeight="1" x14ac:dyDescent="0.3">
      <c r="A8" s="683" t="s">
        <v>1315</v>
      </c>
      <c r="B8" s="689">
        <v>751</v>
      </c>
      <c r="C8" s="642">
        <v>132</v>
      </c>
      <c r="D8" s="642">
        <v>13</v>
      </c>
      <c r="E8" s="643"/>
      <c r="F8" s="686">
        <v>0.8381696428571429</v>
      </c>
      <c r="G8" s="656">
        <v>0.14732142857142858</v>
      </c>
      <c r="H8" s="656">
        <v>1.4508928571428572E-2</v>
      </c>
      <c r="I8" s="692">
        <v>0</v>
      </c>
      <c r="J8" s="689">
        <v>155</v>
      </c>
      <c r="K8" s="642">
        <v>87</v>
      </c>
      <c r="L8" s="642">
        <v>13</v>
      </c>
      <c r="M8" s="643"/>
      <c r="N8" s="686">
        <v>0.60784313725490191</v>
      </c>
      <c r="O8" s="656">
        <v>0.3411764705882353</v>
      </c>
      <c r="P8" s="656">
        <v>5.0980392156862744E-2</v>
      </c>
      <c r="Q8" s="680">
        <v>0</v>
      </c>
    </row>
    <row r="9" spans="1:17" ht="14.4" customHeight="1" x14ac:dyDescent="0.3">
      <c r="A9" s="683" t="s">
        <v>1316</v>
      </c>
      <c r="B9" s="689">
        <v>1592</v>
      </c>
      <c r="C9" s="642">
        <v>342</v>
      </c>
      <c r="D9" s="642">
        <v>124</v>
      </c>
      <c r="E9" s="643"/>
      <c r="F9" s="686">
        <v>0.77356656948493685</v>
      </c>
      <c r="G9" s="656">
        <v>0.16618075801749271</v>
      </c>
      <c r="H9" s="656">
        <v>6.0252672497570457E-2</v>
      </c>
      <c r="I9" s="692">
        <v>0</v>
      </c>
      <c r="J9" s="689">
        <v>179</v>
      </c>
      <c r="K9" s="642">
        <v>176</v>
      </c>
      <c r="L9" s="642">
        <v>124</v>
      </c>
      <c r="M9" s="643"/>
      <c r="N9" s="686">
        <v>0.37369519832985387</v>
      </c>
      <c r="O9" s="656">
        <v>0.36743215031315241</v>
      </c>
      <c r="P9" s="656">
        <v>0.25887265135699372</v>
      </c>
      <c r="Q9" s="680">
        <v>0</v>
      </c>
    </row>
    <row r="10" spans="1:17" ht="14.4" customHeight="1" thickBot="1" x14ac:dyDescent="0.35">
      <c r="A10" s="684" t="s">
        <v>1317</v>
      </c>
      <c r="B10" s="690"/>
      <c r="C10" s="648"/>
      <c r="D10" s="648"/>
      <c r="E10" s="649">
        <v>22</v>
      </c>
      <c r="F10" s="687">
        <v>0</v>
      </c>
      <c r="G10" s="657">
        <v>0</v>
      </c>
      <c r="H10" s="657">
        <v>0</v>
      </c>
      <c r="I10" s="693">
        <v>1</v>
      </c>
      <c r="J10" s="690"/>
      <c r="K10" s="648"/>
      <c r="L10" s="648"/>
      <c r="M10" s="649">
        <v>14</v>
      </c>
      <c r="N10" s="687">
        <v>0</v>
      </c>
      <c r="O10" s="657">
        <v>0</v>
      </c>
      <c r="P10" s="657">
        <v>0</v>
      </c>
      <c r="Q10" s="681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4" customWidth="1"/>
    <col min="2" max="2" width="34.21875" style="244" customWidth="1"/>
    <col min="3" max="3" width="11.109375" style="244" bestFit="1" customWidth="1"/>
    <col min="4" max="4" width="7.33203125" style="244" bestFit="1" customWidth="1"/>
    <col min="5" max="5" width="11.109375" style="244" bestFit="1" customWidth="1"/>
    <col min="6" max="6" width="5.33203125" style="244" customWidth="1"/>
    <col min="7" max="7" width="7.33203125" style="244" bestFit="1" customWidth="1"/>
    <col min="8" max="8" width="5.33203125" style="244" customWidth="1"/>
    <col min="9" max="9" width="11.109375" style="244" customWidth="1"/>
    <col min="10" max="10" width="5.33203125" style="244" customWidth="1"/>
    <col min="11" max="11" width="7.33203125" style="244" customWidth="1"/>
    <col min="12" max="12" width="5.33203125" style="244" customWidth="1"/>
    <col min="13" max="13" width="0" style="244" hidden="1" customWidth="1"/>
    <col min="14" max="16384" width="8.88671875" style="244"/>
  </cols>
  <sheetData>
    <row r="1" spans="1:14" ht="18.600000000000001" customHeight="1" thickBot="1" x14ac:dyDescent="0.4">
      <c r="A1" s="502" t="s">
        <v>169</v>
      </c>
      <c r="B1" s="502"/>
      <c r="C1" s="502"/>
      <c r="D1" s="502"/>
      <c r="E1" s="502"/>
      <c r="F1" s="502"/>
      <c r="G1" s="502"/>
      <c r="H1" s="502"/>
      <c r="I1" s="465"/>
      <c r="J1" s="465"/>
      <c r="K1" s="465"/>
      <c r="L1" s="465"/>
    </row>
    <row r="2" spans="1:14" ht="14.4" customHeight="1" thickBot="1" x14ac:dyDescent="0.35">
      <c r="A2" s="368" t="s">
        <v>301</v>
      </c>
      <c r="B2" s="325"/>
      <c r="C2" s="325"/>
      <c r="D2" s="325"/>
      <c r="E2" s="325"/>
      <c r="F2" s="325"/>
      <c r="G2" s="325"/>
      <c r="H2" s="325"/>
    </row>
    <row r="3" spans="1:14" ht="14.4" customHeight="1" thickBot="1" x14ac:dyDescent="0.35">
      <c r="A3" s="259"/>
      <c r="B3" s="259"/>
      <c r="C3" s="519" t="s">
        <v>15</v>
      </c>
      <c r="D3" s="518"/>
      <c r="E3" s="518" t="s">
        <v>16</v>
      </c>
      <c r="F3" s="518"/>
      <c r="G3" s="518"/>
      <c r="H3" s="518"/>
      <c r="I3" s="518" t="s">
        <v>182</v>
      </c>
      <c r="J3" s="518"/>
      <c r="K3" s="518"/>
      <c r="L3" s="520"/>
    </row>
    <row r="4" spans="1:14" ht="14.4" customHeight="1" thickBot="1" x14ac:dyDescent="0.35">
      <c r="A4" s="98" t="s">
        <v>17</v>
      </c>
      <c r="B4" s="99" t="s">
        <v>18</v>
      </c>
      <c r="C4" s="100" t="s">
        <v>19</v>
      </c>
      <c r="D4" s="100" t="s">
        <v>20</v>
      </c>
      <c r="E4" s="100" t="s">
        <v>19</v>
      </c>
      <c r="F4" s="100" t="s">
        <v>2</v>
      </c>
      <c r="G4" s="100" t="s">
        <v>20</v>
      </c>
      <c r="H4" s="100" t="s">
        <v>2</v>
      </c>
      <c r="I4" s="100" t="s">
        <v>19</v>
      </c>
      <c r="J4" s="100" t="s">
        <v>2</v>
      </c>
      <c r="K4" s="100" t="s">
        <v>20</v>
      </c>
      <c r="L4" s="101" t="s">
        <v>2</v>
      </c>
    </row>
    <row r="5" spans="1:14" ht="14.4" customHeight="1" x14ac:dyDescent="0.3">
      <c r="A5" s="620">
        <v>9</v>
      </c>
      <c r="B5" s="621" t="s">
        <v>544</v>
      </c>
      <c r="C5" s="624">
        <v>27852.48000000001</v>
      </c>
      <c r="D5" s="624">
        <v>63</v>
      </c>
      <c r="E5" s="624">
        <v>21418.310000000009</v>
      </c>
      <c r="F5" s="694">
        <v>0.76899112754052779</v>
      </c>
      <c r="G5" s="624">
        <v>48</v>
      </c>
      <c r="H5" s="694">
        <v>0.76190476190476186</v>
      </c>
      <c r="I5" s="624">
        <v>6434.17</v>
      </c>
      <c r="J5" s="694">
        <v>0.2310088724594721</v>
      </c>
      <c r="K5" s="624">
        <v>15</v>
      </c>
      <c r="L5" s="694">
        <v>0.23809523809523808</v>
      </c>
      <c r="M5" s="624" t="s">
        <v>67</v>
      </c>
      <c r="N5" s="267"/>
    </row>
    <row r="6" spans="1:14" ht="14.4" customHeight="1" x14ac:dyDescent="0.3">
      <c r="A6" s="620">
        <v>9</v>
      </c>
      <c r="B6" s="621" t="s">
        <v>1318</v>
      </c>
      <c r="C6" s="624">
        <v>27852.48000000001</v>
      </c>
      <c r="D6" s="624">
        <v>60</v>
      </c>
      <c r="E6" s="624">
        <v>21418.310000000009</v>
      </c>
      <c r="F6" s="694">
        <v>0.76899112754052779</v>
      </c>
      <c r="G6" s="624">
        <v>45</v>
      </c>
      <c r="H6" s="694">
        <v>0.75</v>
      </c>
      <c r="I6" s="624">
        <v>6434.17</v>
      </c>
      <c r="J6" s="694">
        <v>0.2310088724594721</v>
      </c>
      <c r="K6" s="624">
        <v>15</v>
      </c>
      <c r="L6" s="694">
        <v>0.25</v>
      </c>
      <c r="M6" s="624" t="s">
        <v>1</v>
      </c>
      <c r="N6" s="267"/>
    </row>
    <row r="7" spans="1:14" ht="14.4" customHeight="1" x14ac:dyDescent="0.3">
      <c r="A7" s="620">
        <v>9</v>
      </c>
      <c r="B7" s="621" t="s">
        <v>1319</v>
      </c>
      <c r="C7" s="624">
        <v>0</v>
      </c>
      <c r="D7" s="624">
        <v>3</v>
      </c>
      <c r="E7" s="624">
        <v>0</v>
      </c>
      <c r="F7" s="694" t="s">
        <v>545</v>
      </c>
      <c r="G7" s="624">
        <v>3</v>
      </c>
      <c r="H7" s="694">
        <v>1</v>
      </c>
      <c r="I7" s="624" t="s">
        <v>545</v>
      </c>
      <c r="J7" s="694" t="s">
        <v>545</v>
      </c>
      <c r="K7" s="624" t="s">
        <v>545</v>
      </c>
      <c r="L7" s="694">
        <v>0</v>
      </c>
      <c r="M7" s="624" t="s">
        <v>1</v>
      </c>
      <c r="N7" s="267"/>
    </row>
    <row r="8" spans="1:14" ht="14.4" customHeight="1" x14ac:dyDescent="0.3">
      <c r="A8" s="620" t="s">
        <v>1320</v>
      </c>
      <c r="B8" s="621" t="s">
        <v>3</v>
      </c>
      <c r="C8" s="624">
        <v>27852.48000000001</v>
      </c>
      <c r="D8" s="624">
        <v>63</v>
      </c>
      <c r="E8" s="624">
        <v>21418.310000000009</v>
      </c>
      <c r="F8" s="694">
        <v>0.76899112754052779</v>
      </c>
      <c r="G8" s="624">
        <v>48</v>
      </c>
      <c r="H8" s="694">
        <v>0.76190476190476186</v>
      </c>
      <c r="I8" s="624">
        <v>6434.17</v>
      </c>
      <c r="J8" s="694">
        <v>0.2310088724594721</v>
      </c>
      <c r="K8" s="624">
        <v>15</v>
      </c>
      <c r="L8" s="694">
        <v>0.23809523809523808</v>
      </c>
      <c r="M8" s="624" t="s">
        <v>547</v>
      </c>
      <c r="N8" s="267"/>
    </row>
    <row r="10" spans="1:14" ht="14.4" customHeight="1" x14ac:dyDescent="0.3">
      <c r="A10" s="620">
        <v>9</v>
      </c>
      <c r="B10" s="621" t="s">
        <v>544</v>
      </c>
      <c r="C10" s="624" t="s">
        <v>545</v>
      </c>
      <c r="D10" s="624" t="s">
        <v>545</v>
      </c>
      <c r="E10" s="624" t="s">
        <v>545</v>
      </c>
      <c r="F10" s="694" t="s">
        <v>545</v>
      </c>
      <c r="G10" s="624" t="s">
        <v>545</v>
      </c>
      <c r="H10" s="694" t="s">
        <v>545</v>
      </c>
      <c r="I10" s="624" t="s">
        <v>545</v>
      </c>
      <c r="J10" s="694" t="s">
        <v>545</v>
      </c>
      <c r="K10" s="624" t="s">
        <v>545</v>
      </c>
      <c r="L10" s="694" t="s">
        <v>545</v>
      </c>
      <c r="M10" s="624" t="s">
        <v>67</v>
      </c>
      <c r="N10" s="267"/>
    </row>
    <row r="11" spans="1:14" ht="14.4" customHeight="1" x14ac:dyDescent="0.3">
      <c r="A11" s="620" t="s">
        <v>1321</v>
      </c>
      <c r="B11" s="621" t="s">
        <v>1318</v>
      </c>
      <c r="C11" s="624">
        <v>27852.48000000001</v>
      </c>
      <c r="D11" s="624">
        <v>60</v>
      </c>
      <c r="E11" s="624">
        <v>21418.310000000009</v>
      </c>
      <c r="F11" s="694">
        <v>0.76899112754052779</v>
      </c>
      <c r="G11" s="624">
        <v>45</v>
      </c>
      <c r="H11" s="694">
        <v>0.75</v>
      </c>
      <c r="I11" s="624">
        <v>6434.17</v>
      </c>
      <c r="J11" s="694">
        <v>0.2310088724594721</v>
      </c>
      <c r="K11" s="624">
        <v>15</v>
      </c>
      <c r="L11" s="694">
        <v>0.25</v>
      </c>
      <c r="M11" s="624" t="s">
        <v>1</v>
      </c>
      <c r="N11" s="267"/>
    </row>
    <row r="12" spans="1:14" ht="14.4" customHeight="1" x14ac:dyDescent="0.3">
      <c r="A12" s="620" t="s">
        <v>1321</v>
      </c>
      <c r="B12" s="621" t="s">
        <v>1319</v>
      </c>
      <c r="C12" s="624">
        <v>0</v>
      </c>
      <c r="D12" s="624">
        <v>3</v>
      </c>
      <c r="E12" s="624">
        <v>0</v>
      </c>
      <c r="F12" s="694" t="s">
        <v>545</v>
      </c>
      <c r="G12" s="624">
        <v>3</v>
      </c>
      <c r="H12" s="694">
        <v>1</v>
      </c>
      <c r="I12" s="624" t="s">
        <v>545</v>
      </c>
      <c r="J12" s="694" t="s">
        <v>545</v>
      </c>
      <c r="K12" s="624" t="s">
        <v>545</v>
      </c>
      <c r="L12" s="694">
        <v>0</v>
      </c>
      <c r="M12" s="624" t="s">
        <v>1</v>
      </c>
      <c r="N12" s="267"/>
    </row>
    <row r="13" spans="1:14" ht="14.4" customHeight="1" x14ac:dyDescent="0.3">
      <c r="A13" s="620" t="s">
        <v>1321</v>
      </c>
      <c r="B13" s="621" t="s">
        <v>1322</v>
      </c>
      <c r="C13" s="624">
        <v>27852.48000000001</v>
      </c>
      <c r="D13" s="624">
        <v>63</v>
      </c>
      <c r="E13" s="624">
        <v>21418.310000000009</v>
      </c>
      <c r="F13" s="694">
        <v>0.76899112754052779</v>
      </c>
      <c r="G13" s="624">
        <v>48</v>
      </c>
      <c r="H13" s="694">
        <v>0.76190476190476186</v>
      </c>
      <c r="I13" s="624">
        <v>6434.17</v>
      </c>
      <c r="J13" s="694">
        <v>0.2310088724594721</v>
      </c>
      <c r="K13" s="624">
        <v>15</v>
      </c>
      <c r="L13" s="694">
        <v>0.23809523809523808</v>
      </c>
      <c r="M13" s="624" t="s">
        <v>551</v>
      </c>
      <c r="N13" s="267"/>
    </row>
    <row r="14" spans="1:14" ht="14.4" customHeight="1" x14ac:dyDescent="0.3">
      <c r="A14" s="620" t="s">
        <v>545</v>
      </c>
      <c r="B14" s="621" t="s">
        <v>545</v>
      </c>
      <c r="C14" s="624" t="s">
        <v>545</v>
      </c>
      <c r="D14" s="624" t="s">
        <v>545</v>
      </c>
      <c r="E14" s="624" t="s">
        <v>545</v>
      </c>
      <c r="F14" s="694" t="s">
        <v>545</v>
      </c>
      <c r="G14" s="624" t="s">
        <v>545</v>
      </c>
      <c r="H14" s="694" t="s">
        <v>545</v>
      </c>
      <c r="I14" s="624" t="s">
        <v>545</v>
      </c>
      <c r="J14" s="694" t="s">
        <v>545</v>
      </c>
      <c r="K14" s="624" t="s">
        <v>545</v>
      </c>
      <c r="L14" s="694" t="s">
        <v>545</v>
      </c>
      <c r="M14" s="624" t="s">
        <v>552</v>
      </c>
      <c r="N14" s="267"/>
    </row>
    <row r="15" spans="1:14" ht="14.4" customHeight="1" x14ac:dyDescent="0.3">
      <c r="A15" s="620" t="s">
        <v>1320</v>
      </c>
      <c r="B15" s="621" t="s">
        <v>546</v>
      </c>
      <c r="C15" s="624">
        <v>27852.48000000001</v>
      </c>
      <c r="D15" s="624">
        <v>63</v>
      </c>
      <c r="E15" s="624">
        <v>21418.310000000009</v>
      </c>
      <c r="F15" s="694">
        <v>0.76899112754052779</v>
      </c>
      <c r="G15" s="624">
        <v>48</v>
      </c>
      <c r="H15" s="694">
        <v>0.76190476190476186</v>
      </c>
      <c r="I15" s="624">
        <v>6434.17</v>
      </c>
      <c r="J15" s="694">
        <v>0.2310088724594721</v>
      </c>
      <c r="K15" s="624">
        <v>15</v>
      </c>
      <c r="L15" s="694">
        <v>0.23809523809523808</v>
      </c>
      <c r="M15" s="624" t="s">
        <v>547</v>
      </c>
      <c r="N15" s="267"/>
    </row>
    <row r="16" spans="1:14" ht="14.4" customHeight="1" x14ac:dyDescent="0.3">
      <c r="A16" s="695" t="s">
        <v>1323</v>
      </c>
    </row>
    <row r="17" spans="1:1" ht="14.4" customHeight="1" x14ac:dyDescent="0.3">
      <c r="A17" s="696" t="s">
        <v>1324</v>
      </c>
    </row>
    <row r="18" spans="1:1" ht="14.4" customHeight="1" x14ac:dyDescent="0.3">
      <c r="A18" s="695" t="s">
        <v>1325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57" priority="15" stopIfTrue="1" operator="lessThan">
      <formula>0.6</formula>
    </cfRule>
  </conditionalFormatting>
  <conditionalFormatting sqref="B5:B8">
    <cfRule type="expression" dxfId="56" priority="10">
      <formula>AND(LEFT(M5,6)&lt;&gt;"mezera",M5&lt;&gt;"")</formula>
    </cfRule>
  </conditionalFormatting>
  <conditionalFormatting sqref="A5:A8">
    <cfRule type="expression" dxfId="55" priority="8">
      <formula>AND(M5&lt;&gt;"",M5&lt;&gt;"mezeraKL")</formula>
    </cfRule>
  </conditionalFormatting>
  <conditionalFormatting sqref="F5:F8">
    <cfRule type="cellIs" dxfId="54" priority="7" operator="lessThan">
      <formula>0.6</formula>
    </cfRule>
  </conditionalFormatting>
  <conditionalFormatting sqref="B5:L8">
    <cfRule type="expression" dxfId="53" priority="9">
      <formula>OR($M5="KL",$M5="SumaKL")</formula>
    </cfRule>
    <cfRule type="expression" dxfId="52" priority="11">
      <formula>$M5="SumaNS"</formula>
    </cfRule>
  </conditionalFormatting>
  <conditionalFormatting sqref="A5:L8">
    <cfRule type="expression" dxfId="51" priority="12">
      <formula>$M5&lt;&gt;""</formula>
    </cfRule>
  </conditionalFormatting>
  <conditionalFormatting sqref="B10:B15">
    <cfRule type="expression" dxfId="50" priority="4">
      <formula>AND(LEFT(M10,6)&lt;&gt;"mezera",M10&lt;&gt;"")</formula>
    </cfRule>
  </conditionalFormatting>
  <conditionalFormatting sqref="A10:A15">
    <cfRule type="expression" dxfId="49" priority="2">
      <formula>AND(M10&lt;&gt;"",M10&lt;&gt;"mezeraKL")</formula>
    </cfRule>
  </conditionalFormatting>
  <conditionalFormatting sqref="F10:F15">
    <cfRule type="cellIs" dxfId="48" priority="1" operator="lessThan">
      <formula>0.6</formula>
    </cfRule>
  </conditionalFormatting>
  <conditionalFormatting sqref="B10:L15">
    <cfRule type="expression" dxfId="47" priority="3">
      <formula>OR($M10="KL",$M10="SumaKL")</formula>
    </cfRule>
    <cfRule type="expression" dxfId="46" priority="5">
      <formula>$M10="SumaNS"</formula>
    </cfRule>
  </conditionalFormatting>
  <conditionalFormatting sqref="A10:L15">
    <cfRule type="expression" dxfId="45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4" customWidth="1"/>
    <col min="2" max="2" width="11.109375" style="326" bestFit="1" customWidth="1"/>
    <col min="3" max="3" width="11.109375" style="244" hidden="1" customWidth="1"/>
    <col min="4" max="4" width="7.33203125" style="326" bestFit="1" customWidth="1"/>
    <col min="5" max="5" width="7.33203125" style="244" hidden="1" customWidth="1"/>
    <col min="6" max="6" width="11.109375" style="326" bestFit="1" customWidth="1"/>
    <col min="7" max="7" width="5.33203125" style="329" customWidth="1"/>
    <col min="8" max="8" width="7.33203125" style="326" bestFit="1" customWidth="1"/>
    <col min="9" max="9" width="5.33203125" style="329" customWidth="1"/>
    <col min="10" max="10" width="11.109375" style="326" customWidth="1"/>
    <col min="11" max="11" width="5.33203125" style="329" customWidth="1"/>
    <col min="12" max="12" width="7.33203125" style="326" customWidth="1"/>
    <col min="13" max="13" width="5.33203125" style="329" customWidth="1"/>
    <col min="14" max="14" width="0" style="244" hidden="1" customWidth="1"/>
    <col min="15" max="16384" width="8.88671875" style="244"/>
  </cols>
  <sheetData>
    <row r="1" spans="1:13" ht="18.600000000000001" customHeight="1" thickBot="1" x14ac:dyDescent="0.4">
      <c r="A1" s="502" t="s">
        <v>183</v>
      </c>
      <c r="B1" s="502"/>
      <c r="C1" s="502"/>
      <c r="D1" s="502"/>
      <c r="E1" s="502"/>
      <c r="F1" s="502"/>
      <c r="G1" s="502"/>
      <c r="H1" s="502"/>
      <c r="I1" s="502"/>
      <c r="J1" s="465"/>
      <c r="K1" s="465"/>
      <c r="L1" s="465"/>
      <c r="M1" s="465"/>
    </row>
    <row r="2" spans="1:13" ht="14.4" customHeight="1" thickBot="1" x14ac:dyDescent="0.35">
      <c r="A2" s="368" t="s">
        <v>301</v>
      </c>
      <c r="B2" s="333"/>
      <c r="C2" s="325"/>
      <c r="D2" s="333"/>
      <c r="E2" s="325"/>
      <c r="F2" s="333"/>
      <c r="G2" s="334"/>
      <c r="H2" s="333"/>
      <c r="I2" s="334"/>
    </row>
    <row r="3" spans="1:13" ht="14.4" customHeight="1" thickBot="1" x14ac:dyDescent="0.35">
      <c r="A3" s="259"/>
      <c r="B3" s="519" t="s">
        <v>15</v>
      </c>
      <c r="C3" s="521"/>
      <c r="D3" s="518"/>
      <c r="E3" s="258"/>
      <c r="F3" s="518" t="s">
        <v>16</v>
      </c>
      <c r="G3" s="518"/>
      <c r="H3" s="518"/>
      <c r="I3" s="518"/>
      <c r="J3" s="518" t="s">
        <v>182</v>
      </c>
      <c r="K3" s="518"/>
      <c r="L3" s="518"/>
      <c r="M3" s="520"/>
    </row>
    <row r="4" spans="1:13" ht="14.4" customHeight="1" thickBot="1" x14ac:dyDescent="0.35">
      <c r="A4" s="672" t="s">
        <v>159</v>
      </c>
      <c r="B4" s="673" t="s">
        <v>19</v>
      </c>
      <c r="C4" s="700"/>
      <c r="D4" s="673" t="s">
        <v>20</v>
      </c>
      <c r="E4" s="700"/>
      <c r="F4" s="673" t="s">
        <v>19</v>
      </c>
      <c r="G4" s="676" t="s">
        <v>2</v>
      </c>
      <c r="H4" s="673" t="s">
        <v>20</v>
      </c>
      <c r="I4" s="676" t="s">
        <v>2</v>
      </c>
      <c r="J4" s="673" t="s">
        <v>19</v>
      </c>
      <c r="K4" s="676" t="s">
        <v>2</v>
      </c>
      <c r="L4" s="673" t="s">
        <v>20</v>
      </c>
      <c r="M4" s="677" t="s">
        <v>2</v>
      </c>
    </row>
    <row r="5" spans="1:13" ht="14.4" customHeight="1" x14ac:dyDescent="0.3">
      <c r="A5" s="697" t="s">
        <v>1326</v>
      </c>
      <c r="B5" s="688">
        <v>2653.29</v>
      </c>
      <c r="C5" s="633">
        <v>1</v>
      </c>
      <c r="D5" s="701">
        <v>2</v>
      </c>
      <c r="E5" s="704" t="s">
        <v>1326</v>
      </c>
      <c r="F5" s="688">
        <v>2653.29</v>
      </c>
      <c r="G5" s="655">
        <v>1</v>
      </c>
      <c r="H5" s="636">
        <v>2</v>
      </c>
      <c r="I5" s="679">
        <v>1</v>
      </c>
      <c r="J5" s="707"/>
      <c r="K5" s="655">
        <v>0</v>
      </c>
      <c r="L5" s="636"/>
      <c r="M5" s="679">
        <v>0</v>
      </c>
    </row>
    <row r="6" spans="1:13" ht="14.4" customHeight="1" x14ac:dyDescent="0.3">
      <c r="A6" s="698" t="s">
        <v>1327</v>
      </c>
      <c r="B6" s="689">
        <v>4217.72</v>
      </c>
      <c r="C6" s="639">
        <v>1</v>
      </c>
      <c r="D6" s="702">
        <v>7</v>
      </c>
      <c r="E6" s="705" t="s">
        <v>1327</v>
      </c>
      <c r="F6" s="689">
        <v>3298.69</v>
      </c>
      <c r="G6" s="656">
        <v>0.78210265261800216</v>
      </c>
      <c r="H6" s="642">
        <v>4</v>
      </c>
      <c r="I6" s="680">
        <v>0.5714285714285714</v>
      </c>
      <c r="J6" s="708">
        <v>919.03000000000009</v>
      </c>
      <c r="K6" s="656">
        <v>0.21789734738199787</v>
      </c>
      <c r="L6" s="642">
        <v>3</v>
      </c>
      <c r="M6" s="680">
        <v>0.42857142857142855</v>
      </c>
    </row>
    <row r="7" spans="1:13" ht="14.4" customHeight="1" x14ac:dyDescent="0.3">
      <c r="A7" s="698" t="s">
        <v>1328</v>
      </c>
      <c r="B7" s="689">
        <v>10795.61</v>
      </c>
      <c r="C7" s="639">
        <v>1</v>
      </c>
      <c r="D7" s="702">
        <v>24</v>
      </c>
      <c r="E7" s="705" t="s">
        <v>1328</v>
      </c>
      <c r="F7" s="689">
        <v>8959.33</v>
      </c>
      <c r="G7" s="656">
        <v>0.8299049335794827</v>
      </c>
      <c r="H7" s="642">
        <v>19</v>
      </c>
      <c r="I7" s="680">
        <v>0.79166666666666663</v>
      </c>
      <c r="J7" s="708">
        <v>1836.2800000000002</v>
      </c>
      <c r="K7" s="656">
        <v>0.17009506642051725</v>
      </c>
      <c r="L7" s="642">
        <v>5</v>
      </c>
      <c r="M7" s="680">
        <v>0.20833333333333334</v>
      </c>
    </row>
    <row r="8" spans="1:13" ht="14.4" customHeight="1" x14ac:dyDescent="0.3">
      <c r="A8" s="698" t="s">
        <v>1329</v>
      </c>
      <c r="B8" s="689">
        <v>2653.29</v>
      </c>
      <c r="C8" s="639">
        <v>1</v>
      </c>
      <c r="D8" s="702">
        <v>6</v>
      </c>
      <c r="E8" s="705" t="s">
        <v>1329</v>
      </c>
      <c r="F8" s="689">
        <v>1179.24</v>
      </c>
      <c r="G8" s="656">
        <v>0.44444444444444448</v>
      </c>
      <c r="H8" s="642">
        <v>3</v>
      </c>
      <c r="I8" s="680">
        <v>0.5</v>
      </c>
      <c r="J8" s="708">
        <v>1474.0500000000002</v>
      </c>
      <c r="K8" s="656">
        <v>0.55555555555555558</v>
      </c>
      <c r="L8" s="642">
        <v>3</v>
      </c>
      <c r="M8" s="680">
        <v>0.5</v>
      </c>
    </row>
    <row r="9" spans="1:13" ht="14.4" customHeight="1" x14ac:dyDescent="0.3">
      <c r="A9" s="698" t="s">
        <v>1330</v>
      </c>
      <c r="B9" s="689">
        <v>1768.8600000000001</v>
      </c>
      <c r="C9" s="639">
        <v>1</v>
      </c>
      <c r="D9" s="702">
        <v>2</v>
      </c>
      <c r="E9" s="705" t="s">
        <v>1330</v>
      </c>
      <c r="F9" s="689"/>
      <c r="G9" s="656">
        <v>0</v>
      </c>
      <c r="H9" s="642"/>
      <c r="I9" s="680">
        <v>0</v>
      </c>
      <c r="J9" s="708">
        <v>1768.8600000000001</v>
      </c>
      <c r="K9" s="656">
        <v>1</v>
      </c>
      <c r="L9" s="642">
        <v>2</v>
      </c>
      <c r="M9" s="680">
        <v>1</v>
      </c>
    </row>
    <row r="10" spans="1:13" ht="14.4" customHeight="1" x14ac:dyDescent="0.3">
      <c r="A10" s="698" t="s">
        <v>1331</v>
      </c>
      <c r="B10" s="689">
        <v>4289.66</v>
      </c>
      <c r="C10" s="639">
        <v>1</v>
      </c>
      <c r="D10" s="702">
        <v>19</v>
      </c>
      <c r="E10" s="705" t="s">
        <v>1331</v>
      </c>
      <c r="F10" s="689">
        <v>3853.7099999999996</v>
      </c>
      <c r="G10" s="656">
        <v>0.89837189893837732</v>
      </c>
      <c r="H10" s="642">
        <v>17</v>
      </c>
      <c r="I10" s="680">
        <v>0.89473684210526316</v>
      </c>
      <c r="J10" s="708">
        <v>435.95000000000005</v>
      </c>
      <c r="K10" s="656">
        <v>0.10162810106162261</v>
      </c>
      <c r="L10" s="642">
        <v>2</v>
      </c>
      <c r="M10" s="680">
        <v>0.10526315789473684</v>
      </c>
    </row>
    <row r="11" spans="1:13" ht="14.4" customHeight="1" thickBot="1" x14ac:dyDescent="0.35">
      <c r="A11" s="699" t="s">
        <v>1332</v>
      </c>
      <c r="B11" s="690">
        <v>1474.05</v>
      </c>
      <c r="C11" s="645">
        <v>1</v>
      </c>
      <c r="D11" s="703">
        <v>3</v>
      </c>
      <c r="E11" s="706" t="s">
        <v>1332</v>
      </c>
      <c r="F11" s="690">
        <v>1474.05</v>
      </c>
      <c r="G11" s="657">
        <v>1</v>
      </c>
      <c r="H11" s="648">
        <v>3</v>
      </c>
      <c r="I11" s="681">
        <v>1</v>
      </c>
      <c r="J11" s="709"/>
      <c r="K11" s="657">
        <v>0</v>
      </c>
      <c r="L11" s="648"/>
      <c r="M11" s="681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4" customWidth="1"/>
    <col min="2" max="2" width="10" style="326" customWidth="1"/>
    <col min="3" max="3" width="5.5546875" style="329" customWidth="1"/>
    <col min="4" max="4" width="10" style="326" customWidth="1"/>
    <col min="5" max="5" width="5.5546875" style="329" customWidth="1"/>
    <col min="6" max="6" width="10" style="326" customWidth="1"/>
    <col min="7" max="7" width="8.88671875" style="244" customWidth="1"/>
    <col min="8" max="16384" width="8.88671875" style="244"/>
  </cols>
  <sheetData>
    <row r="1" spans="1:6" ht="37.799999999999997" customHeight="1" thickBot="1" x14ac:dyDescent="0.4">
      <c r="A1" s="501" t="s">
        <v>1333</v>
      </c>
      <c r="B1" s="502"/>
      <c r="C1" s="502"/>
      <c r="D1" s="502"/>
      <c r="E1" s="502"/>
      <c r="F1" s="502"/>
    </row>
    <row r="2" spans="1:6" ht="14.4" customHeight="1" thickBot="1" x14ac:dyDescent="0.35">
      <c r="A2" s="368" t="s">
        <v>301</v>
      </c>
      <c r="B2" s="67"/>
      <c r="C2" s="68"/>
      <c r="D2" s="69"/>
      <c r="E2" s="68"/>
      <c r="F2" s="69"/>
    </row>
    <row r="3" spans="1:6" ht="14.4" customHeight="1" thickBot="1" x14ac:dyDescent="0.35">
      <c r="A3" s="199"/>
      <c r="B3" s="503" t="s">
        <v>153</v>
      </c>
      <c r="C3" s="504"/>
      <c r="D3" s="505" t="s">
        <v>152</v>
      </c>
      <c r="E3" s="504"/>
      <c r="F3" s="97" t="s">
        <v>3</v>
      </c>
    </row>
    <row r="4" spans="1:6" ht="14.4" customHeight="1" thickBot="1" x14ac:dyDescent="0.35">
      <c r="A4" s="650" t="s">
        <v>203</v>
      </c>
      <c r="B4" s="651" t="s">
        <v>14</v>
      </c>
      <c r="C4" s="652" t="s">
        <v>2</v>
      </c>
      <c r="D4" s="651" t="s">
        <v>14</v>
      </c>
      <c r="E4" s="652" t="s">
        <v>2</v>
      </c>
      <c r="F4" s="653" t="s">
        <v>14</v>
      </c>
    </row>
    <row r="5" spans="1:6" ht="14.4" customHeight="1" x14ac:dyDescent="0.3">
      <c r="A5" s="665" t="s">
        <v>1327</v>
      </c>
      <c r="B5" s="636">
        <v>3832.5299999999997</v>
      </c>
      <c r="C5" s="655">
        <v>1</v>
      </c>
      <c r="D5" s="636"/>
      <c r="E5" s="655">
        <v>0</v>
      </c>
      <c r="F5" s="637">
        <v>3832.5299999999997</v>
      </c>
    </row>
    <row r="6" spans="1:6" ht="14.4" customHeight="1" x14ac:dyDescent="0.3">
      <c r="A6" s="666" t="s">
        <v>1328</v>
      </c>
      <c r="B6" s="642">
        <v>2948.1</v>
      </c>
      <c r="C6" s="656">
        <v>0.29411764705882354</v>
      </c>
      <c r="D6" s="642">
        <v>7075.44</v>
      </c>
      <c r="E6" s="656">
        <v>0.70588235294117652</v>
      </c>
      <c r="F6" s="643">
        <v>10023.539999999999</v>
      </c>
    </row>
    <row r="7" spans="1:6" ht="14.4" customHeight="1" x14ac:dyDescent="0.3">
      <c r="A7" s="666" t="s">
        <v>1332</v>
      </c>
      <c r="B7" s="642">
        <v>1179.24</v>
      </c>
      <c r="C7" s="656">
        <v>0.8</v>
      </c>
      <c r="D7" s="642">
        <v>294.81</v>
      </c>
      <c r="E7" s="656">
        <v>0.2</v>
      </c>
      <c r="F7" s="643">
        <v>1474.05</v>
      </c>
    </row>
    <row r="8" spans="1:6" ht="14.4" customHeight="1" x14ac:dyDescent="0.3">
      <c r="A8" s="666" t="s">
        <v>1326</v>
      </c>
      <c r="B8" s="642"/>
      <c r="C8" s="656">
        <v>0</v>
      </c>
      <c r="D8" s="642">
        <v>2653.29</v>
      </c>
      <c r="E8" s="656">
        <v>1</v>
      </c>
      <c r="F8" s="643">
        <v>2653.29</v>
      </c>
    </row>
    <row r="9" spans="1:6" ht="14.4" customHeight="1" x14ac:dyDescent="0.3">
      <c r="A9" s="666" t="s">
        <v>1331</v>
      </c>
      <c r="B9" s="642"/>
      <c r="C9" s="656">
        <v>0</v>
      </c>
      <c r="D9" s="642">
        <v>3832.5299999999997</v>
      </c>
      <c r="E9" s="656">
        <v>1</v>
      </c>
      <c r="F9" s="643">
        <v>3832.5299999999997</v>
      </c>
    </row>
    <row r="10" spans="1:6" ht="14.4" customHeight="1" x14ac:dyDescent="0.3">
      <c r="A10" s="666" t="s">
        <v>1329</v>
      </c>
      <c r="B10" s="642"/>
      <c r="C10" s="656">
        <v>0</v>
      </c>
      <c r="D10" s="642">
        <v>2653.29</v>
      </c>
      <c r="E10" s="656">
        <v>1</v>
      </c>
      <c r="F10" s="643">
        <v>2653.29</v>
      </c>
    </row>
    <row r="11" spans="1:6" ht="14.4" customHeight="1" thickBot="1" x14ac:dyDescent="0.35">
      <c r="A11" s="667" t="s">
        <v>1330</v>
      </c>
      <c r="B11" s="658"/>
      <c r="C11" s="659">
        <v>0</v>
      </c>
      <c r="D11" s="658">
        <v>1768.8600000000001</v>
      </c>
      <c r="E11" s="659">
        <v>1</v>
      </c>
      <c r="F11" s="660">
        <v>1768.8600000000001</v>
      </c>
    </row>
    <row r="12" spans="1:6" ht="14.4" customHeight="1" thickBot="1" x14ac:dyDescent="0.35">
      <c r="A12" s="661" t="s">
        <v>3</v>
      </c>
      <c r="B12" s="662">
        <v>7959.87</v>
      </c>
      <c r="C12" s="663">
        <v>0.30337078651685395</v>
      </c>
      <c r="D12" s="662">
        <v>18278.22</v>
      </c>
      <c r="E12" s="663">
        <v>0.69662921348314621</v>
      </c>
      <c r="F12" s="664">
        <v>26238.089999999997</v>
      </c>
    </row>
    <row r="13" spans="1:6" ht="14.4" customHeight="1" thickBot="1" x14ac:dyDescent="0.35"/>
    <row r="14" spans="1:6" ht="14.4" customHeight="1" thickBot="1" x14ac:dyDescent="0.35">
      <c r="A14" s="678" t="s">
        <v>1241</v>
      </c>
      <c r="B14" s="630">
        <v>7959.87</v>
      </c>
      <c r="C14" s="654">
        <v>0.30337078651685395</v>
      </c>
      <c r="D14" s="630">
        <v>18278.219999999998</v>
      </c>
      <c r="E14" s="654">
        <v>0.6966292134831461</v>
      </c>
      <c r="F14" s="631">
        <v>26238.089999999997</v>
      </c>
    </row>
    <row r="15" spans="1:6" ht="14.4" customHeight="1" thickBot="1" x14ac:dyDescent="0.35">
      <c r="A15" s="661" t="s">
        <v>3</v>
      </c>
      <c r="B15" s="662">
        <v>7959.87</v>
      </c>
      <c r="C15" s="663">
        <v>0.30337078651685395</v>
      </c>
      <c r="D15" s="662">
        <v>18278.219999999998</v>
      </c>
      <c r="E15" s="663">
        <v>0.6966292134831461</v>
      </c>
      <c r="F15" s="664">
        <v>26238.089999999997</v>
      </c>
    </row>
  </sheetData>
  <mergeCells count="3">
    <mergeCell ref="A1:F1"/>
    <mergeCell ref="B3:C3"/>
    <mergeCell ref="D3:E3"/>
  </mergeCells>
  <conditionalFormatting sqref="C5:C1048576">
    <cfRule type="cellIs" dxfId="43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{C1AE63EB-2511-4633-B340-DB4FB0508734}</x14:id>
        </ext>
      </extLst>
    </cfRule>
  </conditionalFormatting>
  <conditionalFormatting sqref="F1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{74FFB00B-BFEB-4BE8-9A90-8F7652ADF853}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1AE63EB-2511-4633-B340-DB4FB050873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74FFB00B-BFEB-4BE8-9A90-8F7652ADF85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4" customWidth="1"/>
    <col min="2" max="2" width="8.88671875" style="244" bestFit="1" customWidth="1"/>
    <col min="3" max="3" width="7" style="244" bestFit="1" customWidth="1"/>
    <col min="4" max="5" width="22.21875" style="244" customWidth="1"/>
    <col min="6" max="6" width="6.6640625" style="326" customWidth="1"/>
    <col min="7" max="7" width="10" style="326" customWidth="1"/>
    <col min="8" max="8" width="6.77734375" style="329" customWidth="1"/>
    <col min="9" max="9" width="6.6640625" style="326" customWidth="1"/>
    <col min="10" max="10" width="10" style="326" customWidth="1"/>
    <col min="11" max="11" width="6.77734375" style="329" customWidth="1"/>
    <col min="12" max="12" width="6.6640625" style="326" customWidth="1"/>
    <col min="13" max="13" width="10" style="326" customWidth="1"/>
    <col min="14" max="16384" width="8.88671875" style="244"/>
  </cols>
  <sheetData>
    <row r="1" spans="1:13" ht="18.600000000000001" customHeight="1" thickBot="1" x14ac:dyDescent="0.4">
      <c r="A1" s="502" t="s">
        <v>1338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464"/>
      <c r="M1" s="464"/>
    </row>
    <row r="2" spans="1:13" ht="14.4" customHeight="1" thickBot="1" x14ac:dyDescent="0.35">
      <c r="A2" s="368" t="s">
        <v>301</v>
      </c>
      <c r="B2" s="325"/>
      <c r="C2" s="325"/>
      <c r="D2" s="325"/>
      <c r="E2" s="325"/>
      <c r="F2" s="333"/>
      <c r="G2" s="333"/>
      <c r="H2" s="334"/>
      <c r="I2" s="333"/>
      <c r="J2" s="333"/>
      <c r="K2" s="334"/>
      <c r="L2" s="333"/>
    </row>
    <row r="3" spans="1:13" ht="14.4" customHeight="1" thickBot="1" x14ac:dyDescent="0.35">
      <c r="E3" s="96" t="s">
        <v>151</v>
      </c>
      <c r="F3" s="47">
        <f>SUBTOTAL(9,F6:F1048576)</f>
        <v>27</v>
      </c>
      <c r="G3" s="47">
        <f>SUBTOTAL(9,G6:G1048576)</f>
        <v>7959.869999999999</v>
      </c>
      <c r="H3" s="48">
        <f>IF(M3=0,0,G3/M3)</f>
        <v>0.30337078651685384</v>
      </c>
      <c r="I3" s="47">
        <f>SUBTOTAL(9,I6:I1048576)</f>
        <v>62</v>
      </c>
      <c r="J3" s="47">
        <f>SUBTOTAL(9,J6:J1048576)</f>
        <v>18278.22</v>
      </c>
      <c r="K3" s="48">
        <f>IF(M3=0,0,J3/M3)</f>
        <v>0.69662921348314599</v>
      </c>
      <c r="L3" s="47">
        <f>SUBTOTAL(9,L6:L1048576)</f>
        <v>89</v>
      </c>
      <c r="M3" s="49">
        <f>SUBTOTAL(9,M6:M1048576)</f>
        <v>26238.090000000004</v>
      </c>
    </row>
    <row r="4" spans="1:13" ht="14.4" customHeight="1" thickBot="1" x14ac:dyDescent="0.35">
      <c r="A4" s="45"/>
      <c r="B4" s="45"/>
      <c r="C4" s="45"/>
      <c r="D4" s="45"/>
      <c r="E4" s="46"/>
      <c r="F4" s="506" t="s">
        <v>153</v>
      </c>
      <c r="G4" s="507"/>
      <c r="H4" s="508"/>
      <c r="I4" s="509" t="s">
        <v>152</v>
      </c>
      <c r="J4" s="507"/>
      <c r="K4" s="508"/>
      <c r="L4" s="510" t="s">
        <v>3</v>
      </c>
      <c r="M4" s="511"/>
    </row>
    <row r="5" spans="1:13" ht="14.4" customHeight="1" thickBot="1" x14ac:dyDescent="0.35">
      <c r="A5" s="650" t="s">
        <v>159</v>
      </c>
      <c r="B5" s="669" t="s">
        <v>155</v>
      </c>
      <c r="C5" s="669" t="s">
        <v>83</v>
      </c>
      <c r="D5" s="669" t="s">
        <v>156</v>
      </c>
      <c r="E5" s="669" t="s">
        <v>157</v>
      </c>
      <c r="F5" s="670" t="s">
        <v>21</v>
      </c>
      <c r="G5" s="670" t="s">
        <v>14</v>
      </c>
      <c r="H5" s="652" t="s">
        <v>158</v>
      </c>
      <c r="I5" s="651" t="s">
        <v>21</v>
      </c>
      <c r="J5" s="670" t="s">
        <v>14</v>
      </c>
      <c r="K5" s="652" t="s">
        <v>158</v>
      </c>
      <c r="L5" s="651" t="s">
        <v>21</v>
      </c>
      <c r="M5" s="671" t="s">
        <v>14</v>
      </c>
    </row>
    <row r="6" spans="1:13" ht="14.4" customHeight="1" x14ac:dyDescent="0.3">
      <c r="A6" s="632" t="s">
        <v>1326</v>
      </c>
      <c r="B6" s="633" t="s">
        <v>1307</v>
      </c>
      <c r="C6" s="633" t="s">
        <v>1334</v>
      </c>
      <c r="D6" s="633" t="s">
        <v>1335</v>
      </c>
      <c r="E6" s="633" t="s">
        <v>1311</v>
      </c>
      <c r="F6" s="636"/>
      <c r="G6" s="636"/>
      <c r="H6" s="655">
        <v>0</v>
      </c>
      <c r="I6" s="636">
        <v>9</v>
      </c>
      <c r="J6" s="636">
        <v>2653.29</v>
      </c>
      <c r="K6" s="655">
        <v>1</v>
      </c>
      <c r="L6" s="636">
        <v>9</v>
      </c>
      <c r="M6" s="637">
        <v>2653.29</v>
      </c>
    </row>
    <row r="7" spans="1:13" ht="14.4" customHeight="1" x14ac:dyDescent="0.3">
      <c r="A7" s="638" t="s">
        <v>1327</v>
      </c>
      <c r="B7" s="639" t="s">
        <v>1307</v>
      </c>
      <c r="C7" s="639" t="s">
        <v>1336</v>
      </c>
      <c r="D7" s="639" t="s">
        <v>1337</v>
      </c>
      <c r="E7" s="639" t="s">
        <v>1311</v>
      </c>
      <c r="F7" s="642">
        <v>13</v>
      </c>
      <c r="G7" s="642">
        <v>3832.5299999999997</v>
      </c>
      <c r="H7" s="656">
        <v>1</v>
      </c>
      <c r="I7" s="642"/>
      <c r="J7" s="642"/>
      <c r="K7" s="656">
        <v>0</v>
      </c>
      <c r="L7" s="642">
        <v>13</v>
      </c>
      <c r="M7" s="643">
        <v>3832.5299999999997</v>
      </c>
    </row>
    <row r="8" spans="1:13" ht="14.4" customHeight="1" x14ac:dyDescent="0.3">
      <c r="A8" s="638" t="s">
        <v>1328</v>
      </c>
      <c r="B8" s="639" t="s">
        <v>1307</v>
      </c>
      <c r="C8" s="639" t="s">
        <v>1336</v>
      </c>
      <c r="D8" s="639" t="s">
        <v>1337</v>
      </c>
      <c r="E8" s="639" t="s">
        <v>1311</v>
      </c>
      <c r="F8" s="642">
        <v>10</v>
      </c>
      <c r="G8" s="642">
        <v>2948.1</v>
      </c>
      <c r="H8" s="656">
        <v>1</v>
      </c>
      <c r="I8" s="642"/>
      <c r="J8" s="642"/>
      <c r="K8" s="656">
        <v>0</v>
      </c>
      <c r="L8" s="642">
        <v>10</v>
      </c>
      <c r="M8" s="643">
        <v>2948.1</v>
      </c>
    </row>
    <row r="9" spans="1:13" ht="14.4" customHeight="1" x14ac:dyDescent="0.3">
      <c r="A9" s="638" t="s">
        <v>1328</v>
      </c>
      <c r="B9" s="639" t="s">
        <v>1307</v>
      </c>
      <c r="C9" s="639" t="s">
        <v>1334</v>
      </c>
      <c r="D9" s="639" t="s">
        <v>1335</v>
      </c>
      <c r="E9" s="639" t="s">
        <v>1311</v>
      </c>
      <c r="F9" s="642"/>
      <c r="G9" s="642"/>
      <c r="H9" s="656">
        <v>0</v>
      </c>
      <c r="I9" s="642">
        <v>24</v>
      </c>
      <c r="J9" s="642">
        <v>7075.44</v>
      </c>
      <c r="K9" s="656">
        <v>1</v>
      </c>
      <c r="L9" s="642">
        <v>24</v>
      </c>
      <c r="M9" s="643">
        <v>7075.44</v>
      </c>
    </row>
    <row r="10" spans="1:13" ht="14.4" customHeight="1" x14ac:dyDescent="0.3">
      <c r="A10" s="638" t="s">
        <v>1329</v>
      </c>
      <c r="B10" s="639" t="s">
        <v>1307</v>
      </c>
      <c r="C10" s="639" t="s">
        <v>1334</v>
      </c>
      <c r="D10" s="639" t="s">
        <v>1335</v>
      </c>
      <c r="E10" s="639" t="s">
        <v>1311</v>
      </c>
      <c r="F10" s="642"/>
      <c r="G10" s="642"/>
      <c r="H10" s="656">
        <v>0</v>
      </c>
      <c r="I10" s="642">
        <v>9</v>
      </c>
      <c r="J10" s="642">
        <v>2653.29</v>
      </c>
      <c r="K10" s="656">
        <v>1</v>
      </c>
      <c r="L10" s="642">
        <v>9</v>
      </c>
      <c r="M10" s="643">
        <v>2653.29</v>
      </c>
    </row>
    <row r="11" spans="1:13" ht="14.4" customHeight="1" x14ac:dyDescent="0.3">
      <c r="A11" s="638" t="s">
        <v>1330</v>
      </c>
      <c r="B11" s="639" t="s">
        <v>1307</v>
      </c>
      <c r="C11" s="639" t="s">
        <v>1334</v>
      </c>
      <c r="D11" s="639" t="s">
        <v>1335</v>
      </c>
      <c r="E11" s="639" t="s">
        <v>1311</v>
      </c>
      <c r="F11" s="642"/>
      <c r="G11" s="642"/>
      <c r="H11" s="656">
        <v>0</v>
      </c>
      <c r="I11" s="642">
        <v>6</v>
      </c>
      <c r="J11" s="642">
        <v>1768.8600000000001</v>
      </c>
      <c r="K11" s="656">
        <v>1</v>
      </c>
      <c r="L11" s="642">
        <v>6</v>
      </c>
      <c r="M11" s="643">
        <v>1768.8600000000001</v>
      </c>
    </row>
    <row r="12" spans="1:13" ht="14.4" customHeight="1" x14ac:dyDescent="0.3">
      <c r="A12" s="638" t="s">
        <v>1331</v>
      </c>
      <c r="B12" s="639" t="s">
        <v>1307</v>
      </c>
      <c r="C12" s="639" t="s">
        <v>1334</v>
      </c>
      <c r="D12" s="639" t="s">
        <v>1335</v>
      </c>
      <c r="E12" s="639" t="s">
        <v>1311</v>
      </c>
      <c r="F12" s="642"/>
      <c r="G12" s="642"/>
      <c r="H12" s="656">
        <v>0</v>
      </c>
      <c r="I12" s="642">
        <v>13</v>
      </c>
      <c r="J12" s="642">
        <v>3832.5299999999997</v>
      </c>
      <c r="K12" s="656">
        <v>1</v>
      </c>
      <c r="L12" s="642">
        <v>13</v>
      </c>
      <c r="M12" s="643">
        <v>3832.5299999999997</v>
      </c>
    </row>
    <row r="13" spans="1:13" ht="14.4" customHeight="1" x14ac:dyDescent="0.3">
      <c r="A13" s="638" t="s">
        <v>1332</v>
      </c>
      <c r="B13" s="639" t="s">
        <v>1307</v>
      </c>
      <c r="C13" s="639" t="s">
        <v>1336</v>
      </c>
      <c r="D13" s="639" t="s">
        <v>1337</v>
      </c>
      <c r="E13" s="639" t="s">
        <v>1311</v>
      </c>
      <c r="F13" s="642">
        <v>4</v>
      </c>
      <c r="G13" s="642">
        <v>1179.24</v>
      </c>
      <c r="H13" s="656">
        <v>1</v>
      </c>
      <c r="I13" s="642"/>
      <c r="J13" s="642"/>
      <c r="K13" s="656">
        <v>0</v>
      </c>
      <c r="L13" s="642">
        <v>4</v>
      </c>
      <c r="M13" s="643">
        <v>1179.24</v>
      </c>
    </row>
    <row r="14" spans="1:13" ht="14.4" customHeight="1" thickBot="1" x14ac:dyDescent="0.35">
      <c r="A14" s="644" t="s">
        <v>1332</v>
      </c>
      <c r="B14" s="645" t="s">
        <v>1307</v>
      </c>
      <c r="C14" s="645" t="s">
        <v>1334</v>
      </c>
      <c r="D14" s="645" t="s">
        <v>1335</v>
      </c>
      <c r="E14" s="645" t="s">
        <v>1311</v>
      </c>
      <c r="F14" s="648"/>
      <c r="G14" s="648"/>
      <c r="H14" s="657">
        <v>0</v>
      </c>
      <c r="I14" s="648">
        <v>1</v>
      </c>
      <c r="J14" s="648">
        <v>294.81</v>
      </c>
      <c r="K14" s="657">
        <v>1</v>
      </c>
      <c r="L14" s="648">
        <v>1</v>
      </c>
      <c r="M14" s="649">
        <v>294.81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7" customWidth="1"/>
    <col min="2" max="2" width="61.109375" style="327" customWidth="1"/>
    <col min="3" max="3" width="9.5546875" style="244" customWidth="1"/>
    <col min="4" max="4" width="9.5546875" style="328" customWidth="1"/>
    <col min="5" max="5" width="2.21875" style="328" customWidth="1"/>
    <col min="6" max="6" width="9.5546875" style="329" customWidth="1"/>
    <col min="7" max="7" width="9.5546875" style="326" customWidth="1"/>
    <col min="8" max="9" width="9.5546875" style="244" customWidth="1"/>
    <col min="10" max="10" width="0" style="244" hidden="1" customWidth="1"/>
    <col min="11" max="16384" width="8.88671875" style="244"/>
  </cols>
  <sheetData>
    <row r="1" spans="1:10" ht="18.600000000000001" customHeight="1" thickBot="1" x14ac:dyDescent="0.4">
      <c r="A1" s="493" t="s">
        <v>170</v>
      </c>
      <c r="B1" s="494"/>
      <c r="C1" s="494"/>
      <c r="D1" s="494"/>
      <c r="E1" s="494"/>
      <c r="F1" s="494"/>
      <c r="G1" s="465"/>
      <c r="H1" s="495"/>
      <c r="I1" s="495"/>
    </row>
    <row r="2" spans="1:10" ht="14.4" customHeight="1" thickBot="1" x14ac:dyDescent="0.35">
      <c r="A2" s="368" t="s">
        <v>301</v>
      </c>
      <c r="B2" s="325"/>
      <c r="C2" s="325"/>
      <c r="D2" s="325"/>
      <c r="E2" s="325"/>
      <c r="F2" s="325"/>
    </row>
    <row r="3" spans="1:10" ht="14.4" customHeight="1" thickBot="1" x14ac:dyDescent="0.35">
      <c r="A3" s="368"/>
      <c r="B3" s="325"/>
      <c r="C3" s="426">
        <v>2014</v>
      </c>
      <c r="D3" s="427">
        <v>2015</v>
      </c>
      <c r="E3" s="11"/>
      <c r="F3" s="488">
        <v>2016</v>
      </c>
      <c r="G3" s="489"/>
      <c r="H3" s="489"/>
      <c r="I3" s="490"/>
    </row>
    <row r="4" spans="1:10" ht="14.4" customHeight="1" thickBot="1" x14ac:dyDescent="0.35">
      <c r="A4" s="431" t="s">
        <v>0</v>
      </c>
      <c r="B4" s="432" t="s">
        <v>247</v>
      </c>
      <c r="C4" s="491" t="s">
        <v>87</v>
      </c>
      <c r="D4" s="492"/>
      <c r="E4" s="433"/>
      <c r="F4" s="428" t="s">
        <v>87</v>
      </c>
      <c r="G4" s="429" t="s">
        <v>88</v>
      </c>
      <c r="H4" s="429" t="s">
        <v>62</v>
      </c>
      <c r="I4" s="430" t="s">
        <v>89</v>
      </c>
    </row>
    <row r="5" spans="1:10" ht="14.4" customHeight="1" x14ac:dyDescent="0.3">
      <c r="A5" s="620" t="s">
        <v>543</v>
      </c>
      <c r="B5" s="621" t="s">
        <v>544</v>
      </c>
      <c r="C5" s="622" t="s">
        <v>545</v>
      </c>
      <c r="D5" s="622" t="s">
        <v>545</v>
      </c>
      <c r="E5" s="622"/>
      <c r="F5" s="622" t="s">
        <v>545</v>
      </c>
      <c r="G5" s="622" t="s">
        <v>545</v>
      </c>
      <c r="H5" s="622" t="s">
        <v>545</v>
      </c>
      <c r="I5" s="623" t="s">
        <v>545</v>
      </c>
      <c r="J5" s="624" t="s">
        <v>67</v>
      </c>
    </row>
    <row r="6" spans="1:10" ht="14.4" customHeight="1" x14ac:dyDescent="0.3">
      <c r="A6" s="620" t="s">
        <v>543</v>
      </c>
      <c r="B6" s="621" t="s">
        <v>324</v>
      </c>
      <c r="C6" s="622">
        <v>0.495</v>
      </c>
      <c r="D6" s="622">
        <v>0</v>
      </c>
      <c r="E6" s="622"/>
      <c r="F6" s="622" t="s">
        <v>545</v>
      </c>
      <c r="G6" s="622" t="s">
        <v>545</v>
      </c>
      <c r="H6" s="622" t="s">
        <v>545</v>
      </c>
      <c r="I6" s="623" t="s">
        <v>545</v>
      </c>
      <c r="J6" s="624" t="s">
        <v>1</v>
      </c>
    </row>
    <row r="7" spans="1:10" ht="14.4" customHeight="1" x14ac:dyDescent="0.3">
      <c r="A7" s="620" t="s">
        <v>543</v>
      </c>
      <c r="B7" s="621" t="s">
        <v>325</v>
      </c>
      <c r="C7" s="622">
        <v>457.00738999999999</v>
      </c>
      <c r="D7" s="622">
        <v>494.22195999999997</v>
      </c>
      <c r="E7" s="622"/>
      <c r="F7" s="622">
        <v>677.1576</v>
      </c>
      <c r="G7" s="622">
        <v>707.86102641381092</v>
      </c>
      <c r="H7" s="622">
        <v>-30.703426413810917</v>
      </c>
      <c r="I7" s="623">
        <v>0.95662506442915551</v>
      </c>
      <c r="J7" s="624" t="s">
        <v>1</v>
      </c>
    </row>
    <row r="8" spans="1:10" ht="14.4" customHeight="1" x14ac:dyDescent="0.3">
      <c r="A8" s="620" t="s">
        <v>543</v>
      </c>
      <c r="B8" s="621" t="s">
        <v>326</v>
      </c>
      <c r="C8" s="622">
        <v>3.8418799999999997</v>
      </c>
      <c r="D8" s="622">
        <v>0.8236</v>
      </c>
      <c r="E8" s="622"/>
      <c r="F8" s="622">
        <v>0.12451</v>
      </c>
      <c r="G8" s="622">
        <v>2.0000001805580001</v>
      </c>
      <c r="H8" s="622">
        <v>-1.8754901805580002</v>
      </c>
      <c r="I8" s="623">
        <v>6.2254994379681357E-2</v>
      </c>
      <c r="J8" s="624" t="s">
        <v>1</v>
      </c>
    </row>
    <row r="9" spans="1:10" ht="14.4" customHeight="1" x14ac:dyDescent="0.3">
      <c r="A9" s="620" t="s">
        <v>543</v>
      </c>
      <c r="B9" s="621" t="s">
        <v>327</v>
      </c>
      <c r="C9" s="622">
        <v>165.79262</v>
      </c>
      <c r="D9" s="622">
        <v>161.64781999999997</v>
      </c>
      <c r="E9" s="622"/>
      <c r="F9" s="622">
        <v>225.803529999999</v>
      </c>
      <c r="G9" s="622">
        <v>165.00001489611401</v>
      </c>
      <c r="H9" s="622">
        <v>60.80351510388499</v>
      </c>
      <c r="I9" s="623">
        <v>1.3685061188762171</v>
      </c>
      <c r="J9" s="624" t="s">
        <v>1</v>
      </c>
    </row>
    <row r="10" spans="1:10" ht="14.4" customHeight="1" x14ac:dyDescent="0.3">
      <c r="A10" s="620" t="s">
        <v>543</v>
      </c>
      <c r="B10" s="621" t="s">
        <v>328</v>
      </c>
      <c r="C10" s="622">
        <v>2920.8307100000011</v>
      </c>
      <c r="D10" s="622">
        <v>3449.40841</v>
      </c>
      <c r="E10" s="622"/>
      <c r="F10" s="622">
        <v>3136.4930800000006</v>
      </c>
      <c r="G10" s="622">
        <v>3356.7656112840737</v>
      </c>
      <c r="H10" s="622">
        <v>-220.27253128407301</v>
      </c>
      <c r="I10" s="623">
        <v>0.93437953173030408</v>
      </c>
      <c r="J10" s="624" t="s">
        <v>1</v>
      </c>
    </row>
    <row r="11" spans="1:10" ht="14.4" customHeight="1" x14ac:dyDescent="0.3">
      <c r="A11" s="620" t="s">
        <v>543</v>
      </c>
      <c r="B11" s="621" t="s">
        <v>329</v>
      </c>
      <c r="C11" s="622">
        <v>36.509569999999997</v>
      </c>
      <c r="D11" s="622">
        <v>35.215990000000005</v>
      </c>
      <c r="E11" s="622"/>
      <c r="F11" s="622">
        <v>39.521479999999997</v>
      </c>
      <c r="G11" s="622">
        <v>35.000003159781002</v>
      </c>
      <c r="H11" s="622">
        <v>4.5214768402189947</v>
      </c>
      <c r="I11" s="623">
        <v>1.1291850409149302</v>
      </c>
      <c r="J11" s="624" t="s">
        <v>1</v>
      </c>
    </row>
    <row r="12" spans="1:10" ht="14.4" customHeight="1" x14ac:dyDescent="0.3">
      <c r="A12" s="620" t="s">
        <v>543</v>
      </c>
      <c r="B12" s="621" t="s">
        <v>330</v>
      </c>
      <c r="C12" s="622">
        <v>4.6682199999999998</v>
      </c>
      <c r="D12" s="622">
        <v>5.2876600000000007</v>
      </c>
      <c r="E12" s="622"/>
      <c r="F12" s="622">
        <v>5.3840699999990003</v>
      </c>
      <c r="G12" s="622">
        <v>7.0000006319560004</v>
      </c>
      <c r="H12" s="622">
        <v>-1.6159306319570002</v>
      </c>
      <c r="I12" s="623">
        <v>0.76915278770404016</v>
      </c>
      <c r="J12" s="624" t="s">
        <v>1</v>
      </c>
    </row>
    <row r="13" spans="1:10" ht="14.4" customHeight="1" x14ac:dyDescent="0.3">
      <c r="A13" s="620" t="s">
        <v>543</v>
      </c>
      <c r="B13" s="621" t="s">
        <v>331</v>
      </c>
      <c r="C13" s="622">
        <v>8.6111500000000021</v>
      </c>
      <c r="D13" s="622">
        <v>9.6019100000000019</v>
      </c>
      <c r="E13" s="622"/>
      <c r="F13" s="622">
        <v>9.7072499999990001</v>
      </c>
      <c r="G13" s="622">
        <v>9.5816308650219995</v>
      </c>
      <c r="H13" s="622">
        <v>0.12561913497700061</v>
      </c>
      <c r="I13" s="623">
        <v>1.0131104126997394</v>
      </c>
      <c r="J13" s="624" t="s">
        <v>1</v>
      </c>
    </row>
    <row r="14" spans="1:10" ht="14.4" customHeight="1" x14ac:dyDescent="0.3">
      <c r="A14" s="620" t="s">
        <v>543</v>
      </c>
      <c r="B14" s="621" t="s">
        <v>332</v>
      </c>
      <c r="C14" s="622">
        <v>128.20649</v>
      </c>
      <c r="D14" s="622">
        <v>166.04876000000002</v>
      </c>
      <c r="E14" s="622"/>
      <c r="F14" s="622">
        <v>190.92586999999799</v>
      </c>
      <c r="G14" s="622">
        <v>145.000013090523</v>
      </c>
      <c r="H14" s="622">
        <v>45.925856909474987</v>
      </c>
      <c r="I14" s="623">
        <v>1.3167300190573337</v>
      </c>
      <c r="J14" s="624" t="s">
        <v>1</v>
      </c>
    </row>
    <row r="15" spans="1:10" ht="14.4" customHeight="1" x14ac:dyDescent="0.3">
      <c r="A15" s="620" t="s">
        <v>543</v>
      </c>
      <c r="B15" s="621" t="s">
        <v>333</v>
      </c>
      <c r="C15" s="622">
        <v>83.506709999999998</v>
      </c>
      <c r="D15" s="622">
        <v>97.480170000000001</v>
      </c>
      <c r="E15" s="622"/>
      <c r="F15" s="622">
        <v>109.14199999999998</v>
      </c>
      <c r="G15" s="622">
        <v>84.000007583476005</v>
      </c>
      <c r="H15" s="622">
        <v>25.141992416523976</v>
      </c>
      <c r="I15" s="623">
        <v>1.2993094065085509</v>
      </c>
      <c r="J15" s="624" t="s">
        <v>1</v>
      </c>
    </row>
    <row r="16" spans="1:10" ht="14.4" customHeight="1" x14ac:dyDescent="0.3">
      <c r="A16" s="620" t="s">
        <v>543</v>
      </c>
      <c r="B16" s="621" t="s">
        <v>334</v>
      </c>
      <c r="C16" s="622" t="s">
        <v>545</v>
      </c>
      <c r="D16" s="622">
        <v>310.76080000000002</v>
      </c>
      <c r="E16" s="622"/>
      <c r="F16" s="622">
        <v>241.41920999999999</v>
      </c>
      <c r="G16" s="622">
        <v>300.000027083845</v>
      </c>
      <c r="H16" s="622">
        <v>-58.580817083845005</v>
      </c>
      <c r="I16" s="623">
        <v>0.80473062734933476</v>
      </c>
      <c r="J16" s="624" t="s">
        <v>1</v>
      </c>
    </row>
    <row r="17" spans="1:10" ht="14.4" customHeight="1" x14ac:dyDescent="0.3">
      <c r="A17" s="620" t="s">
        <v>543</v>
      </c>
      <c r="B17" s="621" t="s">
        <v>1339</v>
      </c>
      <c r="C17" s="622">
        <v>0</v>
      </c>
      <c r="D17" s="622" t="s">
        <v>545</v>
      </c>
      <c r="E17" s="622"/>
      <c r="F17" s="622" t="s">
        <v>545</v>
      </c>
      <c r="G17" s="622" t="s">
        <v>545</v>
      </c>
      <c r="H17" s="622" t="s">
        <v>545</v>
      </c>
      <c r="I17" s="623" t="s">
        <v>545</v>
      </c>
      <c r="J17" s="624" t="s">
        <v>1</v>
      </c>
    </row>
    <row r="18" spans="1:10" ht="14.4" customHeight="1" x14ac:dyDescent="0.3">
      <c r="A18" s="620" t="s">
        <v>543</v>
      </c>
      <c r="B18" s="621" t="s">
        <v>546</v>
      </c>
      <c r="C18" s="622">
        <v>3809.4697400000014</v>
      </c>
      <c r="D18" s="622">
        <v>4730.4970799999992</v>
      </c>
      <c r="E18" s="622"/>
      <c r="F18" s="622">
        <v>4635.6785999999956</v>
      </c>
      <c r="G18" s="622">
        <v>4812.2083351891597</v>
      </c>
      <c r="H18" s="622">
        <v>-176.52973518916406</v>
      </c>
      <c r="I18" s="623">
        <v>0.96331627334205494</v>
      </c>
      <c r="J18" s="624" t="s">
        <v>547</v>
      </c>
    </row>
    <row r="20" spans="1:10" ht="14.4" customHeight="1" x14ac:dyDescent="0.3">
      <c r="A20" s="620" t="s">
        <v>543</v>
      </c>
      <c r="B20" s="621" t="s">
        <v>544</v>
      </c>
      <c r="C20" s="622" t="s">
        <v>545</v>
      </c>
      <c r="D20" s="622" t="s">
        <v>545</v>
      </c>
      <c r="E20" s="622"/>
      <c r="F20" s="622" t="s">
        <v>545</v>
      </c>
      <c r="G20" s="622" t="s">
        <v>545</v>
      </c>
      <c r="H20" s="622" t="s">
        <v>545</v>
      </c>
      <c r="I20" s="623" t="s">
        <v>545</v>
      </c>
      <c r="J20" s="624" t="s">
        <v>67</v>
      </c>
    </row>
    <row r="21" spans="1:10" ht="14.4" customHeight="1" x14ac:dyDescent="0.3">
      <c r="A21" s="620" t="s">
        <v>548</v>
      </c>
      <c r="B21" s="621" t="s">
        <v>549</v>
      </c>
      <c r="C21" s="622" t="s">
        <v>545</v>
      </c>
      <c r="D21" s="622" t="s">
        <v>545</v>
      </c>
      <c r="E21" s="622"/>
      <c r="F21" s="622" t="s">
        <v>545</v>
      </c>
      <c r="G21" s="622" t="s">
        <v>545</v>
      </c>
      <c r="H21" s="622" t="s">
        <v>545</v>
      </c>
      <c r="I21" s="623" t="s">
        <v>545</v>
      </c>
      <c r="J21" s="624" t="s">
        <v>0</v>
      </c>
    </row>
    <row r="22" spans="1:10" ht="14.4" customHeight="1" x14ac:dyDescent="0.3">
      <c r="A22" s="620" t="s">
        <v>548</v>
      </c>
      <c r="B22" s="621" t="s">
        <v>325</v>
      </c>
      <c r="C22" s="622">
        <v>26.61</v>
      </c>
      <c r="D22" s="622">
        <v>27.37049</v>
      </c>
      <c r="E22" s="622"/>
      <c r="F22" s="622">
        <v>192.34621000000001</v>
      </c>
      <c r="G22" s="622">
        <v>41.541917444767002</v>
      </c>
      <c r="H22" s="622">
        <v>150.80429255523302</v>
      </c>
      <c r="I22" s="623">
        <v>4.6301716875668602</v>
      </c>
      <c r="J22" s="624" t="s">
        <v>1</v>
      </c>
    </row>
    <row r="23" spans="1:10" ht="14.4" customHeight="1" x14ac:dyDescent="0.3">
      <c r="A23" s="620" t="s">
        <v>548</v>
      </c>
      <c r="B23" s="621" t="s">
        <v>326</v>
      </c>
      <c r="C23" s="622">
        <v>0</v>
      </c>
      <c r="D23" s="622" t="s">
        <v>545</v>
      </c>
      <c r="E23" s="622"/>
      <c r="F23" s="622" t="s">
        <v>545</v>
      </c>
      <c r="G23" s="622" t="s">
        <v>545</v>
      </c>
      <c r="H23" s="622" t="s">
        <v>545</v>
      </c>
      <c r="I23" s="623" t="s">
        <v>545</v>
      </c>
      <c r="J23" s="624" t="s">
        <v>1</v>
      </c>
    </row>
    <row r="24" spans="1:10" ht="14.4" customHeight="1" x14ac:dyDescent="0.3">
      <c r="A24" s="620" t="s">
        <v>548</v>
      </c>
      <c r="B24" s="621" t="s">
        <v>327</v>
      </c>
      <c r="C24" s="622">
        <v>18.029739999999997</v>
      </c>
      <c r="D24" s="622">
        <v>27.769629999999999</v>
      </c>
      <c r="E24" s="622"/>
      <c r="F24" s="622">
        <v>46.755479999998997</v>
      </c>
      <c r="G24" s="622">
        <v>30.572907877193998</v>
      </c>
      <c r="H24" s="622">
        <v>16.182572122804999</v>
      </c>
      <c r="I24" s="623">
        <v>1.5293108587448583</v>
      </c>
      <c r="J24" s="624" t="s">
        <v>1</v>
      </c>
    </row>
    <row r="25" spans="1:10" ht="14.4" customHeight="1" x14ac:dyDescent="0.3">
      <c r="A25" s="620" t="s">
        <v>548</v>
      </c>
      <c r="B25" s="621" t="s">
        <v>328</v>
      </c>
      <c r="C25" s="622">
        <v>181.76004</v>
      </c>
      <c r="D25" s="622">
        <v>232.78941</v>
      </c>
      <c r="E25" s="622"/>
      <c r="F25" s="622">
        <v>278.8211</v>
      </c>
      <c r="G25" s="622">
        <v>274.74819442894398</v>
      </c>
      <c r="H25" s="622">
        <v>4.072905571056026</v>
      </c>
      <c r="I25" s="623">
        <v>1.0148241395344615</v>
      </c>
      <c r="J25" s="624" t="s">
        <v>1</v>
      </c>
    </row>
    <row r="26" spans="1:10" ht="14.4" customHeight="1" x14ac:dyDescent="0.3">
      <c r="A26" s="620" t="s">
        <v>548</v>
      </c>
      <c r="B26" s="621" t="s">
        <v>329</v>
      </c>
      <c r="C26" s="622">
        <v>0</v>
      </c>
      <c r="D26" s="622" t="s">
        <v>545</v>
      </c>
      <c r="E26" s="622"/>
      <c r="F26" s="622" t="s">
        <v>545</v>
      </c>
      <c r="G26" s="622" t="s">
        <v>545</v>
      </c>
      <c r="H26" s="622" t="s">
        <v>545</v>
      </c>
      <c r="I26" s="623" t="s">
        <v>545</v>
      </c>
      <c r="J26" s="624" t="s">
        <v>1</v>
      </c>
    </row>
    <row r="27" spans="1:10" ht="14.4" customHeight="1" x14ac:dyDescent="0.3">
      <c r="A27" s="620" t="s">
        <v>548</v>
      </c>
      <c r="B27" s="621" t="s">
        <v>331</v>
      </c>
      <c r="C27" s="622">
        <v>0.78800000000000003</v>
      </c>
      <c r="D27" s="622">
        <v>0.71700000000000008</v>
      </c>
      <c r="E27" s="622"/>
      <c r="F27" s="622">
        <v>1.08</v>
      </c>
      <c r="G27" s="622">
        <v>0.715000064549</v>
      </c>
      <c r="H27" s="622">
        <v>0.36499993545100007</v>
      </c>
      <c r="I27" s="623">
        <v>1.5104893741250649</v>
      </c>
      <c r="J27" s="624" t="s">
        <v>1</v>
      </c>
    </row>
    <row r="28" spans="1:10" ht="14.4" customHeight="1" x14ac:dyDescent="0.3">
      <c r="A28" s="620" t="s">
        <v>548</v>
      </c>
      <c r="B28" s="621" t="s">
        <v>332</v>
      </c>
      <c r="C28" s="622">
        <v>27.322690000000001</v>
      </c>
      <c r="D28" s="622">
        <v>38.041519999999998</v>
      </c>
      <c r="E28" s="622"/>
      <c r="F28" s="622">
        <v>40.909859999999</v>
      </c>
      <c r="G28" s="622">
        <v>32.610384219537998</v>
      </c>
      <c r="H28" s="622">
        <v>8.2994757804610018</v>
      </c>
      <c r="I28" s="623">
        <v>1.2545040783508616</v>
      </c>
      <c r="J28" s="624" t="s">
        <v>1</v>
      </c>
    </row>
    <row r="29" spans="1:10" ht="14.4" customHeight="1" x14ac:dyDescent="0.3">
      <c r="A29" s="620" t="s">
        <v>548</v>
      </c>
      <c r="B29" s="621" t="s">
        <v>334</v>
      </c>
      <c r="C29" s="622" t="s">
        <v>545</v>
      </c>
      <c r="D29" s="622">
        <v>0.97889999999999999</v>
      </c>
      <c r="E29" s="622"/>
      <c r="F29" s="622">
        <v>0.97889999999999999</v>
      </c>
      <c r="G29" s="622">
        <v>0.93815690348500014</v>
      </c>
      <c r="H29" s="622">
        <v>4.0743096514999855E-2</v>
      </c>
      <c r="I29" s="623">
        <v>1.0434288724664822</v>
      </c>
      <c r="J29" s="624" t="s">
        <v>1</v>
      </c>
    </row>
    <row r="30" spans="1:10" ht="14.4" customHeight="1" x14ac:dyDescent="0.3">
      <c r="A30" s="620" t="s">
        <v>548</v>
      </c>
      <c r="B30" s="621" t="s">
        <v>550</v>
      </c>
      <c r="C30" s="622">
        <v>254.51047</v>
      </c>
      <c r="D30" s="622">
        <v>327.66694999999999</v>
      </c>
      <c r="E30" s="622"/>
      <c r="F30" s="622">
        <v>560.89154999999789</v>
      </c>
      <c r="G30" s="622">
        <v>381.12656093847693</v>
      </c>
      <c r="H30" s="622">
        <v>179.76498906152096</v>
      </c>
      <c r="I30" s="623">
        <v>1.4716674393379248</v>
      </c>
      <c r="J30" s="624" t="s">
        <v>551</v>
      </c>
    </row>
    <row r="31" spans="1:10" ht="14.4" customHeight="1" x14ac:dyDescent="0.3">
      <c r="A31" s="620" t="s">
        <v>545</v>
      </c>
      <c r="B31" s="621" t="s">
        <v>545</v>
      </c>
      <c r="C31" s="622" t="s">
        <v>545</v>
      </c>
      <c r="D31" s="622" t="s">
        <v>545</v>
      </c>
      <c r="E31" s="622"/>
      <c r="F31" s="622" t="s">
        <v>545</v>
      </c>
      <c r="G31" s="622" t="s">
        <v>545</v>
      </c>
      <c r="H31" s="622" t="s">
        <v>545</v>
      </c>
      <c r="I31" s="623" t="s">
        <v>545</v>
      </c>
      <c r="J31" s="624" t="s">
        <v>552</v>
      </c>
    </row>
    <row r="32" spans="1:10" ht="14.4" customHeight="1" x14ac:dyDescent="0.3">
      <c r="A32" s="620" t="s">
        <v>553</v>
      </c>
      <c r="B32" s="621" t="s">
        <v>554</v>
      </c>
      <c r="C32" s="622" t="s">
        <v>545</v>
      </c>
      <c r="D32" s="622" t="s">
        <v>545</v>
      </c>
      <c r="E32" s="622"/>
      <c r="F32" s="622" t="s">
        <v>545</v>
      </c>
      <c r="G32" s="622" t="s">
        <v>545</v>
      </c>
      <c r="H32" s="622" t="s">
        <v>545</v>
      </c>
      <c r="I32" s="623" t="s">
        <v>545</v>
      </c>
      <c r="J32" s="624" t="s">
        <v>0</v>
      </c>
    </row>
    <row r="33" spans="1:10" ht="14.4" customHeight="1" x14ac:dyDescent="0.3">
      <c r="A33" s="620" t="s">
        <v>553</v>
      </c>
      <c r="B33" s="621" t="s">
        <v>325</v>
      </c>
      <c r="C33" s="622">
        <v>0.15246000000000001</v>
      </c>
      <c r="D33" s="622">
        <v>98.019460000000009</v>
      </c>
      <c r="E33" s="622"/>
      <c r="F33" s="622">
        <v>327.04629</v>
      </c>
      <c r="G33" s="622">
        <v>206.24471577235198</v>
      </c>
      <c r="H33" s="622">
        <v>120.80157422764802</v>
      </c>
      <c r="I33" s="623">
        <v>1.5857196087437504</v>
      </c>
      <c r="J33" s="624" t="s">
        <v>1</v>
      </c>
    </row>
    <row r="34" spans="1:10" ht="14.4" customHeight="1" x14ac:dyDescent="0.3">
      <c r="A34" s="620" t="s">
        <v>553</v>
      </c>
      <c r="B34" s="621" t="s">
        <v>326</v>
      </c>
      <c r="C34" s="622">
        <v>0.42791000000000001</v>
      </c>
      <c r="D34" s="622" t="s">
        <v>545</v>
      </c>
      <c r="E34" s="622"/>
      <c r="F34" s="622">
        <v>0.12451</v>
      </c>
      <c r="G34" s="622">
        <v>0</v>
      </c>
      <c r="H34" s="622">
        <v>0.12451</v>
      </c>
      <c r="I34" s="623" t="s">
        <v>545</v>
      </c>
      <c r="J34" s="624" t="s">
        <v>1</v>
      </c>
    </row>
    <row r="35" spans="1:10" ht="14.4" customHeight="1" x14ac:dyDescent="0.3">
      <c r="A35" s="620" t="s">
        <v>553</v>
      </c>
      <c r="B35" s="621" t="s">
        <v>327</v>
      </c>
      <c r="C35" s="622">
        <v>24.17286</v>
      </c>
      <c r="D35" s="622">
        <v>26.87829</v>
      </c>
      <c r="E35" s="622"/>
      <c r="F35" s="622">
        <v>32.893739999999994</v>
      </c>
      <c r="G35" s="622">
        <v>28.791276625716002</v>
      </c>
      <c r="H35" s="622">
        <v>4.1024633742839924</v>
      </c>
      <c r="I35" s="623">
        <v>1.1424898043812244</v>
      </c>
      <c r="J35" s="624" t="s">
        <v>1</v>
      </c>
    </row>
    <row r="36" spans="1:10" ht="14.4" customHeight="1" x14ac:dyDescent="0.3">
      <c r="A36" s="620" t="s">
        <v>553</v>
      </c>
      <c r="B36" s="621" t="s">
        <v>328</v>
      </c>
      <c r="C36" s="622">
        <v>906.76062999999999</v>
      </c>
      <c r="D36" s="622">
        <v>1224.1887199999999</v>
      </c>
      <c r="E36" s="622"/>
      <c r="F36" s="622">
        <v>998.27752999999996</v>
      </c>
      <c r="G36" s="622">
        <v>1087.8168810325899</v>
      </c>
      <c r="H36" s="622">
        <v>-89.539351032589934</v>
      </c>
      <c r="I36" s="623">
        <v>0.91768894876167362</v>
      </c>
      <c r="J36" s="624" t="s">
        <v>1</v>
      </c>
    </row>
    <row r="37" spans="1:10" ht="14.4" customHeight="1" x14ac:dyDescent="0.3">
      <c r="A37" s="620" t="s">
        <v>553</v>
      </c>
      <c r="B37" s="621" t="s">
        <v>329</v>
      </c>
      <c r="C37" s="622">
        <v>2.1755</v>
      </c>
      <c r="D37" s="622">
        <v>2.9472</v>
      </c>
      <c r="E37" s="622"/>
      <c r="F37" s="622">
        <v>0.17499999999999999</v>
      </c>
      <c r="G37" s="622">
        <v>2.914619813052</v>
      </c>
      <c r="H37" s="622">
        <v>-2.7396198130520002</v>
      </c>
      <c r="I37" s="623">
        <v>6.0042136273255955E-2</v>
      </c>
      <c r="J37" s="624" t="s">
        <v>1</v>
      </c>
    </row>
    <row r="38" spans="1:10" ht="14.4" customHeight="1" x14ac:dyDescent="0.3">
      <c r="A38" s="620" t="s">
        <v>553</v>
      </c>
      <c r="B38" s="621" t="s">
        <v>330</v>
      </c>
      <c r="C38" s="622">
        <v>0</v>
      </c>
      <c r="D38" s="622" t="s">
        <v>545</v>
      </c>
      <c r="E38" s="622"/>
      <c r="F38" s="622" t="s">
        <v>545</v>
      </c>
      <c r="G38" s="622" t="s">
        <v>545</v>
      </c>
      <c r="H38" s="622" t="s">
        <v>545</v>
      </c>
      <c r="I38" s="623" t="s">
        <v>545</v>
      </c>
      <c r="J38" s="624" t="s">
        <v>1</v>
      </c>
    </row>
    <row r="39" spans="1:10" ht="14.4" customHeight="1" x14ac:dyDescent="0.3">
      <c r="A39" s="620" t="s">
        <v>553</v>
      </c>
      <c r="B39" s="621" t="s">
        <v>331</v>
      </c>
      <c r="C39" s="622">
        <v>2.6887400000000001</v>
      </c>
      <c r="D39" s="622">
        <v>0.89932000000000012</v>
      </c>
      <c r="E39" s="622"/>
      <c r="F39" s="622">
        <v>1.2117600000000002</v>
      </c>
      <c r="G39" s="622">
        <v>0.82704007466399987</v>
      </c>
      <c r="H39" s="622">
        <v>0.3847199253360003</v>
      </c>
      <c r="I39" s="623">
        <v>1.4651768845570148</v>
      </c>
      <c r="J39" s="624" t="s">
        <v>1</v>
      </c>
    </row>
    <row r="40" spans="1:10" ht="14.4" customHeight="1" x14ac:dyDescent="0.3">
      <c r="A40" s="620" t="s">
        <v>553</v>
      </c>
      <c r="B40" s="621" t="s">
        <v>332</v>
      </c>
      <c r="C40" s="622">
        <v>33.421800000000005</v>
      </c>
      <c r="D40" s="622">
        <v>22.687599999999996</v>
      </c>
      <c r="E40" s="622"/>
      <c r="F40" s="622">
        <v>38.725309999999993</v>
      </c>
      <c r="G40" s="622">
        <v>20.147360403873002</v>
      </c>
      <c r="H40" s="622">
        <v>18.577949596126992</v>
      </c>
      <c r="I40" s="623">
        <v>1.9221034033101272</v>
      </c>
      <c r="J40" s="624" t="s">
        <v>1</v>
      </c>
    </row>
    <row r="41" spans="1:10" ht="14.4" customHeight="1" x14ac:dyDescent="0.3">
      <c r="A41" s="620" t="s">
        <v>553</v>
      </c>
      <c r="B41" s="621" t="s">
        <v>334</v>
      </c>
      <c r="C41" s="622" t="s">
        <v>545</v>
      </c>
      <c r="D41" s="622">
        <v>26.735199999999999</v>
      </c>
      <c r="E41" s="622"/>
      <c r="F41" s="622">
        <v>0</v>
      </c>
      <c r="G41" s="622">
        <v>12.811223028937</v>
      </c>
      <c r="H41" s="622">
        <v>-12.811223028937</v>
      </c>
      <c r="I41" s="623">
        <v>0</v>
      </c>
      <c r="J41" s="624" t="s">
        <v>1</v>
      </c>
    </row>
    <row r="42" spans="1:10" ht="14.4" customHeight="1" x14ac:dyDescent="0.3">
      <c r="A42" s="620" t="s">
        <v>553</v>
      </c>
      <c r="B42" s="621" t="s">
        <v>555</v>
      </c>
      <c r="C42" s="622">
        <v>969.79990000000009</v>
      </c>
      <c r="D42" s="622">
        <v>1402.3557900000001</v>
      </c>
      <c r="E42" s="622"/>
      <c r="F42" s="622">
        <v>1398.4541399999998</v>
      </c>
      <c r="G42" s="622">
        <v>1359.553116751184</v>
      </c>
      <c r="H42" s="622">
        <v>38.901023248815818</v>
      </c>
      <c r="I42" s="623">
        <v>1.0286130955602342</v>
      </c>
      <c r="J42" s="624" t="s">
        <v>551</v>
      </c>
    </row>
    <row r="43" spans="1:10" ht="14.4" customHeight="1" x14ac:dyDescent="0.3">
      <c r="A43" s="620" t="s">
        <v>545</v>
      </c>
      <c r="B43" s="621" t="s">
        <v>545</v>
      </c>
      <c r="C43" s="622" t="s">
        <v>545</v>
      </c>
      <c r="D43" s="622" t="s">
        <v>545</v>
      </c>
      <c r="E43" s="622"/>
      <c r="F43" s="622" t="s">
        <v>545</v>
      </c>
      <c r="G43" s="622" t="s">
        <v>545</v>
      </c>
      <c r="H43" s="622" t="s">
        <v>545</v>
      </c>
      <c r="I43" s="623" t="s">
        <v>545</v>
      </c>
      <c r="J43" s="624" t="s">
        <v>552</v>
      </c>
    </row>
    <row r="44" spans="1:10" ht="14.4" customHeight="1" x14ac:dyDescent="0.3">
      <c r="A44" s="620" t="s">
        <v>556</v>
      </c>
      <c r="B44" s="621" t="s">
        <v>557</v>
      </c>
      <c r="C44" s="622" t="s">
        <v>545</v>
      </c>
      <c r="D44" s="622" t="s">
        <v>545</v>
      </c>
      <c r="E44" s="622"/>
      <c r="F44" s="622" t="s">
        <v>545</v>
      </c>
      <c r="G44" s="622" t="s">
        <v>545</v>
      </c>
      <c r="H44" s="622" t="s">
        <v>545</v>
      </c>
      <c r="I44" s="623" t="s">
        <v>545</v>
      </c>
      <c r="J44" s="624" t="s">
        <v>0</v>
      </c>
    </row>
    <row r="45" spans="1:10" ht="14.4" customHeight="1" x14ac:dyDescent="0.3">
      <c r="A45" s="620" t="s">
        <v>556</v>
      </c>
      <c r="B45" s="621" t="s">
        <v>324</v>
      </c>
      <c r="C45" s="622">
        <v>0.495</v>
      </c>
      <c r="D45" s="622">
        <v>0</v>
      </c>
      <c r="E45" s="622"/>
      <c r="F45" s="622" t="s">
        <v>545</v>
      </c>
      <c r="G45" s="622" t="s">
        <v>545</v>
      </c>
      <c r="H45" s="622" t="s">
        <v>545</v>
      </c>
      <c r="I45" s="623" t="s">
        <v>545</v>
      </c>
      <c r="J45" s="624" t="s">
        <v>1</v>
      </c>
    </row>
    <row r="46" spans="1:10" ht="14.4" customHeight="1" x14ac:dyDescent="0.3">
      <c r="A46" s="620" t="s">
        <v>556</v>
      </c>
      <c r="B46" s="621" t="s">
        <v>325</v>
      </c>
      <c r="C46" s="622">
        <v>430.24493000000001</v>
      </c>
      <c r="D46" s="622">
        <v>368.83200999999997</v>
      </c>
      <c r="E46" s="622"/>
      <c r="F46" s="622">
        <v>157.76509999999999</v>
      </c>
      <c r="G46" s="622">
        <v>460.07439319669197</v>
      </c>
      <c r="H46" s="622">
        <v>-302.30929319669201</v>
      </c>
      <c r="I46" s="623">
        <v>0.34291215145406262</v>
      </c>
      <c r="J46" s="624" t="s">
        <v>1</v>
      </c>
    </row>
    <row r="47" spans="1:10" ht="14.4" customHeight="1" x14ac:dyDescent="0.3">
      <c r="A47" s="620" t="s">
        <v>556</v>
      </c>
      <c r="B47" s="621" t="s">
        <v>326</v>
      </c>
      <c r="C47" s="622">
        <v>3.4139699999999999</v>
      </c>
      <c r="D47" s="622">
        <v>0.8236</v>
      </c>
      <c r="E47" s="622"/>
      <c r="F47" s="622">
        <v>0</v>
      </c>
      <c r="G47" s="622">
        <v>2.0000001805580001</v>
      </c>
      <c r="H47" s="622">
        <v>-2.0000001805580001</v>
      </c>
      <c r="I47" s="623">
        <v>0</v>
      </c>
      <c r="J47" s="624" t="s">
        <v>1</v>
      </c>
    </row>
    <row r="48" spans="1:10" ht="14.4" customHeight="1" x14ac:dyDescent="0.3">
      <c r="A48" s="620" t="s">
        <v>556</v>
      </c>
      <c r="B48" s="621" t="s">
        <v>327</v>
      </c>
      <c r="C48" s="622">
        <v>123.59002000000001</v>
      </c>
      <c r="D48" s="622">
        <v>106.99989999999998</v>
      </c>
      <c r="E48" s="622"/>
      <c r="F48" s="622">
        <v>146.15431000000001</v>
      </c>
      <c r="G48" s="622">
        <v>105.635830393204</v>
      </c>
      <c r="H48" s="622">
        <v>40.518479606796006</v>
      </c>
      <c r="I48" s="623">
        <v>1.3835675779323711</v>
      </c>
      <c r="J48" s="624" t="s">
        <v>1</v>
      </c>
    </row>
    <row r="49" spans="1:10" ht="14.4" customHeight="1" x14ac:dyDescent="0.3">
      <c r="A49" s="620" t="s">
        <v>556</v>
      </c>
      <c r="B49" s="621" t="s">
        <v>328</v>
      </c>
      <c r="C49" s="622">
        <v>1832.310040000001</v>
      </c>
      <c r="D49" s="622">
        <v>1992.43028</v>
      </c>
      <c r="E49" s="622"/>
      <c r="F49" s="622">
        <v>1859.3944500000007</v>
      </c>
      <c r="G49" s="622">
        <v>1994.2005358225397</v>
      </c>
      <c r="H49" s="622">
        <v>-134.80608582253899</v>
      </c>
      <c r="I49" s="623">
        <v>0.93240093791924683</v>
      </c>
      <c r="J49" s="624" t="s">
        <v>1</v>
      </c>
    </row>
    <row r="50" spans="1:10" ht="14.4" customHeight="1" x14ac:dyDescent="0.3">
      <c r="A50" s="620" t="s">
        <v>556</v>
      </c>
      <c r="B50" s="621" t="s">
        <v>329</v>
      </c>
      <c r="C50" s="622">
        <v>34.334069999999997</v>
      </c>
      <c r="D50" s="622">
        <v>32.268790000000003</v>
      </c>
      <c r="E50" s="622"/>
      <c r="F50" s="622">
        <v>39.34648</v>
      </c>
      <c r="G50" s="622">
        <v>32.085383346729003</v>
      </c>
      <c r="H50" s="622">
        <v>7.2610966532709966</v>
      </c>
      <c r="I50" s="623">
        <v>1.2263054355562575</v>
      </c>
      <c r="J50" s="624" t="s">
        <v>1</v>
      </c>
    </row>
    <row r="51" spans="1:10" ht="14.4" customHeight="1" x14ac:dyDescent="0.3">
      <c r="A51" s="620" t="s">
        <v>556</v>
      </c>
      <c r="B51" s="621" t="s">
        <v>330</v>
      </c>
      <c r="C51" s="622">
        <v>4.6682199999999998</v>
      </c>
      <c r="D51" s="622">
        <v>5.2876600000000007</v>
      </c>
      <c r="E51" s="622"/>
      <c r="F51" s="622">
        <v>5.3840699999990003</v>
      </c>
      <c r="G51" s="622">
        <v>7.0000006319560004</v>
      </c>
      <c r="H51" s="622">
        <v>-1.6159306319570002</v>
      </c>
      <c r="I51" s="623">
        <v>0.76915278770404016</v>
      </c>
      <c r="J51" s="624" t="s">
        <v>1</v>
      </c>
    </row>
    <row r="52" spans="1:10" ht="14.4" customHeight="1" x14ac:dyDescent="0.3">
      <c r="A52" s="620" t="s">
        <v>556</v>
      </c>
      <c r="B52" s="621" t="s">
        <v>331</v>
      </c>
      <c r="C52" s="622">
        <v>5.1344100000000008</v>
      </c>
      <c r="D52" s="622">
        <v>7.985590000000002</v>
      </c>
      <c r="E52" s="622"/>
      <c r="F52" s="622">
        <v>7.415489999999</v>
      </c>
      <c r="G52" s="622">
        <v>8.0395907258089991</v>
      </c>
      <c r="H52" s="622">
        <v>-0.62410072580999909</v>
      </c>
      <c r="I52" s="623">
        <v>0.92237157996034713</v>
      </c>
      <c r="J52" s="624" t="s">
        <v>1</v>
      </c>
    </row>
    <row r="53" spans="1:10" ht="14.4" customHeight="1" x14ac:dyDescent="0.3">
      <c r="A53" s="620" t="s">
        <v>556</v>
      </c>
      <c r="B53" s="621" t="s">
        <v>332</v>
      </c>
      <c r="C53" s="622">
        <v>67.462000000000003</v>
      </c>
      <c r="D53" s="622">
        <v>105.31964000000001</v>
      </c>
      <c r="E53" s="622"/>
      <c r="F53" s="622">
        <v>111.29069999999901</v>
      </c>
      <c r="G53" s="622">
        <v>92.242268467111998</v>
      </c>
      <c r="H53" s="622">
        <v>19.048431532887008</v>
      </c>
      <c r="I53" s="623">
        <v>1.2065043699535483</v>
      </c>
      <c r="J53" s="624" t="s">
        <v>1</v>
      </c>
    </row>
    <row r="54" spans="1:10" ht="14.4" customHeight="1" x14ac:dyDescent="0.3">
      <c r="A54" s="620" t="s">
        <v>556</v>
      </c>
      <c r="B54" s="621" t="s">
        <v>333</v>
      </c>
      <c r="C54" s="622">
        <v>83.506709999999998</v>
      </c>
      <c r="D54" s="622">
        <v>97.480170000000001</v>
      </c>
      <c r="E54" s="622"/>
      <c r="F54" s="622">
        <v>109.14199999999998</v>
      </c>
      <c r="G54" s="622">
        <v>84.000007583476005</v>
      </c>
      <c r="H54" s="622">
        <v>25.141992416523976</v>
      </c>
      <c r="I54" s="623">
        <v>1.2993094065085509</v>
      </c>
      <c r="J54" s="624" t="s">
        <v>1</v>
      </c>
    </row>
    <row r="55" spans="1:10" ht="14.4" customHeight="1" x14ac:dyDescent="0.3">
      <c r="A55" s="620" t="s">
        <v>556</v>
      </c>
      <c r="B55" s="621" t="s">
        <v>334</v>
      </c>
      <c r="C55" s="622" t="s">
        <v>545</v>
      </c>
      <c r="D55" s="622">
        <v>283.04670000000004</v>
      </c>
      <c r="E55" s="622"/>
      <c r="F55" s="622">
        <v>240.44030999999998</v>
      </c>
      <c r="G55" s="622">
        <v>286.25064715142298</v>
      </c>
      <c r="H55" s="622">
        <v>-45.810337151422999</v>
      </c>
      <c r="I55" s="623">
        <v>0.8399642494880023</v>
      </c>
      <c r="J55" s="624" t="s">
        <v>1</v>
      </c>
    </row>
    <row r="56" spans="1:10" ht="14.4" customHeight="1" x14ac:dyDescent="0.3">
      <c r="A56" s="620" t="s">
        <v>556</v>
      </c>
      <c r="B56" s="621" t="s">
        <v>1339</v>
      </c>
      <c r="C56" s="622">
        <v>0</v>
      </c>
      <c r="D56" s="622" t="s">
        <v>545</v>
      </c>
      <c r="E56" s="622"/>
      <c r="F56" s="622" t="s">
        <v>545</v>
      </c>
      <c r="G56" s="622" t="s">
        <v>545</v>
      </c>
      <c r="H56" s="622" t="s">
        <v>545</v>
      </c>
      <c r="I56" s="623" t="s">
        <v>545</v>
      </c>
      <c r="J56" s="624" t="s">
        <v>1</v>
      </c>
    </row>
    <row r="57" spans="1:10" ht="14.4" customHeight="1" x14ac:dyDescent="0.3">
      <c r="A57" s="620" t="s">
        <v>556</v>
      </c>
      <c r="B57" s="621" t="s">
        <v>558</v>
      </c>
      <c r="C57" s="622">
        <v>2585.1593700000012</v>
      </c>
      <c r="D57" s="622">
        <v>3000.4743400000002</v>
      </c>
      <c r="E57" s="622"/>
      <c r="F57" s="622">
        <v>2676.3329099999978</v>
      </c>
      <c r="G57" s="622">
        <v>3071.5286574994984</v>
      </c>
      <c r="H57" s="622">
        <v>-395.19574749950061</v>
      </c>
      <c r="I57" s="623">
        <v>0.87133580976541314</v>
      </c>
      <c r="J57" s="624" t="s">
        <v>551</v>
      </c>
    </row>
    <row r="58" spans="1:10" ht="14.4" customHeight="1" x14ac:dyDescent="0.3">
      <c r="A58" s="620" t="s">
        <v>545</v>
      </c>
      <c r="B58" s="621" t="s">
        <v>545</v>
      </c>
      <c r="C58" s="622" t="s">
        <v>545</v>
      </c>
      <c r="D58" s="622" t="s">
        <v>545</v>
      </c>
      <c r="E58" s="622"/>
      <c r="F58" s="622" t="s">
        <v>545</v>
      </c>
      <c r="G58" s="622" t="s">
        <v>545</v>
      </c>
      <c r="H58" s="622" t="s">
        <v>545</v>
      </c>
      <c r="I58" s="623" t="s">
        <v>545</v>
      </c>
      <c r="J58" s="624" t="s">
        <v>552</v>
      </c>
    </row>
    <row r="59" spans="1:10" ht="14.4" customHeight="1" x14ac:dyDescent="0.3">
      <c r="A59" s="620" t="s">
        <v>1340</v>
      </c>
      <c r="B59" s="621" t="s">
        <v>1341</v>
      </c>
      <c r="C59" s="622" t="s">
        <v>545</v>
      </c>
      <c r="D59" s="622" t="s">
        <v>545</v>
      </c>
      <c r="E59" s="622"/>
      <c r="F59" s="622" t="s">
        <v>545</v>
      </c>
      <c r="G59" s="622" t="s">
        <v>545</v>
      </c>
      <c r="H59" s="622" t="s">
        <v>545</v>
      </c>
      <c r="I59" s="623" t="s">
        <v>545</v>
      </c>
      <c r="J59" s="624" t="s">
        <v>0</v>
      </c>
    </row>
    <row r="60" spans="1:10" ht="14.4" customHeight="1" x14ac:dyDescent="0.3">
      <c r="A60" s="620" t="s">
        <v>1340</v>
      </c>
      <c r="B60" s="621" t="s">
        <v>328</v>
      </c>
      <c r="C60" s="622" t="s">
        <v>545</v>
      </c>
      <c r="D60" s="622">
        <v>0</v>
      </c>
      <c r="E60" s="622"/>
      <c r="F60" s="622" t="s">
        <v>545</v>
      </c>
      <c r="G60" s="622" t="s">
        <v>545</v>
      </c>
      <c r="H60" s="622" t="s">
        <v>545</v>
      </c>
      <c r="I60" s="623" t="s">
        <v>545</v>
      </c>
      <c r="J60" s="624" t="s">
        <v>1</v>
      </c>
    </row>
    <row r="61" spans="1:10" ht="14.4" customHeight="1" x14ac:dyDescent="0.3">
      <c r="A61" s="620" t="s">
        <v>1340</v>
      </c>
      <c r="B61" s="621" t="s">
        <v>1342</v>
      </c>
      <c r="C61" s="622" t="s">
        <v>545</v>
      </c>
      <c r="D61" s="622">
        <v>0</v>
      </c>
      <c r="E61" s="622"/>
      <c r="F61" s="622" t="s">
        <v>545</v>
      </c>
      <c r="G61" s="622" t="s">
        <v>545</v>
      </c>
      <c r="H61" s="622" t="s">
        <v>545</v>
      </c>
      <c r="I61" s="623" t="s">
        <v>545</v>
      </c>
      <c r="J61" s="624" t="s">
        <v>551</v>
      </c>
    </row>
    <row r="62" spans="1:10" ht="14.4" customHeight="1" x14ac:dyDescent="0.3">
      <c r="A62" s="620" t="s">
        <v>545</v>
      </c>
      <c r="B62" s="621" t="s">
        <v>545</v>
      </c>
      <c r="C62" s="622" t="s">
        <v>545</v>
      </c>
      <c r="D62" s="622" t="s">
        <v>545</v>
      </c>
      <c r="E62" s="622"/>
      <c r="F62" s="622" t="s">
        <v>545</v>
      </c>
      <c r="G62" s="622" t="s">
        <v>545</v>
      </c>
      <c r="H62" s="622" t="s">
        <v>545</v>
      </c>
      <c r="I62" s="623" t="s">
        <v>545</v>
      </c>
      <c r="J62" s="624" t="s">
        <v>552</v>
      </c>
    </row>
    <row r="63" spans="1:10" ht="14.4" customHeight="1" x14ac:dyDescent="0.3">
      <c r="A63" s="620" t="s">
        <v>543</v>
      </c>
      <c r="B63" s="621" t="s">
        <v>546</v>
      </c>
      <c r="C63" s="622">
        <v>3809.4697400000014</v>
      </c>
      <c r="D63" s="622">
        <v>4730.4970799999992</v>
      </c>
      <c r="E63" s="622"/>
      <c r="F63" s="622">
        <v>4635.6785999999956</v>
      </c>
      <c r="G63" s="622">
        <v>4812.2083351891579</v>
      </c>
      <c r="H63" s="622">
        <v>-176.52973518916224</v>
      </c>
      <c r="I63" s="623">
        <v>0.96331627334205527</v>
      </c>
      <c r="J63" s="624" t="s">
        <v>547</v>
      </c>
    </row>
  </sheetData>
  <mergeCells count="3">
    <mergeCell ref="A1:I1"/>
    <mergeCell ref="F3:I3"/>
    <mergeCell ref="C4:D4"/>
  </mergeCells>
  <conditionalFormatting sqref="F19 F64:F65537">
    <cfRule type="cellIs" dxfId="42" priority="18" stopIfTrue="1" operator="greaterThan">
      <formula>1</formula>
    </cfRule>
  </conditionalFormatting>
  <conditionalFormatting sqref="H5:H18">
    <cfRule type="expression" dxfId="41" priority="14">
      <formula>$H5&gt;0</formula>
    </cfRule>
  </conditionalFormatting>
  <conditionalFormatting sqref="I5:I18">
    <cfRule type="expression" dxfId="40" priority="15">
      <formula>$I5&gt;1</formula>
    </cfRule>
  </conditionalFormatting>
  <conditionalFormatting sqref="B5:B18">
    <cfRule type="expression" dxfId="39" priority="11">
      <formula>OR($J5="NS",$J5="SumaNS",$J5="Účet")</formula>
    </cfRule>
  </conditionalFormatting>
  <conditionalFormatting sqref="F5:I18 B5:D18">
    <cfRule type="expression" dxfId="38" priority="17">
      <formula>AND($J5&lt;&gt;"",$J5&lt;&gt;"mezeraKL")</formula>
    </cfRule>
  </conditionalFormatting>
  <conditionalFormatting sqref="B5:D18 F5:I18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6" priority="13">
      <formula>OR($J5="SumaNS",$J5="NS")</formula>
    </cfRule>
  </conditionalFormatting>
  <conditionalFormatting sqref="A5:A18">
    <cfRule type="expression" dxfId="35" priority="9">
      <formula>AND($J5&lt;&gt;"mezeraKL",$J5&lt;&gt;"")</formula>
    </cfRule>
  </conditionalFormatting>
  <conditionalFormatting sqref="A5:A18">
    <cfRule type="expression" dxfId="34" priority="10">
      <formula>AND($J5&lt;&gt;"",$J5&lt;&gt;"mezeraKL")</formula>
    </cfRule>
  </conditionalFormatting>
  <conditionalFormatting sqref="H20:H63">
    <cfRule type="expression" dxfId="33" priority="5">
      <formula>$H20&gt;0</formula>
    </cfRule>
  </conditionalFormatting>
  <conditionalFormatting sqref="A20:A63">
    <cfRule type="expression" dxfId="32" priority="2">
      <formula>AND($J20&lt;&gt;"mezeraKL",$J20&lt;&gt;"")</formula>
    </cfRule>
  </conditionalFormatting>
  <conditionalFormatting sqref="I20:I63">
    <cfRule type="expression" dxfId="31" priority="6">
      <formula>$I20&gt;1</formula>
    </cfRule>
  </conditionalFormatting>
  <conditionalFormatting sqref="B20:B63">
    <cfRule type="expression" dxfId="30" priority="1">
      <formula>OR($J20="NS",$J20="SumaNS",$J20="Účet")</formula>
    </cfRule>
  </conditionalFormatting>
  <conditionalFormatting sqref="A20:D63 F20:I63">
    <cfRule type="expression" dxfId="29" priority="8">
      <formula>AND($J20&lt;&gt;"",$J20&lt;&gt;"mezeraKL")</formula>
    </cfRule>
  </conditionalFormatting>
  <conditionalFormatting sqref="B20:D63 F20:I63">
    <cfRule type="expression" dxfId="28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63 F20:I63">
    <cfRule type="expression" dxfId="27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1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4" hidden="1" customWidth="1" outlineLevel="1"/>
    <col min="2" max="2" width="28.33203125" style="244" hidden="1" customWidth="1" outlineLevel="1"/>
    <col min="3" max="3" width="5.33203125" style="328" bestFit="1" customWidth="1" collapsed="1"/>
    <col min="4" max="4" width="18.77734375" style="332" customWidth="1"/>
    <col min="5" max="5" width="9" style="328" bestFit="1" customWidth="1"/>
    <col min="6" max="6" width="18.77734375" style="332" customWidth="1"/>
    <col min="7" max="7" width="12.44140625" style="328" hidden="1" customWidth="1" outlineLevel="1"/>
    <col min="8" max="8" width="25.77734375" style="328" customWidth="1" collapsed="1"/>
    <col min="9" max="9" width="7.77734375" style="326" customWidth="1"/>
    <col min="10" max="10" width="10" style="326" customWidth="1"/>
    <col min="11" max="11" width="11.109375" style="326" customWidth="1"/>
    <col min="12" max="16384" width="8.88671875" style="244"/>
  </cols>
  <sheetData>
    <row r="1" spans="1:11" ht="18.600000000000001" customHeight="1" thickBot="1" x14ac:dyDescent="0.4">
      <c r="A1" s="500" t="s">
        <v>1891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</row>
    <row r="2" spans="1:11" ht="14.4" customHeight="1" thickBot="1" x14ac:dyDescent="0.35">
      <c r="A2" s="368" t="s">
        <v>301</v>
      </c>
      <c r="B2" s="66"/>
      <c r="C2" s="330"/>
      <c r="D2" s="330"/>
      <c r="E2" s="330"/>
      <c r="F2" s="330"/>
      <c r="G2" s="330"/>
      <c r="H2" s="330"/>
      <c r="I2" s="331"/>
      <c r="J2" s="331"/>
      <c r="K2" s="331"/>
    </row>
    <row r="3" spans="1:11" ht="14.4" customHeight="1" thickBot="1" x14ac:dyDescent="0.35">
      <c r="A3" s="66"/>
      <c r="B3" s="66"/>
      <c r="C3" s="496"/>
      <c r="D3" s="497"/>
      <c r="E3" s="497"/>
      <c r="F3" s="497"/>
      <c r="G3" s="497"/>
      <c r="H3" s="257" t="s">
        <v>151</v>
      </c>
      <c r="I3" s="197">
        <f>IF(J3&lt;&gt;0,K3/J3,0)</f>
        <v>6.0075991808570812</v>
      </c>
      <c r="J3" s="197">
        <f>SUBTOTAL(9,J5:J1048576)</f>
        <v>771635.8</v>
      </c>
      <c r="K3" s="198">
        <f>SUBTOTAL(9,K5:K1048576)</f>
        <v>4635678.5999999987</v>
      </c>
    </row>
    <row r="4" spans="1:11" s="327" customFormat="1" ht="14.4" customHeight="1" thickBot="1" x14ac:dyDescent="0.35">
      <c r="A4" s="625" t="s">
        <v>4</v>
      </c>
      <c r="B4" s="626" t="s">
        <v>5</v>
      </c>
      <c r="C4" s="626" t="s">
        <v>0</v>
      </c>
      <c r="D4" s="626" t="s">
        <v>6</v>
      </c>
      <c r="E4" s="626" t="s">
        <v>7</v>
      </c>
      <c r="F4" s="626" t="s">
        <v>1</v>
      </c>
      <c r="G4" s="626" t="s">
        <v>83</v>
      </c>
      <c r="H4" s="627" t="s">
        <v>11</v>
      </c>
      <c r="I4" s="628" t="s">
        <v>176</v>
      </c>
      <c r="J4" s="628" t="s">
        <v>13</v>
      </c>
      <c r="K4" s="629" t="s">
        <v>192</v>
      </c>
    </row>
    <row r="5" spans="1:11" ht="14.4" customHeight="1" x14ac:dyDescent="0.3">
      <c r="A5" s="632" t="s">
        <v>543</v>
      </c>
      <c r="B5" s="633" t="s">
        <v>544</v>
      </c>
      <c r="C5" s="634" t="s">
        <v>548</v>
      </c>
      <c r="D5" s="635" t="s">
        <v>1224</v>
      </c>
      <c r="E5" s="634" t="s">
        <v>1871</v>
      </c>
      <c r="F5" s="635" t="s">
        <v>1872</v>
      </c>
      <c r="G5" s="634" t="s">
        <v>1343</v>
      </c>
      <c r="H5" s="634" t="s">
        <v>1344</v>
      </c>
      <c r="I5" s="636">
        <v>4.3049999999999997</v>
      </c>
      <c r="J5" s="636">
        <v>48</v>
      </c>
      <c r="K5" s="637">
        <v>206.64</v>
      </c>
    </row>
    <row r="6" spans="1:11" ht="14.4" customHeight="1" x14ac:dyDescent="0.3">
      <c r="A6" s="638" t="s">
        <v>543</v>
      </c>
      <c r="B6" s="639" t="s">
        <v>544</v>
      </c>
      <c r="C6" s="640" t="s">
        <v>548</v>
      </c>
      <c r="D6" s="641" t="s">
        <v>1224</v>
      </c>
      <c r="E6" s="640" t="s">
        <v>1871</v>
      </c>
      <c r="F6" s="641" t="s">
        <v>1872</v>
      </c>
      <c r="G6" s="640" t="s">
        <v>1345</v>
      </c>
      <c r="H6" s="640" t="s">
        <v>1346</v>
      </c>
      <c r="I6" s="642">
        <v>10.119999999999999</v>
      </c>
      <c r="J6" s="642">
        <v>1</v>
      </c>
      <c r="K6" s="643">
        <v>10.119999999999999</v>
      </c>
    </row>
    <row r="7" spans="1:11" ht="14.4" customHeight="1" x14ac:dyDescent="0.3">
      <c r="A7" s="638" t="s">
        <v>543</v>
      </c>
      <c r="B7" s="639" t="s">
        <v>544</v>
      </c>
      <c r="C7" s="640" t="s">
        <v>548</v>
      </c>
      <c r="D7" s="641" t="s">
        <v>1224</v>
      </c>
      <c r="E7" s="640" t="s">
        <v>1871</v>
      </c>
      <c r="F7" s="641" t="s">
        <v>1872</v>
      </c>
      <c r="G7" s="640" t="s">
        <v>1347</v>
      </c>
      <c r="H7" s="640" t="s">
        <v>1348</v>
      </c>
      <c r="I7" s="642">
        <v>0.42</v>
      </c>
      <c r="J7" s="642">
        <v>100</v>
      </c>
      <c r="K7" s="643">
        <v>42</v>
      </c>
    </row>
    <row r="8" spans="1:11" ht="14.4" customHeight="1" x14ac:dyDescent="0.3">
      <c r="A8" s="638" t="s">
        <v>543</v>
      </c>
      <c r="B8" s="639" t="s">
        <v>544</v>
      </c>
      <c r="C8" s="640" t="s">
        <v>548</v>
      </c>
      <c r="D8" s="641" t="s">
        <v>1224</v>
      </c>
      <c r="E8" s="640" t="s">
        <v>1871</v>
      </c>
      <c r="F8" s="641" t="s">
        <v>1872</v>
      </c>
      <c r="G8" s="640" t="s">
        <v>1349</v>
      </c>
      <c r="H8" s="640" t="s">
        <v>1350</v>
      </c>
      <c r="I8" s="642">
        <v>28.736000000000001</v>
      </c>
      <c r="J8" s="642">
        <v>38</v>
      </c>
      <c r="K8" s="643">
        <v>1091.9600000000003</v>
      </c>
    </row>
    <row r="9" spans="1:11" ht="14.4" customHeight="1" x14ac:dyDescent="0.3">
      <c r="A9" s="638" t="s">
        <v>543</v>
      </c>
      <c r="B9" s="639" t="s">
        <v>544</v>
      </c>
      <c r="C9" s="640" t="s">
        <v>548</v>
      </c>
      <c r="D9" s="641" t="s">
        <v>1224</v>
      </c>
      <c r="E9" s="640" t="s">
        <v>1871</v>
      </c>
      <c r="F9" s="641" t="s">
        <v>1872</v>
      </c>
      <c r="G9" s="640" t="s">
        <v>1351</v>
      </c>
      <c r="H9" s="640" t="s">
        <v>1352</v>
      </c>
      <c r="I9" s="642">
        <v>1.4219999999999999</v>
      </c>
      <c r="J9" s="642">
        <v>9000</v>
      </c>
      <c r="K9" s="643">
        <v>12814.869999999999</v>
      </c>
    </row>
    <row r="10" spans="1:11" ht="14.4" customHeight="1" x14ac:dyDescent="0.3">
      <c r="A10" s="638" t="s">
        <v>543</v>
      </c>
      <c r="B10" s="639" t="s">
        <v>544</v>
      </c>
      <c r="C10" s="640" t="s">
        <v>548</v>
      </c>
      <c r="D10" s="641" t="s">
        <v>1224</v>
      </c>
      <c r="E10" s="640" t="s">
        <v>1871</v>
      </c>
      <c r="F10" s="641" t="s">
        <v>1872</v>
      </c>
      <c r="G10" s="640" t="s">
        <v>1353</v>
      </c>
      <c r="H10" s="640" t="s">
        <v>1354</v>
      </c>
      <c r="I10" s="642">
        <v>0.14166666666666669</v>
      </c>
      <c r="J10" s="642">
        <v>5800</v>
      </c>
      <c r="K10" s="643">
        <v>822.67000000000007</v>
      </c>
    </row>
    <row r="11" spans="1:11" ht="14.4" customHeight="1" x14ac:dyDescent="0.3">
      <c r="A11" s="638" t="s">
        <v>543</v>
      </c>
      <c r="B11" s="639" t="s">
        <v>544</v>
      </c>
      <c r="C11" s="640" t="s">
        <v>548</v>
      </c>
      <c r="D11" s="641" t="s">
        <v>1224</v>
      </c>
      <c r="E11" s="640" t="s">
        <v>1871</v>
      </c>
      <c r="F11" s="641" t="s">
        <v>1872</v>
      </c>
      <c r="G11" s="640" t="s">
        <v>1355</v>
      </c>
      <c r="H11" s="640" t="s">
        <v>1356</v>
      </c>
      <c r="I11" s="642">
        <v>2.9525000000000006</v>
      </c>
      <c r="J11" s="642">
        <v>400</v>
      </c>
      <c r="K11" s="643">
        <v>1181</v>
      </c>
    </row>
    <row r="12" spans="1:11" ht="14.4" customHeight="1" x14ac:dyDescent="0.3">
      <c r="A12" s="638" t="s">
        <v>543</v>
      </c>
      <c r="B12" s="639" t="s">
        <v>544</v>
      </c>
      <c r="C12" s="640" t="s">
        <v>548</v>
      </c>
      <c r="D12" s="641" t="s">
        <v>1224</v>
      </c>
      <c r="E12" s="640" t="s">
        <v>1871</v>
      </c>
      <c r="F12" s="641" t="s">
        <v>1872</v>
      </c>
      <c r="G12" s="640" t="s">
        <v>1357</v>
      </c>
      <c r="H12" s="640" t="s">
        <v>1358</v>
      </c>
      <c r="I12" s="642">
        <v>27.88</v>
      </c>
      <c r="J12" s="642">
        <v>3</v>
      </c>
      <c r="K12" s="643">
        <v>83.64</v>
      </c>
    </row>
    <row r="13" spans="1:11" ht="14.4" customHeight="1" x14ac:dyDescent="0.3">
      <c r="A13" s="638" t="s">
        <v>543</v>
      </c>
      <c r="B13" s="639" t="s">
        <v>544</v>
      </c>
      <c r="C13" s="640" t="s">
        <v>548</v>
      </c>
      <c r="D13" s="641" t="s">
        <v>1224</v>
      </c>
      <c r="E13" s="640" t="s">
        <v>1871</v>
      </c>
      <c r="F13" s="641" t="s">
        <v>1872</v>
      </c>
      <c r="G13" s="640" t="s">
        <v>1359</v>
      </c>
      <c r="H13" s="640" t="s">
        <v>1360</v>
      </c>
      <c r="I13" s="642">
        <v>0.29999999999999993</v>
      </c>
      <c r="J13" s="642">
        <v>8250</v>
      </c>
      <c r="K13" s="643">
        <v>2499.92</v>
      </c>
    </row>
    <row r="14" spans="1:11" ht="14.4" customHeight="1" x14ac:dyDescent="0.3">
      <c r="A14" s="638" t="s">
        <v>543</v>
      </c>
      <c r="B14" s="639" t="s">
        <v>544</v>
      </c>
      <c r="C14" s="640" t="s">
        <v>548</v>
      </c>
      <c r="D14" s="641" t="s">
        <v>1224</v>
      </c>
      <c r="E14" s="640" t="s">
        <v>1871</v>
      </c>
      <c r="F14" s="641" t="s">
        <v>1872</v>
      </c>
      <c r="G14" s="640" t="s">
        <v>1361</v>
      </c>
      <c r="H14" s="640" t="s">
        <v>1362</v>
      </c>
      <c r="I14" s="642">
        <v>0.30785714285714288</v>
      </c>
      <c r="J14" s="642">
        <v>91200</v>
      </c>
      <c r="K14" s="643">
        <v>28002.660000000003</v>
      </c>
    </row>
    <row r="15" spans="1:11" ht="14.4" customHeight="1" x14ac:dyDescent="0.3">
      <c r="A15" s="638" t="s">
        <v>543</v>
      </c>
      <c r="B15" s="639" t="s">
        <v>544</v>
      </c>
      <c r="C15" s="640" t="s">
        <v>548</v>
      </c>
      <c r="D15" s="641" t="s">
        <v>1224</v>
      </c>
      <c r="E15" s="640" t="s">
        <v>1873</v>
      </c>
      <c r="F15" s="641" t="s">
        <v>1874</v>
      </c>
      <c r="G15" s="640" t="s">
        <v>1363</v>
      </c>
      <c r="H15" s="640" t="s">
        <v>1364</v>
      </c>
      <c r="I15" s="642">
        <v>16.399999999999999</v>
      </c>
      <c r="J15" s="642">
        <v>1600</v>
      </c>
      <c r="K15" s="643">
        <v>26235</v>
      </c>
    </row>
    <row r="16" spans="1:11" ht="14.4" customHeight="1" x14ac:dyDescent="0.3">
      <c r="A16" s="638" t="s">
        <v>543</v>
      </c>
      <c r="B16" s="639" t="s">
        <v>544</v>
      </c>
      <c r="C16" s="640" t="s">
        <v>548</v>
      </c>
      <c r="D16" s="641" t="s">
        <v>1224</v>
      </c>
      <c r="E16" s="640" t="s">
        <v>1873</v>
      </c>
      <c r="F16" s="641" t="s">
        <v>1874</v>
      </c>
      <c r="G16" s="640" t="s">
        <v>1365</v>
      </c>
      <c r="H16" s="640" t="s">
        <v>1366</v>
      </c>
      <c r="I16" s="642">
        <v>15.923333333333334</v>
      </c>
      <c r="J16" s="642">
        <v>150</v>
      </c>
      <c r="K16" s="643">
        <v>2388.5</v>
      </c>
    </row>
    <row r="17" spans="1:11" ht="14.4" customHeight="1" x14ac:dyDescent="0.3">
      <c r="A17" s="638" t="s">
        <v>543</v>
      </c>
      <c r="B17" s="639" t="s">
        <v>544</v>
      </c>
      <c r="C17" s="640" t="s">
        <v>548</v>
      </c>
      <c r="D17" s="641" t="s">
        <v>1224</v>
      </c>
      <c r="E17" s="640" t="s">
        <v>1873</v>
      </c>
      <c r="F17" s="641" t="s">
        <v>1874</v>
      </c>
      <c r="G17" s="640" t="s">
        <v>1367</v>
      </c>
      <c r="H17" s="640" t="s">
        <v>1368</v>
      </c>
      <c r="I17" s="642">
        <v>2.5272727272727273</v>
      </c>
      <c r="J17" s="642">
        <v>650</v>
      </c>
      <c r="K17" s="643">
        <v>1642.5</v>
      </c>
    </row>
    <row r="18" spans="1:11" ht="14.4" customHeight="1" x14ac:dyDescent="0.3">
      <c r="A18" s="638" t="s">
        <v>543</v>
      </c>
      <c r="B18" s="639" t="s">
        <v>544</v>
      </c>
      <c r="C18" s="640" t="s">
        <v>548</v>
      </c>
      <c r="D18" s="641" t="s">
        <v>1224</v>
      </c>
      <c r="E18" s="640" t="s">
        <v>1873</v>
      </c>
      <c r="F18" s="641" t="s">
        <v>1874</v>
      </c>
      <c r="G18" s="640" t="s">
        <v>1369</v>
      </c>
      <c r="H18" s="640" t="s">
        <v>1370</v>
      </c>
      <c r="I18" s="642">
        <v>30.25</v>
      </c>
      <c r="J18" s="642">
        <v>270</v>
      </c>
      <c r="K18" s="643">
        <v>8167.5</v>
      </c>
    </row>
    <row r="19" spans="1:11" ht="14.4" customHeight="1" x14ac:dyDescent="0.3">
      <c r="A19" s="638" t="s">
        <v>543</v>
      </c>
      <c r="B19" s="639" t="s">
        <v>544</v>
      </c>
      <c r="C19" s="640" t="s">
        <v>548</v>
      </c>
      <c r="D19" s="641" t="s">
        <v>1224</v>
      </c>
      <c r="E19" s="640" t="s">
        <v>1873</v>
      </c>
      <c r="F19" s="641" t="s">
        <v>1874</v>
      </c>
      <c r="G19" s="640" t="s">
        <v>1371</v>
      </c>
      <c r="H19" s="640" t="s">
        <v>1372</v>
      </c>
      <c r="I19" s="642">
        <v>2.7516666666666665</v>
      </c>
      <c r="J19" s="642">
        <v>700</v>
      </c>
      <c r="K19" s="643">
        <v>1926</v>
      </c>
    </row>
    <row r="20" spans="1:11" ht="14.4" customHeight="1" x14ac:dyDescent="0.3">
      <c r="A20" s="638" t="s">
        <v>543</v>
      </c>
      <c r="B20" s="639" t="s">
        <v>544</v>
      </c>
      <c r="C20" s="640" t="s">
        <v>548</v>
      </c>
      <c r="D20" s="641" t="s">
        <v>1224</v>
      </c>
      <c r="E20" s="640" t="s">
        <v>1873</v>
      </c>
      <c r="F20" s="641" t="s">
        <v>1874</v>
      </c>
      <c r="G20" s="640" t="s">
        <v>1373</v>
      </c>
      <c r="H20" s="640" t="s">
        <v>1374</v>
      </c>
      <c r="I20" s="642">
        <v>4.1850000000000005</v>
      </c>
      <c r="J20" s="642">
        <v>100</v>
      </c>
      <c r="K20" s="643">
        <v>418.5</v>
      </c>
    </row>
    <row r="21" spans="1:11" ht="14.4" customHeight="1" x14ac:dyDescent="0.3">
      <c r="A21" s="638" t="s">
        <v>543</v>
      </c>
      <c r="B21" s="639" t="s">
        <v>544</v>
      </c>
      <c r="C21" s="640" t="s">
        <v>548</v>
      </c>
      <c r="D21" s="641" t="s">
        <v>1224</v>
      </c>
      <c r="E21" s="640" t="s">
        <v>1873</v>
      </c>
      <c r="F21" s="641" t="s">
        <v>1874</v>
      </c>
      <c r="G21" s="640" t="s">
        <v>1375</v>
      </c>
      <c r="H21" s="640" t="s">
        <v>1376</v>
      </c>
      <c r="I21" s="642">
        <v>1.0900000000000001</v>
      </c>
      <c r="J21" s="642">
        <v>2700</v>
      </c>
      <c r="K21" s="643">
        <v>2943</v>
      </c>
    </row>
    <row r="22" spans="1:11" ht="14.4" customHeight="1" x14ac:dyDescent="0.3">
      <c r="A22" s="638" t="s">
        <v>543</v>
      </c>
      <c r="B22" s="639" t="s">
        <v>544</v>
      </c>
      <c r="C22" s="640" t="s">
        <v>548</v>
      </c>
      <c r="D22" s="641" t="s">
        <v>1224</v>
      </c>
      <c r="E22" s="640" t="s">
        <v>1873</v>
      </c>
      <c r="F22" s="641" t="s">
        <v>1874</v>
      </c>
      <c r="G22" s="640" t="s">
        <v>1377</v>
      </c>
      <c r="H22" s="640" t="s">
        <v>1378</v>
      </c>
      <c r="I22" s="642">
        <v>1.675</v>
      </c>
      <c r="J22" s="642">
        <v>10000</v>
      </c>
      <c r="K22" s="643">
        <v>16756</v>
      </c>
    </row>
    <row r="23" spans="1:11" ht="14.4" customHeight="1" x14ac:dyDescent="0.3">
      <c r="A23" s="638" t="s">
        <v>543</v>
      </c>
      <c r="B23" s="639" t="s">
        <v>544</v>
      </c>
      <c r="C23" s="640" t="s">
        <v>548</v>
      </c>
      <c r="D23" s="641" t="s">
        <v>1224</v>
      </c>
      <c r="E23" s="640" t="s">
        <v>1873</v>
      </c>
      <c r="F23" s="641" t="s">
        <v>1874</v>
      </c>
      <c r="G23" s="640" t="s">
        <v>1379</v>
      </c>
      <c r="H23" s="640" t="s">
        <v>1380</v>
      </c>
      <c r="I23" s="642">
        <v>0.47499999999999992</v>
      </c>
      <c r="J23" s="642">
        <v>1600</v>
      </c>
      <c r="K23" s="643">
        <v>760</v>
      </c>
    </row>
    <row r="24" spans="1:11" ht="14.4" customHeight="1" x14ac:dyDescent="0.3">
      <c r="A24" s="638" t="s">
        <v>543</v>
      </c>
      <c r="B24" s="639" t="s">
        <v>544</v>
      </c>
      <c r="C24" s="640" t="s">
        <v>548</v>
      </c>
      <c r="D24" s="641" t="s">
        <v>1224</v>
      </c>
      <c r="E24" s="640" t="s">
        <v>1873</v>
      </c>
      <c r="F24" s="641" t="s">
        <v>1874</v>
      </c>
      <c r="G24" s="640" t="s">
        <v>1381</v>
      </c>
      <c r="H24" s="640" t="s">
        <v>1382</v>
      </c>
      <c r="I24" s="642">
        <v>0.67100000000000004</v>
      </c>
      <c r="J24" s="642">
        <v>3000</v>
      </c>
      <c r="K24" s="643">
        <v>2013</v>
      </c>
    </row>
    <row r="25" spans="1:11" ht="14.4" customHeight="1" x14ac:dyDescent="0.3">
      <c r="A25" s="638" t="s">
        <v>543</v>
      </c>
      <c r="B25" s="639" t="s">
        <v>544</v>
      </c>
      <c r="C25" s="640" t="s">
        <v>548</v>
      </c>
      <c r="D25" s="641" t="s">
        <v>1224</v>
      </c>
      <c r="E25" s="640" t="s">
        <v>1873</v>
      </c>
      <c r="F25" s="641" t="s">
        <v>1874</v>
      </c>
      <c r="G25" s="640" t="s">
        <v>1383</v>
      </c>
      <c r="H25" s="640" t="s">
        <v>1384</v>
      </c>
      <c r="I25" s="642">
        <v>3.7390909090909101</v>
      </c>
      <c r="J25" s="642">
        <v>1000</v>
      </c>
      <c r="K25" s="643">
        <v>3739</v>
      </c>
    </row>
    <row r="26" spans="1:11" ht="14.4" customHeight="1" x14ac:dyDescent="0.3">
      <c r="A26" s="638" t="s">
        <v>543</v>
      </c>
      <c r="B26" s="639" t="s">
        <v>544</v>
      </c>
      <c r="C26" s="640" t="s">
        <v>548</v>
      </c>
      <c r="D26" s="641" t="s">
        <v>1224</v>
      </c>
      <c r="E26" s="640" t="s">
        <v>1873</v>
      </c>
      <c r="F26" s="641" t="s">
        <v>1874</v>
      </c>
      <c r="G26" s="640" t="s">
        <v>1385</v>
      </c>
      <c r="H26" s="640" t="s">
        <v>1386</v>
      </c>
      <c r="I26" s="642">
        <v>2.46</v>
      </c>
      <c r="J26" s="642">
        <v>200</v>
      </c>
      <c r="K26" s="643">
        <v>492</v>
      </c>
    </row>
    <row r="27" spans="1:11" ht="14.4" customHeight="1" x14ac:dyDescent="0.3">
      <c r="A27" s="638" t="s">
        <v>543</v>
      </c>
      <c r="B27" s="639" t="s">
        <v>544</v>
      </c>
      <c r="C27" s="640" t="s">
        <v>548</v>
      </c>
      <c r="D27" s="641" t="s">
        <v>1224</v>
      </c>
      <c r="E27" s="640" t="s">
        <v>1873</v>
      </c>
      <c r="F27" s="641" t="s">
        <v>1874</v>
      </c>
      <c r="G27" s="640" t="s">
        <v>1387</v>
      </c>
      <c r="H27" s="640" t="s">
        <v>1388</v>
      </c>
      <c r="I27" s="642">
        <v>32.67</v>
      </c>
      <c r="J27" s="642">
        <v>100</v>
      </c>
      <c r="K27" s="643">
        <v>3267</v>
      </c>
    </row>
    <row r="28" spans="1:11" ht="14.4" customHeight="1" x14ac:dyDescent="0.3">
      <c r="A28" s="638" t="s">
        <v>543</v>
      </c>
      <c r="B28" s="639" t="s">
        <v>544</v>
      </c>
      <c r="C28" s="640" t="s">
        <v>548</v>
      </c>
      <c r="D28" s="641" t="s">
        <v>1224</v>
      </c>
      <c r="E28" s="640" t="s">
        <v>1873</v>
      </c>
      <c r="F28" s="641" t="s">
        <v>1874</v>
      </c>
      <c r="G28" s="640" t="s">
        <v>1389</v>
      </c>
      <c r="H28" s="640" t="s">
        <v>1390</v>
      </c>
      <c r="I28" s="642">
        <v>25.987500000000001</v>
      </c>
      <c r="J28" s="642">
        <v>320</v>
      </c>
      <c r="K28" s="643">
        <v>8316.4</v>
      </c>
    </row>
    <row r="29" spans="1:11" ht="14.4" customHeight="1" x14ac:dyDescent="0.3">
      <c r="A29" s="638" t="s">
        <v>543</v>
      </c>
      <c r="B29" s="639" t="s">
        <v>544</v>
      </c>
      <c r="C29" s="640" t="s">
        <v>548</v>
      </c>
      <c r="D29" s="641" t="s">
        <v>1224</v>
      </c>
      <c r="E29" s="640" t="s">
        <v>1873</v>
      </c>
      <c r="F29" s="641" t="s">
        <v>1874</v>
      </c>
      <c r="G29" s="640" t="s">
        <v>1391</v>
      </c>
      <c r="H29" s="640" t="s">
        <v>1392</v>
      </c>
      <c r="I29" s="642">
        <v>9.1425000000000001</v>
      </c>
      <c r="J29" s="642">
        <v>800</v>
      </c>
      <c r="K29" s="643">
        <v>7312.75</v>
      </c>
    </row>
    <row r="30" spans="1:11" ht="14.4" customHeight="1" x14ac:dyDescent="0.3">
      <c r="A30" s="638" t="s">
        <v>543</v>
      </c>
      <c r="B30" s="639" t="s">
        <v>544</v>
      </c>
      <c r="C30" s="640" t="s">
        <v>548</v>
      </c>
      <c r="D30" s="641" t="s">
        <v>1224</v>
      </c>
      <c r="E30" s="640" t="s">
        <v>1873</v>
      </c>
      <c r="F30" s="641" t="s">
        <v>1874</v>
      </c>
      <c r="G30" s="640" t="s">
        <v>1393</v>
      </c>
      <c r="H30" s="640" t="s">
        <v>1394</v>
      </c>
      <c r="I30" s="642">
        <v>4.8</v>
      </c>
      <c r="J30" s="642">
        <v>400</v>
      </c>
      <c r="K30" s="643">
        <v>1919.73</v>
      </c>
    </row>
    <row r="31" spans="1:11" ht="14.4" customHeight="1" x14ac:dyDescent="0.3">
      <c r="A31" s="638" t="s">
        <v>543</v>
      </c>
      <c r="B31" s="639" t="s">
        <v>544</v>
      </c>
      <c r="C31" s="640" t="s">
        <v>548</v>
      </c>
      <c r="D31" s="641" t="s">
        <v>1224</v>
      </c>
      <c r="E31" s="640" t="s">
        <v>1873</v>
      </c>
      <c r="F31" s="641" t="s">
        <v>1874</v>
      </c>
      <c r="G31" s="640" t="s">
        <v>1395</v>
      </c>
      <c r="H31" s="640" t="s">
        <v>1396</v>
      </c>
      <c r="I31" s="642">
        <v>25.995000000000001</v>
      </c>
      <c r="J31" s="642">
        <v>80</v>
      </c>
      <c r="K31" s="643">
        <v>2079.8000000000002</v>
      </c>
    </row>
    <row r="32" spans="1:11" ht="14.4" customHeight="1" x14ac:dyDescent="0.3">
      <c r="A32" s="638" t="s">
        <v>543</v>
      </c>
      <c r="B32" s="639" t="s">
        <v>544</v>
      </c>
      <c r="C32" s="640" t="s">
        <v>548</v>
      </c>
      <c r="D32" s="641" t="s">
        <v>1224</v>
      </c>
      <c r="E32" s="640" t="s">
        <v>1873</v>
      </c>
      <c r="F32" s="641" t="s">
        <v>1874</v>
      </c>
      <c r="G32" s="640" t="s">
        <v>1397</v>
      </c>
      <c r="H32" s="640" t="s">
        <v>1398</v>
      </c>
      <c r="I32" s="642">
        <v>1.8</v>
      </c>
      <c r="J32" s="642">
        <v>50</v>
      </c>
      <c r="K32" s="643">
        <v>90</v>
      </c>
    </row>
    <row r="33" spans="1:11" ht="14.4" customHeight="1" x14ac:dyDescent="0.3">
      <c r="A33" s="638" t="s">
        <v>543</v>
      </c>
      <c r="B33" s="639" t="s">
        <v>544</v>
      </c>
      <c r="C33" s="640" t="s">
        <v>548</v>
      </c>
      <c r="D33" s="641" t="s">
        <v>1224</v>
      </c>
      <c r="E33" s="640" t="s">
        <v>1873</v>
      </c>
      <c r="F33" s="641" t="s">
        <v>1874</v>
      </c>
      <c r="G33" s="640" t="s">
        <v>1399</v>
      </c>
      <c r="H33" s="640" t="s">
        <v>1400</v>
      </c>
      <c r="I33" s="642">
        <v>2.85</v>
      </c>
      <c r="J33" s="642">
        <v>100</v>
      </c>
      <c r="K33" s="643">
        <v>285</v>
      </c>
    </row>
    <row r="34" spans="1:11" ht="14.4" customHeight="1" x14ac:dyDescent="0.3">
      <c r="A34" s="638" t="s">
        <v>543</v>
      </c>
      <c r="B34" s="639" t="s">
        <v>544</v>
      </c>
      <c r="C34" s="640" t="s">
        <v>548</v>
      </c>
      <c r="D34" s="641" t="s">
        <v>1224</v>
      </c>
      <c r="E34" s="640" t="s">
        <v>1873</v>
      </c>
      <c r="F34" s="641" t="s">
        <v>1874</v>
      </c>
      <c r="G34" s="640" t="s">
        <v>1401</v>
      </c>
      <c r="H34" s="640" t="s">
        <v>1402</v>
      </c>
      <c r="I34" s="642">
        <v>58.788333333333334</v>
      </c>
      <c r="J34" s="642">
        <v>72</v>
      </c>
      <c r="K34" s="643">
        <v>4232.6499999999996</v>
      </c>
    </row>
    <row r="35" spans="1:11" ht="14.4" customHeight="1" x14ac:dyDescent="0.3">
      <c r="A35" s="638" t="s">
        <v>543</v>
      </c>
      <c r="B35" s="639" t="s">
        <v>544</v>
      </c>
      <c r="C35" s="640" t="s">
        <v>548</v>
      </c>
      <c r="D35" s="641" t="s">
        <v>1224</v>
      </c>
      <c r="E35" s="640" t="s">
        <v>1873</v>
      </c>
      <c r="F35" s="641" t="s">
        <v>1874</v>
      </c>
      <c r="G35" s="640" t="s">
        <v>1403</v>
      </c>
      <c r="H35" s="640" t="s">
        <v>1404</v>
      </c>
      <c r="I35" s="642">
        <v>2.0550000000000002</v>
      </c>
      <c r="J35" s="642">
        <v>60</v>
      </c>
      <c r="K35" s="643">
        <v>123.30000000000001</v>
      </c>
    </row>
    <row r="36" spans="1:11" ht="14.4" customHeight="1" x14ac:dyDescent="0.3">
      <c r="A36" s="638" t="s">
        <v>543</v>
      </c>
      <c r="B36" s="639" t="s">
        <v>544</v>
      </c>
      <c r="C36" s="640" t="s">
        <v>548</v>
      </c>
      <c r="D36" s="641" t="s">
        <v>1224</v>
      </c>
      <c r="E36" s="640" t="s">
        <v>1873</v>
      </c>
      <c r="F36" s="641" t="s">
        <v>1874</v>
      </c>
      <c r="G36" s="640" t="s">
        <v>1405</v>
      </c>
      <c r="H36" s="640" t="s">
        <v>1406</v>
      </c>
      <c r="I36" s="642">
        <v>2.46</v>
      </c>
      <c r="J36" s="642">
        <v>400</v>
      </c>
      <c r="K36" s="643">
        <v>984.4</v>
      </c>
    </row>
    <row r="37" spans="1:11" ht="14.4" customHeight="1" x14ac:dyDescent="0.3">
      <c r="A37" s="638" t="s">
        <v>543</v>
      </c>
      <c r="B37" s="639" t="s">
        <v>544</v>
      </c>
      <c r="C37" s="640" t="s">
        <v>548</v>
      </c>
      <c r="D37" s="641" t="s">
        <v>1224</v>
      </c>
      <c r="E37" s="640" t="s">
        <v>1873</v>
      </c>
      <c r="F37" s="641" t="s">
        <v>1874</v>
      </c>
      <c r="G37" s="640" t="s">
        <v>1407</v>
      </c>
      <c r="H37" s="640" t="s">
        <v>1408</v>
      </c>
      <c r="I37" s="642">
        <v>4.3566666666666665</v>
      </c>
      <c r="J37" s="642">
        <v>550</v>
      </c>
      <c r="K37" s="643">
        <v>2393.4499999999998</v>
      </c>
    </row>
    <row r="38" spans="1:11" ht="14.4" customHeight="1" x14ac:dyDescent="0.3">
      <c r="A38" s="638" t="s">
        <v>543</v>
      </c>
      <c r="B38" s="639" t="s">
        <v>544</v>
      </c>
      <c r="C38" s="640" t="s">
        <v>548</v>
      </c>
      <c r="D38" s="641" t="s">
        <v>1224</v>
      </c>
      <c r="E38" s="640" t="s">
        <v>1873</v>
      </c>
      <c r="F38" s="641" t="s">
        <v>1874</v>
      </c>
      <c r="G38" s="640" t="s">
        <v>1409</v>
      </c>
      <c r="H38" s="640" t="s">
        <v>1410</v>
      </c>
      <c r="I38" s="642">
        <v>12.021666666666667</v>
      </c>
      <c r="J38" s="642">
        <v>760</v>
      </c>
      <c r="K38" s="643">
        <v>9139.6</v>
      </c>
    </row>
    <row r="39" spans="1:11" ht="14.4" customHeight="1" x14ac:dyDescent="0.3">
      <c r="A39" s="638" t="s">
        <v>543</v>
      </c>
      <c r="B39" s="639" t="s">
        <v>544</v>
      </c>
      <c r="C39" s="640" t="s">
        <v>548</v>
      </c>
      <c r="D39" s="641" t="s">
        <v>1224</v>
      </c>
      <c r="E39" s="640" t="s">
        <v>1873</v>
      </c>
      <c r="F39" s="641" t="s">
        <v>1874</v>
      </c>
      <c r="G39" s="640" t="s">
        <v>1411</v>
      </c>
      <c r="H39" s="640" t="s">
        <v>1412</v>
      </c>
      <c r="I39" s="642">
        <v>2.5099999999999998</v>
      </c>
      <c r="J39" s="642">
        <v>150</v>
      </c>
      <c r="K39" s="643">
        <v>376.5</v>
      </c>
    </row>
    <row r="40" spans="1:11" ht="14.4" customHeight="1" x14ac:dyDescent="0.3">
      <c r="A40" s="638" t="s">
        <v>543</v>
      </c>
      <c r="B40" s="639" t="s">
        <v>544</v>
      </c>
      <c r="C40" s="640" t="s">
        <v>548</v>
      </c>
      <c r="D40" s="641" t="s">
        <v>1224</v>
      </c>
      <c r="E40" s="640" t="s">
        <v>1873</v>
      </c>
      <c r="F40" s="641" t="s">
        <v>1874</v>
      </c>
      <c r="G40" s="640" t="s">
        <v>1413</v>
      </c>
      <c r="H40" s="640" t="s">
        <v>1414</v>
      </c>
      <c r="I40" s="642">
        <v>21.23</v>
      </c>
      <c r="J40" s="642">
        <v>100</v>
      </c>
      <c r="K40" s="643">
        <v>2123</v>
      </c>
    </row>
    <row r="41" spans="1:11" ht="14.4" customHeight="1" x14ac:dyDescent="0.3">
      <c r="A41" s="638" t="s">
        <v>543</v>
      </c>
      <c r="B41" s="639" t="s">
        <v>544</v>
      </c>
      <c r="C41" s="640" t="s">
        <v>548</v>
      </c>
      <c r="D41" s="641" t="s">
        <v>1224</v>
      </c>
      <c r="E41" s="640" t="s">
        <v>1873</v>
      </c>
      <c r="F41" s="641" t="s">
        <v>1874</v>
      </c>
      <c r="G41" s="640" t="s">
        <v>1415</v>
      </c>
      <c r="H41" s="640" t="s">
        <v>1416</v>
      </c>
      <c r="I41" s="642">
        <v>2.88</v>
      </c>
      <c r="J41" s="642">
        <v>200</v>
      </c>
      <c r="K41" s="643">
        <v>575.94000000000005</v>
      </c>
    </row>
    <row r="42" spans="1:11" ht="14.4" customHeight="1" x14ac:dyDescent="0.3">
      <c r="A42" s="638" t="s">
        <v>543</v>
      </c>
      <c r="B42" s="639" t="s">
        <v>544</v>
      </c>
      <c r="C42" s="640" t="s">
        <v>548</v>
      </c>
      <c r="D42" s="641" t="s">
        <v>1224</v>
      </c>
      <c r="E42" s="640" t="s">
        <v>1873</v>
      </c>
      <c r="F42" s="641" t="s">
        <v>1874</v>
      </c>
      <c r="G42" s="640" t="s">
        <v>1417</v>
      </c>
      <c r="H42" s="640" t="s">
        <v>1418</v>
      </c>
      <c r="I42" s="642">
        <v>0.47666666666666668</v>
      </c>
      <c r="J42" s="642">
        <v>900</v>
      </c>
      <c r="K42" s="643">
        <v>429</v>
      </c>
    </row>
    <row r="43" spans="1:11" ht="14.4" customHeight="1" x14ac:dyDescent="0.3">
      <c r="A43" s="638" t="s">
        <v>543</v>
      </c>
      <c r="B43" s="639" t="s">
        <v>544</v>
      </c>
      <c r="C43" s="640" t="s">
        <v>548</v>
      </c>
      <c r="D43" s="641" t="s">
        <v>1224</v>
      </c>
      <c r="E43" s="640" t="s">
        <v>1873</v>
      </c>
      <c r="F43" s="641" t="s">
        <v>1874</v>
      </c>
      <c r="G43" s="640" t="s">
        <v>1419</v>
      </c>
      <c r="H43" s="640" t="s">
        <v>1420</v>
      </c>
      <c r="I43" s="642">
        <v>9.2000000000000011</v>
      </c>
      <c r="J43" s="642">
        <v>1200</v>
      </c>
      <c r="K43" s="643">
        <v>11040</v>
      </c>
    </row>
    <row r="44" spans="1:11" ht="14.4" customHeight="1" x14ac:dyDescent="0.3">
      <c r="A44" s="638" t="s">
        <v>543</v>
      </c>
      <c r="B44" s="639" t="s">
        <v>544</v>
      </c>
      <c r="C44" s="640" t="s">
        <v>548</v>
      </c>
      <c r="D44" s="641" t="s">
        <v>1224</v>
      </c>
      <c r="E44" s="640" t="s">
        <v>1873</v>
      </c>
      <c r="F44" s="641" t="s">
        <v>1874</v>
      </c>
      <c r="G44" s="640" t="s">
        <v>1419</v>
      </c>
      <c r="H44" s="640" t="s">
        <v>1421</v>
      </c>
      <c r="I44" s="642">
        <v>9.2000000000000011</v>
      </c>
      <c r="J44" s="642">
        <v>2000</v>
      </c>
      <c r="K44" s="643">
        <v>18400</v>
      </c>
    </row>
    <row r="45" spans="1:11" ht="14.4" customHeight="1" x14ac:dyDescent="0.3">
      <c r="A45" s="638" t="s">
        <v>543</v>
      </c>
      <c r="B45" s="639" t="s">
        <v>544</v>
      </c>
      <c r="C45" s="640" t="s">
        <v>548</v>
      </c>
      <c r="D45" s="641" t="s">
        <v>1224</v>
      </c>
      <c r="E45" s="640" t="s">
        <v>1873</v>
      </c>
      <c r="F45" s="641" t="s">
        <v>1874</v>
      </c>
      <c r="G45" s="640" t="s">
        <v>1422</v>
      </c>
      <c r="H45" s="640" t="s">
        <v>1423</v>
      </c>
      <c r="I45" s="642">
        <v>172.5</v>
      </c>
      <c r="J45" s="642">
        <v>4</v>
      </c>
      <c r="K45" s="643">
        <v>690</v>
      </c>
    </row>
    <row r="46" spans="1:11" ht="14.4" customHeight="1" x14ac:dyDescent="0.3">
      <c r="A46" s="638" t="s">
        <v>543</v>
      </c>
      <c r="B46" s="639" t="s">
        <v>544</v>
      </c>
      <c r="C46" s="640" t="s">
        <v>548</v>
      </c>
      <c r="D46" s="641" t="s">
        <v>1224</v>
      </c>
      <c r="E46" s="640" t="s">
        <v>1873</v>
      </c>
      <c r="F46" s="641" t="s">
        <v>1874</v>
      </c>
      <c r="G46" s="640" t="s">
        <v>1424</v>
      </c>
      <c r="H46" s="640" t="s">
        <v>1425</v>
      </c>
      <c r="I46" s="642">
        <v>494.02833333333336</v>
      </c>
      <c r="J46" s="642">
        <v>120</v>
      </c>
      <c r="K46" s="643">
        <v>59283.299999999996</v>
      </c>
    </row>
    <row r="47" spans="1:11" ht="14.4" customHeight="1" x14ac:dyDescent="0.3">
      <c r="A47" s="638" t="s">
        <v>543</v>
      </c>
      <c r="B47" s="639" t="s">
        <v>544</v>
      </c>
      <c r="C47" s="640" t="s">
        <v>548</v>
      </c>
      <c r="D47" s="641" t="s">
        <v>1224</v>
      </c>
      <c r="E47" s="640" t="s">
        <v>1873</v>
      </c>
      <c r="F47" s="641" t="s">
        <v>1874</v>
      </c>
      <c r="G47" s="640" t="s">
        <v>1426</v>
      </c>
      <c r="H47" s="640" t="s">
        <v>1427</v>
      </c>
      <c r="I47" s="642">
        <v>107.86500000000001</v>
      </c>
      <c r="J47" s="642">
        <v>21</v>
      </c>
      <c r="K47" s="643">
        <v>2260</v>
      </c>
    </row>
    <row r="48" spans="1:11" ht="14.4" customHeight="1" x14ac:dyDescent="0.3">
      <c r="A48" s="638" t="s">
        <v>543</v>
      </c>
      <c r="B48" s="639" t="s">
        <v>544</v>
      </c>
      <c r="C48" s="640" t="s">
        <v>548</v>
      </c>
      <c r="D48" s="641" t="s">
        <v>1224</v>
      </c>
      <c r="E48" s="640" t="s">
        <v>1873</v>
      </c>
      <c r="F48" s="641" t="s">
        <v>1874</v>
      </c>
      <c r="G48" s="640" t="s">
        <v>1426</v>
      </c>
      <c r="H48" s="640" t="s">
        <v>1428</v>
      </c>
      <c r="I48" s="642">
        <v>102.72499999999999</v>
      </c>
      <c r="J48" s="642">
        <v>21</v>
      </c>
      <c r="K48" s="643">
        <v>2157.2399999999998</v>
      </c>
    </row>
    <row r="49" spans="1:11" ht="14.4" customHeight="1" x14ac:dyDescent="0.3">
      <c r="A49" s="638" t="s">
        <v>543</v>
      </c>
      <c r="B49" s="639" t="s">
        <v>544</v>
      </c>
      <c r="C49" s="640" t="s">
        <v>548</v>
      </c>
      <c r="D49" s="641" t="s">
        <v>1224</v>
      </c>
      <c r="E49" s="640" t="s">
        <v>1873</v>
      </c>
      <c r="F49" s="641" t="s">
        <v>1874</v>
      </c>
      <c r="G49" s="640" t="s">
        <v>1429</v>
      </c>
      <c r="H49" s="640" t="s">
        <v>1430</v>
      </c>
      <c r="I49" s="642">
        <v>27.83</v>
      </c>
      <c r="J49" s="642">
        <v>20</v>
      </c>
      <c r="K49" s="643">
        <v>556.6</v>
      </c>
    </row>
    <row r="50" spans="1:11" ht="14.4" customHeight="1" x14ac:dyDescent="0.3">
      <c r="A50" s="638" t="s">
        <v>543</v>
      </c>
      <c r="B50" s="639" t="s">
        <v>544</v>
      </c>
      <c r="C50" s="640" t="s">
        <v>548</v>
      </c>
      <c r="D50" s="641" t="s">
        <v>1224</v>
      </c>
      <c r="E50" s="640" t="s">
        <v>1873</v>
      </c>
      <c r="F50" s="641" t="s">
        <v>1874</v>
      </c>
      <c r="G50" s="640" t="s">
        <v>1431</v>
      </c>
      <c r="H50" s="640" t="s">
        <v>1432</v>
      </c>
      <c r="I50" s="642">
        <v>350.89999999999992</v>
      </c>
      <c r="J50" s="642">
        <v>6</v>
      </c>
      <c r="K50" s="643">
        <v>2105.3999999999996</v>
      </c>
    </row>
    <row r="51" spans="1:11" ht="14.4" customHeight="1" x14ac:dyDescent="0.3">
      <c r="A51" s="638" t="s">
        <v>543</v>
      </c>
      <c r="B51" s="639" t="s">
        <v>544</v>
      </c>
      <c r="C51" s="640" t="s">
        <v>548</v>
      </c>
      <c r="D51" s="641" t="s">
        <v>1224</v>
      </c>
      <c r="E51" s="640" t="s">
        <v>1873</v>
      </c>
      <c r="F51" s="641" t="s">
        <v>1874</v>
      </c>
      <c r="G51" s="640" t="s">
        <v>1433</v>
      </c>
      <c r="H51" s="640" t="s">
        <v>1434</v>
      </c>
      <c r="I51" s="642">
        <v>14.31</v>
      </c>
      <c r="J51" s="642">
        <v>30</v>
      </c>
      <c r="K51" s="643">
        <v>429.26</v>
      </c>
    </row>
    <row r="52" spans="1:11" ht="14.4" customHeight="1" x14ac:dyDescent="0.3">
      <c r="A52" s="638" t="s">
        <v>543</v>
      </c>
      <c r="B52" s="639" t="s">
        <v>544</v>
      </c>
      <c r="C52" s="640" t="s">
        <v>548</v>
      </c>
      <c r="D52" s="641" t="s">
        <v>1224</v>
      </c>
      <c r="E52" s="640" t="s">
        <v>1873</v>
      </c>
      <c r="F52" s="641" t="s">
        <v>1874</v>
      </c>
      <c r="G52" s="640" t="s">
        <v>1435</v>
      </c>
      <c r="H52" s="640" t="s">
        <v>1436</v>
      </c>
      <c r="I52" s="642">
        <v>209</v>
      </c>
      <c r="J52" s="642">
        <v>10</v>
      </c>
      <c r="K52" s="643">
        <v>2090.02</v>
      </c>
    </row>
    <row r="53" spans="1:11" ht="14.4" customHeight="1" x14ac:dyDescent="0.3">
      <c r="A53" s="638" t="s">
        <v>543</v>
      </c>
      <c r="B53" s="639" t="s">
        <v>544</v>
      </c>
      <c r="C53" s="640" t="s">
        <v>548</v>
      </c>
      <c r="D53" s="641" t="s">
        <v>1224</v>
      </c>
      <c r="E53" s="640" t="s">
        <v>1873</v>
      </c>
      <c r="F53" s="641" t="s">
        <v>1874</v>
      </c>
      <c r="G53" s="640" t="s">
        <v>1437</v>
      </c>
      <c r="H53" s="640" t="s">
        <v>1438</v>
      </c>
      <c r="I53" s="642">
        <v>27.83</v>
      </c>
      <c r="J53" s="642">
        <v>10</v>
      </c>
      <c r="K53" s="643">
        <v>278.3</v>
      </c>
    </row>
    <row r="54" spans="1:11" ht="14.4" customHeight="1" x14ac:dyDescent="0.3">
      <c r="A54" s="638" t="s">
        <v>543</v>
      </c>
      <c r="B54" s="639" t="s">
        <v>544</v>
      </c>
      <c r="C54" s="640" t="s">
        <v>548</v>
      </c>
      <c r="D54" s="641" t="s">
        <v>1224</v>
      </c>
      <c r="E54" s="640" t="s">
        <v>1873</v>
      </c>
      <c r="F54" s="641" t="s">
        <v>1874</v>
      </c>
      <c r="G54" s="640" t="s">
        <v>1439</v>
      </c>
      <c r="H54" s="640" t="s">
        <v>1440</v>
      </c>
      <c r="I54" s="642">
        <v>136.54</v>
      </c>
      <c r="J54" s="642">
        <v>2</v>
      </c>
      <c r="K54" s="643">
        <v>273.08</v>
      </c>
    </row>
    <row r="55" spans="1:11" ht="14.4" customHeight="1" x14ac:dyDescent="0.3">
      <c r="A55" s="638" t="s">
        <v>543</v>
      </c>
      <c r="B55" s="639" t="s">
        <v>544</v>
      </c>
      <c r="C55" s="640" t="s">
        <v>548</v>
      </c>
      <c r="D55" s="641" t="s">
        <v>1224</v>
      </c>
      <c r="E55" s="640" t="s">
        <v>1873</v>
      </c>
      <c r="F55" s="641" t="s">
        <v>1874</v>
      </c>
      <c r="G55" s="640" t="s">
        <v>1441</v>
      </c>
      <c r="H55" s="640" t="s">
        <v>1442</v>
      </c>
      <c r="I55" s="642">
        <v>141.9</v>
      </c>
      <c r="J55" s="642">
        <v>160</v>
      </c>
      <c r="K55" s="643">
        <v>22703.439999999999</v>
      </c>
    </row>
    <row r="56" spans="1:11" ht="14.4" customHeight="1" x14ac:dyDescent="0.3">
      <c r="A56" s="638" t="s">
        <v>543</v>
      </c>
      <c r="B56" s="639" t="s">
        <v>544</v>
      </c>
      <c r="C56" s="640" t="s">
        <v>548</v>
      </c>
      <c r="D56" s="641" t="s">
        <v>1224</v>
      </c>
      <c r="E56" s="640" t="s">
        <v>1873</v>
      </c>
      <c r="F56" s="641" t="s">
        <v>1874</v>
      </c>
      <c r="G56" s="640" t="s">
        <v>1443</v>
      </c>
      <c r="H56" s="640" t="s">
        <v>1444</v>
      </c>
      <c r="I56" s="642">
        <v>1.0533333333333335</v>
      </c>
      <c r="J56" s="642">
        <v>1800</v>
      </c>
      <c r="K56" s="643">
        <v>1895</v>
      </c>
    </row>
    <row r="57" spans="1:11" ht="14.4" customHeight="1" x14ac:dyDescent="0.3">
      <c r="A57" s="638" t="s">
        <v>543</v>
      </c>
      <c r="B57" s="639" t="s">
        <v>544</v>
      </c>
      <c r="C57" s="640" t="s">
        <v>548</v>
      </c>
      <c r="D57" s="641" t="s">
        <v>1224</v>
      </c>
      <c r="E57" s="640" t="s">
        <v>1873</v>
      </c>
      <c r="F57" s="641" t="s">
        <v>1874</v>
      </c>
      <c r="G57" s="640" t="s">
        <v>1445</v>
      </c>
      <c r="H57" s="640" t="s">
        <v>1446</v>
      </c>
      <c r="I57" s="642">
        <v>27.83</v>
      </c>
      <c r="J57" s="642">
        <v>20</v>
      </c>
      <c r="K57" s="643">
        <v>556.6</v>
      </c>
    </row>
    <row r="58" spans="1:11" ht="14.4" customHeight="1" x14ac:dyDescent="0.3">
      <c r="A58" s="638" t="s">
        <v>543</v>
      </c>
      <c r="B58" s="639" t="s">
        <v>544</v>
      </c>
      <c r="C58" s="640" t="s">
        <v>548</v>
      </c>
      <c r="D58" s="641" t="s">
        <v>1224</v>
      </c>
      <c r="E58" s="640" t="s">
        <v>1873</v>
      </c>
      <c r="F58" s="641" t="s">
        <v>1874</v>
      </c>
      <c r="G58" s="640" t="s">
        <v>1447</v>
      </c>
      <c r="H58" s="640" t="s">
        <v>1448</v>
      </c>
      <c r="I58" s="642">
        <v>0.27</v>
      </c>
      <c r="J58" s="642">
        <v>500</v>
      </c>
      <c r="K58" s="643">
        <v>133.1</v>
      </c>
    </row>
    <row r="59" spans="1:11" ht="14.4" customHeight="1" x14ac:dyDescent="0.3">
      <c r="A59" s="638" t="s">
        <v>543</v>
      </c>
      <c r="B59" s="639" t="s">
        <v>544</v>
      </c>
      <c r="C59" s="640" t="s">
        <v>548</v>
      </c>
      <c r="D59" s="641" t="s">
        <v>1224</v>
      </c>
      <c r="E59" s="640" t="s">
        <v>1873</v>
      </c>
      <c r="F59" s="641" t="s">
        <v>1874</v>
      </c>
      <c r="G59" s="640" t="s">
        <v>1449</v>
      </c>
      <c r="H59" s="640" t="s">
        <v>1450</v>
      </c>
      <c r="I59" s="642">
        <v>27.83</v>
      </c>
      <c r="J59" s="642">
        <v>10</v>
      </c>
      <c r="K59" s="643">
        <v>278.3</v>
      </c>
    </row>
    <row r="60" spans="1:11" ht="14.4" customHeight="1" x14ac:dyDescent="0.3">
      <c r="A60" s="638" t="s">
        <v>543</v>
      </c>
      <c r="B60" s="639" t="s">
        <v>544</v>
      </c>
      <c r="C60" s="640" t="s">
        <v>548</v>
      </c>
      <c r="D60" s="641" t="s">
        <v>1224</v>
      </c>
      <c r="E60" s="640" t="s">
        <v>1873</v>
      </c>
      <c r="F60" s="641" t="s">
        <v>1874</v>
      </c>
      <c r="G60" s="640" t="s">
        <v>1451</v>
      </c>
      <c r="H60" s="640" t="s">
        <v>1452</v>
      </c>
      <c r="I60" s="642">
        <v>2.0524999999999998</v>
      </c>
      <c r="J60" s="642">
        <v>1500</v>
      </c>
      <c r="K60" s="643">
        <v>3057.21</v>
      </c>
    </row>
    <row r="61" spans="1:11" ht="14.4" customHeight="1" x14ac:dyDescent="0.3">
      <c r="A61" s="638" t="s">
        <v>543</v>
      </c>
      <c r="B61" s="639" t="s">
        <v>544</v>
      </c>
      <c r="C61" s="640" t="s">
        <v>548</v>
      </c>
      <c r="D61" s="641" t="s">
        <v>1224</v>
      </c>
      <c r="E61" s="640" t="s">
        <v>1873</v>
      </c>
      <c r="F61" s="641" t="s">
        <v>1874</v>
      </c>
      <c r="G61" s="640" t="s">
        <v>1453</v>
      </c>
      <c r="H61" s="640" t="s">
        <v>1454</v>
      </c>
      <c r="I61" s="642">
        <v>2.0227272727272729</v>
      </c>
      <c r="J61" s="642">
        <v>5200</v>
      </c>
      <c r="K61" s="643">
        <v>10343.17</v>
      </c>
    </row>
    <row r="62" spans="1:11" ht="14.4" customHeight="1" x14ac:dyDescent="0.3">
      <c r="A62" s="638" t="s">
        <v>543</v>
      </c>
      <c r="B62" s="639" t="s">
        <v>544</v>
      </c>
      <c r="C62" s="640" t="s">
        <v>548</v>
      </c>
      <c r="D62" s="641" t="s">
        <v>1224</v>
      </c>
      <c r="E62" s="640" t="s">
        <v>1873</v>
      </c>
      <c r="F62" s="641" t="s">
        <v>1874</v>
      </c>
      <c r="G62" s="640" t="s">
        <v>1455</v>
      </c>
      <c r="H62" s="640" t="s">
        <v>1456</v>
      </c>
      <c r="I62" s="642">
        <v>318</v>
      </c>
      <c r="J62" s="642">
        <v>15</v>
      </c>
      <c r="K62" s="643">
        <v>4770</v>
      </c>
    </row>
    <row r="63" spans="1:11" ht="14.4" customHeight="1" x14ac:dyDescent="0.3">
      <c r="A63" s="638" t="s">
        <v>543</v>
      </c>
      <c r="B63" s="639" t="s">
        <v>544</v>
      </c>
      <c r="C63" s="640" t="s">
        <v>548</v>
      </c>
      <c r="D63" s="641" t="s">
        <v>1224</v>
      </c>
      <c r="E63" s="640" t="s">
        <v>1873</v>
      </c>
      <c r="F63" s="641" t="s">
        <v>1874</v>
      </c>
      <c r="G63" s="640" t="s">
        <v>1457</v>
      </c>
      <c r="H63" s="640" t="s">
        <v>1458</v>
      </c>
      <c r="I63" s="642">
        <v>1.28</v>
      </c>
      <c r="J63" s="642">
        <v>500</v>
      </c>
      <c r="K63" s="643">
        <v>641.29999999999995</v>
      </c>
    </row>
    <row r="64" spans="1:11" ht="14.4" customHeight="1" x14ac:dyDescent="0.3">
      <c r="A64" s="638" t="s">
        <v>543</v>
      </c>
      <c r="B64" s="639" t="s">
        <v>544</v>
      </c>
      <c r="C64" s="640" t="s">
        <v>548</v>
      </c>
      <c r="D64" s="641" t="s">
        <v>1224</v>
      </c>
      <c r="E64" s="640" t="s">
        <v>1873</v>
      </c>
      <c r="F64" s="641" t="s">
        <v>1874</v>
      </c>
      <c r="G64" s="640" t="s">
        <v>1459</v>
      </c>
      <c r="H64" s="640" t="s">
        <v>1460</v>
      </c>
      <c r="I64" s="642">
        <v>99.22</v>
      </c>
      <c r="J64" s="642">
        <v>10</v>
      </c>
      <c r="K64" s="643">
        <v>992.2</v>
      </c>
    </row>
    <row r="65" spans="1:11" ht="14.4" customHeight="1" x14ac:dyDescent="0.3">
      <c r="A65" s="638" t="s">
        <v>543</v>
      </c>
      <c r="B65" s="639" t="s">
        <v>544</v>
      </c>
      <c r="C65" s="640" t="s">
        <v>548</v>
      </c>
      <c r="D65" s="641" t="s">
        <v>1224</v>
      </c>
      <c r="E65" s="640" t="s">
        <v>1873</v>
      </c>
      <c r="F65" s="641" t="s">
        <v>1874</v>
      </c>
      <c r="G65" s="640" t="s">
        <v>1461</v>
      </c>
      <c r="H65" s="640" t="s">
        <v>1462</v>
      </c>
      <c r="I65" s="642">
        <v>295.87</v>
      </c>
      <c r="J65" s="642">
        <v>25</v>
      </c>
      <c r="K65" s="643">
        <v>7396.66</v>
      </c>
    </row>
    <row r="66" spans="1:11" ht="14.4" customHeight="1" x14ac:dyDescent="0.3">
      <c r="A66" s="638" t="s">
        <v>543</v>
      </c>
      <c r="B66" s="639" t="s">
        <v>544</v>
      </c>
      <c r="C66" s="640" t="s">
        <v>548</v>
      </c>
      <c r="D66" s="641" t="s">
        <v>1224</v>
      </c>
      <c r="E66" s="640" t="s">
        <v>1873</v>
      </c>
      <c r="F66" s="641" t="s">
        <v>1874</v>
      </c>
      <c r="G66" s="640" t="s">
        <v>1463</v>
      </c>
      <c r="H66" s="640" t="s">
        <v>1464</v>
      </c>
      <c r="I66" s="642">
        <v>2.0699999999999998</v>
      </c>
      <c r="J66" s="642">
        <v>210</v>
      </c>
      <c r="K66" s="643">
        <v>434.70000000000005</v>
      </c>
    </row>
    <row r="67" spans="1:11" ht="14.4" customHeight="1" x14ac:dyDescent="0.3">
      <c r="A67" s="638" t="s">
        <v>543</v>
      </c>
      <c r="B67" s="639" t="s">
        <v>544</v>
      </c>
      <c r="C67" s="640" t="s">
        <v>548</v>
      </c>
      <c r="D67" s="641" t="s">
        <v>1224</v>
      </c>
      <c r="E67" s="640" t="s">
        <v>1873</v>
      </c>
      <c r="F67" s="641" t="s">
        <v>1874</v>
      </c>
      <c r="G67" s="640" t="s">
        <v>1465</v>
      </c>
      <c r="H67" s="640" t="s">
        <v>1466</v>
      </c>
      <c r="I67" s="642">
        <v>1326.15</v>
      </c>
      <c r="J67" s="642">
        <v>2</v>
      </c>
      <c r="K67" s="643">
        <v>2652.3</v>
      </c>
    </row>
    <row r="68" spans="1:11" ht="14.4" customHeight="1" x14ac:dyDescent="0.3">
      <c r="A68" s="638" t="s">
        <v>543</v>
      </c>
      <c r="B68" s="639" t="s">
        <v>544</v>
      </c>
      <c r="C68" s="640" t="s">
        <v>548</v>
      </c>
      <c r="D68" s="641" t="s">
        <v>1224</v>
      </c>
      <c r="E68" s="640" t="s">
        <v>1873</v>
      </c>
      <c r="F68" s="641" t="s">
        <v>1874</v>
      </c>
      <c r="G68" s="640" t="s">
        <v>1467</v>
      </c>
      <c r="H68" s="640" t="s">
        <v>1468</v>
      </c>
      <c r="I68" s="642">
        <v>1.21</v>
      </c>
      <c r="J68" s="642">
        <v>1</v>
      </c>
      <c r="K68" s="643">
        <v>1.21</v>
      </c>
    </row>
    <row r="69" spans="1:11" ht="14.4" customHeight="1" x14ac:dyDescent="0.3">
      <c r="A69" s="638" t="s">
        <v>543</v>
      </c>
      <c r="B69" s="639" t="s">
        <v>544</v>
      </c>
      <c r="C69" s="640" t="s">
        <v>548</v>
      </c>
      <c r="D69" s="641" t="s">
        <v>1224</v>
      </c>
      <c r="E69" s="640" t="s">
        <v>1873</v>
      </c>
      <c r="F69" s="641" t="s">
        <v>1874</v>
      </c>
      <c r="G69" s="640" t="s">
        <v>1469</v>
      </c>
      <c r="H69" s="640" t="s">
        <v>1470</v>
      </c>
      <c r="I69" s="642">
        <v>508.2</v>
      </c>
      <c r="J69" s="642">
        <v>20</v>
      </c>
      <c r="K69" s="643">
        <v>10164</v>
      </c>
    </row>
    <row r="70" spans="1:11" ht="14.4" customHeight="1" x14ac:dyDescent="0.3">
      <c r="A70" s="638" t="s">
        <v>543</v>
      </c>
      <c r="B70" s="639" t="s">
        <v>544</v>
      </c>
      <c r="C70" s="640" t="s">
        <v>548</v>
      </c>
      <c r="D70" s="641" t="s">
        <v>1224</v>
      </c>
      <c r="E70" s="640" t="s">
        <v>1873</v>
      </c>
      <c r="F70" s="641" t="s">
        <v>1874</v>
      </c>
      <c r="G70" s="640" t="s">
        <v>1471</v>
      </c>
      <c r="H70" s="640" t="s">
        <v>1472</v>
      </c>
      <c r="I70" s="642">
        <v>35.590000000000003</v>
      </c>
      <c r="J70" s="642">
        <v>10</v>
      </c>
      <c r="K70" s="643">
        <v>355.86</v>
      </c>
    </row>
    <row r="71" spans="1:11" ht="14.4" customHeight="1" x14ac:dyDescent="0.3">
      <c r="A71" s="638" t="s">
        <v>543</v>
      </c>
      <c r="B71" s="639" t="s">
        <v>544</v>
      </c>
      <c r="C71" s="640" t="s">
        <v>548</v>
      </c>
      <c r="D71" s="641" t="s">
        <v>1224</v>
      </c>
      <c r="E71" s="640" t="s">
        <v>1873</v>
      </c>
      <c r="F71" s="641" t="s">
        <v>1874</v>
      </c>
      <c r="G71" s="640" t="s">
        <v>1473</v>
      </c>
      <c r="H71" s="640" t="s">
        <v>1474</v>
      </c>
      <c r="I71" s="642">
        <v>35.590000000000003</v>
      </c>
      <c r="J71" s="642">
        <v>10</v>
      </c>
      <c r="K71" s="643">
        <v>355.86</v>
      </c>
    </row>
    <row r="72" spans="1:11" ht="14.4" customHeight="1" x14ac:dyDescent="0.3">
      <c r="A72" s="638" t="s">
        <v>543</v>
      </c>
      <c r="B72" s="639" t="s">
        <v>544</v>
      </c>
      <c r="C72" s="640" t="s">
        <v>548</v>
      </c>
      <c r="D72" s="641" t="s">
        <v>1224</v>
      </c>
      <c r="E72" s="640" t="s">
        <v>1873</v>
      </c>
      <c r="F72" s="641" t="s">
        <v>1874</v>
      </c>
      <c r="G72" s="640" t="s">
        <v>1475</v>
      </c>
      <c r="H72" s="640" t="s">
        <v>1476</v>
      </c>
      <c r="I72" s="642">
        <v>139.75</v>
      </c>
      <c r="J72" s="642">
        <v>10</v>
      </c>
      <c r="K72" s="643">
        <v>1397.47</v>
      </c>
    </row>
    <row r="73" spans="1:11" ht="14.4" customHeight="1" x14ac:dyDescent="0.3">
      <c r="A73" s="638" t="s">
        <v>543</v>
      </c>
      <c r="B73" s="639" t="s">
        <v>544</v>
      </c>
      <c r="C73" s="640" t="s">
        <v>548</v>
      </c>
      <c r="D73" s="641" t="s">
        <v>1224</v>
      </c>
      <c r="E73" s="640" t="s">
        <v>1875</v>
      </c>
      <c r="F73" s="641" t="s">
        <v>1876</v>
      </c>
      <c r="G73" s="640" t="s">
        <v>1477</v>
      </c>
      <c r="H73" s="640" t="s">
        <v>1478</v>
      </c>
      <c r="I73" s="642">
        <v>0.30636363636363639</v>
      </c>
      <c r="J73" s="642">
        <v>2100</v>
      </c>
      <c r="K73" s="643">
        <v>643</v>
      </c>
    </row>
    <row r="74" spans="1:11" ht="14.4" customHeight="1" x14ac:dyDescent="0.3">
      <c r="A74" s="638" t="s">
        <v>543</v>
      </c>
      <c r="B74" s="639" t="s">
        <v>544</v>
      </c>
      <c r="C74" s="640" t="s">
        <v>548</v>
      </c>
      <c r="D74" s="641" t="s">
        <v>1224</v>
      </c>
      <c r="E74" s="640" t="s">
        <v>1875</v>
      </c>
      <c r="F74" s="641" t="s">
        <v>1876</v>
      </c>
      <c r="G74" s="640" t="s">
        <v>1479</v>
      </c>
      <c r="H74" s="640" t="s">
        <v>1480</v>
      </c>
      <c r="I74" s="642">
        <v>0.48555555555555557</v>
      </c>
      <c r="J74" s="642">
        <v>900</v>
      </c>
      <c r="K74" s="643">
        <v>437</v>
      </c>
    </row>
    <row r="75" spans="1:11" ht="14.4" customHeight="1" x14ac:dyDescent="0.3">
      <c r="A75" s="638" t="s">
        <v>543</v>
      </c>
      <c r="B75" s="639" t="s">
        <v>544</v>
      </c>
      <c r="C75" s="640" t="s">
        <v>548</v>
      </c>
      <c r="D75" s="641" t="s">
        <v>1224</v>
      </c>
      <c r="E75" s="640" t="s">
        <v>1877</v>
      </c>
      <c r="F75" s="641" t="s">
        <v>1878</v>
      </c>
      <c r="G75" s="640" t="s">
        <v>1481</v>
      </c>
      <c r="H75" s="640" t="s">
        <v>1482</v>
      </c>
      <c r="I75" s="642">
        <v>0.70666666666666667</v>
      </c>
      <c r="J75" s="642">
        <v>24400</v>
      </c>
      <c r="K75" s="643">
        <v>17224</v>
      </c>
    </row>
    <row r="76" spans="1:11" ht="14.4" customHeight="1" x14ac:dyDescent="0.3">
      <c r="A76" s="638" t="s">
        <v>543</v>
      </c>
      <c r="B76" s="639" t="s">
        <v>544</v>
      </c>
      <c r="C76" s="640" t="s">
        <v>548</v>
      </c>
      <c r="D76" s="641" t="s">
        <v>1224</v>
      </c>
      <c r="E76" s="640" t="s">
        <v>1877</v>
      </c>
      <c r="F76" s="641" t="s">
        <v>1878</v>
      </c>
      <c r="G76" s="640" t="s">
        <v>1483</v>
      </c>
      <c r="H76" s="640" t="s">
        <v>1484</v>
      </c>
      <c r="I76" s="642">
        <v>0.71</v>
      </c>
      <c r="J76" s="642">
        <v>800</v>
      </c>
      <c r="K76" s="643">
        <v>568</v>
      </c>
    </row>
    <row r="77" spans="1:11" ht="14.4" customHeight="1" x14ac:dyDescent="0.3">
      <c r="A77" s="638" t="s">
        <v>543</v>
      </c>
      <c r="B77" s="639" t="s">
        <v>544</v>
      </c>
      <c r="C77" s="640" t="s">
        <v>548</v>
      </c>
      <c r="D77" s="641" t="s">
        <v>1224</v>
      </c>
      <c r="E77" s="640" t="s">
        <v>1877</v>
      </c>
      <c r="F77" s="641" t="s">
        <v>1878</v>
      </c>
      <c r="G77" s="640" t="s">
        <v>1485</v>
      </c>
      <c r="H77" s="640" t="s">
        <v>1486</v>
      </c>
      <c r="I77" s="642">
        <v>12.581999999999999</v>
      </c>
      <c r="J77" s="642">
        <v>500</v>
      </c>
      <c r="K77" s="643">
        <v>6291</v>
      </c>
    </row>
    <row r="78" spans="1:11" ht="14.4" customHeight="1" x14ac:dyDescent="0.3">
      <c r="A78" s="638" t="s">
        <v>543</v>
      </c>
      <c r="B78" s="639" t="s">
        <v>544</v>
      </c>
      <c r="C78" s="640" t="s">
        <v>548</v>
      </c>
      <c r="D78" s="641" t="s">
        <v>1224</v>
      </c>
      <c r="E78" s="640" t="s">
        <v>1877</v>
      </c>
      <c r="F78" s="641" t="s">
        <v>1878</v>
      </c>
      <c r="G78" s="640" t="s">
        <v>1485</v>
      </c>
      <c r="H78" s="640" t="s">
        <v>1487</v>
      </c>
      <c r="I78" s="642">
        <v>12.585000000000001</v>
      </c>
      <c r="J78" s="642">
        <v>200</v>
      </c>
      <c r="K78" s="643">
        <v>2517</v>
      </c>
    </row>
    <row r="79" spans="1:11" ht="14.4" customHeight="1" x14ac:dyDescent="0.3">
      <c r="A79" s="638" t="s">
        <v>543</v>
      </c>
      <c r="B79" s="639" t="s">
        <v>544</v>
      </c>
      <c r="C79" s="640" t="s">
        <v>548</v>
      </c>
      <c r="D79" s="641" t="s">
        <v>1224</v>
      </c>
      <c r="E79" s="640" t="s">
        <v>1877</v>
      </c>
      <c r="F79" s="641" t="s">
        <v>1878</v>
      </c>
      <c r="G79" s="640" t="s">
        <v>1488</v>
      </c>
      <c r="H79" s="640" t="s">
        <v>1489</v>
      </c>
      <c r="I79" s="642">
        <v>12.585000000000001</v>
      </c>
      <c r="J79" s="642">
        <v>637</v>
      </c>
      <c r="K79" s="643">
        <v>8016.86</v>
      </c>
    </row>
    <row r="80" spans="1:11" ht="14.4" customHeight="1" x14ac:dyDescent="0.3">
      <c r="A80" s="638" t="s">
        <v>543</v>
      </c>
      <c r="B80" s="639" t="s">
        <v>544</v>
      </c>
      <c r="C80" s="640" t="s">
        <v>548</v>
      </c>
      <c r="D80" s="641" t="s">
        <v>1224</v>
      </c>
      <c r="E80" s="640" t="s">
        <v>1877</v>
      </c>
      <c r="F80" s="641" t="s">
        <v>1878</v>
      </c>
      <c r="G80" s="640" t="s">
        <v>1488</v>
      </c>
      <c r="H80" s="640" t="s">
        <v>1490</v>
      </c>
      <c r="I80" s="642">
        <v>12.586000000000002</v>
      </c>
      <c r="J80" s="642">
        <v>500</v>
      </c>
      <c r="K80" s="643">
        <v>6293</v>
      </c>
    </row>
    <row r="81" spans="1:11" ht="14.4" customHeight="1" x14ac:dyDescent="0.3">
      <c r="A81" s="638" t="s">
        <v>543</v>
      </c>
      <c r="B81" s="639" t="s">
        <v>544</v>
      </c>
      <c r="C81" s="640" t="s">
        <v>548</v>
      </c>
      <c r="D81" s="641" t="s">
        <v>1224</v>
      </c>
      <c r="E81" s="640" t="s">
        <v>1879</v>
      </c>
      <c r="F81" s="641" t="s">
        <v>1880</v>
      </c>
      <c r="G81" s="640" t="s">
        <v>1491</v>
      </c>
      <c r="H81" s="640" t="s">
        <v>1492</v>
      </c>
      <c r="I81" s="642">
        <v>139.44</v>
      </c>
      <c r="J81" s="642">
        <v>52</v>
      </c>
      <c r="K81" s="643">
        <v>7250.84</v>
      </c>
    </row>
    <row r="82" spans="1:11" ht="14.4" customHeight="1" x14ac:dyDescent="0.3">
      <c r="A82" s="638" t="s">
        <v>543</v>
      </c>
      <c r="B82" s="639" t="s">
        <v>544</v>
      </c>
      <c r="C82" s="640" t="s">
        <v>548</v>
      </c>
      <c r="D82" s="641" t="s">
        <v>1224</v>
      </c>
      <c r="E82" s="640" t="s">
        <v>1879</v>
      </c>
      <c r="F82" s="641" t="s">
        <v>1880</v>
      </c>
      <c r="G82" s="640" t="s">
        <v>1493</v>
      </c>
      <c r="H82" s="640" t="s">
        <v>1494</v>
      </c>
      <c r="I82" s="642">
        <v>11.655000000000001</v>
      </c>
      <c r="J82" s="642">
        <v>20</v>
      </c>
      <c r="K82" s="643">
        <v>233.1</v>
      </c>
    </row>
    <row r="83" spans="1:11" ht="14.4" customHeight="1" x14ac:dyDescent="0.3">
      <c r="A83" s="638" t="s">
        <v>543</v>
      </c>
      <c r="B83" s="639" t="s">
        <v>544</v>
      </c>
      <c r="C83" s="640" t="s">
        <v>548</v>
      </c>
      <c r="D83" s="641" t="s">
        <v>1224</v>
      </c>
      <c r="E83" s="640" t="s">
        <v>1879</v>
      </c>
      <c r="F83" s="641" t="s">
        <v>1880</v>
      </c>
      <c r="G83" s="640" t="s">
        <v>1495</v>
      </c>
      <c r="H83" s="640" t="s">
        <v>1496</v>
      </c>
      <c r="I83" s="642">
        <v>3035.31</v>
      </c>
      <c r="J83" s="642">
        <v>1</v>
      </c>
      <c r="K83" s="643">
        <v>3035.31</v>
      </c>
    </row>
    <row r="84" spans="1:11" ht="14.4" customHeight="1" x14ac:dyDescent="0.3">
      <c r="A84" s="638" t="s">
        <v>543</v>
      </c>
      <c r="B84" s="639" t="s">
        <v>544</v>
      </c>
      <c r="C84" s="640" t="s">
        <v>548</v>
      </c>
      <c r="D84" s="641" t="s">
        <v>1224</v>
      </c>
      <c r="E84" s="640" t="s">
        <v>1879</v>
      </c>
      <c r="F84" s="641" t="s">
        <v>1880</v>
      </c>
      <c r="G84" s="640" t="s">
        <v>1497</v>
      </c>
      <c r="H84" s="640" t="s">
        <v>1498</v>
      </c>
      <c r="I84" s="642">
        <v>16187.72</v>
      </c>
      <c r="J84" s="642">
        <v>0.25</v>
      </c>
      <c r="K84" s="643">
        <v>4046.93</v>
      </c>
    </row>
    <row r="85" spans="1:11" ht="14.4" customHeight="1" x14ac:dyDescent="0.3">
      <c r="A85" s="638" t="s">
        <v>543</v>
      </c>
      <c r="B85" s="639" t="s">
        <v>544</v>
      </c>
      <c r="C85" s="640" t="s">
        <v>548</v>
      </c>
      <c r="D85" s="641" t="s">
        <v>1224</v>
      </c>
      <c r="E85" s="640" t="s">
        <v>1879</v>
      </c>
      <c r="F85" s="641" t="s">
        <v>1880</v>
      </c>
      <c r="G85" s="640" t="s">
        <v>1499</v>
      </c>
      <c r="H85" s="640" t="s">
        <v>1500</v>
      </c>
      <c r="I85" s="642">
        <v>2722.5</v>
      </c>
      <c r="J85" s="642">
        <v>5</v>
      </c>
      <c r="K85" s="643">
        <v>13612.5</v>
      </c>
    </row>
    <row r="86" spans="1:11" ht="14.4" customHeight="1" x14ac:dyDescent="0.3">
      <c r="A86" s="638" t="s">
        <v>543</v>
      </c>
      <c r="B86" s="639" t="s">
        <v>544</v>
      </c>
      <c r="C86" s="640" t="s">
        <v>548</v>
      </c>
      <c r="D86" s="641" t="s">
        <v>1224</v>
      </c>
      <c r="E86" s="640" t="s">
        <v>1879</v>
      </c>
      <c r="F86" s="641" t="s">
        <v>1880</v>
      </c>
      <c r="G86" s="640" t="s">
        <v>1501</v>
      </c>
      <c r="H86" s="640" t="s">
        <v>1502</v>
      </c>
      <c r="I86" s="642">
        <v>4458.4640000000009</v>
      </c>
      <c r="J86" s="642">
        <v>30.8</v>
      </c>
      <c r="K86" s="643">
        <v>137126</v>
      </c>
    </row>
    <row r="87" spans="1:11" ht="14.4" customHeight="1" x14ac:dyDescent="0.3">
      <c r="A87" s="638" t="s">
        <v>543</v>
      </c>
      <c r="B87" s="639" t="s">
        <v>544</v>
      </c>
      <c r="C87" s="640" t="s">
        <v>548</v>
      </c>
      <c r="D87" s="641" t="s">
        <v>1224</v>
      </c>
      <c r="E87" s="640" t="s">
        <v>1879</v>
      </c>
      <c r="F87" s="641" t="s">
        <v>1880</v>
      </c>
      <c r="G87" s="640" t="s">
        <v>1503</v>
      </c>
      <c r="H87" s="640" t="s">
        <v>1504</v>
      </c>
      <c r="I87" s="642">
        <v>22994.6</v>
      </c>
      <c r="J87" s="642">
        <v>0.25</v>
      </c>
      <c r="K87" s="643">
        <v>5748.65</v>
      </c>
    </row>
    <row r="88" spans="1:11" ht="14.4" customHeight="1" x14ac:dyDescent="0.3">
      <c r="A88" s="638" t="s">
        <v>543</v>
      </c>
      <c r="B88" s="639" t="s">
        <v>544</v>
      </c>
      <c r="C88" s="640" t="s">
        <v>548</v>
      </c>
      <c r="D88" s="641" t="s">
        <v>1224</v>
      </c>
      <c r="E88" s="640" t="s">
        <v>1879</v>
      </c>
      <c r="F88" s="641" t="s">
        <v>1880</v>
      </c>
      <c r="G88" s="640" t="s">
        <v>1505</v>
      </c>
      <c r="H88" s="640" t="s">
        <v>1506</v>
      </c>
      <c r="I88" s="642">
        <v>16187.72</v>
      </c>
      <c r="J88" s="642">
        <v>0.25</v>
      </c>
      <c r="K88" s="643">
        <v>4046.93</v>
      </c>
    </row>
    <row r="89" spans="1:11" ht="14.4" customHeight="1" x14ac:dyDescent="0.3">
      <c r="A89" s="638" t="s">
        <v>543</v>
      </c>
      <c r="B89" s="639" t="s">
        <v>544</v>
      </c>
      <c r="C89" s="640" t="s">
        <v>548</v>
      </c>
      <c r="D89" s="641" t="s">
        <v>1224</v>
      </c>
      <c r="E89" s="640" t="s">
        <v>1879</v>
      </c>
      <c r="F89" s="641" t="s">
        <v>1880</v>
      </c>
      <c r="G89" s="640" t="s">
        <v>1507</v>
      </c>
      <c r="H89" s="640" t="s">
        <v>1508</v>
      </c>
      <c r="I89" s="642">
        <v>22994.6</v>
      </c>
      <c r="J89" s="642">
        <v>0.25</v>
      </c>
      <c r="K89" s="643">
        <v>5748.65</v>
      </c>
    </row>
    <row r="90" spans="1:11" ht="14.4" customHeight="1" x14ac:dyDescent="0.3">
      <c r="A90" s="638" t="s">
        <v>543</v>
      </c>
      <c r="B90" s="639" t="s">
        <v>544</v>
      </c>
      <c r="C90" s="640" t="s">
        <v>548</v>
      </c>
      <c r="D90" s="641" t="s">
        <v>1224</v>
      </c>
      <c r="E90" s="640" t="s">
        <v>1879</v>
      </c>
      <c r="F90" s="641" t="s">
        <v>1880</v>
      </c>
      <c r="G90" s="640" t="s">
        <v>1509</v>
      </c>
      <c r="H90" s="640" t="s">
        <v>1510</v>
      </c>
      <c r="I90" s="642">
        <v>22994.6</v>
      </c>
      <c r="J90" s="642">
        <v>0.25</v>
      </c>
      <c r="K90" s="643">
        <v>5748.65</v>
      </c>
    </row>
    <row r="91" spans="1:11" ht="14.4" customHeight="1" x14ac:dyDescent="0.3">
      <c r="A91" s="638" t="s">
        <v>543</v>
      </c>
      <c r="B91" s="639" t="s">
        <v>544</v>
      </c>
      <c r="C91" s="640" t="s">
        <v>548</v>
      </c>
      <c r="D91" s="641" t="s">
        <v>1224</v>
      </c>
      <c r="E91" s="640" t="s">
        <v>1879</v>
      </c>
      <c r="F91" s="641" t="s">
        <v>1880</v>
      </c>
      <c r="G91" s="640" t="s">
        <v>1511</v>
      </c>
      <c r="H91" s="640" t="s">
        <v>1512</v>
      </c>
      <c r="I91" s="642">
        <v>22994.6</v>
      </c>
      <c r="J91" s="642">
        <v>0.25</v>
      </c>
      <c r="K91" s="643">
        <v>5748.65</v>
      </c>
    </row>
    <row r="92" spans="1:11" ht="14.4" customHeight="1" x14ac:dyDescent="0.3">
      <c r="A92" s="638" t="s">
        <v>543</v>
      </c>
      <c r="B92" s="639" t="s">
        <v>544</v>
      </c>
      <c r="C92" s="640" t="s">
        <v>548</v>
      </c>
      <c r="D92" s="641" t="s">
        <v>1224</v>
      </c>
      <c r="E92" s="640" t="s">
        <v>1881</v>
      </c>
      <c r="F92" s="641" t="s">
        <v>1882</v>
      </c>
      <c r="G92" s="640" t="s">
        <v>1513</v>
      </c>
      <c r="H92" s="640" t="s">
        <v>1514</v>
      </c>
      <c r="I92" s="642">
        <v>97.89</v>
      </c>
      <c r="J92" s="642">
        <v>10</v>
      </c>
      <c r="K92" s="643">
        <v>978.9</v>
      </c>
    </row>
    <row r="93" spans="1:11" ht="14.4" customHeight="1" x14ac:dyDescent="0.3">
      <c r="A93" s="638" t="s">
        <v>543</v>
      </c>
      <c r="B93" s="639" t="s">
        <v>544</v>
      </c>
      <c r="C93" s="640" t="s">
        <v>553</v>
      </c>
      <c r="D93" s="641" t="s">
        <v>1225</v>
      </c>
      <c r="E93" s="640" t="s">
        <v>1871</v>
      </c>
      <c r="F93" s="641" t="s">
        <v>1872</v>
      </c>
      <c r="G93" s="640" t="s">
        <v>1343</v>
      </c>
      <c r="H93" s="640" t="s">
        <v>1344</v>
      </c>
      <c r="I93" s="642">
        <v>4.3</v>
      </c>
      <c r="J93" s="642">
        <v>168</v>
      </c>
      <c r="K93" s="643">
        <v>722.42000000000007</v>
      </c>
    </row>
    <row r="94" spans="1:11" ht="14.4" customHeight="1" x14ac:dyDescent="0.3">
      <c r="A94" s="638" t="s">
        <v>543</v>
      </c>
      <c r="B94" s="639" t="s">
        <v>544</v>
      </c>
      <c r="C94" s="640" t="s">
        <v>553</v>
      </c>
      <c r="D94" s="641" t="s">
        <v>1225</v>
      </c>
      <c r="E94" s="640" t="s">
        <v>1871</v>
      </c>
      <c r="F94" s="641" t="s">
        <v>1872</v>
      </c>
      <c r="G94" s="640" t="s">
        <v>1515</v>
      </c>
      <c r="H94" s="640" t="s">
        <v>1516</v>
      </c>
      <c r="I94" s="642">
        <v>0.32</v>
      </c>
      <c r="J94" s="642">
        <v>7200</v>
      </c>
      <c r="K94" s="643">
        <v>2299.6800000000003</v>
      </c>
    </row>
    <row r="95" spans="1:11" ht="14.4" customHeight="1" x14ac:dyDescent="0.3">
      <c r="A95" s="638" t="s">
        <v>543</v>
      </c>
      <c r="B95" s="639" t="s">
        <v>544</v>
      </c>
      <c r="C95" s="640" t="s">
        <v>553</v>
      </c>
      <c r="D95" s="641" t="s">
        <v>1225</v>
      </c>
      <c r="E95" s="640" t="s">
        <v>1871</v>
      </c>
      <c r="F95" s="641" t="s">
        <v>1872</v>
      </c>
      <c r="G95" s="640" t="s">
        <v>1355</v>
      </c>
      <c r="H95" s="640" t="s">
        <v>1356</v>
      </c>
      <c r="I95" s="642">
        <v>2.9550000000000001</v>
      </c>
      <c r="J95" s="642">
        <v>600</v>
      </c>
      <c r="K95" s="643">
        <v>1772.47</v>
      </c>
    </row>
    <row r="96" spans="1:11" ht="14.4" customHeight="1" x14ac:dyDescent="0.3">
      <c r="A96" s="638" t="s">
        <v>543</v>
      </c>
      <c r="B96" s="639" t="s">
        <v>544</v>
      </c>
      <c r="C96" s="640" t="s">
        <v>553</v>
      </c>
      <c r="D96" s="641" t="s">
        <v>1225</v>
      </c>
      <c r="E96" s="640" t="s">
        <v>1871</v>
      </c>
      <c r="F96" s="641" t="s">
        <v>1872</v>
      </c>
      <c r="G96" s="640" t="s">
        <v>1517</v>
      </c>
      <c r="H96" s="640" t="s">
        <v>1518</v>
      </c>
      <c r="I96" s="642">
        <v>0.66500000000000004</v>
      </c>
      <c r="J96" s="642">
        <v>2000</v>
      </c>
      <c r="K96" s="643">
        <v>1330</v>
      </c>
    </row>
    <row r="97" spans="1:11" ht="14.4" customHeight="1" x14ac:dyDescent="0.3">
      <c r="A97" s="638" t="s">
        <v>543</v>
      </c>
      <c r="B97" s="639" t="s">
        <v>544</v>
      </c>
      <c r="C97" s="640" t="s">
        <v>553</v>
      </c>
      <c r="D97" s="641" t="s">
        <v>1225</v>
      </c>
      <c r="E97" s="640" t="s">
        <v>1871</v>
      </c>
      <c r="F97" s="641" t="s">
        <v>1872</v>
      </c>
      <c r="G97" s="640" t="s">
        <v>1519</v>
      </c>
      <c r="H97" s="640" t="s">
        <v>1520</v>
      </c>
      <c r="I97" s="642">
        <v>1.2899999999999998</v>
      </c>
      <c r="J97" s="642">
        <v>2700</v>
      </c>
      <c r="K97" s="643">
        <v>3483</v>
      </c>
    </row>
    <row r="98" spans="1:11" ht="14.4" customHeight="1" x14ac:dyDescent="0.3">
      <c r="A98" s="638" t="s">
        <v>543</v>
      </c>
      <c r="B98" s="639" t="s">
        <v>544</v>
      </c>
      <c r="C98" s="640" t="s">
        <v>553</v>
      </c>
      <c r="D98" s="641" t="s">
        <v>1225</v>
      </c>
      <c r="E98" s="640" t="s">
        <v>1871</v>
      </c>
      <c r="F98" s="641" t="s">
        <v>1872</v>
      </c>
      <c r="G98" s="640" t="s">
        <v>1359</v>
      </c>
      <c r="H98" s="640" t="s">
        <v>1360</v>
      </c>
      <c r="I98" s="642">
        <v>0.3</v>
      </c>
      <c r="J98" s="642">
        <v>250</v>
      </c>
      <c r="K98" s="643">
        <v>75.87</v>
      </c>
    </row>
    <row r="99" spans="1:11" ht="14.4" customHeight="1" x14ac:dyDescent="0.3">
      <c r="A99" s="638" t="s">
        <v>543</v>
      </c>
      <c r="B99" s="639" t="s">
        <v>544</v>
      </c>
      <c r="C99" s="640" t="s">
        <v>553</v>
      </c>
      <c r="D99" s="641" t="s">
        <v>1225</v>
      </c>
      <c r="E99" s="640" t="s">
        <v>1871</v>
      </c>
      <c r="F99" s="641" t="s">
        <v>1872</v>
      </c>
      <c r="G99" s="640" t="s">
        <v>1521</v>
      </c>
      <c r="H99" s="640" t="s">
        <v>1522</v>
      </c>
      <c r="I99" s="642">
        <v>13.157499999999999</v>
      </c>
      <c r="J99" s="642">
        <v>216</v>
      </c>
      <c r="K99" s="643">
        <v>2841.79</v>
      </c>
    </row>
    <row r="100" spans="1:11" ht="14.4" customHeight="1" x14ac:dyDescent="0.3">
      <c r="A100" s="638" t="s">
        <v>543</v>
      </c>
      <c r="B100" s="639" t="s">
        <v>544</v>
      </c>
      <c r="C100" s="640" t="s">
        <v>553</v>
      </c>
      <c r="D100" s="641" t="s">
        <v>1225</v>
      </c>
      <c r="E100" s="640" t="s">
        <v>1871</v>
      </c>
      <c r="F100" s="641" t="s">
        <v>1872</v>
      </c>
      <c r="G100" s="640" t="s">
        <v>1523</v>
      </c>
      <c r="H100" s="640" t="s">
        <v>1524</v>
      </c>
      <c r="I100" s="642">
        <v>26.37</v>
      </c>
      <c r="J100" s="642">
        <v>24</v>
      </c>
      <c r="K100" s="643">
        <v>632.88</v>
      </c>
    </row>
    <row r="101" spans="1:11" ht="14.4" customHeight="1" x14ac:dyDescent="0.3">
      <c r="A101" s="638" t="s">
        <v>543</v>
      </c>
      <c r="B101" s="639" t="s">
        <v>544</v>
      </c>
      <c r="C101" s="640" t="s">
        <v>553</v>
      </c>
      <c r="D101" s="641" t="s">
        <v>1225</v>
      </c>
      <c r="E101" s="640" t="s">
        <v>1871</v>
      </c>
      <c r="F101" s="641" t="s">
        <v>1872</v>
      </c>
      <c r="G101" s="640" t="s">
        <v>1525</v>
      </c>
      <c r="H101" s="640" t="s">
        <v>1526</v>
      </c>
      <c r="I101" s="642">
        <v>0.85</v>
      </c>
      <c r="J101" s="642">
        <v>50</v>
      </c>
      <c r="K101" s="643">
        <v>42.5</v>
      </c>
    </row>
    <row r="102" spans="1:11" ht="14.4" customHeight="1" x14ac:dyDescent="0.3">
      <c r="A102" s="638" t="s">
        <v>543</v>
      </c>
      <c r="B102" s="639" t="s">
        <v>544</v>
      </c>
      <c r="C102" s="640" t="s">
        <v>553</v>
      </c>
      <c r="D102" s="641" t="s">
        <v>1225</v>
      </c>
      <c r="E102" s="640" t="s">
        <v>1871</v>
      </c>
      <c r="F102" s="641" t="s">
        <v>1872</v>
      </c>
      <c r="G102" s="640" t="s">
        <v>1525</v>
      </c>
      <c r="H102" s="640" t="s">
        <v>1527</v>
      </c>
      <c r="I102" s="642">
        <v>0.85</v>
      </c>
      <c r="J102" s="642">
        <v>20</v>
      </c>
      <c r="K102" s="643">
        <v>17</v>
      </c>
    </row>
    <row r="103" spans="1:11" ht="14.4" customHeight="1" x14ac:dyDescent="0.3">
      <c r="A103" s="638" t="s">
        <v>543</v>
      </c>
      <c r="B103" s="639" t="s">
        <v>544</v>
      </c>
      <c r="C103" s="640" t="s">
        <v>553</v>
      </c>
      <c r="D103" s="641" t="s">
        <v>1225</v>
      </c>
      <c r="E103" s="640" t="s">
        <v>1871</v>
      </c>
      <c r="F103" s="641" t="s">
        <v>1872</v>
      </c>
      <c r="G103" s="640" t="s">
        <v>1361</v>
      </c>
      <c r="H103" s="640" t="s">
        <v>1362</v>
      </c>
      <c r="I103" s="642">
        <v>0.30777777777777771</v>
      </c>
      <c r="J103" s="642">
        <v>36000</v>
      </c>
      <c r="K103" s="643">
        <v>11121.6</v>
      </c>
    </row>
    <row r="104" spans="1:11" ht="14.4" customHeight="1" x14ac:dyDescent="0.3">
      <c r="A104" s="638" t="s">
        <v>543</v>
      </c>
      <c r="B104" s="639" t="s">
        <v>544</v>
      </c>
      <c r="C104" s="640" t="s">
        <v>553</v>
      </c>
      <c r="D104" s="641" t="s">
        <v>1225</v>
      </c>
      <c r="E104" s="640" t="s">
        <v>1871</v>
      </c>
      <c r="F104" s="641" t="s">
        <v>1872</v>
      </c>
      <c r="G104" s="640" t="s">
        <v>1528</v>
      </c>
      <c r="H104" s="640" t="s">
        <v>1529</v>
      </c>
      <c r="I104" s="642">
        <v>5.4</v>
      </c>
      <c r="J104" s="642">
        <v>200</v>
      </c>
      <c r="K104" s="643">
        <v>1080.42</v>
      </c>
    </row>
    <row r="105" spans="1:11" ht="14.4" customHeight="1" x14ac:dyDescent="0.3">
      <c r="A105" s="638" t="s">
        <v>543</v>
      </c>
      <c r="B105" s="639" t="s">
        <v>544</v>
      </c>
      <c r="C105" s="640" t="s">
        <v>553</v>
      </c>
      <c r="D105" s="641" t="s">
        <v>1225</v>
      </c>
      <c r="E105" s="640" t="s">
        <v>1871</v>
      </c>
      <c r="F105" s="641" t="s">
        <v>1872</v>
      </c>
      <c r="G105" s="640" t="s">
        <v>1530</v>
      </c>
      <c r="H105" s="640" t="s">
        <v>1531</v>
      </c>
      <c r="I105" s="642">
        <v>114.80500000000001</v>
      </c>
      <c r="J105" s="642">
        <v>2</v>
      </c>
      <c r="K105" s="643">
        <v>229.61</v>
      </c>
    </row>
    <row r="106" spans="1:11" ht="14.4" customHeight="1" x14ac:dyDescent="0.3">
      <c r="A106" s="638" t="s">
        <v>543</v>
      </c>
      <c r="B106" s="639" t="s">
        <v>544</v>
      </c>
      <c r="C106" s="640" t="s">
        <v>553</v>
      </c>
      <c r="D106" s="641" t="s">
        <v>1225</v>
      </c>
      <c r="E106" s="640" t="s">
        <v>1871</v>
      </c>
      <c r="F106" s="641" t="s">
        <v>1872</v>
      </c>
      <c r="G106" s="640" t="s">
        <v>1532</v>
      </c>
      <c r="H106" s="640" t="s">
        <v>1533</v>
      </c>
      <c r="I106" s="642">
        <v>5.17</v>
      </c>
      <c r="J106" s="642">
        <v>100</v>
      </c>
      <c r="K106" s="643">
        <v>517.5</v>
      </c>
    </row>
    <row r="107" spans="1:11" ht="14.4" customHeight="1" x14ac:dyDescent="0.3">
      <c r="A107" s="638" t="s">
        <v>543</v>
      </c>
      <c r="B107" s="639" t="s">
        <v>544</v>
      </c>
      <c r="C107" s="640" t="s">
        <v>553</v>
      </c>
      <c r="D107" s="641" t="s">
        <v>1225</v>
      </c>
      <c r="E107" s="640" t="s">
        <v>1871</v>
      </c>
      <c r="F107" s="641" t="s">
        <v>1872</v>
      </c>
      <c r="G107" s="640" t="s">
        <v>1532</v>
      </c>
      <c r="H107" s="640" t="s">
        <v>1534</v>
      </c>
      <c r="I107" s="642">
        <v>5.1714285714285717</v>
      </c>
      <c r="J107" s="642">
        <v>1300</v>
      </c>
      <c r="K107" s="643">
        <v>6727</v>
      </c>
    </row>
    <row r="108" spans="1:11" ht="14.4" customHeight="1" x14ac:dyDescent="0.3">
      <c r="A108" s="638" t="s">
        <v>543</v>
      </c>
      <c r="B108" s="639" t="s">
        <v>544</v>
      </c>
      <c r="C108" s="640" t="s">
        <v>553</v>
      </c>
      <c r="D108" s="641" t="s">
        <v>1225</v>
      </c>
      <c r="E108" s="640" t="s">
        <v>1873</v>
      </c>
      <c r="F108" s="641" t="s">
        <v>1874</v>
      </c>
      <c r="G108" s="640" t="s">
        <v>1363</v>
      </c>
      <c r="H108" s="640" t="s">
        <v>1364</v>
      </c>
      <c r="I108" s="642">
        <v>16.396249999999998</v>
      </c>
      <c r="J108" s="642">
        <v>2920</v>
      </c>
      <c r="K108" s="643">
        <v>47872.72</v>
      </c>
    </row>
    <row r="109" spans="1:11" ht="14.4" customHeight="1" x14ac:dyDescent="0.3">
      <c r="A109" s="638" t="s">
        <v>543</v>
      </c>
      <c r="B109" s="639" t="s">
        <v>544</v>
      </c>
      <c r="C109" s="640" t="s">
        <v>553</v>
      </c>
      <c r="D109" s="641" t="s">
        <v>1225</v>
      </c>
      <c r="E109" s="640" t="s">
        <v>1873</v>
      </c>
      <c r="F109" s="641" t="s">
        <v>1874</v>
      </c>
      <c r="G109" s="640" t="s">
        <v>1535</v>
      </c>
      <c r="H109" s="640" t="s">
        <v>1536</v>
      </c>
      <c r="I109" s="642">
        <v>1.42</v>
      </c>
      <c r="J109" s="642">
        <v>2000</v>
      </c>
      <c r="K109" s="643">
        <v>2846.96</v>
      </c>
    </row>
    <row r="110" spans="1:11" ht="14.4" customHeight="1" x14ac:dyDescent="0.3">
      <c r="A110" s="638" t="s">
        <v>543</v>
      </c>
      <c r="B110" s="639" t="s">
        <v>544</v>
      </c>
      <c r="C110" s="640" t="s">
        <v>553</v>
      </c>
      <c r="D110" s="641" t="s">
        <v>1225</v>
      </c>
      <c r="E110" s="640" t="s">
        <v>1873</v>
      </c>
      <c r="F110" s="641" t="s">
        <v>1874</v>
      </c>
      <c r="G110" s="640" t="s">
        <v>1365</v>
      </c>
      <c r="H110" s="640" t="s">
        <v>1366</v>
      </c>
      <c r="I110" s="642">
        <v>15.924444444444447</v>
      </c>
      <c r="J110" s="642">
        <v>450</v>
      </c>
      <c r="K110" s="643">
        <v>7166</v>
      </c>
    </row>
    <row r="111" spans="1:11" ht="14.4" customHeight="1" x14ac:dyDescent="0.3">
      <c r="A111" s="638" t="s">
        <v>543</v>
      </c>
      <c r="B111" s="639" t="s">
        <v>544</v>
      </c>
      <c r="C111" s="640" t="s">
        <v>553</v>
      </c>
      <c r="D111" s="641" t="s">
        <v>1225</v>
      </c>
      <c r="E111" s="640" t="s">
        <v>1873</v>
      </c>
      <c r="F111" s="641" t="s">
        <v>1874</v>
      </c>
      <c r="G111" s="640" t="s">
        <v>1367</v>
      </c>
      <c r="H111" s="640" t="s">
        <v>1368</v>
      </c>
      <c r="I111" s="642">
        <v>2.528</v>
      </c>
      <c r="J111" s="642">
        <v>650</v>
      </c>
      <c r="K111" s="643">
        <v>1643.5</v>
      </c>
    </row>
    <row r="112" spans="1:11" ht="14.4" customHeight="1" x14ac:dyDescent="0.3">
      <c r="A112" s="638" t="s">
        <v>543</v>
      </c>
      <c r="B112" s="639" t="s">
        <v>544</v>
      </c>
      <c r="C112" s="640" t="s">
        <v>553</v>
      </c>
      <c r="D112" s="641" t="s">
        <v>1225</v>
      </c>
      <c r="E112" s="640" t="s">
        <v>1873</v>
      </c>
      <c r="F112" s="641" t="s">
        <v>1874</v>
      </c>
      <c r="G112" s="640" t="s">
        <v>1369</v>
      </c>
      <c r="H112" s="640" t="s">
        <v>1370</v>
      </c>
      <c r="I112" s="642">
        <v>30.25</v>
      </c>
      <c r="J112" s="642">
        <v>200</v>
      </c>
      <c r="K112" s="643">
        <v>6050</v>
      </c>
    </row>
    <row r="113" spans="1:11" ht="14.4" customHeight="1" x14ac:dyDescent="0.3">
      <c r="A113" s="638" t="s">
        <v>543</v>
      </c>
      <c r="B113" s="639" t="s">
        <v>544</v>
      </c>
      <c r="C113" s="640" t="s">
        <v>553</v>
      </c>
      <c r="D113" s="641" t="s">
        <v>1225</v>
      </c>
      <c r="E113" s="640" t="s">
        <v>1873</v>
      </c>
      <c r="F113" s="641" t="s">
        <v>1874</v>
      </c>
      <c r="G113" s="640" t="s">
        <v>1371</v>
      </c>
      <c r="H113" s="640" t="s">
        <v>1372</v>
      </c>
      <c r="I113" s="642">
        <v>2.7518181818181819</v>
      </c>
      <c r="J113" s="642">
        <v>1300</v>
      </c>
      <c r="K113" s="643">
        <v>3577</v>
      </c>
    </row>
    <row r="114" spans="1:11" ht="14.4" customHeight="1" x14ac:dyDescent="0.3">
      <c r="A114" s="638" t="s">
        <v>543</v>
      </c>
      <c r="B114" s="639" t="s">
        <v>544</v>
      </c>
      <c r="C114" s="640" t="s">
        <v>553</v>
      </c>
      <c r="D114" s="641" t="s">
        <v>1225</v>
      </c>
      <c r="E114" s="640" t="s">
        <v>1873</v>
      </c>
      <c r="F114" s="641" t="s">
        <v>1874</v>
      </c>
      <c r="G114" s="640" t="s">
        <v>1537</v>
      </c>
      <c r="H114" s="640" t="s">
        <v>1538</v>
      </c>
      <c r="I114" s="642">
        <v>7.43</v>
      </c>
      <c r="J114" s="642">
        <v>100</v>
      </c>
      <c r="K114" s="643">
        <v>743</v>
      </c>
    </row>
    <row r="115" spans="1:11" ht="14.4" customHeight="1" x14ac:dyDescent="0.3">
      <c r="A115" s="638" t="s">
        <v>543</v>
      </c>
      <c r="B115" s="639" t="s">
        <v>544</v>
      </c>
      <c r="C115" s="640" t="s">
        <v>553</v>
      </c>
      <c r="D115" s="641" t="s">
        <v>1225</v>
      </c>
      <c r="E115" s="640" t="s">
        <v>1873</v>
      </c>
      <c r="F115" s="641" t="s">
        <v>1874</v>
      </c>
      <c r="G115" s="640" t="s">
        <v>1373</v>
      </c>
      <c r="H115" s="640" t="s">
        <v>1374</v>
      </c>
      <c r="I115" s="642">
        <v>4.1840000000000002</v>
      </c>
      <c r="J115" s="642">
        <v>350</v>
      </c>
      <c r="K115" s="643">
        <v>1464</v>
      </c>
    </row>
    <row r="116" spans="1:11" ht="14.4" customHeight="1" x14ac:dyDescent="0.3">
      <c r="A116" s="638" t="s">
        <v>543</v>
      </c>
      <c r="B116" s="639" t="s">
        <v>544</v>
      </c>
      <c r="C116" s="640" t="s">
        <v>553</v>
      </c>
      <c r="D116" s="641" t="s">
        <v>1225</v>
      </c>
      <c r="E116" s="640" t="s">
        <v>1873</v>
      </c>
      <c r="F116" s="641" t="s">
        <v>1874</v>
      </c>
      <c r="G116" s="640" t="s">
        <v>1375</v>
      </c>
      <c r="H116" s="640" t="s">
        <v>1376</v>
      </c>
      <c r="I116" s="642">
        <v>1.0900000000000001</v>
      </c>
      <c r="J116" s="642">
        <v>200</v>
      </c>
      <c r="K116" s="643">
        <v>218</v>
      </c>
    </row>
    <row r="117" spans="1:11" ht="14.4" customHeight="1" x14ac:dyDescent="0.3">
      <c r="A117" s="638" t="s">
        <v>543</v>
      </c>
      <c r="B117" s="639" t="s">
        <v>544</v>
      </c>
      <c r="C117" s="640" t="s">
        <v>553</v>
      </c>
      <c r="D117" s="641" t="s">
        <v>1225</v>
      </c>
      <c r="E117" s="640" t="s">
        <v>1873</v>
      </c>
      <c r="F117" s="641" t="s">
        <v>1874</v>
      </c>
      <c r="G117" s="640" t="s">
        <v>1377</v>
      </c>
      <c r="H117" s="640" t="s">
        <v>1378</v>
      </c>
      <c r="I117" s="642">
        <v>1.6746153846153848</v>
      </c>
      <c r="J117" s="642">
        <v>18820</v>
      </c>
      <c r="K117" s="643">
        <v>31513.23</v>
      </c>
    </row>
    <row r="118" spans="1:11" ht="14.4" customHeight="1" x14ac:dyDescent="0.3">
      <c r="A118" s="638" t="s">
        <v>543</v>
      </c>
      <c r="B118" s="639" t="s">
        <v>544</v>
      </c>
      <c r="C118" s="640" t="s">
        <v>553</v>
      </c>
      <c r="D118" s="641" t="s">
        <v>1225</v>
      </c>
      <c r="E118" s="640" t="s">
        <v>1873</v>
      </c>
      <c r="F118" s="641" t="s">
        <v>1874</v>
      </c>
      <c r="G118" s="640" t="s">
        <v>1379</v>
      </c>
      <c r="H118" s="640" t="s">
        <v>1380</v>
      </c>
      <c r="I118" s="642">
        <v>0.47499999999999992</v>
      </c>
      <c r="J118" s="642">
        <v>6500</v>
      </c>
      <c r="K118" s="643">
        <v>3087</v>
      </c>
    </row>
    <row r="119" spans="1:11" ht="14.4" customHeight="1" x14ac:dyDescent="0.3">
      <c r="A119" s="638" t="s">
        <v>543</v>
      </c>
      <c r="B119" s="639" t="s">
        <v>544</v>
      </c>
      <c r="C119" s="640" t="s">
        <v>553</v>
      </c>
      <c r="D119" s="641" t="s">
        <v>1225</v>
      </c>
      <c r="E119" s="640" t="s">
        <v>1873</v>
      </c>
      <c r="F119" s="641" t="s">
        <v>1874</v>
      </c>
      <c r="G119" s="640" t="s">
        <v>1381</v>
      </c>
      <c r="H119" s="640" t="s">
        <v>1382</v>
      </c>
      <c r="I119" s="642">
        <v>0.67230769230769227</v>
      </c>
      <c r="J119" s="642">
        <v>1400</v>
      </c>
      <c r="K119" s="643">
        <v>939</v>
      </c>
    </row>
    <row r="120" spans="1:11" ht="14.4" customHeight="1" x14ac:dyDescent="0.3">
      <c r="A120" s="638" t="s">
        <v>543</v>
      </c>
      <c r="B120" s="639" t="s">
        <v>544</v>
      </c>
      <c r="C120" s="640" t="s">
        <v>553</v>
      </c>
      <c r="D120" s="641" t="s">
        <v>1225</v>
      </c>
      <c r="E120" s="640" t="s">
        <v>1873</v>
      </c>
      <c r="F120" s="641" t="s">
        <v>1874</v>
      </c>
      <c r="G120" s="640" t="s">
        <v>1383</v>
      </c>
      <c r="H120" s="640" t="s">
        <v>1384</v>
      </c>
      <c r="I120" s="642">
        <v>3.7350000000000008</v>
      </c>
      <c r="J120" s="642">
        <v>700</v>
      </c>
      <c r="K120" s="643">
        <v>2614.92</v>
      </c>
    </row>
    <row r="121" spans="1:11" ht="14.4" customHeight="1" x14ac:dyDescent="0.3">
      <c r="A121" s="638" t="s">
        <v>543</v>
      </c>
      <c r="B121" s="639" t="s">
        <v>544</v>
      </c>
      <c r="C121" s="640" t="s">
        <v>553</v>
      </c>
      <c r="D121" s="641" t="s">
        <v>1225</v>
      </c>
      <c r="E121" s="640" t="s">
        <v>1873</v>
      </c>
      <c r="F121" s="641" t="s">
        <v>1874</v>
      </c>
      <c r="G121" s="640" t="s">
        <v>1539</v>
      </c>
      <c r="H121" s="640" t="s">
        <v>1540</v>
      </c>
      <c r="I121" s="642">
        <v>30.25</v>
      </c>
      <c r="J121" s="642">
        <v>50</v>
      </c>
      <c r="K121" s="643">
        <v>1512.5</v>
      </c>
    </row>
    <row r="122" spans="1:11" ht="14.4" customHeight="1" x14ac:dyDescent="0.3">
      <c r="A122" s="638" t="s">
        <v>543</v>
      </c>
      <c r="B122" s="639" t="s">
        <v>544</v>
      </c>
      <c r="C122" s="640" t="s">
        <v>553</v>
      </c>
      <c r="D122" s="641" t="s">
        <v>1225</v>
      </c>
      <c r="E122" s="640" t="s">
        <v>1873</v>
      </c>
      <c r="F122" s="641" t="s">
        <v>1874</v>
      </c>
      <c r="G122" s="640" t="s">
        <v>1387</v>
      </c>
      <c r="H122" s="640" t="s">
        <v>1388</v>
      </c>
      <c r="I122" s="642">
        <v>32.67</v>
      </c>
      <c r="J122" s="642">
        <v>200</v>
      </c>
      <c r="K122" s="643">
        <v>6534</v>
      </c>
    </row>
    <row r="123" spans="1:11" ht="14.4" customHeight="1" x14ac:dyDescent="0.3">
      <c r="A123" s="638" t="s">
        <v>543</v>
      </c>
      <c r="B123" s="639" t="s">
        <v>544</v>
      </c>
      <c r="C123" s="640" t="s">
        <v>553</v>
      </c>
      <c r="D123" s="641" t="s">
        <v>1225</v>
      </c>
      <c r="E123" s="640" t="s">
        <v>1873</v>
      </c>
      <c r="F123" s="641" t="s">
        <v>1874</v>
      </c>
      <c r="G123" s="640" t="s">
        <v>1389</v>
      </c>
      <c r="H123" s="640" t="s">
        <v>1390</v>
      </c>
      <c r="I123" s="642">
        <v>25.99</v>
      </c>
      <c r="J123" s="642">
        <v>360</v>
      </c>
      <c r="K123" s="643">
        <v>9356.7999999999993</v>
      </c>
    </row>
    <row r="124" spans="1:11" ht="14.4" customHeight="1" x14ac:dyDescent="0.3">
      <c r="A124" s="638" t="s">
        <v>543</v>
      </c>
      <c r="B124" s="639" t="s">
        <v>544</v>
      </c>
      <c r="C124" s="640" t="s">
        <v>553</v>
      </c>
      <c r="D124" s="641" t="s">
        <v>1225</v>
      </c>
      <c r="E124" s="640" t="s">
        <v>1873</v>
      </c>
      <c r="F124" s="641" t="s">
        <v>1874</v>
      </c>
      <c r="G124" s="640" t="s">
        <v>1541</v>
      </c>
      <c r="H124" s="640" t="s">
        <v>1542</v>
      </c>
      <c r="I124" s="642">
        <v>14.3</v>
      </c>
      <c r="J124" s="642">
        <v>20</v>
      </c>
      <c r="K124" s="643">
        <v>286.04000000000002</v>
      </c>
    </row>
    <row r="125" spans="1:11" ht="14.4" customHeight="1" x14ac:dyDescent="0.3">
      <c r="A125" s="638" t="s">
        <v>543</v>
      </c>
      <c r="B125" s="639" t="s">
        <v>544</v>
      </c>
      <c r="C125" s="640" t="s">
        <v>553</v>
      </c>
      <c r="D125" s="641" t="s">
        <v>1225</v>
      </c>
      <c r="E125" s="640" t="s">
        <v>1873</v>
      </c>
      <c r="F125" s="641" t="s">
        <v>1874</v>
      </c>
      <c r="G125" s="640" t="s">
        <v>1391</v>
      </c>
      <c r="H125" s="640" t="s">
        <v>1392</v>
      </c>
      <c r="I125" s="642">
        <v>9.1466666666666665</v>
      </c>
      <c r="J125" s="642">
        <v>600</v>
      </c>
      <c r="K125" s="643">
        <v>5486.7699999999995</v>
      </c>
    </row>
    <row r="126" spans="1:11" ht="14.4" customHeight="1" x14ac:dyDescent="0.3">
      <c r="A126" s="638" t="s">
        <v>543</v>
      </c>
      <c r="B126" s="639" t="s">
        <v>544</v>
      </c>
      <c r="C126" s="640" t="s">
        <v>553</v>
      </c>
      <c r="D126" s="641" t="s">
        <v>1225</v>
      </c>
      <c r="E126" s="640" t="s">
        <v>1873</v>
      </c>
      <c r="F126" s="641" t="s">
        <v>1874</v>
      </c>
      <c r="G126" s="640" t="s">
        <v>1393</v>
      </c>
      <c r="H126" s="640" t="s">
        <v>1394</v>
      </c>
      <c r="I126" s="642">
        <v>4.8</v>
      </c>
      <c r="J126" s="642">
        <v>800</v>
      </c>
      <c r="K126" s="643">
        <v>3839.84</v>
      </c>
    </row>
    <row r="127" spans="1:11" ht="14.4" customHeight="1" x14ac:dyDescent="0.3">
      <c r="A127" s="638" t="s">
        <v>543</v>
      </c>
      <c r="B127" s="639" t="s">
        <v>544</v>
      </c>
      <c r="C127" s="640" t="s">
        <v>553</v>
      </c>
      <c r="D127" s="641" t="s">
        <v>1225</v>
      </c>
      <c r="E127" s="640" t="s">
        <v>1873</v>
      </c>
      <c r="F127" s="641" t="s">
        <v>1874</v>
      </c>
      <c r="G127" s="640" t="s">
        <v>1543</v>
      </c>
      <c r="H127" s="640" t="s">
        <v>1544</v>
      </c>
      <c r="I127" s="642">
        <v>2.64</v>
      </c>
      <c r="J127" s="642">
        <v>100</v>
      </c>
      <c r="K127" s="643">
        <v>264</v>
      </c>
    </row>
    <row r="128" spans="1:11" ht="14.4" customHeight="1" x14ac:dyDescent="0.3">
      <c r="A128" s="638" t="s">
        <v>543</v>
      </c>
      <c r="B128" s="639" t="s">
        <v>544</v>
      </c>
      <c r="C128" s="640" t="s">
        <v>553</v>
      </c>
      <c r="D128" s="641" t="s">
        <v>1225</v>
      </c>
      <c r="E128" s="640" t="s">
        <v>1873</v>
      </c>
      <c r="F128" s="641" t="s">
        <v>1874</v>
      </c>
      <c r="G128" s="640" t="s">
        <v>1395</v>
      </c>
      <c r="H128" s="640" t="s">
        <v>1545</v>
      </c>
      <c r="I128" s="642">
        <v>26.01</v>
      </c>
      <c r="J128" s="642">
        <v>40</v>
      </c>
      <c r="K128" s="643">
        <v>1040.5999999999999</v>
      </c>
    </row>
    <row r="129" spans="1:11" ht="14.4" customHeight="1" x14ac:dyDescent="0.3">
      <c r="A129" s="638" t="s">
        <v>543</v>
      </c>
      <c r="B129" s="639" t="s">
        <v>544</v>
      </c>
      <c r="C129" s="640" t="s">
        <v>553</v>
      </c>
      <c r="D129" s="641" t="s">
        <v>1225</v>
      </c>
      <c r="E129" s="640" t="s">
        <v>1873</v>
      </c>
      <c r="F129" s="641" t="s">
        <v>1874</v>
      </c>
      <c r="G129" s="640" t="s">
        <v>1546</v>
      </c>
      <c r="H129" s="640" t="s">
        <v>1547</v>
      </c>
      <c r="I129" s="642">
        <v>24.15</v>
      </c>
      <c r="J129" s="642">
        <v>150</v>
      </c>
      <c r="K129" s="643">
        <v>3622.5</v>
      </c>
    </row>
    <row r="130" spans="1:11" ht="14.4" customHeight="1" x14ac:dyDescent="0.3">
      <c r="A130" s="638" t="s">
        <v>543</v>
      </c>
      <c r="B130" s="639" t="s">
        <v>544</v>
      </c>
      <c r="C130" s="640" t="s">
        <v>553</v>
      </c>
      <c r="D130" s="641" t="s">
        <v>1225</v>
      </c>
      <c r="E130" s="640" t="s">
        <v>1873</v>
      </c>
      <c r="F130" s="641" t="s">
        <v>1874</v>
      </c>
      <c r="G130" s="640" t="s">
        <v>1548</v>
      </c>
      <c r="H130" s="640" t="s">
        <v>1549</v>
      </c>
      <c r="I130" s="642">
        <v>2.37</v>
      </c>
      <c r="J130" s="642">
        <v>40</v>
      </c>
      <c r="K130" s="643">
        <v>94.8</v>
      </c>
    </row>
    <row r="131" spans="1:11" ht="14.4" customHeight="1" x14ac:dyDescent="0.3">
      <c r="A131" s="638" t="s">
        <v>543</v>
      </c>
      <c r="B131" s="639" t="s">
        <v>544</v>
      </c>
      <c r="C131" s="640" t="s">
        <v>553</v>
      </c>
      <c r="D131" s="641" t="s">
        <v>1225</v>
      </c>
      <c r="E131" s="640" t="s">
        <v>1873</v>
      </c>
      <c r="F131" s="641" t="s">
        <v>1874</v>
      </c>
      <c r="G131" s="640" t="s">
        <v>1399</v>
      </c>
      <c r="H131" s="640" t="s">
        <v>1550</v>
      </c>
      <c r="I131" s="642">
        <v>2.85</v>
      </c>
      <c r="J131" s="642">
        <v>200</v>
      </c>
      <c r="K131" s="643">
        <v>570</v>
      </c>
    </row>
    <row r="132" spans="1:11" ht="14.4" customHeight="1" x14ac:dyDescent="0.3">
      <c r="A132" s="638" t="s">
        <v>543</v>
      </c>
      <c r="B132" s="639" t="s">
        <v>544</v>
      </c>
      <c r="C132" s="640" t="s">
        <v>553</v>
      </c>
      <c r="D132" s="641" t="s">
        <v>1225</v>
      </c>
      <c r="E132" s="640" t="s">
        <v>1873</v>
      </c>
      <c r="F132" s="641" t="s">
        <v>1874</v>
      </c>
      <c r="G132" s="640" t="s">
        <v>1399</v>
      </c>
      <c r="H132" s="640" t="s">
        <v>1400</v>
      </c>
      <c r="I132" s="642">
        <v>2.85</v>
      </c>
      <c r="J132" s="642">
        <v>50</v>
      </c>
      <c r="K132" s="643">
        <v>142.5</v>
      </c>
    </row>
    <row r="133" spans="1:11" ht="14.4" customHeight="1" x14ac:dyDescent="0.3">
      <c r="A133" s="638" t="s">
        <v>543</v>
      </c>
      <c r="B133" s="639" t="s">
        <v>544</v>
      </c>
      <c r="C133" s="640" t="s">
        <v>553</v>
      </c>
      <c r="D133" s="641" t="s">
        <v>1225</v>
      </c>
      <c r="E133" s="640" t="s">
        <v>1873</v>
      </c>
      <c r="F133" s="641" t="s">
        <v>1874</v>
      </c>
      <c r="G133" s="640" t="s">
        <v>1401</v>
      </c>
      <c r="H133" s="640" t="s">
        <v>1402</v>
      </c>
      <c r="I133" s="642">
        <v>58.79</v>
      </c>
      <c r="J133" s="642">
        <v>60</v>
      </c>
      <c r="K133" s="643">
        <v>3527.35</v>
      </c>
    </row>
    <row r="134" spans="1:11" ht="14.4" customHeight="1" x14ac:dyDescent="0.3">
      <c r="A134" s="638" t="s">
        <v>543</v>
      </c>
      <c r="B134" s="639" t="s">
        <v>544</v>
      </c>
      <c r="C134" s="640" t="s">
        <v>553</v>
      </c>
      <c r="D134" s="641" t="s">
        <v>1225</v>
      </c>
      <c r="E134" s="640" t="s">
        <v>1873</v>
      </c>
      <c r="F134" s="641" t="s">
        <v>1874</v>
      </c>
      <c r="G134" s="640" t="s">
        <v>1403</v>
      </c>
      <c r="H134" s="640" t="s">
        <v>1404</v>
      </c>
      <c r="I134" s="642">
        <v>2.0533333333333332</v>
      </c>
      <c r="J134" s="642">
        <v>110</v>
      </c>
      <c r="K134" s="643">
        <v>225.8</v>
      </c>
    </row>
    <row r="135" spans="1:11" ht="14.4" customHeight="1" x14ac:dyDescent="0.3">
      <c r="A135" s="638" t="s">
        <v>543</v>
      </c>
      <c r="B135" s="639" t="s">
        <v>544</v>
      </c>
      <c r="C135" s="640" t="s">
        <v>553</v>
      </c>
      <c r="D135" s="641" t="s">
        <v>1225</v>
      </c>
      <c r="E135" s="640" t="s">
        <v>1873</v>
      </c>
      <c r="F135" s="641" t="s">
        <v>1874</v>
      </c>
      <c r="G135" s="640" t="s">
        <v>1409</v>
      </c>
      <c r="H135" s="640" t="s">
        <v>1410</v>
      </c>
      <c r="I135" s="642">
        <v>12.000999999999999</v>
      </c>
      <c r="J135" s="642">
        <v>320</v>
      </c>
      <c r="K135" s="643">
        <v>3846.1</v>
      </c>
    </row>
    <row r="136" spans="1:11" ht="14.4" customHeight="1" x14ac:dyDescent="0.3">
      <c r="A136" s="638" t="s">
        <v>543</v>
      </c>
      <c r="B136" s="639" t="s">
        <v>544</v>
      </c>
      <c r="C136" s="640" t="s">
        <v>553</v>
      </c>
      <c r="D136" s="641" t="s">
        <v>1225</v>
      </c>
      <c r="E136" s="640" t="s">
        <v>1873</v>
      </c>
      <c r="F136" s="641" t="s">
        <v>1874</v>
      </c>
      <c r="G136" s="640" t="s">
        <v>1551</v>
      </c>
      <c r="H136" s="640" t="s">
        <v>1552</v>
      </c>
      <c r="I136" s="642">
        <v>1.93</v>
      </c>
      <c r="J136" s="642">
        <v>100</v>
      </c>
      <c r="K136" s="643">
        <v>193</v>
      </c>
    </row>
    <row r="137" spans="1:11" ht="14.4" customHeight="1" x14ac:dyDescent="0.3">
      <c r="A137" s="638" t="s">
        <v>543</v>
      </c>
      <c r="B137" s="639" t="s">
        <v>544</v>
      </c>
      <c r="C137" s="640" t="s">
        <v>553</v>
      </c>
      <c r="D137" s="641" t="s">
        <v>1225</v>
      </c>
      <c r="E137" s="640" t="s">
        <v>1873</v>
      </c>
      <c r="F137" s="641" t="s">
        <v>1874</v>
      </c>
      <c r="G137" s="640" t="s">
        <v>1413</v>
      </c>
      <c r="H137" s="640" t="s">
        <v>1414</v>
      </c>
      <c r="I137" s="642">
        <v>21.23</v>
      </c>
      <c r="J137" s="642">
        <v>285</v>
      </c>
      <c r="K137" s="643">
        <v>6050.5499999999993</v>
      </c>
    </row>
    <row r="138" spans="1:11" ht="14.4" customHeight="1" x14ac:dyDescent="0.3">
      <c r="A138" s="638" t="s">
        <v>543</v>
      </c>
      <c r="B138" s="639" t="s">
        <v>544</v>
      </c>
      <c r="C138" s="640" t="s">
        <v>553</v>
      </c>
      <c r="D138" s="641" t="s">
        <v>1225</v>
      </c>
      <c r="E138" s="640" t="s">
        <v>1873</v>
      </c>
      <c r="F138" s="641" t="s">
        <v>1874</v>
      </c>
      <c r="G138" s="640" t="s">
        <v>1415</v>
      </c>
      <c r="H138" s="640" t="s">
        <v>1416</v>
      </c>
      <c r="I138" s="642">
        <v>2.8800000000000003</v>
      </c>
      <c r="J138" s="642">
        <v>400</v>
      </c>
      <c r="K138" s="643">
        <v>1151.96</v>
      </c>
    </row>
    <row r="139" spans="1:11" ht="14.4" customHeight="1" x14ac:dyDescent="0.3">
      <c r="A139" s="638" t="s">
        <v>543</v>
      </c>
      <c r="B139" s="639" t="s">
        <v>544</v>
      </c>
      <c r="C139" s="640" t="s">
        <v>553</v>
      </c>
      <c r="D139" s="641" t="s">
        <v>1225</v>
      </c>
      <c r="E139" s="640" t="s">
        <v>1873</v>
      </c>
      <c r="F139" s="641" t="s">
        <v>1874</v>
      </c>
      <c r="G139" s="640" t="s">
        <v>1553</v>
      </c>
      <c r="H139" s="640" t="s">
        <v>1554</v>
      </c>
      <c r="I139" s="642">
        <v>0.47249999999999998</v>
      </c>
      <c r="J139" s="642">
        <v>5700</v>
      </c>
      <c r="K139" s="643">
        <v>2693</v>
      </c>
    </row>
    <row r="140" spans="1:11" ht="14.4" customHeight="1" x14ac:dyDescent="0.3">
      <c r="A140" s="638" t="s">
        <v>543</v>
      </c>
      <c r="B140" s="639" t="s">
        <v>544</v>
      </c>
      <c r="C140" s="640" t="s">
        <v>553</v>
      </c>
      <c r="D140" s="641" t="s">
        <v>1225</v>
      </c>
      <c r="E140" s="640" t="s">
        <v>1873</v>
      </c>
      <c r="F140" s="641" t="s">
        <v>1874</v>
      </c>
      <c r="G140" s="640" t="s">
        <v>1555</v>
      </c>
      <c r="H140" s="640" t="s">
        <v>1556</v>
      </c>
      <c r="I140" s="642">
        <v>12.1</v>
      </c>
      <c r="J140" s="642">
        <v>80</v>
      </c>
      <c r="K140" s="643">
        <v>968</v>
      </c>
    </row>
    <row r="141" spans="1:11" ht="14.4" customHeight="1" x14ac:dyDescent="0.3">
      <c r="A141" s="638" t="s">
        <v>543</v>
      </c>
      <c r="B141" s="639" t="s">
        <v>544</v>
      </c>
      <c r="C141" s="640" t="s">
        <v>553</v>
      </c>
      <c r="D141" s="641" t="s">
        <v>1225</v>
      </c>
      <c r="E141" s="640" t="s">
        <v>1873</v>
      </c>
      <c r="F141" s="641" t="s">
        <v>1874</v>
      </c>
      <c r="G141" s="640" t="s">
        <v>1557</v>
      </c>
      <c r="H141" s="640" t="s">
        <v>1558</v>
      </c>
      <c r="I141" s="642">
        <v>10.83</v>
      </c>
      <c r="J141" s="642">
        <v>36</v>
      </c>
      <c r="K141" s="643">
        <v>389.87</v>
      </c>
    </row>
    <row r="142" spans="1:11" ht="14.4" customHeight="1" x14ac:dyDescent="0.3">
      <c r="A142" s="638" t="s">
        <v>543</v>
      </c>
      <c r="B142" s="639" t="s">
        <v>544</v>
      </c>
      <c r="C142" s="640" t="s">
        <v>553</v>
      </c>
      <c r="D142" s="641" t="s">
        <v>1225</v>
      </c>
      <c r="E142" s="640" t="s">
        <v>1873</v>
      </c>
      <c r="F142" s="641" t="s">
        <v>1874</v>
      </c>
      <c r="G142" s="640" t="s">
        <v>1559</v>
      </c>
      <c r="H142" s="640" t="s">
        <v>1560</v>
      </c>
      <c r="I142" s="642">
        <v>106.48</v>
      </c>
      <c r="J142" s="642">
        <v>20</v>
      </c>
      <c r="K142" s="643">
        <v>2129.6</v>
      </c>
    </row>
    <row r="143" spans="1:11" ht="14.4" customHeight="1" x14ac:dyDescent="0.3">
      <c r="A143" s="638" t="s">
        <v>543</v>
      </c>
      <c r="B143" s="639" t="s">
        <v>544</v>
      </c>
      <c r="C143" s="640" t="s">
        <v>553</v>
      </c>
      <c r="D143" s="641" t="s">
        <v>1225</v>
      </c>
      <c r="E143" s="640" t="s">
        <v>1873</v>
      </c>
      <c r="F143" s="641" t="s">
        <v>1874</v>
      </c>
      <c r="G143" s="640" t="s">
        <v>1424</v>
      </c>
      <c r="H143" s="640" t="s">
        <v>1425</v>
      </c>
      <c r="I143" s="642">
        <v>494.64727272727265</v>
      </c>
      <c r="J143" s="642">
        <v>320</v>
      </c>
      <c r="K143" s="643">
        <v>158360.67000000001</v>
      </c>
    </row>
    <row r="144" spans="1:11" ht="14.4" customHeight="1" x14ac:dyDescent="0.3">
      <c r="A144" s="638" t="s">
        <v>543</v>
      </c>
      <c r="B144" s="639" t="s">
        <v>544</v>
      </c>
      <c r="C144" s="640" t="s">
        <v>553</v>
      </c>
      <c r="D144" s="641" t="s">
        <v>1225</v>
      </c>
      <c r="E144" s="640" t="s">
        <v>1873</v>
      </c>
      <c r="F144" s="641" t="s">
        <v>1874</v>
      </c>
      <c r="G144" s="640" t="s">
        <v>1561</v>
      </c>
      <c r="H144" s="640" t="s">
        <v>1562</v>
      </c>
      <c r="I144" s="642">
        <v>5</v>
      </c>
      <c r="J144" s="642">
        <v>300</v>
      </c>
      <c r="K144" s="643">
        <v>1500.17</v>
      </c>
    </row>
    <row r="145" spans="1:11" ht="14.4" customHeight="1" x14ac:dyDescent="0.3">
      <c r="A145" s="638" t="s">
        <v>543</v>
      </c>
      <c r="B145" s="639" t="s">
        <v>544</v>
      </c>
      <c r="C145" s="640" t="s">
        <v>553</v>
      </c>
      <c r="D145" s="641" t="s">
        <v>1225</v>
      </c>
      <c r="E145" s="640" t="s">
        <v>1873</v>
      </c>
      <c r="F145" s="641" t="s">
        <v>1874</v>
      </c>
      <c r="G145" s="640" t="s">
        <v>1561</v>
      </c>
      <c r="H145" s="640" t="s">
        <v>1563</v>
      </c>
      <c r="I145" s="642">
        <v>5</v>
      </c>
      <c r="J145" s="642">
        <v>100</v>
      </c>
      <c r="K145" s="643">
        <v>500.09</v>
      </c>
    </row>
    <row r="146" spans="1:11" ht="14.4" customHeight="1" x14ac:dyDescent="0.3">
      <c r="A146" s="638" t="s">
        <v>543</v>
      </c>
      <c r="B146" s="639" t="s">
        <v>544</v>
      </c>
      <c r="C146" s="640" t="s">
        <v>553</v>
      </c>
      <c r="D146" s="641" t="s">
        <v>1225</v>
      </c>
      <c r="E146" s="640" t="s">
        <v>1873</v>
      </c>
      <c r="F146" s="641" t="s">
        <v>1874</v>
      </c>
      <c r="G146" s="640" t="s">
        <v>1426</v>
      </c>
      <c r="H146" s="640" t="s">
        <v>1427</v>
      </c>
      <c r="I146" s="642">
        <v>113</v>
      </c>
      <c r="J146" s="642">
        <v>10</v>
      </c>
      <c r="K146" s="643">
        <v>1130</v>
      </c>
    </row>
    <row r="147" spans="1:11" ht="14.4" customHeight="1" x14ac:dyDescent="0.3">
      <c r="A147" s="638" t="s">
        <v>543</v>
      </c>
      <c r="B147" s="639" t="s">
        <v>544</v>
      </c>
      <c r="C147" s="640" t="s">
        <v>553</v>
      </c>
      <c r="D147" s="641" t="s">
        <v>1225</v>
      </c>
      <c r="E147" s="640" t="s">
        <v>1873</v>
      </c>
      <c r="F147" s="641" t="s">
        <v>1874</v>
      </c>
      <c r="G147" s="640" t="s">
        <v>1426</v>
      </c>
      <c r="H147" s="640" t="s">
        <v>1428</v>
      </c>
      <c r="I147" s="642">
        <v>102.73</v>
      </c>
      <c r="J147" s="642">
        <v>11</v>
      </c>
      <c r="K147" s="643">
        <v>1130.03</v>
      </c>
    </row>
    <row r="148" spans="1:11" ht="14.4" customHeight="1" x14ac:dyDescent="0.3">
      <c r="A148" s="638" t="s">
        <v>543</v>
      </c>
      <c r="B148" s="639" t="s">
        <v>544</v>
      </c>
      <c r="C148" s="640" t="s">
        <v>553</v>
      </c>
      <c r="D148" s="641" t="s">
        <v>1225</v>
      </c>
      <c r="E148" s="640" t="s">
        <v>1873</v>
      </c>
      <c r="F148" s="641" t="s">
        <v>1874</v>
      </c>
      <c r="G148" s="640" t="s">
        <v>1431</v>
      </c>
      <c r="H148" s="640" t="s">
        <v>1432</v>
      </c>
      <c r="I148" s="642">
        <v>350.9</v>
      </c>
      <c r="J148" s="642">
        <v>2</v>
      </c>
      <c r="K148" s="643">
        <v>701.8</v>
      </c>
    </row>
    <row r="149" spans="1:11" ht="14.4" customHeight="1" x14ac:dyDescent="0.3">
      <c r="A149" s="638" t="s">
        <v>543</v>
      </c>
      <c r="B149" s="639" t="s">
        <v>544</v>
      </c>
      <c r="C149" s="640" t="s">
        <v>553</v>
      </c>
      <c r="D149" s="641" t="s">
        <v>1225</v>
      </c>
      <c r="E149" s="640" t="s">
        <v>1873</v>
      </c>
      <c r="F149" s="641" t="s">
        <v>1874</v>
      </c>
      <c r="G149" s="640" t="s">
        <v>1447</v>
      </c>
      <c r="H149" s="640" t="s">
        <v>1448</v>
      </c>
      <c r="I149" s="642">
        <v>0.27</v>
      </c>
      <c r="J149" s="642">
        <v>500</v>
      </c>
      <c r="K149" s="643">
        <v>135</v>
      </c>
    </row>
    <row r="150" spans="1:11" ht="14.4" customHeight="1" x14ac:dyDescent="0.3">
      <c r="A150" s="638" t="s">
        <v>543</v>
      </c>
      <c r="B150" s="639" t="s">
        <v>544</v>
      </c>
      <c r="C150" s="640" t="s">
        <v>553</v>
      </c>
      <c r="D150" s="641" t="s">
        <v>1225</v>
      </c>
      <c r="E150" s="640" t="s">
        <v>1873</v>
      </c>
      <c r="F150" s="641" t="s">
        <v>1874</v>
      </c>
      <c r="G150" s="640" t="s">
        <v>1564</v>
      </c>
      <c r="H150" s="640" t="s">
        <v>1565</v>
      </c>
      <c r="I150" s="642">
        <v>6.4099999999999975</v>
      </c>
      <c r="J150" s="642">
        <v>39438</v>
      </c>
      <c r="K150" s="643">
        <v>252915.88999999998</v>
      </c>
    </row>
    <row r="151" spans="1:11" ht="14.4" customHeight="1" x14ac:dyDescent="0.3">
      <c r="A151" s="638" t="s">
        <v>543</v>
      </c>
      <c r="B151" s="639" t="s">
        <v>544</v>
      </c>
      <c r="C151" s="640" t="s">
        <v>553</v>
      </c>
      <c r="D151" s="641" t="s">
        <v>1225</v>
      </c>
      <c r="E151" s="640" t="s">
        <v>1873</v>
      </c>
      <c r="F151" s="641" t="s">
        <v>1874</v>
      </c>
      <c r="G151" s="640" t="s">
        <v>1566</v>
      </c>
      <c r="H151" s="640" t="s">
        <v>1567</v>
      </c>
      <c r="I151" s="642">
        <v>10.16</v>
      </c>
      <c r="J151" s="642">
        <v>3600</v>
      </c>
      <c r="K151" s="643">
        <v>36590.400000000001</v>
      </c>
    </row>
    <row r="152" spans="1:11" ht="14.4" customHeight="1" x14ac:dyDescent="0.3">
      <c r="A152" s="638" t="s">
        <v>543</v>
      </c>
      <c r="B152" s="639" t="s">
        <v>544</v>
      </c>
      <c r="C152" s="640" t="s">
        <v>553</v>
      </c>
      <c r="D152" s="641" t="s">
        <v>1225</v>
      </c>
      <c r="E152" s="640" t="s">
        <v>1873</v>
      </c>
      <c r="F152" s="641" t="s">
        <v>1874</v>
      </c>
      <c r="G152" s="640" t="s">
        <v>1568</v>
      </c>
      <c r="H152" s="640" t="s">
        <v>1569</v>
      </c>
      <c r="I152" s="642">
        <v>9.379999999999999</v>
      </c>
      <c r="J152" s="642">
        <v>6120</v>
      </c>
      <c r="K152" s="643">
        <v>57391.199999999997</v>
      </c>
    </row>
    <row r="153" spans="1:11" ht="14.4" customHeight="1" x14ac:dyDescent="0.3">
      <c r="A153" s="638" t="s">
        <v>543</v>
      </c>
      <c r="B153" s="639" t="s">
        <v>544</v>
      </c>
      <c r="C153" s="640" t="s">
        <v>553</v>
      </c>
      <c r="D153" s="641" t="s">
        <v>1225</v>
      </c>
      <c r="E153" s="640" t="s">
        <v>1873</v>
      </c>
      <c r="F153" s="641" t="s">
        <v>1874</v>
      </c>
      <c r="G153" s="640" t="s">
        <v>1570</v>
      </c>
      <c r="H153" s="640" t="s">
        <v>1571</v>
      </c>
      <c r="I153" s="642">
        <v>7.8653846153846168</v>
      </c>
      <c r="J153" s="642">
        <v>20328</v>
      </c>
      <c r="K153" s="643">
        <v>159902.76</v>
      </c>
    </row>
    <row r="154" spans="1:11" ht="14.4" customHeight="1" x14ac:dyDescent="0.3">
      <c r="A154" s="638" t="s">
        <v>543</v>
      </c>
      <c r="B154" s="639" t="s">
        <v>544</v>
      </c>
      <c r="C154" s="640" t="s">
        <v>553</v>
      </c>
      <c r="D154" s="641" t="s">
        <v>1225</v>
      </c>
      <c r="E154" s="640" t="s">
        <v>1873</v>
      </c>
      <c r="F154" s="641" t="s">
        <v>1874</v>
      </c>
      <c r="G154" s="640" t="s">
        <v>1572</v>
      </c>
      <c r="H154" s="640" t="s">
        <v>1573</v>
      </c>
      <c r="I154" s="642">
        <v>10.159999999999998</v>
      </c>
      <c r="J154" s="642">
        <v>9000</v>
      </c>
      <c r="K154" s="643">
        <v>91473.12</v>
      </c>
    </row>
    <row r="155" spans="1:11" ht="14.4" customHeight="1" x14ac:dyDescent="0.3">
      <c r="A155" s="638" t="s">
        <v>543</v>
      </c>
      <c r="B155" s="639" t="s">
        <v>544</v>
      </c>
      <c r="C155" s="640" t="s">
        <v>553</v>
      </c>
      <c r="D155" s="641" t="s">
        <v>1225</v>
      </c>
      <c r="E155" s="640" t="s">
        <v>1873</v>
      </c>
      <c r="F155" s="641" t="s">
        <v>1874</v>
      </c>
      <c r="G155" s="640" t="s">
        <v>1574</v>
      </c>
      <c r="H155" s="640" t="s">
        <v>1575</v>
      </c>
      <c r="I155" s="642">
        <v>8.83</v>
      </c>
      <c r="J155" s="642">
        <v>4320</v>
      </c>
      <c r="K155" s="643">
        <v>38158.550000000003</v>
      </c>
    </row>
    <row r="156" spans="1:11" ht="14.4" customHeight="1" x14ac:dyDescent="0.3">
      <c r="A156" s="638" t="s">
        <v>543</v>
      </c>
      <c r="B156" s="639" t="s">
        <v>544</v>
      </c>
      <c r="C156" s="640" t="s">
        <v>553</v>
      </c>
      <c r="D156" s="641" t="s">
        <v>1225</v>
      </c>
      <c r="E156" s="640" t="s">
        <v>1873</v>
      </c>
      <c r="F156" s="641" t="s">
        <v>1874</v>
      </c>
      <c r="G156" s="640" t="s">
        <v>1451</v>
      </c>
      <c r="H156" s="640" t="s">
        <v>1452</v>
      </c>
      <c r="I156" s="642">
        <v>1.87</v>
      </c>
      <c r="J156" s="642">
        <v>200</v>
      </c>
      <c r="K156" s="643">
        <v>374.9</v>
      </c>
    </row>
    <row r="157" spans="1:11" ht="14.4" customHeight="1" x14ac:dyDescent="0.3">
      <c r="A157" s="638" t="s">
        <v>543</v>
      </c>
      <c r="B157" s="639" t="s">
        <v>544</v>
      </c>
      <c r="C157" s="640" t="s">
        <v>553</v>
      </c>
      <c r="D157" s="641" t="s">
        <v>1225</v>
      </c>
      <c r="E157" s="640" t="s">
        <v>1873</v>
      </c>
      <c r="F157" s="641" t="s">
        <v>1874</v>
      </c>
      <c r="G157" s="640" t="s">
        <v>1453</v>
      </c>
      <c r="H157" s="640" t="s">
        <v>1454</v>
      </c>
      <c r="I157" s="642">
        <v>1.9466666666666665</v>
      </c>
      <c r="J157" s="642">
        <v>700</v>
      </c>
      <c r="K157" s="643">
        <v>1375.5800000000002</v>
      </c>
    </row>
    <row r="158" spans="1:11" ht="14.4" customHeight="1" x14ac:dyDescent="0.3">
      <c r="A158" s="638" t="s">
        <v>543</v>
      </c>
      <c r="B158" s="639" t="s">
        <v>544</v>
      </c>
      <c r="C158" s="640" t="s">
        <v>553</v>
      </c>
      <c r="D158" s="641" t="s">
        <v>1225</v>
      </c>
      <c r="E158" s="640" t="s">
        <v>1873</v>
      </c>
      <c r="F158" s="641" t="s">
        <v>1874</v>
      </c>
      <c r="G158" s="640" t="s">
        <v>1576</v>
      </c>
      <c r="H158" s="640" t="s">
        <v>1577</v>
      </c>
      <c r="I158" s="642">
        <v>178.84</v>
      </c>
      <c r="J158" s="642">
        <v>50</v>
      </c>
      <c r="K158" s="643">
        <v>8942.2000000000007</v>
      </c>
    </row>
    <row r="159" spans="1:11" ht="14.4" customHeight="1" x14ac:dyDescent="0.3">
      <c r="A159" s="638" t="s">
        <v>543</v>
      </c>
      <c r="B159" s="639" t="s">
        <v>544</v>
      </c>
      <c r="C159" s="640" t="s">
        <v>553</v>
      </c>
      <c r="D159" s="641" t="s">
        <v>1225</v>
      </c>
      <c r="E159" s="640" t="s">
        <v>1873</v>
      </c>
      <c r="F159" s="641" t="s">
        <v>1874</v>
      </c>
      <c r="G159" s="640" t="s">
        <v>1578</v>
      </c>
      <c r="H159" s="640" t="s">
        <v>1579</v>
      </c>
      <c r="I159" s="642">
        <v>265.95999999999998</v>
      </c>
      <c r="J159" s="642">
        <v>24</v>
      </c>
      <c r="K159" s="643">
        <v>6382.99</v>
      </c>
    </row>
    <row r="160" spans="1:11" ht="14.4" customHeight="1" x14ac:dyDescent="0.3">
      <c r="A160" s="638" t="s">
        <v>543</v>
      </c>
      <c r="B160" s="639" t="s">
        <v>544</v>
      </c>
      <c r="C160" s="640" t="s">
        <v>553</v>
      </c>
      <c r="D160" s="641" t="s">
        <v>1225</v>
      </c>
      <c r="E160" s="640" t="s">
        <v>1873</v>
      </c>
      <c r="F160" s="641" t="s">
        <v>1874</v>
      </c>
      <c r="G160" s="640" t="s">
        <v>1580</v>
      </c>
      <c r="H160" s="640" t="s">
        <v>1581</v>
      </c>
      <c r="I160" s="642">
        <v>20.7</v>
      </c>
      <c r="J160" s="642">
        <v>100</v>
      </c>
      <c r="K160" s="643">
        <v>2070</v>
      </c>
    </row>
    <row r="161" spans="1:11" ht="14.4" customHeight="1" x14ac:dyDescent="0.3">
      <c r="A161" s="638" t="s">
        <v>543</v>
      </c>
      <c r="B161" s="639" t="s">
        <v>544</v>
      </c>
      <c r="C161" s="640" t="s">
        <v>553</v>
      </c>
      <c r="D161" s="641" t="s">
        <v>1225</v>
      </c>
      <c r="E161" s="640" t="s">
        <v>1873</v>
      </c>
      <c r="F161" s="641" t="s">
        <v>1874</v>
      </c>
      <c r="G161" s="640" t="s">
        <v>1582</v>
      </c>
      <c r="H161" s="640" t="s">
        <v>1583</v>
      </c>
      <c r="I161" s="642">
        <v>20.7</v>
      </c>
      <c r="J161" s="642">
        <v>600</v>
      </c>
      <c r="K161" s="643">
        <v>12420</v>
      </c>
    </row>
    <row r="162" spans="1:11" ht="14.4" customHeight="1" x14ac:dyDescent="0.3">
      <c r="A162" s="638" t="s">
        <v>543</v>
      </c>
      <c r="B162" s="639" t="s">
        <v>544</v>
      </c>
      <c r="C162" s="640" t="s">
        <v>553</v>
      </c>
      <c r="D162" s="641" t="s">
        <v>1225</v>
      </c>
      <c r="E162" s="640" t="s">
        <v>1873</v>
      </c>
      <c r="F162" s="641" t="s">
        <v>1874</v>
      </c>
      <c r="G162" s="640" t="s">
        <v>1455</v>
      </c>
      <c r="H162" s="640" t="s">
        <v>1456</v>
      </c>
      <c r="I162" s="642">
        <v>318</v>
      </c>
      <c r="J162" s="642">
        <v>2</v>
      </c>
      <c r="K162" s="643">
        <v>636</v>
      </c>
    </row>
    <row r="163" spans="1:11" ht="14.4" customHeight="1" x14ac:dyDescent="0.3">
      <c r="A163" s="638" t="s">
        <v>543</v>
      </c>
      <c r="B163" s="639" t="s">
        <v>544</v>
      </c>
      <c r="C163" s="640" t="s">
        <v>553</v>
      </c>
      <c r="D163" s="641" t="s">
        <v>1225</v>
      </c>
      <c r="E163" s="640" t="s">
        <v>1873</v>
      </c>
      <c r="F163" s="641" t="s">
        <v>1874</v>
      </c>
      <c r="G163" s="640" t="s">
        <v>1584</v>
      </c>
      <c r="H163" s="640" t="s">
        <v>1585</v>
      </c>
      <c r="I163" s="642">
        <v>5.81</v>
      </c>
      <c r="J163" s="642">
        <v>160</v>
      </c>
      <c r="K163" s="643">
        <v>929.28</v>
      </c>
    </row>
    <row r="164" spans="1:11" ht="14.4" customHeight="1" x14ac:dyDescent="0.3">
      <c r="A164" s="638" t="s">
        <v>543</v>
      </c>
      <c r="B164" s="639" t="s">
        <v>544</v>
      </c>
      <c r="C164" s="640" t="s">
        <v>553</v>
      </c>
      <c r="D164" s="641" t="s">
        <v>1225</v>
      </c>
      <c r="E164" s="640" t="s">
        <v>1873</v>
      </c>
      <c r="F164" s="641" t="s">
        <v>1874</v>
      </c>
      <c r="G164" s="640" t="s">
        <v>1586</v>
      </c>
      <c r="H164" s="640" t="s">
        <v>1587</v>
      </c>
      <c r="I164" s="642">
        <v>399</v>
      </c>
      <c r="J164" s="642">
        <v>4</v>
      </c>
      <c r="K164" s="643">
        <v>1595.99</v>
      </c>
    </row>
    <row r="165" spans="1:11" ht="14.4" customHeight="1" x14ac:dyDescent="0.3">
      <c r="A165" s="638" t="s">
        <v>543</v>
      </c>
      <c r="B165" s="639" t="s">
        <v>544</v>
      </c>
      <c r="C165" s="640" t="s">
        <v>553</v>
      </c>
      <c r="D165" s="641" t="s">
        <v>1225</v>
      </c>
      <c r="E165" s="640" t="s">
        <v>1883</v>
      </c>
      <c r="F165" s="641" t="s">
        <v>1884</v>
      </c>
      <c r="G165" s="640" t="s">
        <v>1588</v>
      </c>
      <c r="H165" s="640" t="s">
        <v>1589</v>
      </c>
      <c r="I165" s="642">
        <v>90.63</v>
      </c>
      <c r="J165" s="642">
        <v>1</v>
      </c>
      <c r="K165" s="643">
        <v>90.63</v>
      </c>
    </row>
    <row r="166" spans="1:11" ht="14.4" customHeight="1" x14ac:dyDescent="0.3">
      <c r="A166" s="638" t="s">
        <v>543</v>
      </c>
      <c r="B166" s="639" t="s">
        <v>544</v>
      </c>
      <c r="C166" s="640" t="s">
        <v>553</v>
      </c>
      <c r="D166" s="641" t="s">
        <v>1225</v>
      </c>
      <c r="E166" s="640" t="s">
        <v>1883</v>
      </c>
      <c r="F166" s="641" t="s">
        <v>1884</v>
      </c>
      <c r="G166" s="640" t="s">
        <v>1590</v>
      </c>
      <c r="H166" s="640" t="s">
        <v>1591</v>
      </c>
      <c r="I166" s="642">
        <v>33.880000000000003</v>
      </c>
      <c r="J166" s="642">
        <v>1</v>
      </c>
      <c r="K166" s="643">
        <v>33.880000000000003</v>
      </c>
    </row>
    <row r="167" spans="1:11" ht="14.4" customHeight="1" x14ac:dyDescent="0.3">
      <c r="A167" s="638" t="s">
        <v>543</v>
      </c>
      <c r="B167" s="639" t="s">
        <v>544</v>
      </c>
      <c r="C167" s="640" t="s">
        <v>553</v>
      </c>
      <c r="D167" s="641" t="s">
        <v>1225</v>
      </c>
      <c r="E167" s="640" t="s">
        <v>1885</v>
      </c>
      <c r="F167" s="641" t="s">
        <v>1886</v>
      </c>
      <c r="G167" s="640" t="s">
        <v>1592</v>
      </c>
      <c r="H167" s="640" t="s">
        <v>1593</v>
      </c>
      <c r="I167" s="642">
        <v>7</v>
      </c>
      <c r="J167" s="642">
        <v>25</v>
      </c>
      <c r="K167" s="643">
        <v>175</v>
      </c>
    </row>
    <row r="168" spans="1:11" ht="14.4" customHeight="1" x14ac:dyDescent="0.3">
      <c r="A168" s="638" t="s">
        <v>543</v>
      </c>
      <c r="B168" s="639" t="s">
        <v>544</v>
      </c>
      <c r="C168" s="640" t="s">
        <v>553</v>
      </c>
      <c r="D168" s="641" t="s">
        <v>1225</v>
      </c>
      <c r="E168" s="640" t="s">
        <v>1875</v>
      </c>
      <c r="F168" s="641" t="s">
        <v>1876</v>
      </c>
      <c r="G168" s="640" t="s">
        <v>1594</v>
      </c>
      <c r="H168" s="640" t="s">
        <v>1595</v>
      </c>
      <c r="I168" s="642">
        <v>0.3</v>
      </c>
      <c r="J168" s="642">
        <v>400</v>
      </c>
      <c r="K168" s="643">
        <v>120</v>
      </c>
    </row>
    <row r="169" spans="1:11" ht="14.4" customHeight="1" x14ac:dyDescent="0.3">
      <c r="A169" s="638" t="s">
        <v>543</v>
      </c>
      <c r="B169" s="639" t="s">
        <v>544</v>
      </c>
      <c r="C169" s="640" t="s">
        <v>553</v>
      </c>
      <c r="D169" s="641" t="s">
        <v>1225</v>
      </c>
      <c r="E169" s="640" t="s">
        <v>1875</v>
      </c>
      <c r="F169" s="641" t="s">
        <v>1876</v>
      </c>
      <c r="G169" s="640" t="s">
        <v>1596</v>
      </c>
      <c r="H169" s="640" t="s">
        <v>1597</v>
      </c>
      <c r="I169" s="642">
        <v>0.30333333333333329</v>
      </c>
      <c r="J169" s="642">
        <v>400</v>
      </c>
      <c r="K169" s="643">
        <v>122</v>
      </c>
    </row>
    <row r="170" spans="1:11" ht="14.4" customHeight="1" x14ac:dyDescent="0.3">
      <c r="A170" s="638" t="s">
        <v>543</v>
      </c>
      <c r="B170" s="639" t="s">
        <v>544</v>
      </c>
      <c r="C170" s="640" t="s">
        <v>553</v>
      </c>
      <c r="D170" s="641" t="s">
        <v>1225</v>
      </c>
      <c r="E170" s="640" t="s">
        <v>1875</v>
      </c>
      <c r="F170" s="641" t="s">
        <v>1876</v>
      </c>
      <c r="G170" s="640" t="s">
        <v>1598</v>
      </c>
      <c r="H170" s="640" t="s">
        <v>1599</v>
      </c>
      <c r="I170" s="642">
        <v>0.48</v>
      </c>
      <c r="J170" s="642">
        <v>200</v>
      </c>
      <c r="K170" s="643">
        <v>96</v>
      </c>
    </row>
    <row r="171" spans="1:11" ht="14.4" customHeight="1" x14ac:dyDescent="0.3">
      <c r="A171" s="638" t="s">
        <v>543</v>
      </c>
      <c r="B171" s="639" t="s">
        <v>544</v>
      </c>
      <c r="C171" s="640" t="s">
        <v>553</v>
      </c>
      <c r="D171" s="641" t="s">
        <v>1225</v>
      </c>
      <c r="E171" s="640" t="s">
        <v>1875</v>
      </c>
      <c r="F171" s="641" t="s">
        <v>1876</v>
      </c>
      <c r="G171" s="640" t="s">
        <v>1479</v>
      </c>
      <c r="H171" s="640" t="s">
        <v>1480</v>
      </c>
      <c r="I171" s="642">
        <v>0.48428571428571437</v>
      </c>
      <c r="J171" s="642">
        <v>800</v>
      </c>
      <c r="K171" s="643">
        <v>388</v>
      </c>
    </row>
    <row r="172" spans="1:11" ht="14.4" customHeight="1" x14ac:dyDescent="0.3">
      <c r="A172" s="638" t="s">
        <v>543</v>
      </c>
      <c r="B172" s="639" t="s">
        <v>544</v>
      </c>
      <c r="C172" s="640" t="s">
        <v>553</v>
      </c>
      <c r="D172" s="641" t="s">
        <v>1225</v>
      </c>
      <c r="E172" s="640" t="s">
        <v>1875</v>
      </c>
      <c r="F172" s="641" t="s">
        <v>1876</v>
      </c>
      <c r="G172" s="640" t="s">
        <v>1600</v>
      </c>
      <c r="H172" s="640" t="s">
        <v>1601</v>
      </c>
      <c r="I172" s="642">
        <v>0.3</v>
      </c>
      <c r="J172" s="642">
        <v>1600</v>
      </c>
      <c r="K172" s="643">
        <v>485.7600000000001</v>
      </c>
    </row>
    <row r="173" spans="1:11" ht="14.4" customHeight="1" x14ac:dyDescent="0.3">
      <c r="A173" s="638" t="s">
        <v>543</v>
      </c>
      <c r="B173" s="639" t="s">
        <v>544</v>
      </c>
      <c r="C173" s="640" t="s">
        <v>553</v>
      </c>
      <c r="D173" s="641" t="s">
        <v>1225</v>
      </c>
      <c r="E173" s="640" t="s">
        <v>1877</v>
      </c>
      <c r="F173" s="641" t="s">
        <v>1878</v>
      </c>
      <c r="G173" s="640" t="s">
        <v>1602</v>
      </c>
      <c r="H173" s="640" t="s">
        <v>1603</v>
      </c>
      <c r="I173" s="642">
        <v>0.73</v>
      </c>
      <c r="J173" s="642">
        <v>200</v>
      </c>
      <c r="K173" s="643">
        <v>146</v>
      </c>
    </row>
    <row r="174" spans="1:11" ht="14.4" customHeight="1" x14ac:dyDescent="0.3">
      <c r="A174" s="638" t="s">
        <v>543</v>
      </c>
      <c r="B174" s="639" t="s">
        <v>544</v>
      </c>
      <c r="C174" s="640" t="s">
        <v>553</v>
      </c>
      <c r="D174" s="641" t="s">
        <v>1225</v>
      </c>
      <c r="E174" s="640" t="s">
        <v>1877</v>
      </c>
      <c r="F174" s="641" t="s">
        <v>1878</v>
      </c>
      <c r="G174" s="640" t="s">
        <v>1481</v>
      </c>
      <c r="H174" s="640" t="s">
        <v>1482</v>
      </c>
      <c r="I174" s="642">
        <v>0.70692307692307677</v>
      </c>
      <c r="J174" s="642">
        <v>48200</v>
      </c>
      <c r="K174" s="643">
        <v>34062</v>
      </c>
    </row>
    <row r="175" spans="1:11" ht="14.4" customHeight="1" x14ac:dyDescent="0.3">
      <c r="A175" s="638" t="s">
        <v>543</v>
      </c>
      <c r="B175" s="639" t="s">
        <v>544</v>
      </c>
      <c r="C175" s="640" t="s">
        <v>553</v>
      </c>
      <c r="D175" s="641" t="s">
        <v>1225</v>
      </c>
      <c r="E175" s="640" t="s">
        <v>1877</v>
      </c>
      <c r="F175" s="641" t="s">
        <v>1878</v>
      </c>
      <c r="G175" s="640" t="s">
        <v>1604</v>
      </c>
      <c r="H175" s="640" t="s">
        <v>1605</v>
      </c>
      <c r="I175" s="642">
        <v>12.58</v>
      </c>
      <c r="J175" s="642">
        <v>40</v>
      </c>
      <c r="K175" s="643">
        <v>503.2</v>
      </c>
    </row>
    <row r="176" spans="1:11" ht="14.4" customHeight="1" x14ac:dyDescent="0.3">
      <c r="A176" s="638" t="s">
        <v>543</v>
      </c>
      <c r="B176" s="639" t="s">
        <v>544</v>
      </c>
      <c r="C176" s="640" t="s">
        <v>553</v>
      </c>
      <c r="D176" s="641" t="s">
        <v>1225</v>
      </c>
      <c r="E176" s="640" t="s">
        <v>1877</v>
      </c>
      <c r="F176" s="641" t="s">
        <v>1878</v>
      </c>
      <c r="G176" s="640" t="s">
        <v>1606</v>
      </c>
      <c r="H176" s="640" t="s">
        <v>1607</v>
      </c>
      <c r="I176" s="642">
        <v>12.59</v>
      </c>
      <c r="J176" s="642">
        <v>50</v>
      </c>
      <c r="K176" s="643">
        <v>629.5</v>
      </c>
    </row>
    <row r="177" spans="1:11" ht="14.4" customHeight="1" x14ac:dyDescent="0.3">
      <c r="A177" s="638" t="s">
        <v>543</v>
      </c>
      <c r="B177" s="639" t="s">
        <v>544</v>
      </c>
      <c r="C177" s="640" t="s">
        <v>553</v>
      </c>
      <c r="D177" s="641" t="s">
        <v>1225</v>
      </c>
      <c r="E177" s="640" t="s">
        <v>1877</v>
      </c>
      <c r="F177" s="641" t="s">
        <v>1878</v>
      </c>
      <c r="G177" s="640" t="s">
        <v>1608</v>
      </c>
      <c r="H177" s="640" t="s">
        <v>1609</v>
      </c>
      <c r="I177" s="642">
        <v>0.9</v>
      </c>
      <c r="J177" s="642">
        <v>600</v>
      </c>
      <c r="K177" s="643">
        <v>537.24</v>
      </c>
    </row>
    <row r="178" spans="1:11" ht="14.4" customHeight="1" x14ac:dyDescent="0.3">
      <c r="A178" s="638" t="s">
        <v>543</v>
      </c>
      <c r="B178" s="639" t="s">
        <v>544</v>
      </c>
      <c r="C178" s="640" t="s">
        <v>553</v>
      </c>
      <c r="D178" s="641" t="s">
        <v>1225</v>
      </c>
      <c r="E178" s="640" t="s">
        <v>1877</v>
      </c>
      <c r="F178" s="641" t="s">
        <v>1878</v>
      </c>
      <c r="G178" s="640" t="s">
        <v>1610</v>
      </c>
      <c r="H178" s="640" t="s">
        <v>1611</v>
      </c>
      <c r="I178" s="642">
        <v>0.9</v>
      </c>
      <c r="J178" s="642">
        <v>180</v>
      </c>
      <c r="K178" s="643">
        <v>161.16999999999999</v>
      </c>
    </row>
    <row r="179" spans="1:11" ht="14.4" customHeight="1" x14ac:dyDescent="0.3">
      <c r="A179" s="638" t="s">
        <v>543</v>
      </c>
      <c r="B179" s="639" t="s">
        <v>544</v>
      </c>
      <c r="C179" s="640" t="s">
        <v>553</v>
      </c>
      <c r="D179" s="641" t="s">
        <v>1225</v>
      </c>
      <c r="E179" s="640" t="s">
        <v>1877</v>
      </c>
      <c r="F179" s="641" t="s">
        <v>1878</v>
      </c>
      <c r="G179" s="640" t="s">
        <v>1612</v>
      </c>
      <c r="H179" s="640" t="s">
        <v>1613</v>
      </c>
      <c r="I179" s="642">
        <v>0.9</v>
      </c>
      <c r="J179" s="642">
        <v>200</v>
      </c>
      <c r="K179" s="643">
        <v>179.08</v>
      </c>
    </row>
    <row r="180" spans="1:11" ht="14.4" customHeight="1" x14ac:dyDescent="0.3">
      <c r="A180" s="638" t="s">
        <v>543</v>
      </c>
      <c r="B180" s="639" t="s">
        <v>544</v>
      </c>
      <c r="C180" s="640" t="s">
        <v>553</v>
      </c>
      <c r="D180" s="641" t="s">
        <v>1225</v>
      </c>
      <c r="E180" s="640" t="s">
        <v>1877</v>
      </c>
      <c r="F180" s="641" t="s">
        <v>1878</v>
      </c>
      <c r="G180" s="640" t="s">
        <v>1614</v>
      </c>
      <c r="H180" s="640" t="s">
        <v>1615</v>
      </c>
      <c r="I180" s="642">
        <v>0.9</v>
      </c>
      <c r="J180" s="642">
        <v>1000</v>
      </c>
      <c r="K180" s="643">
        <v>895.4</v>
      </c>
    </row>
    <row r="181" spans="1:11" ht="14.4" customHeight="1" x14ac:dyDescent="0.3">
      <c r="A181" s="638" t="s">
        <v>543</v>
      </c>
      <c r="B181" s="639" t="s">
        <v>544</v>
      </c>
      <c r="C181" s="640" t="s">
        <v>553</v>
      </c>
      <c r="D181" s="641" t="s">
        <v>1225</v>
      </c>
      <c r="E181" s="640" t="s">
        <v>1877</v>
      </c>
      <c r="F181" s="641" t="s">
        <v>1878</v>
      </c>
      <c r="G181" s="640" t="s">
        <v>1616</v>
      </c>
      <c r="H181" s="640" t="s">
        <v>1617</v>
      </c>
      <c r="I181" s="642">
        <v>0.9</v>
      </c>
      <c r="J181" s="642">
        <v>1800</v>
      </c>
      <c r="K181" s="643">
        <v>1611.72</v>
      </c>
    </row>
    <row r="182" spans="1:11" ht="14.4" customHeight="1" x14ac:dyDescent="0.3">
      <c r="A182" s="638" t="s">
        <v>543</v>
      </c>
      <c r="B182" s="639" t="s">
        <v>544</v>
      </c>
      <c r="C182" s="640" t="s">
        <v>553</v>
      </c>
      <c r="D182" s="641" t="s">
        <v>1225</v>
      </c>
      <c r="E182" s="640" t="s">
        <v>1879</v>
      </c>
      <c r="F182" s="641" t="s">
        <v>1880</v>
      </c>
      <c r="G182" s="640" t="s">
        <v>1491</v>
      </c>
      <c r="H182" s="640" t="s">
        <v>1492</v>
      </c>
      <c r="I182" s="642">
        <v>139.43888888888893</v>
      </c>
      <c r="J182" s="642">
        <v>85</v>
      </c>
      <c r="K182" s="643">
        <v>11852.189999999999</v>
      </c>
    </row>
    <row r="183" spans="1:11" ht="14.4" customHeight="1" x14ac:dyDescent="0.3">
      <c r="A183" s="638" t="s">
        <v>543</v>
      </c>
      <c r="B183" s="639" t="s">
        <v>544</v>
      </c>
      <c r="C183" s="640" t="s">
        <v>553</v>
      </c>
      <c r="D183" s="641" t="s">
        <v>1225</v>
      </c>
      <c r="E183" s="640" t="s">
        <v>1879</v>
      </c>
      <c r="F183" s="641" t="s">
        <v>1880</v>
      </c>
      <c r="G183" s="640" t="s">
        <v>1493</v>
      </c>
      <c r="H183" s="640" t="s">
        <v>1494</v>
      </c>
      <c r="I183" s="642">
        <v>11.65</v>
      </c>
      <c r="J183" s="642">
        <v>30</v>
      </c>
      <c r="K183" s="643">
        <v>349.52</v>
      </c>
    </row>
    <row r="184" spans="1:11" ht="14.4" customHeight="1" x14ac:dyDescent="0.3">
      <c r="A184" s="638" t="s">
        <v>543</v>
      </c>
      <c r="B184" s="639" t="s">
        <v>544</v>
      </c>
      <c r="C184" s="640" t="s">
        <v>553</v>
      </c>
      <c r="D184" s="641" t="s">
        <v>1225</v>
      </c>
      <c r="E184" s="640" t="s">
        <v>1879</v>
      </c>
      <c r="F184" s="641" t="s">
        <v>1880</v>
      </c>
      <c r="G184" s="640" t="s">
        <v>1618</v>
      </c>
      <c r="H184" s="640" t="s">
        <v>1619</v>
      </c>
      <c r="I184" s="642">
        <v>147.62</v>
      </c>
      <c r="J184" s="642">
        <v>6</v>
      </c>
      <c r="K184" s="643">
        <v>895.40000000000009</v>
      </c>
    </row>
    <row r="185" spans="1:11" ht="14.4" customHeight="1" x14ac:dyDescent="0.3">
      <c r="A185" s="638" t="s">
        <v>543</v>
      </c>
      <c r="B185" s="639" t="s">
        <v>544</v>
      </c>
      <c r="C185" s="640" t="s">
        <v>553</v>
      </c>
      <c r="D185" s="641" t="s">
        <v>1225</v>
      </c>
      <c r="E185" s="640" t="s">
        <v>1879</v>
      </c>
      <c r="F185" s="641" t="s">
        <v>1880</v>
      </c>
      <c r="G185" s="640" t="s">
        <v>1620</v>
      </c>
      <c r="H185" s="640" t="s">
        <v>1621</v>
      </c>
      <c r="I185" s="642">
        <v>3709.67</v>
      </c>
      <c r="J185" s="642">
        <v>1</v>
      </c>
      <c r="K185" s="643">
        <v>3709.67</v>
      </c>
    </row>
    <row r="186" spans="1:11" ht="14.4" customHeight="1" x14ac:dyDescent="0.3">
      <c r="A186" s="638" t="s">
        <v>543</v>
      </c>
      <c r="B186" s="639" t="s">
        <v>544</v>
      </c>
      <c r="C186" s="640" t="s">
        <v>553</v>
      </c>
      <c r="D186" s="641" t="s">
        <v>1225</v>
      </c>
      <c r="E186" s="640" t="s">
        <v>1879</v>
      </c>
      <c r="F186" s="641" t="s">
        <v>1880</v>
      </c>
      <c r="G186" s="640" t="s">
        <v>1622</v>
      </c>
      <c r="H186" s="640" t="s">
        <v>1623</v>
      </c>
      <c r="I186" s="642">
        <v>2210.7199999999998</v>
      </c>
      <c r="J186" s="642">
        <v>1</v>
      </c>
      <c r="K186" s="643">
        <v>2210.7199999999998</v>
      </c>
    </row>
    <row r="187" spans="1:11" ht="14.4" customHeight="1" x14ac:dyDescent="0.3">
      <c r="A187" s="638" t="s">
        <v>543</v>
      </c>
      <c r="B187" s="639" t="s">
        <v>544</v>
      </c>
      <c r="C187" s="640" t="s">
        <v>553</v>
      </c>
      <c r="D187" s="641" t="s">
        <v>1225</v>
      </c>
      <c r="E187" s="640" t="s">
        <v>1879</v>
      </c>
      <c r="F187" s="641" t="s">
        <v>1880</v>
      </c>
      <c r="G187" s="640" t="s">
        <v>1495</v>
      </c>
      <c r="H187" s="640" t="s">
        <v>1496</v>
      </c>
      <c r="I187" s="642">
        <v>3035.3100000000004</v>
      </c>
      <c r="J187" s="642">
        <v>11</v>
      </c>
      <c r="K187" s="643">
        <v>33388.410000000003</v>
      </c>
    </row>
    <row r="188" spans="1:11" ht="14.4" customHeight="1" x14ac:dyDescent="0.3">
      <c r="A188" s="638" t="s">
        <v>543</v>
      </c>
      <c r="B188" s="639" t="s">
        <v>544</v>
      </c>
      <c r="C188" s="640" t="s">
        <v>553</v>
      </c>
      <c r="D188" s="641" t="s">
        <v>1225</v>
      </c>
      <c r="E188" s="640" t="s">
        <v>1879</v>
      </c>
      <c r="F188" s="641" t="s">
        <v>1880</v>
      </c>
      <c r="G188" s="640" t="s">
        <v>1497</v>
      </c>
      <c r="H188" s="640" t="s">
        <v>1498</v>
      </c>
      <c r="I188" s="642">
        <v>16187.72</v>
      </c>
      <c r="J188" s="642">
        <v>0.75</v>
      </c>
      <c r="K188" s="643">
        <v>12140.789999999999</v>
      </c>
    </row>
    <row r="189" spans="1:11" ht="14.4" customHeight="1" x14ac:dyDescent="0.3">
      <c r="A189" s="638" t="s">
        <v>543</v>
      </c>
      <c r="B189" s="639" t="s">
        <v>544</v>
      </c>
      <c r="C189" s="640" t="s">
        <v>553</v>
      </c>
      <c r="D189" s="641" t="s">
        <v>1225</v>
      </c>
      <c r="E189" s="640" t="s">
        <v>1879</v>
      </c>
      <c r="F189" s="641" t="s">
        <v>1880</v>
      </c>
      <c r="G189" s="640" t="s">
        <v>1499</v>
      </c>
      <c r="H189" s="640" t="s">
        <v>1500</v>
      </c>
      <c r="I189" s="642">
        <v>2722.5</v>
      </c>
      <c r="J189" s="642">
        <v>39</v>
      </c>
      <c r="K189" s="643">
        <v>106177.48999999999</v>
      </c>
    </row>
    <row r="190" spans="1:11" ht="14.4" customHeight="1" x14ac:dyDescent="0.3">
      <c r="A190" s="638" t="s">
        <v>543</v>
      </c>
      <c r="B190" s="639" t="s">
        <v>544</v>
      </c>
      <c r="C190" s="640" t="s">
        <v>553</v>
      </c>
      <c r="D190" s="641" t="s">
        <v>1225</v>
      </c>
      <c r="E190" s="640" t="s">
        <v>1879</v>
      </c>
      <c r="F190" s="641" t="s">
        <v>1880</v>
      </c>
      <c r="G190" s="640" t="s">
        <v>1624</v>
      </c>
      <c r="H190" s="640" t="s">
        <v>1625</v>
      </c>
      <c r="I190" s="642">
        <v>2277.85</v>
      </c>
      <c r="J190" s="642">
        <v>3</v>
      </c>
      <c r="K190" s="643">
        <v>6833.5499999999993</v>
      </c>
    </row>
    <row r="191" spans="1:11" ht="14.4" customHeight="1" x14ac:dyDescent="0.3">
      <c r="A191" s="638" t="s">
        <v>543</v>
      </c>
      <c r="B191" s="639" t="s">
        <v>544</v>
      </c>
      <c r="C191" s="640" t="s">
        <v>553</v>
      </c>
      <c r="D191" s="641" t="s">
        <v>1225</v>
      </c>
      <c r="E191" s="640" t="s">
        <v>1879</v>
      </c>
      <c r="F191" s="641" t="s">
        <v>1880</v>
      </c>
      <c r="G191" s="640" t="s">
        <v>1626</v>
      </c>
      <c r="H191" s="640" t="s">
        <v>1627</v>
      </c>
      <c r="I191" s="642">
        <v>3130.7514285714287</v>
      </c>
      <c r="J191" s="642">
        <v>7</v>
      </c>
      <c r="K191" s="643">
        <v>21915.260000000002</v>
      </c>
    </row>
    <row r="192" spans="1:11" ht="14.4" customHeight="1" x14ac:dyDescent="0.3">
      <c r="A192" s="638" t="s">
        <v>543</v>
      </c>
      <c r="B192" s="639" t="s">
        <v>544</v>
      </c>
      <c r="C192" s="640" t="s">
        <v>553</v>
      </c>
      <c r="D192" s="641" t="s">
        <v>1225</v>
      </c>
      <c r="E192" s="640" t="s">
        <v>1879</v>
      </c>
      <c r="F192" s="641" t="s">
        <v>1880</v>
      </c>
      <c r="G192" s="640" t="s">
        <v>1628</v>
      </c>
      <c r="H192" s="640" t="s">
        <v>1629</v>
      </c>
      <c r="I192" s="642">
        <v>2277.85</v>
      </c>
      <c r="J192" s="642">
        <v>4</v>
      </c>
      <c r="K192" s="643">
        <v>9111.4</v>
      </c>
    </row>
    <row r="193" spans="1:11" ht="14.4" customHeight="1" x14ac:dyDescent="0.3">
      <c r="A193" s="638" t="s">
        <v>543</v>
      </c>
      <c r="B193" s="639" t="s">
        <v>544</v>
      </c>
      <c r="C193" s="640" t="s">
        <v>553</v>
      </c>
      <c r="D193" s="641" t="s">
        <v>1225</v>
      </c>
      <c r="E193" s="640" t="s">
        <v>1879</v>
      </c>
      <c r="F193" s="641" t="s">
        <v>1880</v>
      </c>
      <c r="G193" s="640" t="s">
        <v>1630</v>
      </c>
      <c r="H193" s="640" t="s">
        <v>1631</v>
      </c>
      <c r="I193" s="642">
        <v>3035.31</v>
      </c>
      <c r="J193" s="642">
        <v>6</v>
      </c>
      <c r="K193" s="643">
        <v>18211.86</v>
      </c>
    </row>
    <row r="194" spans="1:11" ht="14.4" customHeight="1" x14ac:dyDescent="0.3">
      <c r="A194" s="638" t="s">
        <v>543</v>
      </c>
      <c r="B194" s="639" t="s">
        <v>544</v>
      </c>
      <c r="C194" s="640" t="s">
        <v>553</v>
      </c>
      <c r="D194" s="641" t="s">
        <v>1225</v>
      </c>
      <c r="E194" s="640" t="s">
        <v>1879</v>
      </c>
      <c r="F194" s="641" t="s">
        <v>1880</v>
      </c>
      <c r="G194" s="640" t="s">
        <v>1632</v>
      </c>
      <c r="H194" s="640" t="s">
        <v>1633</v>
      </c>
      <c r="I194" s="642">
        <v>213.34499999999997</v>
      </c>
      <c r="J194" s="642">
        <v>24</v>
      </c>
      <c r="K194" s="643">
        <v>5120.3099999999995</v>
      </c>
    </row>
    <row r="195" spans="1:11" ht="14.4" customHeight="1" x14ac:dyDescent="0.3">
      <c r="A195" s="638" t="s">
        <v>543</v>
      </c>
      <c r="B195" s="639" t="s">
        <v>544</v>
      </c>
      <c r="C195" s="640" t="s">
        <v>553</v>
      </c>
      <c r="D195" s="641" t="s">
        <v>1225</v>
      </c>
      <c r="E195" s="640" t="s">
        <v>1879</v>
      </c>
      <c r="F195" s="641" t="s">
        <v>1880</v>
      </c>
      <c r="G195" s="640" t="s">
        <v>1634</v>
      </c>
      <c r="H195" s="640" t="s">
        <v>1635</v>
      </c>
      <c r="I195" s="642">
        <v>60.5</v>
      </c>
      <c r="J195" s="642">
        <v>2</v>
      </c>
      <c r="K195" s="643">
        <v>121</v>
      </c>
    </row>
    <row r="196" spans="1:11" ht="14.4" customHeight="1" x14ac:dyDescent="0.3">
      <c r="A196" s="638" t="s">
        <v>543</v>
      </c>
      <c r="B196" s="639" t="s">
        <v>544</v>
      </c>
      <c r="C196" s="640" t="s">
        <v>553</v>
      </c>
      <c r="D196" s="641" t="s">
        <v>1225</v>
      </c>
      <c r="E196" s="640" t="s">
        <v>1879</v>
      </c>
      <c r="F196" s="641" t="s">
        <v>1880</v>
      </c>
      <c r="G196" s="640" t="s">
        <v>1636</v>
      </c>
      <c r="H196" s="640" t="s">
        <v>1637</v>
      </c>
      <c r="I196" s="642">
        <v>9228.18</v>
      </c>
      <c r="J196" s="642">
        <v>1</v>
      </c>
      <c r="K196" s="643">
        <v>9228.18</v>
      </c>
    </row>
    <row r="197" spans="1:11" ht="14.4" customHeight="1" x14ac:dyDescent="0.3">
      <c r="A197" s="638" t="s">
        <v>543</v>
      </c>
      <c r="B197" s="639" t="s">
        <v>544</v>
      </c>
      <c r="C197" s="640" t="s">
        <v>553</v>
      </c>
      <c r="D197" s="641" t="s">
        <v>1225</v>
      </c>
      <c r="E197" s="640" t="s">
        <v>1879</v>
      </c>
      <c r="F197" s="641" t="s">
        <v>1880</v>
      </c>
      <c r="G197" s="640" t="s">
        <v>1638</v>
      </c>
      <c r="H197" s="640" t="s">
        <v>1639</v>
      </c>
      <c r="I197" s="642">
        <v>9228.1949999999997</v>
      </c>
      <c r="J197" s="642">
        <v>1.25</v>
      </c>
      <c r="K197" s="643">
        <v>11535.240000000002</v>
      </c>
    </row>
    <row r="198" spans="1:11" ht="14.4" customHeight="1" x14ac:dyDescent="0.3">
      <c r="A198" s="638" t="s">
        <v>543</v>
      </c>
      <c r="B198" s="639" t="s">
        <v>544</v>
      </c>
      <c r="C198" s="640" t="s">
        <v>553</v>
      </c>
      <c r="D198" s="641" t="s">
        <v>1225</v>
      </c>
      <c r="E198" s="640" t="s">
        <v>1879</v>
      </c>
      <c r="F198" s="641" t="s">
        <v>1880</v>
      </c>
      <c r="G198" s="640" t="s">
        <v>1503</v>
      </c>
      <c r="H198" s="640" t="s">
        <v>1504</v>
      </c>
      <c r="I198" s="642">
        <v>22994.6</v>
      </c>
      <c r="J198" s="642">
        <v>0.5</v>
      </c>
      <c r="K198" s="643">
        <v>11497.3</v>
      </c>
    </row>
    <row r="199" spans="1:11" ht="14.4" customHeight="1" x14ac:dyDescent="0.3">
      <c r="A199" s="638" t="s">
        <v>543</v>
      </c>
      <c r="B199" s="639" t="s">
        <v>544</v>
      </c>
      <c r="C199" s="640" t="s">
        <v>553</v>
      </c>
      <c r="D199" s="641" t="s">
        <v>1225</v>
      </c>
      <c r="E199" s="640" t="s">
        <v>1879</v>
      </c>
      <c r="F199" s="641" t="s">
        <v>1880</v>
      </c>
      <c r="G199" s="640" t="s">
        <v>1505</v>
      </c>
      <c r="H199" s="640" t="s">
        <v>1506</v>
      </c>
      <c r="I199" s="642">
        <v>16187.72</v>
      </c>
      <c r="J199" s="642">
        <v>0.5</v>
      </c>
      <c r="K199" s="643">
        <v>8093.86</v>
      </c>
    </row>
    <row r="200" spans="1:11" ht="14.4" customHeight="1" x14ac:dyDescent="0.3">
      <c r="A200" s="638" t="s">
        <v>543</v>
      </c>
      <c r="B200" s="639" t="s">
        <v>544</v>
      </c>
      <c r="C200" s="640" t="s">
        <v>553</v>
      </c>
      <c r="D200" s="641" t="s">
        <v>1225</v>
      </c>
      <c r="E200" s="640" t="s">
        <v>1879</v>
      </c>
      <c r="F200" s="641" t="s">
        <v>1880</v>
      </c>
      <c r="G200" s="640" t="s">
        <v>1507</v>
      </c>
      <c r="H200" s="640" t="s">
        <v>1508</v>
      </c>
      <c r="I200" s="642">
        <v>22994.6</v>
      </c>
      <c r="J200" s="642">
        <v>0.5</v>
      </c>
      <c r="K200" s="643">
        <v>11497.3</v>
      </c>
    </row>
    <row r="201" spans="1:11" ht="14.4" customHeight="1" x14ac:dyDescent="0.3">
      <c r="A201" s="638" t="s">
        <v>543</v>
      </c>
      <c r="B201" s="639" t="s">
        <v>544</v>
      </c>
      <c r="C201" s="640" t="s">
        <v>553</v>
      </c>
      <c r="D201" s="641" t="s">
        <v>1225</v>
      </c>
      <c r="E201" s="640" t="s">
        <v>1879</v>
      </c>
      <c r="F201" s="641" t="s">
        <v>1880</v>
      </c>
      <c r="G201" s="640" t="s">
        <v>1640</v>
      </c>
      <c r="H201" s="640" t="s">
        <v>1641</v>
      </c>
      <c r="I201" s="642">
        <v>1149.5</v>
      </c>
      <c r="J201" s="642">
        <v>9</v>
      </c>
      <c r="K201" s="643">
        <v>10345.5</v>
      </c>
    </row>
    <row r="202" spans="1:11" ht="14.4" customHeight="1" x14ac:dyDescent="0.3">
      <c r="A202" s="638" t="s">
        <v>543</v>
      </c>
      <c r="B202" s="639" t="s">
        <v>544</v>
      </c>
      <c r="C202" s="640" t="s">
        <v>553</v>
      </c>
      <c r="D202" s="641" t="s">
        <v>1225</v>
      </c>
      <c r="E202" s="640" t="s">
        <v>1879</v>
      </c>
      <c r="F202" s="641" t="s">
        <v>1880</v>
      </c>
      <c r="G202" s="640" t="s">
        <v>1642</v>
      </c>
      <c r="H202" s="640" t="s">
        <v>1643</v>
      </c>
      <c r="I202" s="642">
        <v>2397.4</v>
      </c>
      <c r="J202" s="642">
        <v>3</v>
      </c>
      <c r="K202" s="643">
        <v>7192.2000000000007</v>
      </c>
    </row>
    <row r="203" spans="1:11" ht="14.4" customHeight="1" x14ac:dyDescent="0.3">
      <c r="A203" s="638" t="s">
        <v>543</v>
      </c>
      <c r="B203" s="639" t="s">
        <v>544</v>
      </c>
      <c r="C203" s="640" t="s">
        <v>553</v>
      </c>
      <c r="D203" s="641" t="s">
        <v>1225</v>
      </c>
      <c r="E203" s="640" t="s">
        <v>1879</v>
      </c>
      <c r="F203" s="641" t="s">
        <v>1880</v>
      </c>
      <c r="G203" s="640" t="s">
        <v>1644</v>
      </c>
      <c r="H203" s="640" t="s">
        <v>1645</v>
      </c>
      <c r="I203" s="642">
        <v>2624.54</v>
      </c>
      <c r="J203" s="642">
        <v>1</v>
      </c>
      <c r="K203" s="643">
        <v>2624.54</v>
      </c>
    </row>
    <row r="204" spans="1:11" ht="14.4" customHeight="1" x14ac:dyDescent="0.3">
      <c r="A204" s="638" t="s">
        <v>543</v>
      </c>
      <c r="B204" s="639" t="s">
        <v>544</v>
      </c>
      <c r="C204" s="640" t="s">
        <v>553</v>
      </c>
      <c r="D204" s="641" t="s">
        <v>1225</v>
      </c>
      <c r="E204" s="640" t="s">
        <v>1879</v>
      </c>
      <c r="F204" s="641" t="s">
        <v>1880</v>
      </c>
      <c r="G204" s="640" t="s">
        <v>1509</v>
      </c>
      <c r="H204" s="640" t="s">
        <v>1510</v>
      </c>
      <c r="I204" s="642">
        <v>22994.6</v>
      </c>
      <c r="J204" s="642">
        <v>0.5</v>
      </c>
      <c r="K204" s="643">
        <v>11497.3</v>
      </c>
    </row>
    <row r="205" spans="1:11" ht="14.4" customHeight="1" x14ac:dyDescent="0.3">
      <c r="A205" s="638" t="s">
        <v>543</v>
      </c>
      <c r="B205" s="639" t="s">
        <v>544</v>
      </c>
      <c r="C205" s="640" t="s">
        <v>553</v>
      </c>
      <c r="D205" s="641" t="s">
        <v>1225</v>
      </c>
      <c r="E205" s="640" t="s">
        <v>1879</v>
      </c>
      <c r="F205" s="641" t="s">
        <v>1880</v>
      </c>
      <c r="G205" s="640" t="s">
        <v>1511</v>
      </c>
      <c r="H205" s="640" t="s">
        <v>1512</v>
      </c>
      <c r="I205" s="642">
        <v>22994.6</v>
      </c>
      <c r="J205" s="642">
        <v>0.5</v>
      </c>
      <c r="K205" s="643">
        <v>11497.3</v>
      </c>
    </row>
    <row r="206" spans="1:11" ht="14.4" customHeight="1" x14ac:dyDescent="0.3">
      <c r="A206" s="638" t="s">
        <v>543</v>
      </c>
      <c r="B206" s="639" t="s">
        <v>544</v>
      </c>
      <c r="C206" s="640" t="s">
        <v>556</v>
      </c>
      <c r="D206" s="641" t="s">
        <v>1226</v>
      </c>
      <c r="E206" s="640" t="s">
        <v>1871</v>
      </c>
      <c r="F206" s="641" t="s">
        <v>1872</v>
      </c>
      <c r="G206" s="640" t="s">
        <v>1343</v>
      </c>
      <c r="H206" s="640" t="s">
        <v>1344</v>
      </c>
      <c r="I206" s="642">
        <v>4.3009999999999993</v>
      </c>
      <c r="J206" s="642">
        <v>360</v>
      </c>
      <c r="K206" s="643">
        <v>1548.4800000000002</v>
      </c>
    </row>
    <row r="207" spans="1:11" ht="14.4" customHeight="1" x14ac:dyDescent="0.3">
      <c r="A207" s="638" t="s">
        <v>543</v>
      </c>
      <c r="B207" s="639" t="s">
        <v>544</v>
      </c>
      <c r="C207" s="640" t="s">
        <v>556</v>
      </c>
      <c r="D207" s="641" t="s">
        <v>1226</v>
      </c>
      <c r="E207" s="640" t="s">
        <v>1871</v>
      </c>
      <c r="F207" s="641" t="s">
        <v>1872</v>
      </c>
      <c r="G207" s="640" t="s">
        <v>1347</v>
      </c>
      <c r="H207" s="640" t="s">
        <v>1348</v>
      </c>
      <c r="I207" s="642">
        <v>0.42</v>
      </c>
      <c r="J207" s="642">
        <v>600</v>
      </c>
      <c r="K207" s="643">
        <v>252</v>
      </c>
    </row>
    <row r="208" spans="1:11" ht="14.4" customHeight="1" x14ac:dyDescent="0.3">
      <c r="A208" s="638" t="s">
        <v>543</v>
      </c>
      <c r="B208" s="639" t="s">
        <v>544</v>
      </c>
      <c r="C208" s="640" t="s">
        <v>556</v>
      </c>
      <c r="D208" s="641" t="s">
        <v>1226</v>
      </c>
      <c r="E208" s="640" t="s">
        <v>1871</v>
      </c>
      <c r="F208" s="641" t="s">
        <v>1872</v>
      </c>
      <c r="G208" s="640" t="s">
        <v>1351</v>
      </c>
      <c r="H208" s="640" t="s">
        <v>1352</v>
      </c>
      <c r="I208" s="642">
        <v>1.4215384615384612</v>
      </c>
      <c r="J208" s="642">
        <v>4800</v>
      </c>
      <c r="K208" s="643">
        <v>6831.06</v>
      </c>
    </row>
    <row r="209" spans="1:11" ht="14.4" customHeight="1" x14ac:dyDescent="0.3">
      <c r="A209" s="638" t="s">
        <v>543</v>
      </c>
      <c r="B209" s="639" t="s">
        <v>544</v>
      </c>
      <c r="C209" s="640" t="s">
        <v>556</v>
      </c>
      <c r="D209" s="641" t="s">
        <v>1226</v>
      </c>
      <c r="E209" s="640" t="s">
        <v>1871</v>
      </c>
      <c r="F209" s="641" t="s">
        <v>1872</v>
      </c>
      <c r="G209" s="640" t="s">
        <v>1515</v>
      </c>
      <c r="H209" s="640" t="s">
        <v>1516</v>
      </c>
      <c r="I209" s="642">
        <v>0.31999999999999995</v>
      </c>
      <c r="J209" s="642">
        <v>32400</v>
      </c>
      <c r="K209" s="643">
        <v>10360.52</v>
      </c>
    </row>
    <row r="210" spans="1:11" ht="14.4" customHeight="1" x14ac:dyDescent="0.3">
      <c r="A210" s="638" t="s">
        <v>543</v>
      </c>
      <c r="B210" s="639" t="s">
        <v>544</v>
      </c>
      <c r="C210" s="640" t="s">
        <v>556</v>
      </c>
      <c r="D210" s="641" t="s">
        <v>1226</v>
      </c>
      <c r="E210" s="640" t="s">
        <v>1871</v>
      </c>
      <c r="F210" s="641" t="s">
        <v>1872</v>
      </c>
      <c r="G210" s="640" t="s">
        <v>1646</v>
      </c>
      <c r="H210" s="640" t="s">
        <v>1647</v>
      </c>
      <c r="I210" s="642">
        <v>25.55</v>
      </c>
      <c r="J210" s="642">
        <v>24</v>
      </c>
      <c r="K210" s="643">
        <v>613.28</v>
      </c>
    </row>
    <row r="211" spans="1:11" ht="14.4" customHeight="1" x14ac:dyDescent="0.3">
      <c r="A211" s="638" t="s">
        <v>543</v>
      </c>
      <c r="B211" s="639" t="s">
        <v>544</v>
      </c>
      <c r="C211" s="640" t="s">
        <v>556</v>
      </c>
      <c r="D211" s="641" t="s">
        <v>1226</v>
      </c>
      <c r="E211" s="640" t="s">
        <v>1871</v>
      </c>
      <c r="F211" s="641" t="s">
        <v>1872</v>
      </c>
      <c r="G211" s="640" t="s">
        <v>1648</v>
      </c>
      <c r="H211" s="640" t="s">
        <v>1649</v>
      </c>
      <c r="I211" s="642">
        <v>22.15</v>
      </c>
      <c r="J211" s="642">
        <v>100</v>
      </c>
      <c r="K211" s="643">
        <v>2215</v>
      </c>
    </row>
    <row r="212" spans="1:11" ht="14.4" customHeight="1" x14ac:dyDescent="0.3">
      <c r="A212" s="638" t="s">
        <v>543</v>
      </c>
      <c r="B212" s="639" t="s">
        <v>544</v>
      </c>
      <c r="C212" s="640" t="s">
        <v>556</v>
      </c>
      <c r="D212" s="641" t="s">
        <v>1226</v>
      </c>
      <c r="E212" s="640" t="s">
        <v>1871</v>
      </c>
      <c r="F212" s="641" t="s">
        <v>1872</v>
      </c>
      <c r="G212" s="640" t="s">
        <v>1355</v>
      </c>
      <c r="H212" s="640" t="s">
        <v>1356</v>
      </c>
      <c r="I212" s="642">
        <v>2.9517647058823537</v>
      </c>
      <c r="J212" s="642">
        <v>3900</v>
      </c>
      <c r="K212" s="643">
        <v>11519.099999999999</v>
      </c>
    </row>
    <row r="213" spans="1:11" ht="14.4" customHeight="1" x14ac:dyDescent="0.3">
      <c r="A213" s="638" t="s">
        <v>543</v>
      </c>
      <c r="B213" s="639" t="s">
        <v>544</v>
      </c>
      <c r="C213" s="640" t="s">
        <v>556</v>
      </c>
      <c r="D213" s="641" t="s">
        <v>1226</v>
      </c>
      <c r="E213" s="640" t="s">
        <v>1871</v>
      </c>
      <c r="F213" s="641" t="s">
        <v>1872</v>
      </c>
      <c r="G213" s="640" t="s">
        <v>1517</v>
      </c>
      <c r="H213" s="640" t="s">
        <v>1518</v>
      </c>
      <c r="I213" s="642">
        <v>0.66666666666666663</v>
      </c>
      <c r="J213" s="642">
        <v>5000</v>
      </c>
      <c r="K213" s="643">
        <v>3336</v>
      </c>
    </row>
    <row r="214" spans="1:11" ht="14.4" customHeight="1" x14ac:dyDescent="0.3">
      <c r="A214" s="638" t="s">
        <v>543</v>
      </c>
      <c r="B214" s="639" t="s">
        <v>544</v>
      </c>
      <c r="C214" s="640" t="s">
        <v>556</v>
      </c>
      <c r="D214" s="641" t="s">
        <v>1226</v>
      </c>
      <c r="E214" s="640" t="s">
        <v>1871</v>
      </c>
      <c r="F214" s="641" t="s">
        <v>1872</v>
      </c>
      <c r="G214" s="640" t="s">
        <v>1650</v>
      </c>
      <c r="H214" s="640" t="s">
        <v>1651</v>
      </c>
      <c r="I214" s="642">
        <v>48.478333333333332</v>
      </c>
      <c r="J214" s="642">
        <v>130</v>
      </c>
      <c r="K214" s="643">
        <v>6301.9600000000009</v>
      </c>
    </row>
    <row r="215" spans="1:11" ht="14.4" customHeight="1" x14ac:dyDescent="0.3">
      <c r="A215" s="638" t="s">
        <v>543</v>
      </c>
      <c r="B215" s="639" t="s">
        <v>544</v>
      </c>
      <c r="C215" s="640" t="s">
        <v>556</v>
      </c>
      <c r="D215" s="641" t="s">
        <v>1226</v>
      </c>
      <c r="E215" s="640" t="s">
        <v>1871</v>
      </c>
      <c r="F215" s="641" t="s">
        <v>1872</v>
      </c>
      <c r="G215" s="640" t="s">
        <v>1519</v>
      </c>
      <c r="H215" s="640" t="s">
        <v>1520</v>
      </c>
      <c r="I215" s="642">
        <v>1.2907692307692302</v>
      </c>
      <c r="J215" s="642">
        <v>6600</v>
      </c>
      <c r="K215" s="643">
        <v>8522</v>
      </c>
    </row>
    <row r="216" spans="1:11" ht="14.4" customHeight="1" x14ac:dyDescent="0.3">
      <c r="A216" s="638" t="s">
        <v>543</v>
      </c>
      <c r="B216" s="639" t="s">
        <v>544</v>
      </c>
      <c r="C216" s="640" t="s">
        <v>556</v>
      </c>
      <c r="D216" s="641" t="s">
        <v>1226</v>
      </c>
      <c r="E216" s="640" t="s">
        <v>1871</v>
      </c>
      <c r="F216" s="641" t="s">
        <v>1872</v>
      </c>
      <c r="G216" s="640" t="s">
        <v>1652</v>
      </c>
      <c r="H216" s="640" t="s">
        <v>1653</v>
      </c>
      <c r="I216" s="642">
        <v>120.69000000000001</v>
      </c>
      <c r="J216" s="642">
        <v>90</v>
      </c>
      <c r="K216" s="643">
        <v>10862.34</v>
      </c>
    </row>
    <row r="217" spans="1:11" ht="14.4" customHeight="1" x14ac:dyDescent="0.3">
      <c r="A217" s="638" t="s">
        <v>543</v>
      </c>
      <c r="B217" s="639" t="s">
        <v>544</v>
      </c>
      <c r="C217" s="640" t="s">
        <v>556</v>
      </c>
      <c r="D217" s="641" t="s">
        <v>1226</v>
      </c>
      <c r="E217" s="640" t="s">
        <v>1871</v>
      </c>
      <c r="F217" s="641" t="s">
        <v>1872</v>
      </c>
      <c r="G217" s="640" t="s">
        <v>1652</v>
      </c>
      <c r="H217" s="640" t="s">
        <v>1654</v>
      </c>
      <c r="I217" s="642">
        <v>120.69</v>
      </c>
      <c r="J217" s="642">
        <v>30</v>
      </c>
      <c r="K217" s="643">
        <v>3620.7799999999997</v>
      </c>
    </row>
    <row r="218" spans="1:11" ht="14.4" customHeight="1" x14ac:dyDescent="0.3">
      <c r="A218" s="638" t="s">
        <v>543</v>
      </c>
      <c r="B218" s="639" t="s">
        <v>544</v>
      </c>
      <c r="C218" s="640" t="s">
        <v>556</v>
      </c>
      <c r="D218" s="641" t="s">
        <v>1226</v>
      </c>
      <c r="E218" s="640" t="s">
        <v>1871</v>
      </c>
      <c r="F218" s="641" t="s">
        <v>1872</v>
      </c>
      <c r="G218" s="640" t="s">
        <v>1655</v>
      </c>
      <c r="H218" s="640" t="s">
        <v>1656</v>
      </c>
      <c r="I218" s="642">
        <v>123.19</v>
      </c>
      <c r="J218" s="642">
        <v>20</v>
      </c>
      <c r="K218" s="643">
        <v>2463.7399999999998</v>
      </c>
    </row>
    <row r="219" spans="1:11" ht="14.4" customHeight="1" x14ac:dyDescent="0.3">
      <c r="A219" s="638" t="s">
        <v>543</v>
      </c>
      <c r="B219" s="639" t="s">
        <v>544</v>
      </c>
      <c r="C219" s="640" t="s">
        <v>556</v>
      </c>
      <c r="D219" s="641" t="s">
        <v>1226</v>
      </c>
      <c r="E219" s="640" t="s">
        <v>1871</v>
      </c>
      <c r="F219" s="641" t="s">
        <v>1872</v>
      </c>
      <c r="G219" s="640" t="s">
        <v>1657</v>
      </c>
      <c r="H219" s="640" t="s">
        <v>1658</v>
      </c>
      <c r="I219" s="642">
        <v>85.419999999999973</v>
      </c>
      <c r="J219" s="642">
        <v>170</v>
      </c>
      <c r="K219" s="643">
        <v>14521.73</v>
      </c>
    </row>
    <row r="220" spans="1:11" ht="14.4" customHeight="1" x14ac:dyDescent="0.3">
      <c r="A220" s="638" t="s">
        <v>543</v>
      </c>
      <c r="B220" s="639" t="s">
        <v>544</v>
      </c>
      <c r="C220" s="640" t="s">
        <v>556</v>
      </c>
      <c r="D220" s="641" t="s">
        <v>1226</v>
      </c>
      <c r="E220" s="640" t="s">
        <v>1871</v>
      </c>
      <c r="F220" s="641" t="s">
        <v>1872</v>
      </c>
      <c r="G220" s="640" t="s">
        <v>1359</v>
      </c>
      <c r="H220" s="640" t="s">
        <v>1360</v>
      </c>
      <c r="I220" s="642">
        <v>0.3</v>
      </c>
      <c r="J220" s="642">
        <v>250</v>
      </c>
      <c r="K220" s="643">
        <v>75.83</v>
      </c>
    </row>
    <row r="221" spans="1:11" ht="14.4" customHeight="1" x14ac:dyDescent="0.3">
      <c r="A221" s="638" t="s">
        <v>543</v>
      </c>
      <c r="B221" s="639" t="s">
        <v>544</v>
      </c>
      <c r="C221" s="640" t="s">
        <v>556</v>
      </c>
      <c r="D221" s="641" t="s">
        <v>1226</v>
      </c>
      <c r="E221" s="640" t="s">
        <v>1871</v>
      </c>
      <c r="F221" s="641" t="s">
        <v>1872</v>
      </c>
      <c r="G221" s="640" t="s">
        <v>1521</v>
      </c>
      <c r="H221" s="640" t="s">
        <v>1522</v>
      </c>
      <c r="I221" s="642">
        <v>13.159000000000001</v>
      </c>
      <c r="J221" s="642">
        <v>312</v>
      </c>
      <c r="K221" s="643">
        <v>4104.8999999999996</v>
      </c>
    </row>
    <row r="222" spans="1:11" ht="14.4" customHeight="1" x14ac:dyDescent="0.3">
      <c r="A222" s="638" t="s">
        <v>543</v>
      </c>
      <c r="B222" s="639" t="s">
        <v>544</v>
      </c>
      <c r="C222" s="640" t="s">
        <v>556</v>
      </c>
      <c r="D222" s="641" t="s">
        <v>1226</v>
      </c>
      <c r="E222" s="640" t="s">
        <v>1871</v>
      </c>
      <c r="F222" s="641" t="s">
        <v>1872</v>
      </c>
      <c r="G222" s="640" t="s">
        <v>1659</v>
      </c>
      <c r="H222" s="640" t="s">
        <v>1660</v>
      </c>
      <c r="I222" s="642">
        <v>124.41000000000001</v>
      </c>
      <c r="J222" s="642">
        <v>25</v>
      </c>
      <c r="K222" s="643">
        <v>3110.18</v>
      </c>
    </row>
    <row r="223" spans="1:11" ht="14.4" customHeight="1" x14ac:dyDescent="0.3">
      <c r="A223" s="638" t="s">
        <v>543</v>
      </c>
      <c r="B223" s="639" t="s">
        <v>544</v>
      </c>
      <c r="C223" s="640" t="s">
        <v>556</v>
      </c>
      <c r="D223" s="641" t="s">
        <v>1226</v>
      </c>
      <c r="E223" s="640" t="s">
        <v>1871</v>
      </c>
      <c r="F223" s="641" t="s">
        <v>1872</v>
      </c>
      <c r="G223" s="640" t="s">
        <v>1525</v>
      </c>
      <c r="H223" s="640" t="s">
        <v>1526</v>
      </c>
      <c r="I223" s="642">
        <v>0.85499999999999998</v>
      </c>
      <c r="J223" s="642">
        <v>150</v>
      </c>
      <c r="K223" s="643">
        <v>128</v>
      </c>
    </row>
    <row r="224" spans="1:11" ht="14.4" customHeight="1" x14ac:dyDescent="0.3">
      <c r="A224" s="638" t="s">
        <v>543</v>
      </c>
      <c r="B224" s="639" t="s">
        <v>544</v>
      </c>
      <c r="C224" s="640" t="s">
        <v>556</v>
      </c>
      <c r="D224" s="641" t="s">
        <v>1226</v>
      </c>
      <c r="E224" s="640" t="s">
        <v>1871</v>
      </c>
      <c r="F224" s="641" t="s">
        <v>1872</v>
      </c>
      <c r="G224" s="640" t="s">
        <v>1525</v>
      </c>
      <c r="H224" s="640" t="s">
        <v>1527</v>
      </c>
      <c r="I224" s="642">
        <v>0.85499999999999998</v>
      </c>
      <c r="J224" s="642">
        <v>200</v>
      </c>
      <c r="K224" s="643">
        <v>171</v>
      </c>
    </row>
    <row r="225" spans="1:11" ht="14.4" customHeight="1" x14ac:dyDescent="0.3">
      <c r="A225" s="638" t="s">
        <v>543</v>
      </c>
      <c r="B225" s="639" t="s">
        <v>544</v>
      </c>
      <c r="C225" s="640" t="s">
        <v>556</v>
      </c>
      <c r="D225" s="641" t="s">
        <v>1226</v>
      </c>
      <c r="E225" s="640" t="s">
        <v>1871</v>
      </c>
      <c r="F225" s="641" t="s">
        <v>1872</v>
      </c>
      <c r="G225" s="640" t="s">
        <v>1661</v>
      </c>
      <c r="H225" s="640" t="s">
        <v>1662</v>
      </c>
      <c r="I225" s="642">
        <v>1.52</v>
      </c>
      <c r="J225" s="642">
        <v>100</v>
      </c>
      <c r="K225" s="643">
        <v>152</v>
      </c>
    </row>
    <row r="226" spans="1:11" ht="14.4" customHeight="1" x14ac:dyDescent="0.3">
      <c r="A226" s="638" t="s">
        <v>543</v>
      </c>
      <c r="B226" s="639" t="s">
        <v>544</v>
      </c>
      <c r="C226" s="640" t="s">
        <v>556</v>
      </c>
      <c r="D226" s="641" t="s">
        <v>1226</v>
      </c>
      <c r="E226" s="640" t="s">
        <v>1871</v>
      </c>
      <c r="F226" s="641" t="s">
        <v>1872</v>
      </c>
      <c r="G226" s="640" t="s">
        <v>1361</v>
      </c>
      <c r="H226" s="640" t="s">
        <v>1362</v>
      </c>
      <c r="I226" s="642">
        <v>0.30749999999999994</v>
      </c>
      <c r="J226" s="642">
        <v>33600</v>
      </c>
      <c r="K226" s="643">
        <v>10305.780000000001</v>
      </c>
    </row>
    <row r="227" spans="1:11" ht="14.4" customHeight="1" x14ac:dyDescent="0.3">
      <c r="A227" s="638" t="s">
        <v>543</v>
      </c>
      <c r="B227" s="639" t="s">
        <v>544</v>
      </c>
      <c r="C227" s="640" t="s">
        <v>556</v>
      </c>
      <c r="D227" s="641" t="s">
        <v>1226</v>
      </c>
      <c r="E227" s="640" t="s">
        <v>1871</v>
      </c>
      <c r="F227" s="641" t="s">
        <v>1872</v>
      </c>
      <c r="G227" s="640" t="s">
        <v>1663</v>
      </c>
      <c r="H227" s="640" t="s">
        <v>1664</v>
      </c>
      <c r="I227" s="642">
        <v>19.739999999999998</v>
      </c>
      <c r="J227" s="642">
        <v>102</v>
      </c>
      <c r="K227" s="643">
        <v>2013.62</v>
      </c>
    </row>
    <row r="228" spans="1:11" ht="14.4" customHeight="1" x14ac:dyDescent="0.3">
      <c r="A228" s="638" t="s">
        <v>543</v>
      </c>
      <c r="B228" s="639" t="s">
        <v>544</v>
      </c>
      <c r="C228" s="640" t="s">
        <v>556</v>
      </c>
      <c r="D228" s="641" t="s">
        <v>1226</v>
      </c>
      <c r="E228" s="640" t="s">
        <v>1871</v>
      </c>
      <c r="F228" s="641" t="s">
        <v>1872</v>
      </c>
      <c r="G228" s="640" t="s">
        <v>1665</v>
      </c>
      <c r="H228" s="640" t="s">
        <v>1666</v>
      </c>
      <c r="I228" s="642">
        <v>834.62</v>
      </c>
      <c r="J228" s="642">
        <v>1</v>
      </c>
      <c r="K228" s="643">
        <v>834.62</v>
      </c>
    </row>
    <row r="229" spans="1:11" ht="14.4" customHeight="1" x14ac:dyDescent="0.3">
      <c r="A229" s="638" t="s">
        <v>543</v>
      </c>
      <c r="B229" s="639" t="s">
        <v>544</v>
      </c>
      <c r="C229" s="640" t="s">
        <v>556</v>
      </c>
      <c r="D229" s="641" t="s">
        <v>1226</v>
      </c>
      <c r="E229" s="640" t="s">
        <v>1871</v>
      </c>
      <c r="F229" s="641" t="s">
        <v>1872</v>
      </c>
      <c r="G229" s="640" t="s">
        <v>1667</v>
      </c>
      <c r="H229" s="640" t="s">
        <v>1668</v>
      </c>
      <c r="I229" s="642">
        <v>185.97499999999999</v>
      </c>
      <c r="J229" s="642">
        <v>2</v>
      </c>
      <c r="K229" s="643">
        <v>371.95</v>
      </c>
    </row>
    <row r="230" spans="1:11" ht="14.4" customHeight="1" x14ac:dyDescent="0.3">
      <c r="A230" s="638" t="s">
        <v>543</v>
      </c>
      <c r="B230" s="639" t="s">
        <v>544</v>
      </c>
      <c r="C230" s="640" t="s">
        <v>556</v>
      </c>
      <c r="D230" s="641" t="s">
        <v>1226</v>
      </c>
      <c r="E230" s="640" t="s">
        <v>1871</v>
      </c>
      <c r="F230" s="641" t="s">
        <v>1872</v>
      </c>
      <c r="G230" s="640" t="s">
        <v>1669</v>
      </c>
      <c r="H230" s="640" t="s">
        <v>1670</v>
      </c>
      <c r="I230" s="642">
        <v>61.75</v>
      </c>
      <c r="J230" s="642">
        <v>20</v>
      </c>
      <c r="K230" s="643">
        <v>1235.0999999999999</v>
      </c>
    </row>
    <row r="231" spans="1:11" ht="14.4" customHeight="1" x14ac:dyDescent="0.3">
      <c r="A231" s="638" t="s">
        <v>543</v>
      </c>
      <c r="B231" s="639" t="s">
        <v>544</v>
      </c>
      <c r="C231" s="640" t="s">
        <v>556</v>
      </c>
      <c r="D231" s="641" t="s">
        <v>1226</v>
      </c>
      <c r="E231" s="640" t="s">
        <v>1871</v>
      </c>
      <c r="F231" s="641" t="s">
        <v>1872</v>
      </c>
      <c r="G231" s="640" t="s">
        <v>1669</v>
      </c>
      <c r="H231" s="640" t="s">
        <v>1671</v>
      </c>
      <c r="I231" s="642">
        <v>61.752499999999998</v>
      </c>
      <c r="J231" s="642">
        <v>60</v>
      </c>
      <c r="K231" s="643">
        <v>3705.31</v>
      </c>
    </row>
    <row r="232" spans="1:11" ht="14.4" customHeight="1" x14ac:dyDescent="0.3">
      <c r="A232" s="638" t="s">
        <v>543</v>
      </c>
      <c r="B232" s="639" t="s">
        <v>544</v>
      </c>
      <c r="C232" s="640" t="s">
        <v>556</v>
      </c>
      <c r="D232" s="641" t="s">
        <v>1226</v>
      </c>
      <c r="E232" s="640" t="s">
        <v>1871</v>
      </c>
      <c r="F232" s="641" t="s">
        <v>1872</v>
      </c>
      <c r="G232" s="640" t="s">
        <v>1530</v>
      </c>
      <c r="H232" s="640" t="s">
        <v>1531</v>
      </c>
      <c r="I232" s="642">
        <v>114.78285714285713</v>
      </c>
      <c r="J232" s="642">
        <v>7</v>
      </c>
      <c r="K232" s="643">
        <v>803.4799999999999</v>
      </c>
    </row>
    <row r="233" spans="1:11" ht="14.4" customHeight="1" x14ac:dyDescent="0.3">
      <c r="A233" s="638" t="s">
        <v>543</v>
      </c>
      <c r="B233" s="639" t="s">
        <v>544</v>
      </c>
      <c r="C233" s="640" t="s">
        <v>556</v>
      </c>
      <c r="D233" s="641" t="s">
        <v>1226</v>
      </c>
      <c r="E233" s="640" t="s">
        <v>1871</v>
      </c>
      <c r="F233" s="641" t="s">
        <v>1872</v>
      </c>
      <c r="G233" s="640" t="s">
        <v>1672</v>
      </c>
      <c r="H233" s="640" t="s">
        <v>1673</v>
      </c>
      <c r="I233" s="642">
        <v>1.06</v>
      </c>
      <c r="J233" s="642">
        <v>650</v>
      </c>
      <c r="K233" s="643">
        <v>686.21</v>
      </c>
    </row>
    <row r="234" spans="1:11" ht="14.4" customHeight="1" x14ac:dyDescent="0.3">
      <c r="A234" s="638" t="s">
        <v>543</v>
      </c>
      <c r="B234" s="639" t="s">
        <v>544</v>
      </c>
      <c r="C234" s="640" t="s">
        <v>556</v>
      </c>
      <c r="D234" s="641" t="s">
        <v>1226</v>
      </c>
      <c r="E234" s="640" t="s">
        <v>1871</v>
      </c>
      <c r="F234" s="641" t="s">
        <v>1872</v>
      </c>
      <c r="G234" s="640" t="s">
        <v>1674</v>
      </c>
      <c r="H234" s="640" t="s">
        <v>1675</v>
      </c>
      <c r="I234" s="642">
        <v>125.47</v>
      </c>
      <c r="J234" s="642">
        <v>10</v>
      </c>
      <c r="K234" s="643">
        <v>1254.7</v>
      </c>
    </row>
    <row r="235" spans="1:11" ht="14.4" customHeight="1" x14ac:dyDescent="0.3">
      <c r="A235" s="638" t="s">
        <v>543</v>
      </c>
      <c r="B235" s="639" t="s">
        <v>544</v>
      </c>
      <c r="C235" s="640" t="s">
        <v>556</v>
      </c>
      <c r="D235" s="641" t="s">
        <v>1226</v>
      </c>
      <c r="E235" s="640" t="s">
        <v>1871</v>
      </c>
      <c r="F235" s="641" t="s">
        <v>1872</v>
      </c>
      <c r="G235" s="640" t="s">
        <v>1676</v>
      </c>
      <c r="H235" s="640" t="s">
        <v>1677</v>
      </c>
      <c r="I235" s="642">
        <v>21.78</v>
      </c>
      <c r="J235" s="642">
        <v>300</v>
      </c>
      <c r="K235" s="643">
        <v>6534</v>
      </c>
    </row>
    <row r="236" spans="1:11" ht="14.4" customHeight="1" x14ac:dyDescent="0.3">
      <c r="A236" s="638" t="s">
        <v>543</v>
      </c>
      <c r="B236" s="639" t="s">
        <v>544</v>
      </c>
      <c r="C236" s="640" t="s">
        <v>556</v>
      </c>
      <c r="D236" s="641" t="s">
        <v>1226</v>
      </c>
      <c r="E236" s="640" t="s">
        <v>1871</v>
      </c>
      <c r="F236" s="641" t="s">
        <v>1872</v>
      </c>
      <c r="G236" s="640" t="s">
        <v>1678</v>
      </c>
      <c r="H236" s="640" t="s">
        <v>1679</v>
      </c>
      <c r="I236" s="642">
        <v>23.23</v>
      </c>
      <c r="J236" s="642">
        <v>100</v>
      </c>
      <c r="K236" s="643">
        <v>2323</v>
      </c>
    </row>
    <row r="237" spans="1:11" ht="14.4" customHeight="1" x14ac:dyDescent="0.3">
      <c r="A237" s="638" t="s">
        <v>543</v>
      </c>
      <c r="B237" s="639" t="s">
        <v>544</v>
      </c>
      <c r="C237" s="640" t="s">
        <v>556</v>
      </c>
      <c r="D237" s="641" t="s">
        <v>1226</v>
      </c>
      <c r="E237" s="640" t="s">
        <v>1871</v>
      </c>
      <c r="F237" s="641" t="s">
        <v>1872</v>
      </c>
      <c r="G237" s="640" t="s">
        <v>1680</v>
      </c>
      <c r="H237" s="640" t="s">
        <v>1681</v>
      </c>
      <c r="I237" s="642">
        <v>53.44</v>
      </c>
      <c r="J237" s="642">
        <v>24</v>
      </c>
      <c r="K237" s="643">
        <v>1282.54</v>
      </c>
    </row>
    <row r="238" spans="1:11" ht="14.4" customHeight="1" x14ac:dyDescent="0.3">
      <c r="A238" s="638" t="s">
        <v>543</v>
      </c>
      <c r="B238" s="639" t="s">
        <v>544</v>
      </c>
      <c r="C238" s="640" t="s">
        <v>556</v>
      </c>
      <c r="D238" s="641" t="s">
        <v>1226</v>
      </c>
      <c r="E238" s="640" t="s">
        <v>1871</v>
      </c>
      <c r="F238" s="641" t="s">
        <v>1872</v>
      </c>
      <c r="G238" s="640" t="s">
        <v>1682</v>
      </c>
      <c r="H238" s="640" t="s">
        <v>1683</v>
      </c>
      <c r="I238" s="642">
        <v>17.420000000000002</v>
      </c>
      <c r="J238" s="642">
        <v>400</v>
      </c>
      <c r="K238" s="643">
        <v>6969.5999999999995</v>
      </c>
    </row>
    <row r="239" spans="1:11" ht="14.4" customHeight="1" x14ac:dyDescent="0.3">
      <c r="A239" s="638" t="s">
        <v>543</v>
      </c>
      <c r="B239" s="639" t="s">
        <v>544</v>
      </c>
      <c r="C239" s="640" t="s">
        <v>556</v>
      </c>
      <c r="D239" s="641" t="s">
        <v>1226</v>
      </c>
      <c r="E239" s="640" t="s">
        <v>1871</v>
      </c>
      <c r="F239" s="641" t="s">
        <v>1872</v>
      </c>
      <c r="G239" s="640" t="s">
        <v>1684</v>
      </c>
      <c r="H239" s="640" t="s">
        <v>1685</v>
      </c>
      <c r="I239" s="642">
        <v>43.31</v>
      </c>
      <c r="J239" s="642">
        <v>120</v>
      </c>
      <c r="K239" s="643">
        <v>5197.25</v>
      </c>
    </row>
    <row r="240" spans="1:11" ht="14.4" customHeight="1" x14ac:dyDescent="0.3">
      <c r="A240" s="638" t="s">
        <v>543</v>
      </c>
      <c r="B240" s="639" t="s">
        <v>544</v>
      </c>
      <c r="C240" s="640" t="s">
        <v>556</v>
      </c>
      <c r="D240" s="641" t="s">
        <v>1226</v>
      </c>
      <c r="E240" s="640" t="s">
        <v>1871</v>
      </c>
      <c r="F240" s="641" t="s">
        <v>1872</v>
      </c>
      <c r="G240" s="640" t="s">
        <v>1686</v>
      </c>
      <c r="H240" s="640" t="s">
        <v>1687</v>
      </c>
      <c r="I240" s="642">
        <v>5.17</v>
      </c>
      <c r="J240" s="642">
        <v>100</v>
      </c>
      <c r="K240" s="643">
        <v>517.5</v>
      </c>
    </row>
    <row r="241" spans="1:11" ht="14.4" customHeight="1" x14ac:dyDescent="0.3">
      <c r="A241" s="638" t="s">
        <v>543</v>
      </c>
      <c r="B241" s="639" t="s">
        <v>544</v>
      </c>
      <c r="C241" s="640" t="s">
        <v>556</v>
      </c>
      <c r="D241" s="641" t="s">
        <v>1226</v>
      </c>
      <c r="E241" s="640" t="s">
        <v>1871</v>
      </c>
      <c r="F241" s="641" t="s">
        <v>1872</v>
      </c>
      <c r="G241" s="640" t="s">
        <v>1688</v>
      </c>
      <c r="H241" s="640" t="s">
        <v>1689</v>
      </c>
      <c r="I241" s="642">
        <v>67.52</v>
      </c>
      <c r="J241" s="642">
        <v>100</v>
      </c>
      <c r="K241" s="643">
        <v>6751.75</v>
      </c>
    </row>
    <row r="242" spans="1:11" ht="14.4" customHeight="1" x14ac:dyDescent="0.3">
      <c r="A242" s="638" t="s">
        <v>543</v>
      </c>
      <c r="B242" s="639" t="s">
        <v>544</v>
      </c>
      <c r="C242" s="640" t="s">
        <v>556</v>
      </c>
      <c r="D242" s="641" t="s">
        <v>1226</v>
      </c>
      <c r="E242" s="640" t="s">
        <v>1871</v>
      </c>
      <c r="F242" s="641" t="s">
        <v>1872</v>
      </c>
      <c r="G242" s="640" t="s">
        <v>1532</v>
      </c>
      <c r="H242" s="640" t="s">
        <v>1533</v>
      </c>
      <c r="I242" s="642">
        <v>5.17</v>
      </c>
      <c r="J242" s="642">
        <v>500</v>
      </c>
      <c r="K242" s="643">
        <v>2587.5</v>
      </c>
    </row>
    <row r="243" spans="1:11" ht="14.4" customHeight="1" x14ac:dyDescent="0.3">
      <c r="A243" s="638" t="s">
        <v>543</v>
      </c>
      <c r="B243" s="639" t="s">
        <v>544</v>
      </c>
      <c r="C243" s="640" t="s">
        <v>556</v>
      </c>
      <c r="D243" s="641" t="s">
        <v>1226</v>
      </c>
      <c r="E243" s="640" t="s">
        <v>1871</v>
      </c>
      <c r="F243" s="641" t="s">
        <v>1872</v>
      </c>
      <c r="G243" s="640" t="s">
        <v>1532</v>
      </c>
      <c r="H243" s="640" t="s">
        <v>1534</v>
      </c>
      <c r="I243" s="642">
        <v>5.1775000000000002</v>
      </c>
      <c r="J243" s="642">
        <v>400</v>
      </c>
      <c r="K243" s="643">
        <v>2070.5</v>
      </c>
    </row>
    <row r="244" spans="1:11" ht="14.4" customHeight="1" x14ac:dyDescent="0.3">
      <c r="A244" s="638" t="s">
        <v>543</v>
      </c>
      <c r="B244" s="639" t="s">
        <v>544</v>
      </c>
      <c r="C244" s="640" t="s">
        <v>556</v>
      </c>
      <c r="D244" s="641" t="s">
        <v>1226</v>
      </c>
      <c r="E244" s="640" t="s">
        <v>1873</v>
      </c>
      <c r="F244" s="641" t="s">
        <v>1874</v>
      </c>
      <c r="G244" s="640" t="s">
        <v>1690</v>
      </c>
      <c r="H244" s="640" t="s">
        <v>1691</v>
      </c>
      <c r="I244" s="642">
        <v>11.675000000000001</v>
      </c>
      <c r="J244" s="642">
        <v>160</v>
      </c>
      <c r="K244" s="643">
        <v>1868.15</v>
      </c>
    </row>
    <row r="245" spans="1:11" ht="14.4" customHeight="1" x14ac:dyDescent="0.3">
      <c r="A245" s="638" t="s">
        <v>543</v>
      </c>
      <c r="B245" s="639" t="s">
        <v>544</v>
      </c>
      <c r="C245" s="640" t="s">
        <v>556</v>
      </c>
      <c r="D245" s="641" t="s">
        <v>1226</v>
      </c>
      <c r="E245" s="640" t="s">
        <v>1873</v>
      </c>
      <c r="F245" s="641" t="s">
        <v>1874</v>
      </c>
      <c r="G245" s="640" t="s">
        <v>1363</v>
      </c>
      <c r="H245" s="640" t="s">
        <v>1364</v>
      </c>
      <c r="I245" s="642">
        <v>16.396666666666665</v>
      </c>
      <c r="J245" s="642">
        <v>4440</v>
      </c>
      <c r="K245" s="643">
        <v>72797.759999999995</v>
      </c>
    </row>
    <row r="246" spans="1:11" ht="14.4" customHeight="1" x14ac:dyDescent="0.3">
      <c r="A246" s="638" t="s">
        <v>543</v>
      </c>
      <c r="B246" s="639" t="s">
        <v>544</v>
      </c>
      <c r="C246" s="640" t="s">
        <v>556</v>
      </c>
      <c r="D246" s="641" t="s">
        <v>1226</v>
      </c>
      <c r="E246" s="640" t="s">
        <v>1873</v>
      </c>
      <c r="F246" s="641" t="s">
        <v>1874</v>
      </c>
      <c r="G246" s="640" t="s">
        <v>1692</v>
      </c>
      <c r="H246" s="640" t="s">
        <v>1693</v>
      </c>
      <c r="I246" s="642">
        <v>260.15000000000003</v>
      </c>
      <c r="J246" s="642">
        <v>56</v>
      </c>
      <c r="K246" s="643">
        <v>14568.4</v>
      </c>
    </row>
    <row r="247" spans="1:11" ht="14.4" customHeight="1" x14ac:dyDescent="0.3">
      <c r="A247" s="638" t="s">
        <v>543</v>
      </c>
      <c r="B247" s="639" t="s">
        <v>544</v>
      </c>
      <c r="C247" s="640" t="s">
        <v>556</v>
      </c>
      <c r="D247" s="641" t="s">
        <v>1226</v>
      </c>
      <c r="E247" s="640" t="s">
        <v>1873</v>
      </c>
      <c r="F247" s="641" t="s">
        <v>1874</v>
      </c>
      <c r="G247" s="640" t="s">
        <v>1694</v>
      </c>
      <c r="H247" s="640" t="s">
        <v>1695</v>
      </c>
      <c r="I247" s="642">
        <v>58.37</v>
      </c>
      <c r="J247" s="642">
        <v>80</v>
      </c>
      <c r="K247" s="643">
        <v>4669.6000000000004</v>
      </c>
    </row>
    <row r="248" spans="1:11" ht="14.4" customHeight="1" x14ac:dyDescent="0.3">
      <c r="A248" s="638" t="s">
        <v>543</v>
      </c>
      <c r="B248" s="639" t="s">
        <v>544</v>
      </c>
      <c r="C248" s="640" t="s">
        <v>556</v>
      </c>
      <c r="D248" s="641" t="s">
        <v>1226</v>
      </c>
      <c r="E248" s="640" t="s">
        <v>1873</v>
      </c>
      <c r="F248" s="641" t="s">
        <v>1874</v>
      </c>
      <c r="G248" s="640" t="s">
        <v>1365</v>
      </c>
      <c r="H248" s="640" t="s">
        <v>1366</v>
      </c>
      <c r="I248" s="642">
        <v>15.924545454545454</v>
      </c>
      <c r="J248" s="642">
        <v>1400</v>
      </c>
      <c r="K248" s="643">
        <v>22295</v>
      </c>
    </row>
    <row r="249" spans="1:11" ht="14.4" customHeight="1" x14ac:dyDescent="0.3">
      <c r="A249" s="638" t="s">
        <v>543</v>
      </c>
      <c r="B249" s="639" t="s">
        <v>544</v>
      </c>
      <c r="C249" s="640" t="s">
        <v>556</v>
      </c>
      <c r="D249" s="641" t="s">
        <v>1226</v>
      </c>
      <c r="E249" s="640" t="s">
        <v>1873</v>
      </c>
      <c r="F249" s="641" t="s">
        <v>1874</v>
      </c>
      <c r="G249" s="640" t="s">
        <v>1367</v>
      </c>
      <c r="H249" s="640" t="s">
        <v>1368</v>
      </c>
      <c r="I249" s="642">
        <v>2.5291666666666672</v>
      </c>
      <c r="J249" s="642">
        <v>1235</v>
      </c>
      <c r="K249" s="643">
        <v>3123.41</v>
      </c>
    </row>
    <row r="250" spans="1:11" ht="14.4" customHeight="1" x14ac:dyDescent="0.3">
      <c r="A250" s="638" t="s">
        <v>543</v>
      </c>
      <c r="B250" s="639" t="s">
        <v>544</v>
      </c>
      <c r="C250" s="640" t="s">
        <v>556</v>
      </c>
      <c r="D250" s="641" t="s">
        <v>1226</v>
      </c>
      <c r="E250" s="640" t="s">
        <v>1873</v>
      </c>
      <c r="F250" s="641" t="s">
        <v>1874</v>
      </c>
      <c r="G250" s="640" t="s">
        <v>1369</v>
      </c>
      <c r="H250" s="640" t="s">
        <v>1370</v>
      </c>
      <c r="I250" s="642">
        <v>30.25</v>
      </c>
      <c r="J250" s="642">
        <v>1450</v>
      </c>
      <c r="K250" s="643">
        <v>43863.05</v>
      </c>
    </row>
    <row r="251" spans="1:11" ht="14.4" customHeight="1" x14ac:dyDescent="0.3">
      <c r="A251" s="638" t="s">
        <v>543</v>
      </c>
      <c r="B251" s="639" t="s">
        <v>544</v>
      </c>
      <c r="C251" s="640" t="s">
        <v>556</v>
      </c>
      <c r="D251" s="641" t="s">
        <v>1226</v>
      </c>
      <c r="E251" s="640" t="s">
        <v>1873</v>
      </c>
      <c r="F251" s="641" t="s">
        <v>1874</v>
      </c>
      <c r="G251" s="640" t="s">
        <v>1371</v>
      </c>
      <c r="H251" s="640" t="s">
        <v>1372</v>
      </c>
      <c r="I251" s="642">
        <v>2.7507692307692304</v>
      </c>
      <c r="J251" s="642">
        <v>5900</v>
      </c>
      <c r="K251" s="643">
        <v>16231</v>
      </c>
    </row>
    <row r="252" spans="1:11" ht="14.4" customHeight="1" x14ac:dyDescent="0.3">
      <c r="A252" s="638" t="s">
        <v>543</v>
      </c>
      <c r="B252" s="639" t="s">
        <v>544</v>
      </c>
      <c r="C252" s="640" t="s">
        <v>556</v>
      </c>
      <c r="D252" s="641" t="s">
        <v>1226</v>
      </c>
      <c r="E252" s="640" t="s">
        <v>1873</v>
      </c>
      <c r="F252" s="641" t="s">
        <v>1874</v>
      </c>
      <c r="G252" s="640" t="s">
        <v>1537</v>
      </c>
      <c r="H252" s="640" t="s">
        <v>1538</v>
      </c>
      <c r="I252" s="642">
        <v>7.4275000000000011</v>
      </c>
      <c r="J252" s="642">
        <v>2100</v>
      </c>
      <c r="K252" s="643">
        <v>15595</v>
      </c>
    </row>
    <row r="253" spans="1:11" ht="14.4" customHeight="1" x14ac:dyDescent="0.3">
      <c r="A253" s="638" t="s">
        <v>543</v>
      </c>
      <c r="B253" s="639" t="s">
        <v>544</v>
      </c>
      <c r="C253" s="640" t="s">
        <v>556</v>
      </c>
      <c r="D253" s="641" t="s">
        <v>1226</v>
      </c>
      <c r="E253" s="640" t="s">
        <v>1873</v>
      </c>
      <c r="F253" s="641" t="s">
        <v>1874</v>
      </c>
      <c r="G253" s="640" t="s">
        <v>1696</v>
      </c>
      <c r="H253" s="640" t="s">
        <v>1697</v>
      </c>
      <c r="I253" s="642">
        <v>6.31</v>
      </c>
      <c r="J253" s="642">
        <v>700</v>
      </c>
      <c r="K253" s="643">
        <v>4418.2</v>
      </c>
    </row>
    <row r="254" spans="1:11" ht="14.4" customHeight="1" x14ac:dyDescent="0.3">
      <c r="A254" s="638" t="s">
        <v>543</v>
      </c>
      <c r="B254" s="639" t="s">
        <v>544</v>
      </c>
      <c r="C254" s="640" t="s">
        <v>556</v>
      </c>
      <c r="D254" s="641" t="s">
        <v>1226</v>
      </c>
      <c r="E254" s="640" t="s">
        <v>1873</v>
      </c>
      <c r="F254" s="641" t="s">
        <v>1874</v>
      </c>
      <c r="G254" s="640" t="s">
        <v>1373</v>
      </c>
      <c r="H254" s="640" t="s">
        <v>1374</v>
      </c>
      <c r="I254" s="642">
        <v>4.1866666666666674</v>
      </c>
      <c r="J254" s="642">
        <v>250</v>
      </c>
      <c r="K254" s="643">
        <v>1046.5</v>
      </c>
    </row>
    <row r="255" spans="1:11" ht="14.4" customHeight="1" x14ac:dyDescent="0.3">
      <c r="A255" s="638" t="s">
        <v>543</v>
      </c>
      <c r="B255" s="639" t="s">
        <v>544</v>
      </c>
      <c r="C255" s="640" t="s">
        <v>556</v>
      </c>
      <c r="D255" s="641" t="s">
        <v>1226</v>
      </c>
      <c r="E255" s="640" t="s">
        <v>1873</v>
      </c>
      <c r="F255" s="641" t="s">
        <v>1874</v>
      </c>
      <c r="G255" s="640" t="s">
        <v>1375</v>
      </c>
      <c r="H255" s="640" t="s">
        <v>1376</v>
      </c>
      <c r="I255" s="642">
        <v>1.0908333333333333</v>
      </c>
      <c r="J255" s="642">
        <v>6200</v>
      </c>
      <c r="K255" s="643">
        <v>6761</v>
      </c>
    </row>
    <row r="256" spans="1:11" ht="14.4" customHeight="1" x14ac:dyDescent="0.3">
      <c r="A256" s="638" t="s">
        <v>543</v>
      </c>
      <c r="B256" s="639" t="s">
        <v>544</v>
      </c>
      <c r="C256" s="640" t="s">
        <v>556</v>
      </c>
      <c r="D256" s="641" t="s">
        <v>1226</v>
      </c>
      <c r="E256" s="640" t="s">
        <v>1873</v>
      </c>
      <c r="F256" s="641" t="s">
        <v>1874</v>
      </c>
      <c r="G256" s="640" t="s">
        <v>1377</v>
      </c>
      <c r="H256" s="640" t="s">
        <v>1378</v>
      </c>
      <c r="I256" s="642">
        <v>1.6749999999999998</v>
      </c>
      <c r="J256" s="642">
        <v>20000</v>
      </c>
      <c r="K256" s="643">
        <v>33502</v>
      </c>
    </row>
    <row r="257" spans="1:11" ht="14.4" customHeight="1" x14ac:dyDescent="0.3">
      <c r="A257" s="638" t="s">
        <v>543</v>
      </c>
      <c r="B257" s="639" t="s">
        <v>544</v>
      </c>
      <c r="C257" s="640" t="s">
        <v>556</v>
      </c>
      <c r="D257" s="641" t="s">
        <v>1226</v>
      </c>
      <c r="E257" s="640" t="s">
        <v>1873</v>
      </c>
      <c r="F257" s="641" t="s">
        <v>1874</v>
      </c>
      <c r="G257" s="640" t="s">
        <v>1379</v>
      </c>
      <c r="H257" s="640" t="s">
        <v>1380</v>
      </c>
      <c r="I257" s="642">
        <v>0.47615384615384609</v>
      </c>
      <c r="J257" s="642">
        <v>12800</v>
      </c>
      <c r="K257" s="643">
        <v>6084</v>
      </c>
    </row>
    <row r="258" spans="1:11" ht="14.4" customHeight="1" x14ac:dyDescent="0.3">
      <c r="A258" s="638" t="s">
        <v>543</v>
      </c>
      <c r="B258" s="639" t="s">
        <v>544</v>
      </c>
      <c r="C258" s="640" t="s">
        <v>556</v>
      </c>
      <c r="D258" s="641" t="s">
        <v>1226</v>
      </c>
      <c r="E258" s="640" t="s">
        <v>1873</v>
      </c>
      <c r="F258" s="641" t="s">
        <v>1874</v>
      </c>
      <c r="G258" s="640" t="s">
        <v>1381</v>
      </c>
      <c r="H258" s="640" t="s">
        <v>1382</v>
      </c>
      <c r="I258" s="642">
        <v>0.67</v>
      </c>
      <c r="J258" s="642">
        <v>7200</v>
      </c>
      <c r="K258" s="643">
        <v>4824</v>
      </c>
    </row>
    <row r="259" spans="1:11" ht="14.4" customHeight="1" x14ac:dyDescent="0.3">
      <c r="A259" s="638" t="s">
        <v>543</v>
      </c>
      <c r="B259" s="639" t="s">
        <v>544</v>
      </c>
      <c r="C259" s="640" t="s">
        <v>556</v>
      </c>
      <c r="D259" s="641" t="s">
        <v>1226</v>
      </c>
      <c r="E259" s="640" t="s">
        <v>1873</v>
      </c>
      <c r="F259" s="641" t="s">
        <v>1874</v>
      </c>
      <c r="G259" s="640" t="s">
        <v>1383</v>
      </c>
      <c r="H259" s="640" t="s">
        <v>1384</v>
      </c>
      <c r="I259" s="642">
        <v>3.7400000000000015</v>
      </c>
      <c r="J259" s="642">
        <v>1200</v>
      </c>
      <c r="K259" s="643">
        <v>4488</v>
      </c>
    </row>
    <row r="260" spans="1:11" ht="14.4" customHeight="1" x14ac:dyDescent="0.3">
      <c r="A260" s="638" t="s">
        <v>543</v>
      </c>
      <c r="B260" s="639" t="s">
        <v>544</v>
      </c>
      <c r="C260" s="640" t="s">
        <v>556</v>
      </c>
      <c r="D260" s="641" t="s">
        <v>1226</v>
      </c>
      <c r="E260" s="640" t="s">
        <v>1873</v>
      </c>
      <c r="F260" s="641" t="s">
        <v>1874</v>
      </c>
      <c r="G260" s="640" t="s">
        <v>1698</v>
      </c>
      <c r="H260" s="640" t="s">
        <v>1699</v>
      </c>
      <c r="I260" s="642">
        <v>81.733333333333334</v>
      </c>
      <c r="J260" s="642">
        <v>270</v>
      </c>
      <c r="K260" s="643">
        <v>22068.28</v>
      </c>
    </row>
    <row r="261" spans="1:11" ht="14.4" customHeight="1" x14ac:dyDescent="0.3">
      <c r="A261" s="638" t="s">
        <v>543</v>
      </c>
      <c r="B261" s="639" t="s">
        <v>544</v>
      </c>
      <c r="C261" s="640" t="s">
        <v>556</v>
      </c>
      <c r="D261" s="641" t="s">
        <v>1226</v>
      </c>
      <c r="E261" s="640" t="s">
        <v>1873</v>
      </c>
      <c r="F261" s="641" t="s">
        <v>1874</v>
      </c>
      <c r="G261" s="640" t="s">
        <v>1700</v>
      </c>
      <c r="H261" s="640" t="s">
        <v>1701</v>
      </c>
      <c r="I261" s="642">
        <v>80.574999999999989</v>
      </c>
      <c r="J261" s="642">
        <v>18</v>
      </c>
      <c r="K261" s="643">
        <v>1450.27</v>
      </c>
    </row>
    <row r="262" spans="1:11" ht="14.4" customHeight="1" x14ac:dyDescent="0.3">
      <c r="A262" s="638" t="s">
        <v>543</v>
      </c>
      <c r="B262" s="639" t="s">
        <v>544</v>
      </c>
      <c r="C262" s="640" t="s">
        <v>556</v>
      </c>
      <c r="D262" s="641" t="s">
        <v>1226</v>
      </c>
      <c r="E262" s="640" t="s">
        <v>1873</v>
      </c>
      <c r="F262" s="641" t="s">
        <v>1874</v>
      </c>
      <c r="G262" s="640" t="s">
        <v>1539</v>
      </c>
      <c r="H262" s="640" t="s">
        <v>1540</v>
      </c>
      <c r="I262" s="642">
        <v>30.25</v>
      </c>
      <c r="J262" s="642">
        <v>400</v>
      </c>
      <c r="K262" s="643">
        <v>12100.5</v>
      </c>
    </row>
    <row r="263" spans="1:11" ht="14.4" customHeight="1" x14ac:dyDescent="0.3">
      <c r="A263" s="638" t="s">
        <v>543</v>
      </c>
      <c r="B263" s="639" t="s">
        <v>544</v>
      </c>
      <c r="C263" s="640" t="s">
        <v>556</v>
      </c>
      <c r="D263" s="641" t="s">
        <v>1226</v>
      </c>
      <c r="E263" s="640" t="s">
        <v>1873</v>
      </c>
      <c r="F263" s="641" t="s">
        <v>1874</v>
      </c>
      <c r="G263" s="640" t="s">
        <v>1387</v>
      </c>
      <c r="H263" s="640" t="s">
        <v>1388</v>
      </c>
      <c r="I263" s="642">
        <v>32.670000000000009</v>
      </c>
      <c r="J263" s="642">
        <v>1250</v>
      </c>
      <c r="K263" s="643">
        <v>40837.5</v>
      </c>
    </row>
    <row r="264" spans="1:11" ht="14.4" customHeight="1" x14ac:dyDescent="0.3">
      <c r="A264" s="638" t="s">
        <v>543</v>
      </c>
      <c r="B264" s="639" t="s">
        <v>544</v>
      </c>
      <c r="C264" s="640" t="s">
        <v>556</v>
      </c>
      <c r="D264" s="641" t="s">
        <v>1226</v>
      </c>
      <c r="E264" s="640" t="s">
        <v>1873</v>
      </c>
      <c r="F264" s="641" t="s">
        <v>1874</v>
      </c>
      <c r="G264" s="640" t="s">
        <v>1702</v>
      </c>
      <c r="H264" s="640" t="s">
        <v>1703</v>
      </c>
      <c r="I264" s="642">
        <v>108.29777777777775</v>
      </c>
      <c r="J264" s="642">
        <v>180</v>
      </c>
      <c r="K264" s="643">
        <v>19492.900000000001</v>
      </c>
    </row>
    <row r="265" spans="1:11" ht="14.4" customHeight="1" x14ac:dyDescent="0.3">
      <c r="A265" s="638" t="s">
        <v>543</v>
      </c>
      <c r="B265" s="639" t="s">
        <v>544</v>
      </c>
      <c r="C265" s="640" t="s">
        <v>556</v>
      </c>
      <c r="D265" s="641" t="s">
        <v>1226</v>
      </c>
      <c r="E265" s="640" t="s">
        <v>1873</v>
      </c>
      <c r="F265" s="641" t="s">
        <v>1874</v>
      </c>
      <c r="G265" s="640" t="s">
        <v>1704</v>
      </c>
      <c r="H265" s="640" t="s">
        <v>1705</v>
      </c>
      <c r="I265" s="642">
        <v>2.67</v>
      </c>
      <c r="J265" s="642">
        <v>250</v>
      </c>
      <c r="K265" s="643">
        <v>668.55000000000007</v>
      </c>
    </row>
    <row r="266" spans="1:11" ht="14.4" customHeight="1" x14ac:dyDescent="0.3">
      <c r="A266" s="638" t="s">
        <v>543</v>
      </c>
      <c r="B266" s="639" t="s">
        <v>544</v>
      </c>
      <c r="C266" s="640" t="s">
        <v>556</v>
      </c>
      <c r="D266" s="641" t="s">
        <v>1226</v>
      </c>
      <c r="E266" s="640" t="s">
        <v>1873</v>
      </c>
      <c r="F266" s="641" t="s">
        <v>1874</v>
      </c>
      <c r="G266" s="640" t="s">
        <v>1389</v>
      </c>
      <c r="H266" s="640" t="s">
        <v>1390</v>
      </c>
      <c r="I266" s="642">
        <v>26.018181818181816</v>
      </c>
      <c r="J266" s="642">
        <v>5440</v>
      </c>
      <c r="K266" s="643">
        <v>141542.40000000002</v>
      </c>
    </row>
    <row r="267" spans="1:11" ht="14.4" customHeight="1" x14ac:dyDescent="0.3">
      <c r="A267" s="638" t="s">
        <v>543</v>
      </c>
      <c r="B267" s="639" t="s">
        <v>544</v>
      </c>
      <c r="C267" s="640" t="s">
        <v>556</v>
      </c>
      <c r="D267" s="641" t="s">
        <v>1226</v>
      </c>
      <c r="E267" s="640" t="s">
        <v>1873</v>
      </c>
      <c r="F267" s="641" t="s">
        <v>1874</v>
      </c>
      <c r="G267" s="640" t="s">
        <v>1541</v>
      </c>
      <c r="H267" s="640" t="s">
        <v>1542</v>
      </c>
      <c r="I267" s="642">
        <v>14.300000000000002</v>
      </c>
      <c r="J267" s="642">
        <v>300</v>
      </c>
      <c r="K267" s="643">
        <v>4290.59</v>
      </c>
    </row>
    <row r="268" spans="1:11" ht="14.4" customHeight="1" x14ac:dyDescent="0.3">
      <c r="A268" s="638" t="s">
        <v>543</v>
      </c>
      <c r="B268" s="639" t="s">
        <v>544</v>
      </c>
      <c r="C268" s="640" t="s">
        <v>556</v>
      </c>
      <c r="D268" s="641" t="s">
        <v>1226</v>
      </c>
      <c r="E268" s="640" t="s">
        <v>1873</v>
      </c>
      <c r="F268" s="641" t="s">
        <v>1874</v>
      </c>
      <c r="G268" s="640" t="s">
        <v>1391</v>
      </c>
      <c r="H268" s="640" t="s">
        <v>1392</v>
      </c>
      <c r="I268" s="642">
        <v>9.15</v>
      </c>
      <c r="J268" s="642">
        <v>3400</v>
      </c>
      <c r="K268" s="643">
        <v>31103.72</v>
      </c>
    </row>
    <row r="269" spans="1:11" ht="14.4" customHeight="1" x14ac:dyDescent="0.3">
      <c r="A269" s="638" t="s">
        <v>543</v>
      </c>
      <c r="B269" s="639" t="s">
        <v>544</v>
      </c>
      <c r="C269" s="640" t="s">
        <v>556</v>
      </c>
      <c r="D269" s="641" t="s">
        <v>1226</v>
      </c>
      <c r="E269" s="640" t="s">
        <v>1873</v>
      </c>
      <c r="F269" s="641" t="s">
        <v>1874</v>
      </c>
      <c r="G269" s="640" t="s">
        <v>1393</v>
      </c>
      <c r="H269" s="640" t="s">
        <v>1394</v>
      </c>
      <c r="I269" s="642">
        <v>4.7999999999999989</v>
      </c>
      <c r="J269" s="642">
        <v>3900</v>
      </c>
      <c r="K269" s="643">
        <v>18719.580000000002</v>
      </c>
    </row>
    <row r="270" spans="1:11" ht="14.4" customHeight="1" x14ac:dyDescent="0.3">
      <c r="A270" s="638" t="s">
        <v>543</v>
      </c>
      <c r="B270" s="639" t="s">
        <v>544</v>
      </c>
      <c r="C270" s="640" t="s">
        <v>556</v>
      </c>
      <c r="D270" s="641" t="s">
        <v>1226</v>
      </c>
      <c r="E270" s="640" t="s">
        <v>1873</v>
      </c>
      <c r="F270" s="641" t="s">
        <v>1874</v>
      </c>
      <c r="G270" s="640" t="s">
        <v>1706</v>
      </c>
      <c r="H270" s="640" t="s">
        <v>1707</v>
      </c>
      <c r="I270" s="642">
        <v>206.04750000000001</v>
      </c>
      <c r="J270" s="642">
        <v>5</v>
      </c>
      <c r="K270" s="643">
        <v>1030.23</v>
      </c>
    </row>
    <row r="271" spans="1:11" ht="14.4" customHeight="1" x14ac:dyDescent="0.3">
      <c r="A271" s="638" t="s">
        <v>543</v>
      </c>
      <c r="B271" s="639" t="s">
        <v>544</v>
      </c>
      <c r="C271" s="640" t="s">
        <v>556</v>
      </c>
      <c r="D271" s="641" t="s">
        <v>1226</v>
      </c>
      <c r="E271" s="640" t="s">
        <v>1873</v>
      </c>
      <c r="F271" s="641" t="s">
        <v>1874</v>
      </c>
      <c r="G271" s="640" t="s">
        <v>1543</v>
      </c>
      <c r="H271" s="640" t="s">
        <v>1544</v>
      </c>
      <c r="I271" s="642">
        <v>2.63</v>
      </c>
      <c r="J271" s="642">
        <v>100</v>
      </c>
      <c r="K271" s="643">
        <v>263</v>
      </c>
    </row>
    <row r="272" spans="1:11" ht="14.4" customHeight="1" x14ac:dyDescent="0.3">
      <c r="A272" s="638" t="s">
        <v>543</v>
      </c>
      <c r="B272" s="639" t="s">
        <v>544</v>
      </c>
      <c r="C272" s="640" t="s">
        <v>556</v>
      </c>
      <c r="D272" s="641" t="s">
        <v>1226</v>
      </c>
      <c r="E272" s="640" t="s">
        <v>1873</v>
      </c>
      <c r="F272" s="641" t="s">
        <v>1874</v>
      </c>
      <c r="G272" s="640" t="s">
        <v>1708</v>
      </c>
      <c r="H272" s="640" t="s">
        <v>1709</v>
      </c>
      <c r="I272" s="642">
        <v>16.452857142857145</v>
      </c>
      <c r="J272" s="642">
        <v>90</v>
      </c>
      <c r="K272" s="643">
        <v>1480.75</v>
      </c>
    </row>
    <row r="273" spans="1:11" ht="14.4" customHeight="1" x14ac:dyDescent="0.3">
      <c r="A273" s="638" t="s">
        <v>543</v>
      </c>
      <c r="B273" s="639" t="s">
        <v>544</v>
      </c>
      <c r="C273" s="640" t="s">
        <v>556</v>
      </c>
      <c r="D273" s="641" t="s">
        <v>1226</v>
      </c>
      <c r="E273" s="640" t="s">
        <v>1873</v>
      </c>
      <c r="F273" s="641" t="s">
        <v>1874</v>
      </c>
      <c r="G273" s="640" t="s">
        <v>1708</v>
      </c>
      <c r="H273" s="640" t="s">
        <v>1710</v>
      </c>
      <c r="I273" s="642">
        <v>16.45</v>
      </c>
      <c r="J273" s="642">
        <v>42</v>
      </c>
      <c r="K273" s="643">
        <v>690.9</v>
      </c>
    </row>
    <row r="274" spans="1:11" ht="14.4" customHeight="1" x14ac:dyDescent="0.3">
      <c r="A274" s="638" t="s">
        <v>543</v>
      </c>
      <c r="B274" s="639" t="s">
        <v>544</v>
      </c>
      <c r="C274" s="640" t="s">
        <v>556</v>
      </c>
      <c r="D274" s="641" t="s">
        <v>1226</v>
      </c>
      <c r="E274" s="640" t="s">
        <v>1873</v>
      </c>
      <c r="F274" s="641" t="s">
        <v>1874</v>
      </c>
      <c r="G274" s="640" t="s">
        <v>1395</v>
      </c>
      <c r="H274" s="640" t="s">
        <v>1396</v>
      </c>
      <c r="I274" s="642">
        <v>26.015000000000001</v>
      </c>
      <c r="J274" s="642">
        <v>1560</v>
      </c>
      <c r="K274" s="643">
        <v>40584.800000000003</v>
      </c>
    </row>
    <row r="275" spans="1:11" ht="14.4" customHeight="1" x14ac:dyDescent="0.3">
      <c r="A275" s="638" t="s">
        <v>543</v>
      </c>
      <c r="B275" s="639" t="s">
        <v>544</v>
      </c>
      <c r="C275" s="640" t="s">
        <v>556</v>
      </c>
      <c r="D275" s="641" t="s">
        <v>1226</v>
      </c>
      <c r="E275" s="640" t="s">
        <v>1873</v>
      </c>
      <c r="F275" s="641" t="s">
        <v>1874</v>
      </c>
      <c r="G275" s="640" t="s">
        <v>1395</v>
      </c>
      <c r="H275" s="640" t="s">
        <v>1545</v>
      </c>
      <c r="I275" s="642">
        <v>26.02</v>
      </c>
      <c r="J275" s="642">
        <v>1000</v>
      </c>
      <c r="K275" s="643">
        <v>26015</v>
      </c>
    </row>
    <row r="276" spans="1:11" ht="14.4" customHeight="1" x14ac:dyDescent="0.3">
      <c r="A276" s="638" t="s">
        <v>543</v>
      </c>
      <c r="B276" s="639" t="s">
        <v>544</v>
      </c>
      <c r="C276" s="640" t="s">
        <v>556</v>
      </c>
      <c r="D276" s="641" t="s">
        <v>1226</v>
      </c>
      <c r="E276" s="640" t="s">
        <v>1873</v>
      </c>
      <c r="F276" s="641" t="s">
        <v>1874</v>
      </c>
      <c r="G276" s="640" t="s">
        <v>1711</v>
      </c>
      <c r="H276" s="640" t="s">
        <v>1712</v>
      </c>
      <c r="I276" s="642">
        <v>1.9</v>
      </c>
      <c r="J276" s="642">
        <v>8</v>
      </c>
      <c r="K276" s="643">
        <v>15.2</v>
      </c>
    </row>
    <row r="277" spans="1:11" ht="14.4" customHeight="1" x14ac:dyDescent="0.3">
      <c r="A277" s="638" t="s">
        <v>543</v>
      </c>
      <c r="B277" s="639" t="s">
        <v>544</v>
      </c>
      <c r="C277" s="640" t="s">
        <v>556</v>
      </c>
      <c r="D277" s="641" t="s">
        <v>1226</v>
      </c>
      <c r="E277" s="640" t="s">
        <v>1873</v>
      </c>
      <c r="F277" s="641" t="s">
        <v>1874</v>
      </c>
      <c r="G277" s="640" t="s">
        <v>1548</v>
      </c>
      <c r="H277" s="640" t="s">
        <v>1549</v>
      </c>
      <c r="I277" s="642">
        <v>2.3719999999999999</v>
      </c>
      <c r="J277" s="642">
        <v>250</v>
      </c>
      <c r="K277" s="643">
        <v>593</v>
      </c>
    </row>
    <row r="278" spans="1:11" ht="14.4" customHeight="1" x14ac:dyDescent="0.3">
      <c r="A278" s="638" t="s">
        <v>543</v>
      </c>
      <c r="B278" s="639" t="s">
        <v>544</v>
      </c>
      <c r="C278" s="640" t="s">
        <v>556</v>
      </c>
      <c r="D278" s="641" t="s">
        <v>1226</v>
      </c>
      <c r="E278" s="640" t="s">
        <v>1873</v>
      </c>
      <c r="F278" s="641" t="s">
        <v>1874</v>
      </c>
      <c r="G278" s="640" t="s">
        <v>1397</v>
      </c>
      <c r="H278" s="640" t="s">
        <v>1398</v>
      </c>
      <c r="I278" s="642">
        <v>1.8</v>
      </c>
      <c r="J278" s="642">
        <v>20</v>
      </c>
      <c r="K278" s="643">
        <v>36</v>
      </c>
    </row>
    <row r="279" spans="1:11" ht="14.4" customHeight="1" x14ac:dyDescent="0.3">
      <c r="A279" s="638" t="s">
        <v>543</v>
      </c>
      <c r="B279" s="639" t="s">
        <v>544</v>
      </c>
      <c r="C279" s="640" t="s">
        <v>556</v>
      </c>
      <c r="D279" s="641" t="s">
        <v>1226</v>
      </c>
      <c r="E279" s="640" t="s">
        <v>1873</v>
      </c>
      <c r="F279" s="641" t="s">
        <v>1874</v>
      </c>
      <c r="G279" s="640" t="s">
        <v>1713</v>
      </c>
      <c r="H279" s="640" t="s">
        <v>1714</v>
      </c>
      <c r="I279" s="642">
        <v>2.82</v>
      </c>
      <c r="J279" s="642">
        <v>10</v>
      </c>
      <c r="K279" s="643">
        <v>28.2</v>
      </c>
    </row>
    <row r="280" spans="1:11" ht="14.4" customHeight="1" x14ac:dyDescent="0.3">
      <c r="A280" s="638" t="s">
        <v>543</v>
      </c>
      <c r="B280" s="639" t="s">
        <v>544</v>
      </c>
      <c r="C280" s="640" t="s">
        <v>556</v>
      </c>
      <c r="D280" s="641" t="s">
        <v>1226</v>
      </c>
      <c r="E280" s="640" t="s">
        <v>1873</v>
      </c>
      <c r="F280" s="641" t="s">
        <v>1874</v>
      </c>
      <c r="G280" s="640" t="s">
        <v>1715</v>
      </c>
      <c r="H280" s="640" t="s">
        <v>1716</v>
      </c>
      <c r="I280" s="642">
        <v>1.9950000000000001</v>
      </c>
      <c r="J280" s="642">
        <v>30</v>
      </c>
      <c r="K280" s="643">
        <v>59.8</v>
      </c>
    </row>
    <row r="281" spans="1:11" ht="14.4" customHeight="1" x14ac:dyDescent="0.3">
      <c r="A281" s="638" t="s">
        <v>543</v>
      </c>
      <c r="B281" s="639" t="s">
        <v>544</v>
      </c>
      <c r="C281" s="640" t="s">
        <v>556</v>
      </c>
      <c r="D281" s="641" t="s">
        <v>1226</v>
      </c>
      <c r="E281" s="640" t="s">
        <v>1873</v>
      </c>
      <c r="F281" s="641" t="s">
        <v>1874</v>
      </c>
      <c r="G281" s="640" t="s">
        <v>1717</v>
      </c>
      <c r="H281" s="640" t="s">
        <v>1718</v>
      </c>
      <c r="I281" s="642">
        <v>3.15</v>
      </c>
      <c r="J281" s="642">
        <v>10</v>
      </c>
      <c r="K281" s="643">
        <v>31.5</v>
      </c>
    </row>
    <row r="282" spans="1:11" ht="14.4" customHeight="1" x14ac:dyDescent="0.3">
      <c r="A282" s="638" t="s">
        <v>543</v>
      </c>
      <c r="B282" s="639" t="s">
        <v>544</v>
      </c>
      <c r="C282" s="640" t="s">
        <v>556</v>
      </c>
      <c r="D282" s="641" t="s">
        <v>1226</v>
      </c>
      <c r="E282" s="640" t="s">
        <v>1873</v>
      </c>
      <c r="F282" s="641" t="s">
        <v>1874</v>
      </c>
      <c r="G282" s="640" t="s">
        <v>1719</v>
      </c>
      <c r="H282" s="640" t="s">
        <v>1720</v>
      </c>
      <c r="I282" s="642">
        <v>37.15</v>
      </c>
      <c r="J282" s="642">
        <v>90</v>
      </c>
      <c r="K282" s="643">
        <v>3343.5</v>
      </c>
    </row>
    <row r="283" spans="1:11" ht="14.4" customHeight="1" x14ac:dyDescent="0.3">
      <c r="A283" s="638" t="s">
        <v>543</v>
      </c>
      <c r="B283" s="639" t="s">
        <v>544</v>
      </c>
      <c r="C283" s="640" t="s">
        <v>556</v>
      </c>
      <c r="D283" s="641" t="s">
        <v>1226</v>
      </c>
      <c r="E283" s="640" t="s">
        <v>1873</v>
      </c>
      <c r="F283" s="641" t="s">
        <v>1874</v>
      </c>
      <c r="G283" s="640" t="s">
        <v>1399</v>
      </c>
      <c r="H283" s="640" t="s">
        <v>1550</v>
      </c>
      <c r="I283" s="642">
        <v>2.8574999999999999</v>
      </c>
      <c r="J283" s="642">
        <v>250</v>
      </c>
      <c r="K283" s="643">
        <v>714.5</v>
      </c>
    </row>
    <row r="284" spans="1:11" ht="14.4" customHeight="1" x14ac:dyDescent="0.3">
      <c r="A284" s="638" t="s">
        <v>543</v>
      </c>
      <c r="B284" s="639" t="s">
        <v>544</v>
      </c>
      <c r="C284" s="640" t="s">
        <v>556</v>
      </c>
      <c r="D284" s="641" t="s">
        <v>1226</v>
      </c>
      <c r="E284" s="640" t="s">
        <v>1873</v>
      </c>
      <c r="F284" s="641" t="s">
        <v>1874</v>
      </c>
      <c r="G284" s="640" t="s">
        <v>1399</v>
      </c>
      <c r="H284" s="640" t="s">
        <v>1400</v>
      </c>
      <c r="I284" s="642">
        <v>2.855</v>
      </c>
      <c r="J284" s="642">
        <v>650</v>
      </c>
      <c r="K284" s="643">
        <v>1855.5</v>
      </c>
    </row>
    <row r="285" spans="1:11" ht="14.4" customHeight="1" x14ac:dyDescent="0.3">
      <c r="A285" s="638" t="s">
        <v>543</v>
      </c>
      <c r="B285" s="639" t="s">
        <v>544</v>
      </c>
      <c r="C285" s="640" t="s">
        <v>556</v>
      </c>
      <c r="D285" s="641" t="s">
        <v>1226</v>
      </c>
      <c r="E285" s="640" t="s">
        <v>1873</v>
      </c>
      <c r="F285" s="641" t="s">
        <v>1874</v>
      </c>
      <c r="G285" s="640" t="s">
        <v>1401</v>
      </c>
      <c r="H285" s="640" t="s">
        <v>1402</v>
      </c>
      <c r="I285" s="642">
        <v>58.785833333333329</v>
      </c>
      <c r="J285" s="642">
        <v>144</v>
      </c>
      <c r="K285" s="643">
        <v>8464.94</v>
      </c>
    </row>
    <row r="286" spans="1:11" ht="14.4" customHeight="1" x14ac:dyDescent="0.3">
      <c r="A286" s="638" t="s">
        <v>543</v>
      </c>
      <c r="B286" s="639" t="s">
        <v>544</v>
      </c>
      <c r="C286" s="640" t="s">
        <v>556</v>
      </c>
      <c r="D286" s="641" t="s">
        <v>1226</v>
      </c>
      <c r="E286" s="640" t="s">
        <v>1873</v>
      </c>
      <c r="F286" s="641" t="s">
        <v>1874</v>
      </c>
      <c r="G286" s="640" t="s">
        <v>1403</v>
      </c>
      <c r="H286" s="640" t="s">
        <v>1404</v>
      </c>
      <c r="I286" s="642">
        <v>2.0544444444444445</v>
      </c>
      <c r="J286" s="642">
        <v>130</v>
      </c>
      <c r="K286" s="643">
        <v>267.09999999999997</v>
      </c>
    </row>
    <row r="287" spans="1:11" ht="14.4" customHeight="1" x14ac:dyDescent="0.3">
      <c r="A287" s="638" t="s">
        <v>543</v>
      </c>
      <c r="B287" s="639" t="s">
        <v>544</v>
      </c>
      <c r="C287" s="640" t="s">
        <v>556</v>
      </c>
      <c r="D287" s="641" t="s">
        <v>1226</v>
      </c>
      <c r="E287" s="640" t="s">
        <v>1873</v>
      </c>
      <c r="F287" s="641" t="s">
        <v>1874</v>
      </c>
      <c r="G287" s="640" t="s">
        <v>1407</v>
      </c>
      <c r="H287" s="640" t="s">
        <v>1408</v>
      </c>
      <c r="I287" s="642">
        <v>4.3600000000000003</v>
      </c>
      <c r="J287" s="642">
        <v>3100</v>
      </c>
      <c r="K287" s="643">
        <v>13505.96</v>
      </c>
    </row>
    <row r="288" spans="1:11" ht="14.4" customHeight="1" x14ac:dyDescent="0.3">
      <c r="A288" s="638" t="s">
        <v>543</v>
      </c>
      <c r="B288" s="639" t="s">
        <v>544</v>
      </c>
      <c r="C288" s="640" t="s">
        <v>556</v>
      </c>
      <c r="D288" s="641" t="s">
        <v>1226</v>
      </c>
      <c r="E288" s="640" t="s">
        <v>1873</v>
      </c>
      <c r="F288" s="641" t="s">
        <v>1874</v>
      </c>
      <c r="G288" s="640" t="s">
        <v>1721</v>
      </c>
      <c r="H288" s="640" t="s">
        <v>1722</v>
      </c>
      <c r="I288" s="642">
        <v>17.98</v>
      </c>
      <c r="J288" s="642">
        <v>50</v>
      </c>
      <c r="K288" s="643">
        <v>899</v>
      </c>
    </row>
    <row r="289" spans="1:11" ht="14.4" customHeight="1" x14ac:dyDescent="0.3">
      <c r="A289" s="638" t="s">
        <v>543</v>
      </c>
      <c r="B289" s="639" t="s">
        <v>544</v>
      </c>
      <c r="C289" s="640" t="s">
        <v>556</v>
      </c>
      <c r="D289" s="641" t="s">
        <v>1226</v>
      </c>
      <c r="E289" s="640" t="s">
        <v>1873</v>
      </c>
      <c r="F289" s="641" t="s">
        <v>1874</v>
      </c>
      <c r="G289" s="640" t="s">
        <v>1723</v>
      </c>
      <c r="H289" s="640" t="s">
        <v>1724</v>
      </c>
      <c r="I289" s="642">
        <v>1.93</v>
      </c>
      <c r="J289" s="642">
        <v>30</v>
      </c>
      <c r="K289" s="643">
        <v>57.9</v>
      </c>
    </row>
    <row r="290" spans="1:11" ht="14.4" customHeight="1" x14ac:dyDescent="0.3">
      <c r="A290" s="638" t="s">
        <v>543</v>
      </c>
      <c r="B290" s="639" t="s">
        <v>544</v>
      </c>
      <c r="C290" s="640" t="s">
        <v>556</v>
      </c>
      <c r="D290" s="641" t="s">
        <v>1226</v>
      </c>
      <c r="E290" s="640" t="s">
        <v>1873</v>
      </c>
      <c r="F290" s="641" t="s">
        <v>1874</v>
      </c>
      <c r="G290" s="640" t="s">
        <v>1725</v>
      </c>
      <c r="H290" s="640" t="s">
        <v>1726</v>
      </c>
      <c r="I290" s="642">
        <v>5.4200000000000008</v>
      </c>
      <c r="J290" s="642">
        <v>4000</v>
      </c>
      <c r="K290" s="643">
        <v>21674.620000000003</v>
      </c>
    </row>
    <row r="291" spans="1:11" ht="14.4" customHeight="1" x14ac:dyDescent="0.3">
      <c r="A291" s="638" t="s">
        <v>543</v>
      </c>
      <c r="B291" s="639" t="s">
        <v>544</v>
      </c>
      <c r="C291" s="640" t="s">
        <v>556</v>
      </c>
      <c r="D291" s="641" t="s">
        <v>1226</v>
      </c>
      <c r="E291" s="640" t="s">
        <v>1873</v>
      </c>
      <c r="F291" s="641" t="s">
        <v>1874</v>
      </c>
      <c r="G291" s="640" t="s">
        <v>1409</v>
      </c>
      <c r="H291" s="640" t="s">
        <v>1410</v>
      </c>
      <c r="I291" s="642">
        <v>12.017272727272728</v>
      </c>
      <c r="J291" s="642">
        <v>1130</v>
      </c>
      <c r="K291" s="643">
        <v>13571</v>
      </c>
    </row>
    <row r="292" spans="1:11" ht="14.4" customHeight="1" x14ac:dyDescent="0.3">
      <c r="A292" s="638" t="s">
        <v>543</v>
      </c>
      <c r="B292" s="639" t="s">
        <v>544</v>
      </c>
      <c r="C292" s="640" t="s">
        <v>556</v>
      </c>
      <c r="D292" s="641" t="s">
        <v>1226</v>
      </c>
      <c r="E292" s="640" t="s">
        <v>1873</v>
      </c>
      <c r="F292" s="641" t="s">
        <v>1874</v>
      </c>
      <c r="G292" s="640" t="s">
        <v>1727</v>
      </c>
      <c r="H292" s="640" t="s">
        <v>1728</v>
      </c>
      <c r="I292" s="642">
        <v>8.9600000000000009</v>
      </c>
      <c r="J292" s="642">
        <v>50</v>
      </c>
      <c r="K292" s="643">
        <v>448</v>
      </c>
    </row>
    <row r="293" spans="1:11" ht="14.4" customHeight="1" x14ac:dyDescent="0.3">
      <c r="A293" s="638" t="s">
        <v>543</v>
      </c>
      <c r="B293" s="639" t="s">
        <v>544</v>
      </c>
      <c r="C293" s="640" t="s">
        <v>556</v>
      </c>
      <c r="D293" s="641" t="s">
        <v>1226</v>
      </c>
      <c r="E293" s="640" t="s">
        <v>1873</v>
      </c>
      <c r="F293" s="641" t="s">
        <v>1874</v>
      </c>
      <c r="G293" s="640" t="s">
        <v>1729</v>
      </c>
      <c r="H293" s="640" t="s">
        <v>1730</v>
      </c>
      <c r="I293" s="642">
        <v>1.2709999999999997</v>
      </c>
      <c r="J293" s="642">
        <v>1500</v>
      </c>
      <c r="K293" s="643">
        <v>1906.5</v>
      </c>
    </row>
    <row r="294" spans="1:11" ht="14.4" customHeight="1" x14ac:dyDescent="0.3">
      <c r="A294" s="638" t="s">
        <v>543</v>
      </c>
      <c r="B294" s="639" t="s">
        <v>544</v>
      </c>
      <c r="C294" s="640" t="s">
        <v>556</v>
      </c>
      <c r="D294" s="641" t="s">
        <v>1226</v>
      </c>
      <c r="E294" s="640" t="s">
        <v>1873</v>
      </c>
      <c r="F294" s="641" t="s">
        <v>1874</v>
      </c>
      <c r="G294" s="640" t="s">
        <v>1413</v>
      </c>
      <c r="H294" s="640" t="s">
        <v>1414</v>
      </c>
      <c r="I294" s="642">
        <v>21.237500000000004</v>
      </c>
      <c r="J294" s="642">
        <v>2150</v>
      </c>
      <c r="K294" s="643">
        <v>45660.5</v>
      </c>
    </row>
    <row r="295" spans="1:11" ht="14.4" customHeight="1" x14ac:dyDescent="0.3">
      <c r="A295" s="638" t="s">
        <v>543</v>
      </c>
      <c r="B295" s="639" t="s">
        <v>544</v>
      </c>
      <c r="C295" s="640" t="s">
        <v>556</v>
      </c>
      <c r="D295" s="641" t="s">
        <v>1226</v>
      </c>
      <c r="E295" s="640" t="s">
        <v>1873</v>
      </c>
      <c r="F295" s="641" t="s">
        <v>1874</v>
      </c>
      <c r="G295" s="640" t="s">
        <v>1731</v>
      </c>
      <c r="H295" s="640" t="s">
        <v>1732</v>
      </c>
      <c r="I295" s="642">
        <v>21.24</v>
      </c>
      <c r="J295" s="642">
        <v>10</v>
      </c>
      <c r="K295" s="643">
        <v>212.4</v>
      </c>
    </row>
    <row r="296" spans="1:11" ht="14.4" customHeight="1" x14ac:dyDescent="0.3">
      <c r="A296" s="638" t="s">
        <v>543</v>
      </c>
      <c r="B296" s="639" t="s">
        <v>544</v>
      </c>
      <c r="C296" s="640" t="s">
        <v>556</v>
      </c>
      <c r="D296" s="641" t="s">
        <v>1226</v>
      </c>
      <c r="E296" s="640" t="s">
        <v>1873</v>
      </c>
      <c r="F296" s="641" t="s">
        <v>1874</v>
      </c>
      <c r="G296" s="640" t="s">
        <v>1415</v>
      </c>
      <c r="H296" s="640" t="s">
        <v>1416</v>
      </c>
      <c r="I296" s="642">
        <v>2.9141666666666666</v>
      </c>
      <c r="J296" s="642">
        <v>2900</v>
      </c>
      <c r="K296" s="643">
        <v>8514.5300000000007</v>
      </c>
    </row>
    <row r="297" spans="1:11" ht="14.4" customHeight="1" x14ac:dyDescent="0.3">
      <c r="A297" s="638" t="s">
        <v>543</v>
      </c>
      <c r="B297" s="639" t="s">
        <v>544</v>
      </c>
      <c r="C297" s="640" t="s">
        <v>556</v>
      </c>
      <c r="D297" s="641" t="s">
        <v>1226</v>
      </c>
      <c r="E297" s="640" t="s">
        <v>1873</v>
      </c>
      <c r="F297" s="641" t="s">
        <v>1874</v>
      </c>
      <c r="G297" s="640" t="s">
        <v>1733</v>
      </c>
      <c r="H297" s="640" t="s">
        <v>1734</v>
      </c>
      <c r="I297" s="642">
        <v>18.150000000000002</v>
      </c>
      <c r="J297" s="642">
        <v>1300</v>
      </c>
      <c r="K297" s="643">
        <v>23595</v>
      </c>
    </row>
    <row r="298" spans="1:11" ht="14.4" customHeight="1" x14ac:dyDescent="0.3">
      <c r="A298" s="638" t="s">
        <v>543</v>
      </c>
      <c r="B298" s="639" t="s">
        <v>544</v>
      </c>
      <c r="C298" s="640" t="s">
        <v>556</v>
      </c>
      <c r="D298" s="641" t="s">
        <v>1226</v>
      </c>
      <c r="E298" s="640" t="s">
        <v>1873</v>
      </c>
      <c r="F298" s="641" t="s">
        <v>1874</v>
      </c>
      <c r="G298" s="640" t="s">
        <v>1417</v>
      </c>
      <c r="H298" s="640" t="s">
        <v>1418</v>
      </c>
      <c r="I298" s="642">
        <v>0.47416666666666657</v>
      </c>
      <c r="J298" s="642">
        <v>7300</v>
      </c>
      <c r="K298" s="643">
        <v>3460</v>
      </c>
    </row>
    <row r="299" spans="1:11" ht="14.4" customHeight="1" x14ac:dyDescent="0.3">
      <c r="A299" s="638" t="s">
        <v>543</v>
      </c>
      <c r="B299" s="639" t="s">
        <v>544</v>
      </c>
      <c r="C299" s="640" t="s">
        <v>556</v>
      </c>
      <c r="D299" s="641" t="s">
        <v>1226</v>
      </c>
      <c r="E299" s="640" t="s">
        <v>1873</v>
      </c>
      <c r="F299" s="641" t="s">
        <v>1874</v>
      </c>
      <c r="G299" s="640" t="s">
        <v>1735</v>
      </c>
      <c r="H299" s="640" t="s">
        <v>1736</v>
      </c>
      <c r="I299" s="642">
        <v>4.03</v>
      </c>
      <c r="J299" s="642">
        <v>2800</v>
      </c>
      <c r="K299" s="643">
        <v>11284</v>
      </c>
    </row>
    <row r="300" spans="1:11" ht="14.4" customHeight="1" x14ac:dyDescent="0.3">
      <c r="A300" s="638" t="s">
        <v>543</v>
      </c>
      <c r="B300" s="639" t="s">
        <v>544</v>
      </c>
      <c r="C300" s="640" t="s">
        <v>556</v>
      </c>
      <c r="D300" s="641" t="s">
        <v>1226</v>
      </c>
      <c r="E300" s="640" t="s">
        <v>1873</v>
      </c>
      <c r="F300" s="641" t="s">
        <v>1874</v>
      </c>
      <c r="G300" s="640" t="s">
        <v>1737</v>
      </c>
      <c r="H300" s="640" t="s">
        <v>1738</v>
      </c>
      <c r="I300" s="642">
        <v>4.62</v>
      </c>
      <c r="J300" s="642">
        <v>9</v>
      </c>
      <c r="K300" s="643">
        <v>41.58</v>
      </c>
    </row>
    <row r="301" spans="1:11" ht="14.4" customHeight="1" x14ac:dyDescent="0.3">
      <c r="A301" s="638" t="s">
        <v>543</v>
      </c>
      <c r="B301" s="639" t="s">
        <v>544</v>
      </c>
      <c r="C301" s="640" t="s">
        <v>556</v>
      </c>
      <c r="D301" s="641" t="s">
        <v>1226</v>
      </c>
      <c r="E301" s="640" t="s">
        <v>1873</v>
      </c>
      <c r="F301" s="641" t="s">
        <v>1874</v>
      </c>
      <c r="G301" s="640" t="s">
        <v>1739</v>
      </c>
      <c r="H301" s="640" t="s">
        <v>1740</v>
      </c>
      <c r="I301" s="642">
        <v>387.2</v>
      </c>
      <c r="J301" s="642">
        <v>220</v>
      </c>
      <c r="K301" s="643">
        <v>85184</v>
      </c>
    </row>
    <row r="302" spans="1:11" ht="14.4" customHeight="1" x14ac:dyDescent="0.3">
      <c r="A302" s="638" t="s">
        <v>543</v>
      </c>
      <c r="B302" s="639" t="s">
        <v>544</v>
      </c>
      <c r="C302" s="640" t="s">
        <v>556</v>
      </c>
      <c r="D302" s="641" t="s">
        <v>1226</v>
      </c>
      <c r="E302" s="640" t="s">
        <v>1873</v>
      </c>
      <c r="F302" s="641" t="s">
        <v>1874</v>
      </c>
      <c r="G302" s="640" t="s">
        <v>1739</v>
      </c>
      <c r="H302" s="640" t="s">
        <v>1741</v>
      </c>
      <c r="I302" s="642">
        <v>482.99166666666673</v>
      </c>
      <c r="J302" s="642">
        <v>180</v>
      </c>
      <c r="K302" s="643">
        <v>85789</v>
      </c>
    </row>
    <row r="303" spans="1:11" ht="14.4" customHeight="1" x14ac:dyDescent="0.3">
      <c r="A303" s="638" t="s">
        <v>543</v>
      </c>
      <c r="B303" s="639" t="s">
        <v>544</v>
      </c>
      <c r="C303" s="640" t="s">
        <v>556</v>
      </c>
      <c r="D303" s="641" t="s">
        <v>1226</v>
      </c>
      <c r="E303" s="640" t="s">
        <v>1873</v>
      </c>
      <c r="F303" s="641" t="s">
        <v>1874</v>
      </c>
      <c r="G303" s="640" t="s">
        <v>1555</v>
      </c>
      <c r="H303" s="640" t="s">
        <v>1556</v>
      </c>
      <c r="I303" s="642">
        <v>12.1</v>
      </c>
      <c r="J303" s="642">
        <v>60</v>
      </c>
      <c r="K303" s="643">
        <v>726</v>
      </c>
    </row>
    <row r="304" spans="1:11" ht="14.4" customHeight="1" x14ac:dyDescent="0.3">
      <c r="A304" s="638" t="s">
        <v>543</v>
      </c>
      <c r="B304" s="639" t="s">
        <v>544</v>
      </c>
      <c r="C304" s="640" t="s">
        <v>556</v>
      </c>
      <c r="D304" s="641" t="s">
        <v>1226</v>
      </c>
      <c r="E304" s="640" t="s">
        <v>1873</v>
      </c>
      <c r="F304" s="641" t="s">
        <v>1874</v>
      </c>
      <c r="G304" s="640" t="s">
        <v>1419</v>
      </c>
      <c r="H304" s="640" t="s">
        <v>1420</v>
      </c>
      <c r="I304" s="642">
        <v>9.1999999999999993</v>
      </c>
      <c r="J304" s="642">
        <v>350</v>
      </c>
      <c r="K304" s="643">
        <v>3220</v>
      </c>
    </row>
    <row r="305" spans="1:11" ht="14.4" customHeight="1" x14ac:dyDescent="0.3">
      <c r="A305" s="638" t="s">
        <v>543</v>
      </c>
      <c r="B305" s="639" t="s">
        <v>544</v>
      </c>
      <c r="C305" s="640" t="s">
        <v>556</v>
      </c>
      <c r="D305" s="641" t="s">
        <v>1226</v>
      </c>
      <c r="E305" s="640" t="s">
        <v>1873</v>
      </c>
      <c r="F305" s="641" t="s">
        <v>1874</v>
      </c>
      <c r="G305" s="640" t="s">
        <v>1419</v>
      </c>
      <c r="H305" s="640" t="s">
        <v>1421</v>
      </c>
      <c r="I305" s="642">
        <v>9.1999999999999993</v>
      </c>
      <c r="J305" s="642">
        <v>200</v>
      </c>
      <c r="K305" s="643">
        <v>1840</v>
      </c>
    </row>
    <row r="306" spans="1:11" ht="14.4" customHeight="1" x14ac:dyDescent="0.3">
      <c r="A306" s="638" t="s">
        <v>543</v>
      </c>
      <c r="B306" s="639" t="s">
        <v>544</v>
      </c>
      <c r="C306" s="640" t="s">
        <v>556</v>
      </c>
      <c r="D306" s="641" t="s">
        <v>1226</v>
      </c>
      <c r="E306" s="640" t="s">
        <v>1873</v>
      </c>
      <c r="F306" s="641" t="s">
        <v>1874</v>
      </c>
      <c r="G306" s="640" t="s">
        <v>1422</v>
      </c>
      <c r="H306" s="640" t="s">
        <v>1423</v>
      </c>
      <c r="I306" s="642">
        <v>172.5</v>
      </c>
      <c r="J306" s="642">
        <v>5</v>
      </c>
      <c r="K306" s="643">
        <v>862.5</v>
      </c>
    </row>
    <row r="307" spans="1:11" ht="14.4" customHeight="1" x14ac:dyDescent="0.3">
      <c r="A307" s="638" t="s">
        <v>543</v>
      </c>
      <c r="B307" s="639" t="s">
        <v>544</v>
      </c>
      <c r="C307" s="640" t="s">
        <v>556</v>
      </c>
      <c r="D307" s="641" t="s">
        <v>1226</v>
      </c>
      <c r="E307" s="640" t="s">
        <v>1873</v>
      </c>
      <c r="F307" s="641" t="s">
        <v>1874</v>
      </c>
      <c r="G307" s="640" t="s">
        <v>1557</v>
      </c>
      <c r="H307" s="640" t="s">
        <v>1558</v>
      </c>
      <c r="I307" s="642">
        <v>10.83</v>
      </c>
      <c r="J307" s="642">
        <v>1320</v>
      </c>
      <c r="K307" s="643">
        <v>14294.94</v>
      </c>
    </row>
    <row r="308" spans="1:11" ht="14.4" customHeight="1" x14ac:dyDescent="0.3">
      <c r="A308" s="638" t="s">
        <v>543</v>
      </c>
      <c r="B308" s="639" t="s">
        <v>544</v>
      </c>
      <c r="C308" s="640" t="s">
        <v>556</v>
      </c>
      <c r="D308" s="641" t="s">
        <v>1226</v>
      </c>
      <c r="E308" s="640" t="s">
        <v>1873</v>
      </c>
      <c r="F308" s="641" t="s">
        <v>1874</v>
      </c>
      <c r="G308" s="640" t="s">
        <v>1742</v>
      </c>
      <c r="H308" s="640" t="s">
        <v>1743</v>
      </c>
      <c r="I308" s="642">
        <v>15.73</v>
      </c>
      <c r="J308" s="642">
        <v>300</v>
      </c>
      <c r="K308" s="643">
        <v>4719</v>
      </c>
    </row>
    <row r="309" spans="1:11" ht="14.4" customHeight="1" x14ac:dyDescent="0.3">
      <c r="A309" s="638" t="s">
        <v>543</v>
      </c>
      <c r="B309" s="639" t="s">
        <v>544</v>
      </c>
      <c r="C309" s="640" t="s">
        <v>556</v>
      </c>
      <c r="D309" s="641" t="s">
        <v>1226</v>
      </c>
      <c r="E309" s="640" t="s">
        <v>1873</v>
      </c>
      <c r="F309" s="641" t="s">
        <v>1874</v>
      </c>
      <c r="G309" s="640" t="s">
        <v>1744</v>
      </c>
      <c r="H309" s="640" t="s">
        <v>1745</v>
      </c>
      <c r="I309" s="642">
        <v>14.52</v>
      </c>
      <c r="J309" s="642">
        <v>600</v>
      </c>
      <c r="K309" s="643">
        <v>8712</v>
      </c>
    </row>
    <row r="310" spans="1:11" ht="14.4" customHeight="1" x14ac:dyDescent="0.3">
      <c r="A310" s="638" t="s">
        <v>543</v>
      </c>
      <c r="B310" s="639" t="s">
        <v>544</v>
      </c>
      <c r="C310" s="640" t="s">
        <v>556</v>
      </c>
      <c r="D310" s="641" t="s">
        <v>1226</v>
      </c>
      <c r="E310" s="640" t="s">
        <v>1873</v>
      </c>
      <c r="F310" s="641" t="s">
        <v>1874</v>
      </c>
      <c r="G310" s="640" t="s">
        <v>1559</v>
      </c>
      <c r="H310" s="640" t="s">
        <v>1560</v>
      </c>
      <c r="I310" s="642">
        <v>106.48</v>
      </c>
      <c r="J310" s="642">
        <v>40</v>
      </c>
      <c r="K310" s="643">
        <v>4259.2</v>
      </c>
    </row>
    <row r="311" spans="1:11" ht="14.4" customHeight="1" x14ac:dyDescent="0.3">
      <c r="A311" s="638" t="s">
        <v>543</v>
      </c>
      <c r="B311" s="639" t="s">
        <v>544</v>
      </c>
      <c r="C311" s="640" t="s">
        <v>556</v>
      </c>
      <c r="D311" s="641" t="s">
        <v>1226</v>
      </c>
      <c r="E311" s="640" t="s">
        <v>1873</v>
      </c>
      <c r="F311" s="641" t="s">
        <v>1874</v>
      </c>
      <c r="G311" s="640" t="s">
        <v>1424</v>
      </c>
      <c r="H311" s="640" t="s">
        <v>1425</v>
      </c>
      <c r="I311" s="642">
        <v>527.98</v>
      </c>
      <c r="J311" s="642">
        <v>20</v>
      </c>
      <c r="K311" s="643">
        <v>10559.67</v>
      </c>
    </row>
    <row r="312" spans="1:11" ht="14.4" customHeight="1" x14ac:dyDescent="0.3">
      <c r="A312" s="638" t="s">
        <v>543</v>
      </c>
      <c r="B312" s="639" t="s">
        <v>544</v>
      </c>
      <c r="C312" s="640" t="s">
        <v>556</v>
      </c>
      <c r="D312" s="641" t="s">
        <v>1226</v>
      </c>
      <c r="E312" s="640" t="s">
        <v>1873</v>
      </c>
      <c r="F312" s="641" t="s">
        <v>1874</v>
      </c>
      <c r="G312" s="640" t="s">
        <v>1746</v>
      </c>
      <c r="H312" s="640" t="s">
        <v>1747</v>
      </c>
      <c r="I312" s="642">
        <v>17.059999999999999</v>
      </c>
      <c r="J312" s="642">
        <v>50</v>
      </c>
      <c r="K312" s="643">
        <v>853.04000000000008</v>
      </c>
    </row>
    <row r="313" spans="1:11" ht="14.4" customHeight="1" x14ac:dyDescent="0.3">
      <c r="A313" s="638" t="s">
        <v>543</v>
      </c>
      <c r="B313" s="639" t="s">
        <v>544</v>
      </c>
      <c r="C313" s="640" t="s">
        <v>556</v>
      </c>
      <c r="D313" s="641" t="s">
        <v>1226</v>
      </c>
      <c r="E313" s="640" t="s">
        <v>1873</v>
      </c>
      <c r="F313" s="641" t="s">
        <v>1874</v>
      </c>
      <c r="G313" s="640" t="s">
        <v>1748</v>
      </c>
      <c r="H313" s="640" t="s">
        <v>1749</v>
      </c>
      <c r="I313" s="642">
        <v>39.93</v>
      </c>
      <c r="J313" s="642">
        <v>1580</v>
      </c>
      <c r="K313" s="643">
        <v>63089.4</v>
      </c>
    </row>
    <row r="314" spans="1:11" ht="14.4" customHeight="1" x14ac:dyDescent="0.3">
      <c r="A314" s="638" t="s">
        <v>543</v>
      </c>
      <c r="B314" s="639" t="s">
        <v>544</v>
      </c>
      <c r="C314" s="640" t="s">
        <v>556</v>
      </c>
      <c r="D314" s="641" t="s">
        <v>1226</v>
      </c>
      <c r="E314" s="640" t="s">
        <v>1873</v>
      </c>
      <c r="F314" s="641" t="s">
        <v>1874</v>
      </c>
      <c r="G314" s="640" t="s">
        <v>1750</v>
      </c>
      <c r="H314" s="640" t="s">
        <v>1751</v>
      </c>
      <c r="I314" s="642">
        <v>458.63</v>
      </c>
      <c r="J314" s="642">
        <v>50</v>
      </c>
      <c r="K314" s="643">
        <v>22931.560000000005</v>
      </c>
    </row>
    <row r="315" spans="1:11" ht="14.4" customHeight="1" x14ac:dyDescent="0.3">
      <c r="A315" s="638" t="s">
        <v>543</v>
      </c>
      <c r="B315" s="639" t="s">
        <v>544</v>
      </c>
      <c r="C315" s="640" t="s">
        <v>556</v>
      </c>
      <c r="D315" s="641" t="s">
        <v>1226</v>
      </c>
      <c r="E315" s="640" t="s">
        <v>1873</v>
      </c>
      <c r="F315" s="641" t="s">
        <v>1874</v>
      </c>
      <c r="G315" s="640" t="s">
        <v>1752</v>
      </c>
      <c r="H315" s="640" t="s">
        <v>1753</v>
      </c>
      <c r="I315" s="642">
        <v>104.06</v>
      </c>
      <c r="J315" s="642">
        <v>40</v>
      </c>
      <c r="K315" s="643">
        <v>4162.3999999999996</v>
      </c>
    </row>
    <row r="316" spans="1:11" ht="14.4" customHeight="1" x14ac:dyDescent="0.3">
      <c r="A316" s="638" t="s">
        <v>543</v>
      </c>
      <c r="B316" s="639" t="s">
        <v>544</v>
      </c>
      <c r="C316" s="640" t="s">
        <v>556</v>
      </c>
      <c r="D316" s="641" t="s">
        <v>1226</v>
      </c>
      <c r="E316" s="640" t="s">
        <v>1873</v>
      </c>
      <c r="F316" s="641" t="s">
        <v>1874</v>
      </c>
      <c r="G316" s="640" t="s">
        <v>1561</v>
      </c>
      <c r="H316" s="640" t="s">
        <v>1562</v>
      </c>
      <c r="I316" s="642">
        <v>5</v>
      </c>
      <c r="J316" s="642">
        <v>200</v>
      </c>
      <c r="K316" s="643">
        <v>1000.26</v>
      </c>
    </row>
    <row r="317" spans="1:11" ht="14.4" customHeight="1" x14ac:dyDescent="0.3">
      <c r="A317" s="638" t="s">
        <v>543</v>
      </c>
      <c r="B317" s="639" t="s">
        <v>544</v>
      </c>
      <c r="C317" s="640" t="s">
        <v>556</v>
      </c>
      <c r="D317" s="641" t="s">
        <v>1226</v>
      </c>
      <c r="E317" s="640" t="s">
        <v>1873</v>
      </c>
      <c r="F317" s="641" t="s">
        <v>1874</v>
      </c>
      <c r="G317" s="640" t="s">
        <v>1754</v>
      </c>
      <c r="H317" s="640" t="s">
        <v>1755</v>
      </c>
      <c r="I317" s="642">
        <v>204.49</v>
      </c>
      <c r="J317" s="642">
        <v>50</v>
      </c>
      <c r="K317" s="643">
        <v>10224.5</v>
      </c>
    </row>
    <row r="318" spans="1:11" ht="14.4" customHeight="1" x14ac:dyDescent="0.3">
      <c r="A318" s="638" t="s">
        <v>543</v>
      </c>
      <c r="B318" s="639" t="s">
        <v>544</v>
      </c>
      <c r="C318" s="640" t="s">
        <v>556</v>
      </c>
      <c r="D318" s="641" t="s">
        <v>1226</v>
      </c>
      <c r="E318" s="640" t="s">
        <v>1873</v>
      </c>
      <c r="F318" s="641" t="s">
        <v>1874</v>
      </c>
      <c r="G318" s="640" t="s">
        <v>1426</v>
      </c>
      <c r="H318" s="640" t="s">
        <v>1427</v>
      </c>
      <c r="I318" s="642">
        <v>107.86500000000001</v>
      </c>
      <c r="J318" s="642">
        <v>17</v>
      </c>
      <c r="K318" s="643">
        <v>1808</v>
      </c>
    </row>
    <row r="319" spans="1:11" ht="14.4" customHeight="1" x14ac:dyDescent="0.3">
      <c r="A319" s="638" t="s">
        <v>543</v>
      </c>
      <c r="B319" s="639" t="s">
        <v>544</v>
      </c>
      <c r="C319" s="640" t="s">
        <v>556</v>
      </c>
      <c r="D319" s="641" t="s">
        <v>1226</v>
      </c>
      <c r="E319" s="640" t="s">
        <v>1873</v>
      </c>
      <c r="F319" s="641" t="s">
        <v>1874</v>
      </c>
      <c r="G319" s="640" t="s">
        <v>1429</v>
      </c>
      <c r="H319" s="640" t="s">
        <v>1430</v>
      </c>
      <c r="I319" s="642">
        <v>27.829999999999995</v>
      </c>
      <c r="J319" s="642">
        <v>60</v>
      </c>
      <c r="K319" s="643">
        <v>1669.8</v>
      </c>
    </row>
    <row r="320" spans="1:11" ht="14.4" customHeight="1" x14ac:dyDescent="0.3">
      <c r="A320" s="638" t="s">
        <v>543</v>
      </c>
      <c r="B320" s="639" t="s">
        <v>544</v>
      </c>
      <c r="C320" s="640" t="s">
        <v>556</v>
      </c>
      <c r="D320" s="641" t="s">
        <v>1226</v>
      </c>
      <c r="E320" s="640" t="s">
        <v>1873</v>
      </c>
      <c r="F320" s="641" t="s">
        <v>1874</v>
      </c>
      <c r="G320" s="640" t="s">
        <v>1756</v>
      </c>
      <c r="H320" s="640" t="s">
        <v>1757</v>
      </c>
      <c r="I320" s="642">
        <v>83.49</v>
      </c>
      <c r="J320" s="642">
        <v>20</v>
      </c>
      <c r="K320" s="643">
        <v>1669.8</v>
      </c>
    </row>
    <row r="321" spans="1:11" ht="14.4" customHeight="1" x14ac:dyDescent="0.3">
      <c r="A321" s="638" t="s">
        <v>543</v>
      </c>
      <c r="B321" s="639" t="s">
        <v>544</v>
      </c>
      <c r="C321" s="640" t="s">
        <v>556</v>
      </c>
      <c r="D321" s="641" t="s">
        <v>1226</v>
      </c>
      <c r="E321" s="640" t="s">
        <v>1873</v>
      </c>
      <c r="F321" s="641" t="s">
        <v>1874</v>
      </c>
      <c r="G321" s="640" t="s">
        <v>1758</v>
      </c>
      <c r="H321" s="640" t="s">
        <v>1759</v>
      </c>
      <c r="I321" s="642">
        <v>306.916</v>
      </c>
      <c r="J321" s="642">
        <v>100</v>
      </c>
      <c r="K321" s="643">
        <v>30691.640000000003</v>
      </c>
    </row>
    <row r="322" spans="1:11" ht="14.4" customHeight="1" x14ac:dyDescent="0.3">
      <c r="A322" s="638" t="s">
        <v>543</v>
      </c>
      <c r="B322" s="639" t="s">
        <v>544</v>
      </c>
      <c r="C322" s="640" t="s">
        <v>556</v>
      </c>
      <c r="D322" s="641" t="s">
        <v>1226</v>
      </c>
      <c r="E322" s="640" t="s">
        <v>1873</v>
      </c>
      <c r="F322" s="641" t="s">
        <v>1874</v>
      </c>
      <c r="G322" s="640" t="s">
        <v>1433</v>
      </c>
      <c r="H322" s="640" t="s">
        <v>1434</v>
      </c>
      <c r="I322" s="642">
        <v>14.308000000000002</v>
      </c>
      <c r="J322" s="642">
        <v>50</v>
      </c>
      <c r="K322" s="643">
        <v>715.26</v>
      </c>
    </row>
    <row r="323" spans="1:11" ht="14.4" customHeight="1" x14ac:dyDescent="0.3">
      <c r="A323" s="638" t="s">
        <v>543</v>
      </c>
      <c r="B323" s="639" t="s">
        <v>544</v>
      </c>
      <c r="C323" s="640" t="s">
        <v>556</v>
      </c>
      <c r="D323" s="641" t="s">
        <v>1226</v>
      </c>
      <c r="E323" s="640" t="s">
        <v>1873</v>
      </c>
      <c r="F323" s="641" t="s">
        <v>1874</v>
      </c>
      <c r="G323" s="640" t="s">
        <v>1435</v>
      </c>
      <c r="H323" s="640" t="s">
        <v>1436</v>
      </c>
      <c r="I323" s="642">
        <v>209</v>
      </c>
      <c r="J323" s="642">
        <v>3</v>
      </c>
      <c r="K323" s="643">
        <v>627.01</v>
      </c>
    </row>
    <row r="324" spans="1:11" ht="14.4" customHeight="1" x14ac:dyDescent="0.3">
      <c r="A324" s="638" t="s">
        <v>543</v>
      </c>
      <c r="B324" s="639" t="s">
        <v>544</v>
      </c>
      <c r="C324" s="640" t="s">
        <v>556</v>
      </c>
      <c r="D324" s="641" t="s">
        <v>1226</v>
      </c>
      <c r="E324" s="640" t="s">
        <v>1873</v>
      </c>
      <c r="F324" s="641" t="s">
        <v>1874</v>
      </c>
      <c r="G324" s="640" t="s">
        <v>1760</v>
      </c>
      <c r="H324" s="640" t="s">
        <v>1761</v>
      </c>
      <c r="I324" s="642">
        <v>2313.608666666667</v>
      </c>
      <c r="J324" s="642">
        <v>220</v>
      </c>
      <c r="K324" s="643">
        <v>508460.2</v>
      </c>
    </row>
    <row r="325" spans="1:11" ht="14.4" customHeight="1" x14ac:dyDescent="0.3">
      <c r="A325" s="638" t="s">
        <v>543</v>
      </c>
      <c r="B325" s="639" t="s">
        <v>544</v>
      </c>
      <c r="C325" s="640" t="s">
        <v>556</v>
      </c>
      <c r="D325" s="641" t="s">
        <v>1226</v>
      </c>
      <c r="E325" s="640" t="s">
        <v>1873</v>
      </c>
      <c r="F325" s="641" t="s">
        <v>1874</v>
      </c>
      <c r="G325" s="640" t="s">
        <v>1762</v>
      </c>
      <c r="H325" s="640" t="s">
        <v>1763</v>
      </c>
      <c r="I325" s="642">
        <v>422.96</v>
      </c>
      <c r="J325" s="642">
        <v>30</v>
      </c>
      <c r="K325" s="643">
        <v>12688.77</v>
      </c>
    </row>
    <row r="326" spans="1:11" ht="14.4" customHeight="1" x14ac:dyDescent="0.3">
      <c r="A326" s="638" t="s">
        <v>543</v>
      </c>
      <c r="B326" s="639" t="s">
        <v>544</v>
      </c>
      <c r="C326" s="640" t="s">
        <v>556</v>
      </c>
      <c r="D326" s="641" t="s">
        <v>1226</v>
      </c>
      <c r="E326" s="640" t="s">
        <v>1873</v>
      </c>
      <c r="F326" s="641" t="s">
        <v>1874</v>
      </c>
      <c r="G326" s="640" t="s">
        <v>1764</v>
      </c>
      <c r="H326" s="640" t="s">
        <v>1765</v>
      </c>
      <c r="I326" s="642">
        <v>5.84</v>
      </c>
      <c r="J326" s="642">
        <v>20</v>
      </c>
      <c r="K326" s="643">
        <v>116.8</v>
      </c>
    </row>
    <row r="327" spans="1:11" ht="14.4" customHeight="1" x14ac:dyDescent="0.3">
      <c r="A327" s="638" t="s">
        <v>543</v>
      </c>
      <c r="B327" s="639" t="s">
        <v>544</v>
      </c>
      <c r="C327" s="640" t="s">
        <v>556</v>
      </c>
      <c r="D327" s="641" t="s">
        <v>1226</v>
      </c>
      <c r="E327" s="640" t="s">
        <v>1873</v>
      </c>
      <c r="F327" s="641" t="s">
        <v>1874</v>
      </c>
      <c r="G327" s="640" t="s">
        <v>1766</v>
      </c>
      <c r="H327" s="640" t="s">
        <v>1767</v>
      </c>
      <c r="I327" s="642">
        <v>111.18</v>
      </c>
      <c r="J327" s="642">
        <v>8</v>
      </c>
      <c r="K327" s="643">
        <v>889.44</v>
      </c>
    </row>
    <row r="328" spans="1:11" ht="14.4" customHeight="1" x14ac:dyDescent="0.3">
      <c r="A328" s="638" t="s">
        <v>543</v>
      </c>
      <c r="B328" s="639" t="s">
        <v>544</v>
      </c>
      <c r="C328" s="640" t="s">
        <v>556</v>
      </c>
      <c r="D328" s="641" t="s">
        <v>1226</v>
      </c>
      <c r="E328" s="640" t="s">
        <v>1873</v>
      </c>
      <c r="F328" s="641" t="s">
        <v>1874</v>
      </c>
      <c r="G328" s="640" t="s">
        <v>1768</v>
      </c>
      <c r="H328" s="640" t="s">
        <v>1769</v>
      </c>
      <c r="I328" s="642">
        <v>416.89000000000004</v>
      </c>
      <c r="J328" s="642">
        <v>30</v>
      </c>
      <c r="K328" s="643">
        <v>12506.630000000001</v>
      </c>
    </row>
    <row r="329" spans="1:11" ht="14.4" customHeight="1" x14ac:dyDescent="0.3">
      <c r="A329" s="638" t="s">
        <v>543</v>
      </c>
      <c r="B329" s="639" t="s">
        <v>544</v>
      </c>
      <c r="C329" s="640" t="s">
        <v>556</v>
      </c>
      <c r="D329" s="641" t="s">
        <v>1226</v>
      </c>
      <c r="E329" s="640" t="s">
        <v>1873</v>
      </c>
      <c r="F329" s="641" t="s">
        <v>1874</v>
      </c>
      <c r="G329" s="640" t="s">
        <v>1770</v>
      </c>
      <c r="H329" s="640" t="s">
        <v>1771</v>
      </c>
      <c r="I329" s="642">
        <v>413.85500000000002</v>
      </c>
      <c r="J329" s="642">
        <v>20</v>
      </c>
      <c r="K329" s="643">
        <v>8277.0400000000009</v>
      </c>
    </row>
    <row r="330" spans="1:11" ht="14.4" customHeight="1" x14ac:dyDescent="0.3">
      <c r="A330" s="638" t="s">
        <v>543</v>
      </c>
      <c r="B330" s="639" t="s">
        <v>544</v>
      </c>
      <c r="C330" s="640" t="s">
        <v>556</v>
      </c>
      <c r="D330" s="641" t="s">
        <v>1226</v>
      </c>
      <c r="E330" s="640" t="s">
        <v>1873</v>
      </c>
      <c r="F330" s="641" t="s">
        <v>1874</v>
      </c>
      <c r="G330" s="640" t="s">
        <v>1772</v>
      </c>
      <c r="H330" s="640" t="s">
        <v>1773</v>
      </c>
      <c r="I330" s="642">
        <v>115</v>
      </c>
      <c r="J330" s="642">
        <v>10</v>
      </c>
      <c r="K330" s="643">
        <v>1150</v>
      </c>
    </row>
    <row r="331" spans="1:11" ht="14.4" customHeight="1" x14ac:dyDescent="0.3">
      <c r="A331" s="638" t="s">
        <v>543</v>
      </c>
      <c r="B331" s="639" t="s">
        <v>544</v>
      </c>
      <c r="C331" s="640" t="s">
        <v>556</v>
      </c>
      <c r="D331" s="641" t="s">
        <v>1226</v>
      </c>
      <c r="E331" s="640" t="s">
        <v>1873</v>
      </c>
      <c r="F331" s="641" t="s">
        <v>1874</v>
      </c>
      <c r="G331" s="640" t="s">
        <v>1437</v>
      </c>
      <c r="H331" s="640" t="s">
        <v>1438</v>
      </c>
      <c r="I331" s="642">
        <v>27.83</v>
      </c>
      <c r="J331" s="642">
        <v>30</v>
      </c>
      <c r="K331" s="643">
        <v>834.90000000000009</v>
      </c>
    </row>
    <row r="332" spans="1:11" ht="14.4" customHeight="1" x14ac:dyDescent="0.3">
      <c r="A332" s="638" t="s">
        <v>543</v>
      </c>
      <c r="B332" s="639" t="s">
        <v>544</v>
      </c>
      <c r="C332" s="640" t="s">
        <v>556</v>
      </c>
      <c r="D332" s="641" t="s">
        <v>1226</v>
      </c>
      <c r="E332" s="640" t="s">
        <v>1873</v>
      </c>
      <c r="F332" s="641" t="s">
        <v>1874</v>
      </c>
      <c r="G332" s="640" t="s">
        <v>1774</v>
      </c>
      <c r="H332" s="640" t="s">
        <v>1775</v>
      </c>
      <c r="I332" s="642">
        <v>61.71</v>
      </c>
      <c r="J332" s="642">
        <v>10</v>
      </c>
      <c r="K332" s="643">
        <v>617.1</v>
      </c>
    </row>
    <row r="333" spans="1:11" ht="14.4" customHeight="1" x14ac:dyDescent="0.3">
      <c r="A333" s="638" t="s">
        <v>543</v>
      </c>
      <c r="B333" s="639" t="s">
        <v>544</v>
      </c>
      <c r="C333" s="640" t="s">
        <v>556</v>
      </c>
      <c r="D333" s="641" t="s">
        <v>1226</v>
      </c>
      <c r="E333" s="640" t="s">
        <v>1873</v>
      </c>
      <c r="F333" s="641" t="s">
        <v>1874</v>
      </c>
      <c r="G333" s="640" t="s">
        <v>1776</v>
      </c>
      <c r="H333" s="640" t="s">
        <v>1777</v>
      </c>
      <c r="I333" s="642">
        <v>458.63</v>
      </c>
      <c r="J333" s="642">
        <v>20</v>
      </c>
      <c r="K333" s="643">
        <v>9172.6200000000008</v>
      </c>
    </row>
    <row r="334" spans="1:11" ht="14.4" customHeight="1" x14ac:dyDescent="0.3">
      <c r="A334" s="638" t="s">
        <v>543</v>
      </c>
      <c r="B334" s="639" t="s">
        <v>544</v>
      </c>
      <c r="C334" s="640" t="s">
        <v>556</v>
      </c>
      <c r="D334" s="641" t="s">
        <v>1226</v>
      </c>
      <c r="E334" s="640" t="s">
        <v>1873</v>
      </c>
      <c r="F334" s="641" t="s">
        <v>1874</v>
      </c>
      <c r="G334" s="640" t="s">
        <v>1447</v>
      </c>
      <c r="H334" s="640" t="s">
        <v>1448</v>
      </c>
      <c r="I334" s="642">
        <v>0.27400000000000002</v>
      </c>
      <c r="J334" s="642">
        <v>2500</v>
      </c>
      <c r="K334" s="643">
        <v>684.34999999999991</v>
      </c>
    </row>
    <row r="335" spans="1:11" ht="14.4" customHeight="1" x14ac:dyDescent="0.3">
      <c r="A335" s="638" t="s">
        <v>543</v>
      </c>
      <c r="B335" s="639" t="s">
        <v>544</v>
      </c>
      <c r="C335" s="640" t="s">
        <v>556</v>
      </c>
      <c r="D335" s="641" t="s">
        <v>1226</v>
      </c>
      <c r="E335" s="640" t="s">
        <v>1873</v>
      </c>
      <c r="F335" s="641" t="s">
        <v>1874</v>
      </c>
      <c r="G335" s="640" t="s">
        <v>1778</v>
      </c>
      <c r="H335" s="640" t="s">
        <v>1779</v>
      </c>
      <c r="I335" s="642">
        <v>416.89000000000004</v>
      </c>
      <c r="J335" s="642">
        <v>30</v>
      </c>
      <c r="K335" s="643">
        <v>12506.630000000001</v>
      </c>
    </row>
    <row r="336" spans="1:11" ht="14.4" customHeight="1" x14ac:dyDescent="0.3">
      <c r="A336" s="638" t="s">
        <v>543</v>
      </c>
      <c r="B336" s="639" t="s">
        <v>544</v>
      </c>
      <c r="C336" s="640" t="s">
        <v>556</v>
      </c>
      <c r="D336" s="641" t="s">
        <v>1226</v>
      </c>
      <c r="E336" s="640" t="s">
        <v>1873</v>
      </c>
      <c r="F336" s="641" t="s">
        <v>1874</v>
      </c>
      <c r="G336" s="640" t="s">
        <v>1780</v>
      </c>
      <c r="H336" s="640" t="s">
        <v>1781</v>
      </c>
      <c r="I336" s="642">
        <v>3.43</v>
      </c>
      <c r="J336" s="642">
        <v>40</v>
      </c>
      <c r="K336" s="643">
        <v>137.19999999999999</v>
      </c>
    </row>
    <row r="337" spans="1:11" ht="14.4" customHeight="1" x14ac:dyDescent="0.3">
      <c r="A337" s="638" t="s">
        <v>543</v>
      </c>
      <c r="B337" s="639" t="s">
        <v>544</v>
      </c>
      <c r="C337" s="640" t="s">
        <v>556</v>
      </c>
      <c r="D337" s="641" t="s">
        <v>1226</v>
      </c>
      <c r="E337" s="640" t="s">
        <v>1873</v>
      </c>
      <c r="F337" s="641" t="s">
        <v>1874</v>
      </c>
      <c r="G337" s="640" t="s">
        <v>1782</v>
      </c>
      <c r="H337" s="640" t="s">
        <v>1783</v>
      </c>
      <c r="I337" s="642">
        <v>1249.6600000000001</v>
      </c>
      <c r="J337" s="642">
        <v>12</v>
      </c>
      <c r="K337" s="643">
        <v>14995.96</v>
      </c>
    </row>
    <row r="338" spans="1:11" ht="14.4" customHeight="1" x14ac:dyDescent="0.3">
      <c r="A338" s="638" t="s">
        <v>543</v>
      </c>
      <c r="B338" s="639" t="s">
        <v>544</v>
      </c>
      <c r="C338" s="640" t="s">
        <v>556</v>
      </c>
      <c r="D338" s="641" t="s">
        <v>1226</v>
      </c>
      <c r="E338" s="640" t="s">
        <v>1873</v>
      </c>
      <c r="F338" s="641" t="s">
        <v>1874</v>
      </c>
      <c r="G338" s="640" t="s">
        <v>1451</v>
      </c>
      <c r="H338" s="640" t="s">
        <v>1452</v>
      </c>
      <c r="I338" s="642">
        <v>1.87</v>
      </c>
      <c r="J338" s="642">
        <v>200</v>
      </c>
      <c r="K338" s="643">
        <v>374.9</v>
      </c>
    </row>
    <row r="339" spans="1:11" ht="14.4" customHeight="1" x14ac:dyDescent="0.3">
      <c r="A339" s="638" t="s">
        <v>543</v>
      </c>
      <c r="B339" s="639" t="s">
        <v>544</v>
      </c>
      <c r="C339" s="640" t="s">
        <v>556</v>
      </c>
      <c r="D339" s="641" t="s">
        <v>1226</v>
      </c>
      <c r="E339" s="640" t="s">
        <v>1873</v>
      </c>
      <c r="F339" s="641" t="s">
        <v>1874</v>
      </c>
      <c r="G339" s="640" t="s">
        <v>1453</v>
      </c>
      <c r="H339" s="640" t="s">
        <v>1454</v>
      </c>
      <c r="I339" s="642">
        <v>1.94</v>
      </c>
      <c r="J339" s="642">
        <v>2700</v>
      </c>
      <c r="K339" s="643">
        <v>5243.33</v>
      </c>
    </row>
    <row r="340" spans="1:11" ht="14.4" customHeight="1" x14ac:dyDescent="0.3">
      <c r="A340" s="638" t="s">
        <v>543</v>
      </c>
      <c r="B340" s="639" t="s">
        <v>544</v>
      </c>
      <c r="C340" s="640" t="s">
        <v>556</v>
      </c>
      <c r="D340" s="641" t="s">
        <v>1226</v>
      </c>
      <c r="E340" s="640" t="s">
        <v>1873</v>
      </c>
      <c r="F340" s="641" t="s">
        <v>1874</v>
      </c>
      <c r="G340" s="640" t="s">
        <v>1784</v>
      </c>
      <c r="H340" s="640" t="s">
        <v>1785</v>
      </c>
      <c r="I340" s="642">
        <v>458.63</v>
      </c>
      <c r="J340" s="642">
        <v>40</v>
      </c>
      <c r="K340" s="643">
        <v>18345.260000000002</v>
      </c>
    </row>
    <row r="341" spans="1:11" ht="14.4" customHeight="1" x14ac:dyDescent="0.3">
      <c r="A341" s="638" t="s">
        <v>543</v>
      </c>
      <c r="B341" s="639" t="s">
        <v>544</v>
      </c>
      <c r="C341" s="640" t="s">
        <v>556</v>
      </c>
      <c r="D341" s="641" t="s">
        <v>1226</v>
      </c>
      <c r="E341" s="640" t="s">
        <v>1873</v>
      </c>
      <c r="F341" s="641" t="s">
        <v>1874</v>
      </c>
      <c r="G341" s="640" t="s">
        <v>1786</v>
      </c>
      <c r="H341" s="640" t="s">
        <v>1787</v>
      </c>
      <c r="I341" s="642">
        <v>431.54500000000002</v>
      </c>
      <c r="J341" s="642">
        <v>20</v>
      </c>
      <c r="K341" s="643">
        <v>8630.8799999999992</v>
      </c>
    </row>
    <row r="342" spans="1:11" ht="14.4" customHeight="1" x14ac:dyDescent="0.3">
      <c r="A342" s="638" t="s">
        <v>543</v>
      </c>
      <c r="B342" s="639" t="s">
        <v>544</v>
      </c>
      <c r="C342" s="640" t="s">
        <v>556</v>
      </c>
      <c r="D342" s="641" t="s">
        <v>1226</v>
      </c>
      <c r="E342" s="640" t="s">
        <v>1873</v>
      </c>
      <c r="F342" s="641" t="s">
        <v>1874</v>
      </c>
      <c r="G342" s="640" t="s">
        <v>1580</v>
      </c>
      <c r="H342" s="640" t="s">
        <v>1581</v>
      </c>
      <c r="I342" s="642">
        <v>20.7</v>
      </c>
      <c r="J342" s="642">
        <v>400</v>
      </c>
      <c r="K342" s="643">
        <v>8280</v>
      </c>
    </row>
    <row r="343" spans="1:11" ht="14.4" customHeight="1" x14ac:dyDescent="0.3">
      <c r="A343" s="638" t="s">
        <v>543</v>
      </c>
      <c r="B343" s="639" t="s">
        <v>544</v>
      </c>
      <c r="C343" s="640" t="s">
        <v>556</v>
      </c>
      <c r="D343" s="641" t="s">
        <v>1226</v>
      </c>
      <c r="E343" s="640" t="s">
        <v>1873</v>
      </c>
      <c r="F343" s="641" t="s">
        <v>1874</v>
      </c>
      <c r="G343" s="640" t="s">
        <v>1582</v>
      </c>
      <c r="H343" s="640" t="s">
        <v>1583</v>
      </c>
      <c r="I343" s="642">
        <v>20.7</v>
      </c>
      <c r="J343" s="642">
        <v>550</v>
      </c>
      <c r="K343" s="643">
        <v>11385</v>
      </c>
    </row>
    <row r="344" spans="1:11" ht="14.4" customHeight="1" x14ac:dyDescent="0.3">
      <c r="A344" s="638" t="s">
        <v>543</v>
      </c>
      <c r="B344" s="639" t="s">
        <v>544</v>
      </c>
      <c r="C344" s="640" t="s">
        <v>556</v>
      </c>
      <c r="D344" s="641" t="s">
        <v>1226</v>
      </c>
      <c r="E344" s="640" t="s">
        <v>1873</v>
      </c>
      <c r="F344" s="641" t="s">
        <v>1874</v>
      </c>
      <c r="G344" s="640" t="s">
        <v>1788</v>
      </c>
      <c r="H344" s="640" t="s">
        <v>1789</v>
      </c>
      <c r="I344" s="642">
        <v>20.7</v>
      </c>
      <c r="J344" s="642">
        <v>100</v>
      </c>
      <c r="K344" s="643">
        <v>2070</v>
      </c>
    </row>
    <row r="345" spans="1:11" ht="14.4" customHeight="1" x14ac:dyDescent="0.3">
      <c r="A345" s="638" t="s">
        <v>543</v>
      </c>
      <c r="B345" s="639" t="s">
        <v>544</v>
      </c>
      <c r="C345" s="640" t="s">
        <v>556</v>
      </c>
      <c r="D345" s="641" t="s">
        <v>1226</v>
      </c>
      <c r="E345" s="640" t="s">
        <v>1873</v>
      </c>
      <c r="F345" s="641" t="s">
        <v>1874</v>
      </c>
      <c r="G345" s="640" t="s">
        <v>1790</v>
      </c>
      <c r="H345" s="640" t="s">
        <v>1791</v>
      </c>
      <c r="I345" s="642">
        <v>8.8349999999999991</v>
      </c>
      <c r="J345" s="642">
        <v>900</v>
      </c>
      <c r="K345" s="643">
        <v>7951.1</v>
      </c>
    </row>
    <row r="346" spans="1:11" ht="14.4" customHeight="1" x14ac:dyDescent="0.3">
      <c r="A346" s="638" t="s">
        <v>543</v>
      </c>
      <c r="B346" s="639" t="s">
        <v>544</v>
      </c>
      <c r="C346" s="640" t="s">
        <v>556</v>
      </c>
      <c r="D346" s="641" t="s">
        <v>1226</v>
      </c>
      <c r="E346" s="640" t="s">
        <v>1873</v>
      </c>
      <c r="F346" s="641" t="s">
        <v>1874</v>
      </c>
      <c r="G346" s="640" t="s">
        <v>1792</v>
      </c>
      <c r="H346" s="640" t="s">
        <v>1793</v>
      </c>
      <c r="I346" s="642">
        <v>1292.8800000000001</v>
      </c>
      <c r="J346" s="642">
        <v>4</v>
      </c>
      <c r="K346" s="643">
        <v>5171.54</v>
      </c>
    </row>
    <row r="347" spans="1:11" ht="14.4" customHeight="1" x14ac:dyDescent="0.3">
      <c r="A347" s="638" t="s">
        <v>543</v>
      </c>
      <c r="B347" s="639" t="s">
        <v>544</v>
      </c>
      <c r="C347" s="640" t="s">
        <v>556</v>
      </c>
      <c r="D347" s="641" t="s">
        <v>1226</v>
      </c>
      <c r="E347" s="640" t="s">
        <v>1873</v>
      </c>
      <c r="F347" s="641" t="s">
        <v>1874</v>
      </c>
      <c r="G347" s="640" t="s">
        <v>1584</v>
      </c>
      <c r="H347" s="640" t="s">
        <v>1585</v>
      </c>
      <c r="I347" s="642">
        <v>5.81</v>
      </c>
      <c r="J347" s="642">
        <v>50</v>
      </c>
      <c r="K347" s="643">
        <v>290.39999999999998</v>
      </c>
    </row>
    <row r="348" spans="1:11" ht="14.4" customHeight="1" x14ac:dyDescent="0.3">
      <c r="A348" s="638" t="s">
        <v>543</v>
      </c>
      <c r="B348" s="639" t="s">
        <v>544</v>
      </c>
      <c r="C348" s="640" t="s">
        <v>556</v>
      </c>
      <c r="D348" s="641" t="s">
        <v>1226</v>
      </c>
      <c r="E348" s="640" t="s">
        <v>1873</v>
      </c>
      <c r="F348" s="641" t="s">
        <v>1874</v>
      </c>
      <c r="G348" s="640" t="s">
        <v>1794</v>
      </c>
      <c r="H348" s="640" t="s">
        <v>1795</v>
      </c>
      <c r="I348" s="642">
        <v>204.49</v>
      </c>
      <c r="J348" s="642">
        <v>30</v>
      </c>
      <c r="K348" s="643">
        <v>6134.7000000000007</v>
      </c>
    </row>
    <row r="349" spans="1:11" ht="14.4" customHeight="1" x14ac:dyDescent="0.3">
      <c r="A349" s="638" t="s">
        <v>543</v>
      </c>
      <c r="B349" s="639" t="s">
        <v>544</v>
      </c>
      <c r="C349" s="640" t="s">
        <v>556</v>
      </c>
      <c r="D349" s="641" t="s">
        <v>1226</v>
      </c>
      <c r="E349" s="640" t="s">
        <v>1873</v>
      </c>
      <c r="F349" s="641" t="s">
        <v>1874</v>
      </c>
      <c r="G349" s="640" t="s">
        <v>1457</v>
      </c>
      <c r="H349" s="640" t="s">
        <v>1458</v>
      </c>
      <c r="I349" s="642">
        <v>1.2816666666666667</v>
      </c>
      <c r="J349" s="642">
        <v>3500</v>
      </c>
      <c r="K349" s="643">
        <v>4490.4000000000005</v>
      </c>
    </row>
    <row r="350" spans="1:11" ht="14.4" customHeight="1" x14ac:dyDescent="0.3">
      <c r="A350" s="638" t="s">
        <v>543</v>
      </c>
      <c r="B350" s="639" t="s">
        <v>544</v>
      </c>
      <c r="C350" s="640" t="s">
        <v>556</v>
      </c>
      <c r="D350" s="641" t="s">
        <v>1226</v>
      </c>
      <c r="E350" s="640" t="s">
        <v>1873</v>
      </c>
      <c r="F350" s="641" t="s">
        <v>1874</v>
      </c>
      <c r="G350" s="640" t="s">
        <v>1463</v>
      </c>
      <c r="H350" s="640" t="s">
        <v>1464</v>
      </c>
      <c r="I350" s="642">
        <v>2.0699999999999998</v>
      </c>
      <c r="J350" s="642">
        <v>70</v>
      </c>
      <c r="K350" s="643">
        <v>144.9</v>
      </c>
    </row>
    <row r="351" spans="1:11" ht="14.4" customHeight="1" x14ac:dyDescent="0.3">
      <c r="A351" s="638" t="s">
        <v>543</v>
      </c>
      <c r="B351" s="639" t="s">
        <v>544</v>
      </c>
      <c r="C351" s="640" t="s">
        <v>556</v>
      </c>
      <c r="D351" s="641" t="s">
        <v>1226</v>
      </c>
      <c r="E351" s="640" t="s">
        <v>1873</v>
      </c>
      <c r="F351" s="641" t="s">
        <v>1874</v>
      </c>
      <c r="G351" s="640" t="s">
        <v>1796</v>
      </c>
      <c r="H351" s="640" t="s">
        <v>1797</v>
      </c>
      <c r="I351" s="642">
        <v>176.39</v>
      </c>
      <c r="J351" s="642">
        <v>22</v>
      </c>
      <c r="K351" s="643">
        <v>4256.1499999999996</v>
      </c>
    </row>
    <row r="352" spans="1:11" ht="14.4" customHeight="1" x14ac:dyDescent="0.3">
      <c r="A352" s="638" t="s">
        <v>543</v>
      </c>
      <c r="B352" s="639" t="s">
        <v>544</v>
      </c>
      <c r="C352" s="640" t="s">
        <v>556</v>
      </c>
      <c r="D352" s="641" t="s">
        <v>1226</v>
      </c>
      <c r="E352" s="640" t="s">
        <v>1873</v>
      </c>
      <c r="F352" s="641" t="s">
        <v>1874</v>
      </c>
      <c r="G352" s="640" t="s">
        <v>1798</v>
      </c>
      <c r="H352" s="640" t="s">
        <v>1799</v>
      </c>
      <c r="I352" s="642">
        <v>178.84</v>
      </c>
      <c r="J352" s="642">
        <v>50</v>
      </c>
      <c r="K352" s="643">
        <v>8942.2000000000007</v>
      </c>
    </row>
    <row r="353" spans="1:11" ht="14.4" customHeight="1" x14ac:dyDescent="0.3">
      <c r="A353" s="638" t="s">
        <v>543</v>
      </c>
      <c r="B353" s="639" t="s">
        <v>544</v>
      </c>
      <c r="C353" s="640" t="s">
        <v>556</v>
      </c>
      <c r="D353" s="641" t="s">
        <v>1226</v>
      </c>
      <c r="E353" s="640" t="s">
        <v>1873</v>
      </c>
      <c r="F353" s="641" t="s">
        <v>1874</v>
      </c>
      <c r="G353" s="640" t="s">
        <v>1800</v>
      </c>
      <c r="H353" s="640" t="s">
        <v>1801</v>
      </c>
      <c r="I353" s="642">
        <v>484</v>
      </c>
      <c r="J353" s="642">
        <v>30</v>
      </c>
      <c r="K353" s="643">
        <v>14520</v>
      </c>
    </row>
    <row r="354" spans="1:11" ht="14.4" customHeight="1" x14ac:dyDescent="0.3">
      <c r="A354" s="638" t="s">
        <v>543</v>
      </c>
      <c r="B354" s="639" t="s">
        <v>544</v>
      </c>
      <c r="C354" s="640" t="s">
        <v>556</v>
      </c>
      <c r="D354" s="641" t="s">
        <v>1226</v>
      </c>
      <c r="E354" s="640" t="s">
        <v>1873</v>
      </c>
      <c r="F354" s="641" t="s">
        <v>1874</v>
      </c>
      <c r="G354" s="640" t="s">
        <v>1802</v>
      </c>
      <c r="H354" s="640" t="s">
        <v>1803</v>
      </c>
      <c r="I354" s="642">
        <v>9.68</v>
      </c>
      <c r="J354" s="642">
        <v>100</v>
      </c>
      <c r="K354" s="643">
        <v>968</v>
      </c>
    </row>
    <row r="355" spans="1:11" ht="14.4" customHeight="1" x14ac:dyDescent="0.3">
      <c r="A355" s="638" t="s">
        <v>543</v>
      </c>
      <c r="B355" s="639" t="s">
        <v>544</v>
      </c>
      <c r="C355" s="640" t="s">
        <v>556</v>
      </c>
      <c r="D355" s="641" t="s">
        <v>1226</v>
      </c>
      <c r="E355" s="640" t="s">
        <v>1873</v>
      </c>
      <c r="F355" s="641" t="s">
        <v>1874</v>
      </c>
      <c r="G355" s="640" t="s">
        <v>1804</v>
      </c>
      <c r="H355" s="640" t="s">
        <v>1805</v>
      </c>
      <c r="I355" s="642">
        <v>20.23</v>
      </c>
      <c r="J355" s="642">
        <v>100</v>
      </c>
      <c r="K355" s="643">
        <v>2023.12</v>
      </c>
    </row>
    <row r="356" spans="1:11" ht="14.4" customHeight="1" x14ac:dyDescent="0.3">
      <c r="A356" s="638" t="s">
        <v>543</v>
      </c>
      <c r="B356" s="639" t="s">
        <v>544</v>
      </c>
      <c r="C356" s="640" t="s">
        <v>556</v>
      </c>
      <c r="D356" s="641" t="s">
        <v>1226</v>
      </c>
      <c r="E356" s="640" t="s">
        <v>1873</v>
      </c>
      <c r="F356" s="641" t="s">
        <v>1874</v>
      </c>
      <c r="G356" s="640" t="s">
        <v>1806</v>
      </c>
      <c r="H356" s="640" t="s">
        <v>1807</v>
      </c>
      <c r="I356" s="642">
        <v>331.08</v>
      </c>
      <c r="J356" s="642">
        <v>60</v>
      </c>
      <c r="K356" s="643">
        <v>19864.52</v>
      </c>
    </row>
    <row r="357" spans="1:11" ht="14.4" customHeight="1" x14ac:dyDescent="0.3">
      <c r="A357" s="638" t="s">
        <v>543</v>
      </c>
      <c r="B357" s="639" t="s">
        <v>544</v>
      </c>
      <c r="C357" s="640" t="s">
        <v>556</v>
      </c>
      <c r="D357" s="641" t="s">
        <v>1226</v>
      </c>
      <c r="E357" s="640" t="s">
        <v>1873</v>
      </c>
      <c r="F357" s="641" t="s">
        <v>1874</v>
      </c>
      <c r="G357" s="640" t="s">
        <v>1808</v>
      </c>
      <c r="H357" s="640" t="s">
        <v>1809</v>
      </c>
      <c r="I357" s="642">
        <v>4.95</v>
      </c>
      <c r="J357" s="642">
        <v>50</v>
      </c>
      <c r="K357" s="643">
        <v>247.25</v>
      </c>
    </row>
    <row r="358" spans="1:11" ht="14.4" customHeight="1" x14ac:dyDescent="0.3">
      <c r="A358" s="638" t="s">
        <v>543</v>
      </c>
      <c r="B358" s="639" t="s">
        <v>544</v>
      </c>
      <c r="C358" s="640" t="s">
        <v>556</v>
      </c>
      <c r="D358" s="641" t="s">
        <v>1226</v>
      </c>
      <c r="E358" s="640" t="s">
        <v>1873</v>
      </c>
      <c r="F358" s="641" t="s">
        <v>1874</v>
      </c>
      <c r="G358" s="640" t="s">
        <v>1810</v>
      </c>
      <c r="H358" s="640" t="s">
        <v>1811</v>
      </c>
      <c r="I358" s="642">
        <v>2.0699999999999998</v>
      </c>
      <c r="J358" s="642">
        <v>640</v>
      </c>
      <c r="K358" s="643">
        <v>1324.81</v>
      </c>
    </row>
    <row r="359" spans="1:11" ht="14.4" customHeight="1" x14ac:dyDescent="0.3">
      <c r="A359" s="638" t="s">
        <v>543</v>
      </c>
      <c r="B359" s="639" t="s">
        <v>544</v>
      </c>
      <c r="C359" s="640" t="s">
        <v>556</v>
      </c>
      <c r="D359" s="641" t="s">
        <v>1226</v>
      </c>
      <c r="E359" s="640" t="s">
        <v>1873</v>
      </c>
      <c r="F359" s="641" t="s">
        <v>1874</v>
      </c>
      <c r="G359" s="640" t="s">
        <v>1812</v>
      </c>
      <c r="H359" s="640" t="s">
        <v>1813</v>
      </c>
      <c r="I359" s="642">
        <v>2904</v>
      </c>
      <c r="J359" s="642">
        <v>1</v>
      </c>
      <c r="K359" s="643">
        <v>2904</v>
      </c>
    </row>
    <row r="360" spans="1:11" ht="14.4" customHeight="1" x14ac:dyDescent="0.3">
      <c r="A360" s="638" t="s">
        <v>543</v>
      </c>
      <c r="B360" s="639" t="s">
        <v>544</v>
      </c>
      <c r="C360" s="640" t="s">
        <v>556</v>
      </c>
      <c r="D360" s="641" t="s">
        <v>1226</v>
      </c>
      <c r="E360" s="640" t="s">
        <v>1873</v>
      </c>
      <c r="F360" s="641" t="s">
        <v>1874</v>
      </c>
      <c r="G360" s="640" t="s">
        <v>1814</v>
      </c>
      <c r="H360" s="640" t="s">
        <v>1815</v>
      </c>
      <c r="I360" s="642">
        <v>178.84</v>
      </c>
      <c r="J360" s="642">
        <v>25</v>
      </c>
      <c r="K360" s="643">
        <v>4471.1000000000004</v>
      </c>
    </row>
    <row r="361" spans="1:11" ht="14.4" customHeight="1" x14ac:dyDescent="0.3">
      <c r="A361" s="638" t="s">
        <v>543</v>
      </c>
      <c r="B361" s="639" t="s">
        <v>544</v>
      </c>
      <c r="C361" s="640" t="s">
        <v>556</v>
      </c>
      <c r="D361" s="641" t="s">
        <v>1226</v>
      </c>
      <c r="E361" s="640" t="s">
        <v>1887</v>
      </c>
      <c r="F361" s="641" t="s">
        <v>1888</v>
      </c>
      <c r="G361" s="640" t="s">
        <v>1816</v>
      </c>
      <c r="H361" s="640" t="s">
        <v>1817</v>
      </c>
      <c r="I361" s="642">
        <v>629.19999999999993</v>
      </c>
      <c r="J361" s="642">
        <v>80</v>
      </c>
      <c r="K361" s="643">
        <v>50336</v>
      </c>
    </row>
    <row r="362" spans="1:11" ht="14.4" customHeight="1" x14ac:dyDescent="0.3">
      <c r="A362" s="638" t="s">
        <v>543</v>
      </c>
      <c r="B362" s="639" t="s">
        <v>544</v>
      </c>
      <c r="C362" s="640" t="s">
        <v>556</v>
      </c>
      <c r="D362" s="641" t="s">
        <v>1226</v>
      </c>
      <c r="E362" s="640" t="s">
        <v>1887</v>
      </c>
      <c r="F362" s="641" t="s">
        <v>1888</v>
      </c>
      <c r="G362" s="640" t="s">
        <v>1818</v>
      </c>
      <c r="H362" s="640" t="s">
        <v>1819</v>
      </c>
      <c r="I362" s="642">
        <v>1694</v>
      </c>
      <c r="J362" s="642">
        <v>25</v>
      </c>
      <c r="K362" s="643">
        <v>42350</v>
      </c>
    </row>
    <row r="363" spans="1:11" ht="14.4" customHeight="1" x14ac:dyDescent="0.3">
      <c r="A363" s="638" t="s">
        <v>543</v>
      </c>
      <c r="B363" s="639" t="s">
        <v>544</v>
      </c>
      <c r="C363" s="640" t="s">
        <v>556</v>
      </c>
      <c r="D363" s="641" t="s">
        <v>1226</v>
      </c>
      <c r="E363" s="640" t="s">
        <v>1887</v>
      </c>
      <c r="F363" s="641" t="s">
        <v>1888</v>
      </c>
      <c r="G363" s="640" t="s">
        <v>1820</v>
      </c>
      <c r="H363" s="640" t="s">
        <v>1821</v>
      </c>
      <c r="I363" s="642">
        <v>411.4</v>
      </c>
      <c r="J363" s="642">
        <v>10</v>
      </c>
      <c r="K363" s="643">
        <v>4114</v>
      </c>
    </row>
    <row r="364" spans="1:11" ht="14.4" customHeight="1" x14ac:dyDescent="0.3">
      <c r="A364" s="638" t="s">
        <v>543</v>
      </c>
      <c r="B364" s="639" t="s">
        <v>544</v>
      </c>
      <c r="C364" s="640" t="s">
        <v>556</v>
      </c>
      <c r="D364" s="641" t="s">
        <v>1226</v>
      </c>
      <c r="E364" s="640" t="s">
        <v>1887</v>
      </c>
      <c r="F364" s="641" t="s">
        <v>1888</v>
      </c>
      <c r="G364" s="640" t="s">
        <v>1820</v>
      </c>
      <c r="H364" s="640" t="s">
        <v>1822</v>
      </c>
      <c r="I364" s="642">
        <v>411.4</v>
      </c>
      <c r="J364" s="642">
        <v>20</v>
      </c>
      <c r="K364" s="643">
        <v>8228</v>
      </c>
    </row>
    <row r="365" spans="1:11" ht="14.4" customHeight="1" x14ac:dyDescent="0.3">
      <c r="A365" s="638" t="s">
        <v>543</v>
      </c>
      <c r="B365" s="639" t="s">
        <v>544</v>
      </c>
      <c r="C365" s="640" t="s">
        <v>556</v>
      </c>
      <c r="D365" s="641" t="s">
        <v>1226</v>
      </c>
      <c r="E365" s="640" t="s">
        <v>1887</v>
      </c>
      <c r="F365" s="641" t="s">
        <v>1888</v>
      </c>
      <c r="G365" s="640" t="s">
        <v>1823</v>
      </c>
      <c r="H365" s="640" t="s">
        <v>1824</v>
      </c>
      <c r="I365" s="642">
        <v>411.4</v>
      </c>
      <c r="J365" s="642">
        <v>10</v>
      </c>
      <c r="K365" s="643">
        <v>4114</v>
      </c>
    </row>
    <row r="366" spans="1:11" ht="14.4" customHeight="1" x14ac:dyDescent="0.3">
      <c r="A366" s="638" t="s">
        <v>543</v>
      </c>
      <c r="B366" s="639" t="s">
        <v>544</v>
      </c>
      <c r="C366" s="640" t="s">
        <v>556</v>
      </c>
      <c r="D366" s="641" t="s">
        <v>1226</v>
      </c>
      <c r="E366" s="640" t="s">
        <v>1885</v>
      </c>
      <c r="F366" s="641" t="s">
        <v>1886</v>
      </c>
      <c r="G366" s="640" t="s">
        <v>1825</v>
      </c>
      <c r="H366" s="640" t="s">
        <v>1826</v>
      </c>
      <c r="I366" s="642">
        <v>24.180000000000003</v>
      </c>
      <c r="J366" s="642">
        <v>1600</v>
      </c>
      <c r="K366" s="643">
        <v>38681.280000000006</v>
      </c>
    </row>
    <row r="367" spans="1:11" ht="14.4" customHeight="1" x14ac:dyDescent="0.3">
      <c r="A367" s="638" t="s">
        <v>543</v>
      </c>
      <c r="B367" s="639" t="s">
        <v>544</v>
      </c>
      <c r="C367" s="640" t="s">
        <v>556</v>
      </c>
      <c r="D367" s="641" t="s">
        <v>1226</v>
      </c>
      <c r="E367" s="640" t="s">
        <v>1885</v>
      </c>
      <c r="F367" s="641" t="s">
        <v>1886</v>
      </c>
      <c r="G367" s="640" t="s">
        <v>1592</v>
      </c>
      <c r="H367" s="640" t="s">
        <v>1593</v>
      </c>
      <c r="I367" s="642">
        <v>7.0049999999999999</v>
      </c>
      <c r="J367" s="642">
        <v>95</v>
      </c>
      <c r="K367" s="643">
        <v>665.2</v>
      </c>
    </row>
    <row r="368" spans="1:11" ht="14.4" customHeight="1" x14ac:dyDescent="0.3">
      <c r="A368" s="638" t="s">
        <v>543</v>
      </c>
      <c r="B368" s="639" t="s">
        <v>544</v>
      </c>
      <c r="C368" s="640" t="s">
        <v>556</v>
      </c>
      <c r="D368" s="641" t="s">
        <v>1226</v>
      </c>
      <c r="E368" s="640" t="s">
        <v>1889</v>
      </c>
      <c r="F368" s="641" t="s">
        <v>1890</v>
      </c>
      <c r="G368" s="640" t="s">
        <v>1827</v>
      </c>
      <c r="H368" s="640" t="s">
        <v>1828</v>
      </c>
      <c r="I368" s="642">
        <v>49.850000000000009</v>
      </c>
      <c r="J368" s="642">
        <v>108</v>
      </c>
      <c r="K368" s="643">
        <v>5384.07</v>
      </c>
    </row>
    <row r="369" spans="1:11" ht="14.4" customHeight="1" x14ac:dyDescent="0.3">
      <c r="A369" s="638" t="s">
        <v>543</v>
      </c>
      <c r="B369" s="639" t="s">
        <v>544</v>
      </c>
      <c r="C369" s="640" t="s">
        <v>556</v>
      </c>
      <c r="D369" s="641" t="s">
        <v>1226</v>
      </c>
      <c r="E369" s="640" t="s">
        <v>1875</v>
      </c>
      <c r="F369" s="641" t="s">
        <v>1876</v>
      </c>
      <c r="G369" s="640" t="s">
        <v>1477</v>
      </c>
      <c r="H369" s="640" t="s">
        <v>1478</v>
      </c>
      <c r="I369" s="642">
        <v>0.30416666666666664</v>
      </c>
      <c r="J369" s="642">
        <v>4400</v>
      </c>
      <c r="K369" s="643">
        <v>1334</v>
      </c>
    </row>
    <row r="370" spans="1:11" ht="14.4" customHeight="1" x14ac:dyDescent="0.3">
      <c r="A370" s="638" t="s">
        <v>543</v>
      </c>
      <c r="B370" s="639" t="s">
        <v>544</v>
      </c>
      <c r="C370" s="640" t="s">
        <v>556</v>
      </c>
      <c r="D370" s="641" t="s">
        <v>1226</v>
      </c>
      <c r="E370" s="640" t="s">
        <v>1875</v>
      </c>
      <c r="F370" s="641" t="s">
        <v>1876</v>
      </c>
      <c r="G370" s="640" t="s">
        <v>1596</v>
      </c>
      <c r="H370" s="640" t="s">
        <v>1597</v>
      </c>
      <c r="I370" s="642">
        <v>0.3</v>
      </c>
      <c r="J370" s="642">
        <v>400</v>
      </c>
      <c r="K370" s="643">
        <v>120</v>
      </c>
    </row>
    <row r="371" spans="1:11" ht="14.4" customHeight="1" x14ac:dyDescent="0.3">
      <c r="A371" s="638" t="s">
        <v>543</v>
      </c>
      <c r="B371" s="639" t="s">
        <v>544</v>
      </c>
      <c r="C371" s="640" t="s">
        <v>556</v>
      </c>
      <c r="D371" s="641" t="s">
        <v>1226</v>
      </c>
      <c r="E371" s="640" t="s">
        <v>1875</v>
      </c>
      <c r="F371" s="641" t="s">
        <v>1876</v>
      </c>
      <c r="G371" s="640" t="s">
        <v>1598</v>
      </c>
      <c r="H371" s="640" t="s">
        <v>1599</v>
      </c>
      <c r="I371" s="642">
        <v>0.47727272727272729</v>
      </c>
      <c r="J371" s="642">
        <v>1700</v>
      </c>
      <c r="K371" s="643">
        <v>810</v>
      </c>
    </row>
    <row r="372" spans="1:11" ht="14.4" customHeight="1" x14ac:dyDescent="0.3">
      <c r="A372" s="638" t="s">
        <v>543</v>
      </c>
      <c r="B372" s="639" t="s">
        <v>544</v>
      </c>
      <c r="C372" s="640" t="s">
        <v>556</v>
      </c>
      <c r="D372" s="641" t="s">
        <v>1226</v>
      </c>
      <c r="E372" s="640" t="s">
        <v>1875</v>
      </c>
      <c r="F372" s="641" t="s">
        <v>1876</v>
      </c>
      <c r="G372" s="640" t="s">
        <v>1479</v>
      </c>
      <c r="H372" s="640" t="s">
        <v>1480</v>
      </c>
      <c r="I372" s="642">
        <v>0.48500000000000004</v>
      </c>
      <c r="J372" s="642">
        <v>8100</v>
      </c>
      <c r="K372" s="643">
        <v>3930.9</v>
      </c>
    </row>
    <row r="373" spans="1:11" ht="14.4" customHeight="1" x14ac:dyDescent="0.3">
      <c r="A373" s="638" t="s">
        <v>543</v>
      </c>
      <c r="B373" s="639" t="s">
        <v>544</v>
      </c>
      <c r="C373" s="640" t="s">
        <v>556</v>
      </c>
      <c r="D373" s="641" t="s">
        <v>1226</v>
      </c>
      <c r="E373" s="640" t="s">
        <v>1875</v>
      </c>
      <c r="F373" s="641" t="s">
        <v>1876</v>
      </c>
      <c r="G373" s="640" t="s">
        <v>1829</v>
      </c>
      <c r="H373" s="640" t="s">
        <v>1830</v>
      </c>
      <c r="I373" s="642">
        <v>48.82</v>
      </c>
      <c r="J373" s="642">
        <v>25</v>
      </c>
      <c r="K373" s="643">
        <v>1220.5899999999999</v>
      </c>
    </row>
    <row r="374" spans="1:11" ht="14.4" customHeight="1" x14ac:dyDescent="0.3">
      <c r="A374" s="638" t="s">
        <v>543</v>
      </c>
      <c r="B374" s="639" t="s">
        <v>544</v>
      </c>
      <c r="C374" s="640" t="s">
        <v>556</v>
      </c>
      <c r="D374" s="641" t="s">
        <v>1226</v>
      </c>
      <c r="E374" s="640" t="s">
        <v>1877</v>
      </c>
      <c r="F374" s="641" t="s">
        <v>1878</v>
      </c>
      <c r="G374" s="640" t="s">
        <v>1481</v>
      </c>
      <c r="H374" s="640" t="s">
        <v>1482</v>
      </c>
      <c r="I374" s="642">
        <v>0.70733333333333326</v>
      </c>
      <c r="J374" s="642">
        <v>107000</v>
      </c>
      <c r="K374" s="643">
        <v>75670</v>
      </c>
    </row>
    <row r="375" spans="1:11" ht="14.4" customHeight="1" x14ac:dyDescent="0.3">
      <c r="A375" s="638" t="s">
        <v>543</v>
      </c>
      <c r="B375" s="639" t="s">
        <v>544</v>
      </c>
      <c r="C375" s="640" t="s">
        <v>556</v>
      </c>
      <c r="D375" s="641" t="s">
        <v>1226</v>
      </c>
      <c r="E375" s="640" t="s">
        <v>1877</v>
      </c>
      <c r="F375" s="641" t="s">
        <v>1878</v>
      </c>
      <c r="G375" s="640" t="s">
        <v>1485</v>
      </c>
      <c r="H375" s="640" t="s">
        <v>1486</v>
      </c>
      <c r="I375" s="642">
        <v>12.585000000000001</v>
      </c>
      <c r="J375" s="642">
        <v>250</v>
      </c>
      <c r="K375" s="643">
        <v>3146.5</v>
      </c>
    </row>
    <row r="376" spans="1:11" ht="14.4" customHeight="1" x14ac:dyDescent="0.3">
      <c r="A376" s="638" t="s">
        <v>543</v>
      </c>
      <c r="B376" s="639" t="s">
        <v>544</v>
      </c>
      <c r="C376" s="640" t="s">
        <v>556</v>
      </c>
      <c r="D376" s="641" t="s">
        <v>1226</v>
      </c>
      <c r="E376" s="640" t="s">
        <v>1877</v>
      </c>
      <c r="F376" s="641" t="s">
        <v>1878</v>
      </c>
      <c r="G376" s="640" t="s">
        <v>1485</v>
      </c>
      <c r="H376" s="640" t="s">
        <v>1487</v>
      </c>
      <c r="I376" s="642">
        <v>12.585000000000001</v>
      </c>
      <c r="J376" s="642">
        <v>150</v>
      </c>
      <c r="K376" s="643">
        <v>1888</v>
      </c>
    </row>
    <row r="377" spans="1:11" ht="14.4" customHeight="1" x14ac:dyDescent="0.3">
      <c r="A377" s="638" t="s">
        <v>543</v>
      </c>
      <c r="B377" s="639" t="s">
        <v>544</v>
      </c>
      <c r="C377" s="640" t="s">
        <v>556</v>
      </c>
      <c r="D377" s="641" t="s">
        <v>1226</v>
      </c>
      <c r="E377" s="640" t="s">
        <v>1877</v>
      </c>
      <c r="F377" s="641" t="s">
        <v>1878</v>
      </c>
      <c r="G377" s="640" t="s">
        <v>1488</v>
      </c>
      <c r="H377" s="640" t="s">
        <v>1489</v>
      </c>
      <c r="I377" s="642">
        <v>12.591666666666667</v>
      </c>
      <c r="J377" s="642">
        <v>810</v>
      </c>
      <c r="K377" s="643">
        <v>10197.299999999999</v>
      </c>
    </row>
    <row r="378" spans="1:11" ht="14.4" customHeight="1" x14ac:dyDescent="0.3">
      <c r="A378" s="638" t="s">
        <v>543</v>
      </c>
      <c r="B378" s="639" t="s">
        <v>544</v>
      </c>
      <c r="C378" s="640" t="s">
        <v>556</v>
      </c>
      <c r="D378" s="641" t="s">
        <v>1226</v>
      </c>
      <c r="E378" s="640" t="s">
        <v>1877</v>
      </c>
      <c r="F378" s="641" t="s">
        <v>1878</v>
      </c>
      <c r="G378" s="640" t="s">
        <v>1488</v>
      </c>
      <c r="H378" s="640" t="s">
        <v>1490</v>
      </c>
      <c r="I378" s="642">
        <v>12.586000000000002</v>
      </c>
      <c r="J378" s="642">
        <v>650</v>
      </c>
      <c r="K378" s="643">
        <v>8182</v>
      </c>
    </row>
    <row r="379" spans="1:11" ht="14.4" customHeight="1" x14ac:dyDescent="0.3">
      <c r="A379" s="638" t="s">
        <v>543</v>
      </c>
      <c r="B379" s="639" t="s">
        <v>544</v>
      </c>
      <c r="C379" s="640" t="s">
        <v>556</v>
      </c>
      <c r="D379" s="641" t="s">
        <v>1226</v>
      </c>
      <c r="E379" s="640" t="s">
        <v>1877</v>
      </c>
      <c r="F379" s="641" t="s">
        <v>1878</v>
      </c>
      <c r="G379" s="640" t="s">
        <v>1604</v>
      </c>
      <c r="H379" s="640" t="s">
        <v>1605</v>
      </c>
      <c r="I379" s="642">
        <v>12.58</v>
      </c>
      <c r="J379" s="642">
        <v>140</v>
      </c>
      <c r="K379" s="643">
        <v>1761.1</v>
      </c>
    </row>
    <row r="380" spans="1:11" ht="14.4" customHeight="1" x14ac:dyDescent="0.3">
      <c r="A380" s="638" t="s">
        <v>543</v>
      </c>
      <c r="B380" s="639" t="s">
        <v>544</v>
      </c>
      <c r="C380" s="640" t="s">
        <v>556</v>
      </c>
      <c r="D380" s="641" t="s">
        <v>1226</v>
      </c>
      <c r="E380" s="640" t="s">
        <v>1877</v>
      </c>
      <c r="F380" s="641" t="s">
        <v>1878</v>
      </c>
      <c r="G380" s="640" t="s">
        <v>1604</v>
      </c>
      <c r="H380" s="640" t="s">
        <v>1831</v>
      </c>
      <c r="I380" s="642">
        <v>12.59</v>
      </c>
      <c r="J380" s="642">
        <v>50</v>
      </c>
      <c r="K380" s="643">
        <v>629.5</v>
      </c>
    </row>
    <row r="381" spans="1:11" ht="14.4" customHeight="1" x14ac:dyDescent="0.3">
      <c r="A381" s="638" t="s">
        <v>543</v>
      </c>
      <c r="B381" s="639" t="s">
        <v>544</v>
      </c>
      <c r="C381" s="640" t="s">
        <v>556</v>
      </c>
      <c r="D381" s="641" t="s">
        <v>1226</v>
      </c>
      <c r="E381" s="640" t="s">
        <v>1877</v>
      </c>
      <c r="F381" s="641" t="s">
        <v>1878</v>
      </c>
      <c r="G381" s="640" t="s">
        <v>1606</v>
      </c>
      <c r="H381" s="640" t="s">
        <v>1607</v>
      </c>
      <c r="I381" s="642">
        <v>12.585000000000001</v>
      </c>
      <c r="J381" s="642">
        <v>530</v>
      </c>
      <c r="K381" s="643">
        <v>6670.3</v>
      </c>
    </row>
    <row r="382" spans="1:11" ht="14.4" customHeight="1" x14ac:dyDescent="0.3">
      <c r="A382" s="638" t="s">
        <v>543</v>
      </c>
      <c r="B382" s="639" t="s">
        <v>544</v>
      </c>
      <c r="C382" s="640" t="s">
        <v>556</v>
      </c>
      <c r="D382" s="641" t="s">
        <v>1226</v>
      </c>
      <c r="E382" s="640" t="s">
        <v>1877</v>
      </c>
      <c r="F382" s="641" t="s">
        <v>1878</v>
      </c>
      <c r="G382" s="640" t="s">
        <v>1606</v>
      </c>
      <c r="H382" s="640" t="s">
        <v>1832</v>
      </c>
      <c r="I382" s="642">
        <v>12.585000000000001</v>
      </c>
      <c r="J382" s="642">
        <v>250</v>
      </c>
      <c r="K382" s="643">
        <v>3146</v>
      </c>
    </row>
    <row r="383" spans="1:11" ht="14.4" customHeight="1" x14ac:dyDescent="0.3">
      <c r="A383" s="638" t="s">
        <v>543</v>
      </c>
      <c r="B383" s="639" t="s">
        <v>544</v>
      </c>
      <c r="C383" s="640" t="s">
        <v>556</v>
      </c>
      <c r="D383" s="641" t="s">
        <v>1226</v>
      </c>
      <c r="E383" s="640" t="s">
        <v>1879</v>
      </c>
      <c r="F383" s="641" t="s">
        <v>1880</v>
      </c>
      <c r="G383" s="640" t="s">
        <v>1491</v>
      </c>
      <c r="H383" s="640" t="s">
        <v>1492</v>
      </c>
      <c r="I383" s="642">
        <v>139.43125000000001</v>
      </c>
      <c r="J383" s="642">
        <v>85</v>
      </c>
      <c r="K383" s="643">
        <v>11851.43</v>
      </c>
    </row>
    <row r="384" spans="1:11" ht="14.4" customHeight="1" x14ac:dyDescent="0.3">
      <c r="A384" s="638" t="s">
        <v>543</v>
      </c>
      <c r="B384" s="639" t="s">
        <v>544</v>
      </c>
      <c r="C384" s="640" t="s">
        <v>556</v>
      </c>
      <c r="D384" s="641" t="s">
        <v>1226</v>
      </c>
      <c r="E384" s="640" t="s">
        <v>1879</v>
      </c>
      <c r="F384" s="641" t="s">
        <v>1880</v>
      </c>
      <c r="G384" s="640" t="s">
        <v>1493</v>
      </c>
      <c r="H384" s="640" t="s">
        <v>1494</v>
      </c>
      <c r="I384" s="642">
        <v>11.656666666666666</v>
      </c>
      <c r="J384" s="642">
        <v>30</v>
      </c>
      <c r="K384" s="643">
        <v>349.7</v>
      </c>
    </row>
    <row r="385" spans="1:11" ht="14.4" customHeight="1" x14ac:dyDescent="0.3">
      <c r="A385" s="638" t="s">
        <v>543</v>
      </c>
      <c r="B385" s="639" t="s">
        <v>544</v>
      </c>
      <c r="C385" s="640" t="s">
        <v>556</v>
      </c>
      <c r="D385" s="641" t="s">
        <v>1226</v>
      </c>
      <c r="E385" s="640" t="s">
        <v>1879</v>
      </c>
      <c r="F385" s="641" t="s">
        <v>1880</v>
      </c>
      <c r="G385" s="640" t="s">
        <v>1620</v>
      </c>
      <c r="H385" s="640" t="s">
        <v>1621</v>
      </c>
      <c r="I385" s="642">
        <v>3709.67</v>
      </c>
      <c r="J385" s="642">
        <v>1</v>
      </c>
      <c r="K385" s="643">
        <v>3709.67</v>
      </c>
    </row>
    <row r="386" spans="1:11" ht="14.4" customHeight="1" x14ac:dyDescent="0.3">
      <c r="A386" s="638" t="s">
        <v>543</v>
      </c>
      <c r="B386" s="639" t="s">
        <v>544</v>
      </c>
      <c r="C386" s="640" t="s">
        <v>556</v>
      </c>
      <c r="D386" s="641" t="s">
        <v>1226</v>
      </c>
      <c r="E386" s="640" t="s">
        <v>1879</v>
      </c>
      <c r="F386" s="641" t="s">
        <v>1880</v>
      </c>
      <c r="G386" s="640" t="s">
        <v>1833</v>
      </c>
      <c r="H386" s="640" t="s">
        <v>1834</v>
      </c>
      <c r="I386" s="642">
        <v>5445</v>
      </c>
      <c r="J386" s="642">
        <v>4</v>
      </c>
      <c r="K386" s="643">
        <v>21780</v>
      </c>
    </row>
    <row r="387" spans="1:11" ht="14.4" customHeight="1" x14ac:dyDescent="0.3">
      <c r="A387" s="638" t="s">
        <v>543</v>
      </c>
      <c r="B387" s="639" t="s">
        <v>544</v>
      </c>
      <c r="C387" s="640" t="s">
        <v>556</v>
      </c>
      <c r="D387" s="641" t="s">
        <v>1226</v>
      </c>
      <c r="E387" s="640" t="s">
        <v>1879</v>
      </c>
      <c r="F387" s="641" t="s">
        <v>1880</v>
      </c>
      <c r="G387" s="640" t="s">
        <v>1495</v>
      </c>
      <c r="H387" s="640" t="s">
        <v>1496</v>
      </c>
      <c r="I387" s="642">
        <v>3035.31</v>
      </c>
      <c r="J387" s="642">
        <v>2</v>
      </c>
      <c r="K387" s="643">
        <v>6070.62</v>
      </c>
    </row>
    <row r="388" spans="1:11" ht="14.4" customHeight="1" x14ac:dyDescent="0.3">
      <c r="A388" s="638" t="s">
        <v>543</v>
      </c>
      <c r="B388" s="639" t="s">
        <v>544</v>
      </c>
      <c r="C388" s="640" t="s">
        <v>556</v>
      </c>
      <c r="D388" s="641" t="s">
        <v>1226</v>
      </c>
      <c r="E388" s="640" t="s">
        <v>1879</v>
      </c>
      <c r="F388" s="641" t="s">
        <v>1880</v>
      </c>
      <c r="G388" s="640" t="s">
        <v>1499</v>
      </c>
      <c r="H388" s="640" t="s">
        <v>1500</v>
      </c>
      <c r="I388" s="642">
        <v>2722.5</v>
      </c>
      <c r="J388" s="642">
        <v>12</v>
      </c>
      <c r="K388" s="643">
        <v>32670</v>
      </c>
    </row>
    <row r="389" spans="1:11" ht="14.4" customHeight="1" x14ac:dyDescent="0.3">
      <c r="A389" s="638" t="s">
        <v>543</v>
      </c>
      <c r="B389" s="639" t="s">
        <v>544</v>
      </c>
      <c r="C389" s="640" t="s">
        <v>556</v>
      </c>
      <c r="D389" s="641" t="s">
        <v>1226</v>
      </c>
      <c r="E389" s="640" t="s">
        <v>1879</v>
      </c>
      <c r="F389" s="641" t="s">
        <v>1880</v>
      </c>
      <c r="G389" s="640" t="s">
        <v>1835</v>
      </c>
      <c r="H389" s="640" t="s">
        <v>1836</v>
      </c>
      <c r="I389" s="642">
        <v>5445</v>
      </c>
      <c r="J389" s="642">
        <v>4</v>
      </c>
      <c r="K389" s="643">
        <v>21780</v>
      </c>
    </row>
    <row r="390" spans="1:11" ht="14.4" customHeight="1" x14ac:dyDescent="0.3">
      <c r="A390" s="638" t="s">
        <v>543</v>
      </c>
      <c r="B390" s="639" t="s">
        <v>544</v>
      </c>
      <c r="C390" s="640" t="s">
        <v>556</v>
      </c>
      <c r="D390" s="641" t="s">
        <v>1226</v>
      </c>
      <c r="E390" s="640" t="s">
        <v>1879</v>
      </c>
      <c r="F390" s="641" t="s">
        <v>1880</v>
      </c>
      <c r="G390" s="640" t="s">
        <v>1501</v>
      </c>
      <c r="H390" s="640" t="s">
        <v>1502</v>
      </c>
      <c r="I390" s="642">
        <v>4453.33</v>
      </c>
      <c r="J390" s="642">
        <v>3</v>
      </c>
      <c r="K390" s="643">
        <v>13360</v>
      </c>
    </row>
    <row r="391" spans="1:11" ht="14.4" customHeight="1" x14ac:dyDescent="0.3">
      <c r="A391" s="638" t="s">
        <v>543</v>
      </c>
      <c r="B391" s="639" t="s">
        <v>544</v>
      </c>
      <c r="C391" s="640" t="s">
        <v>556</v>
      </c>
      <c r="D391" s="641" t="s">
        <v>1226</v>
      </c>
      <c r="E391" s="640" t="s">
        <v>1879</v>
      </c>
      <c r="F391" s="641" t="s">
        <v>1880</v>
      </c>
      <c r="G391" s="640" t="s">
        <v>1837</v>
      </c>
      <c r="H391" s="640" t="s">
        <v>1838</v>
      </c>
      <c r="I391" s="642">
        <v>5445</v>
      </c>
      <c r="J391" s="642">
        <v>4</v>
      </c>
      <c r="K391" s="643">
        <v>21780</v>
      </c>
    </row>
    <row r="392" spans="1:11" ht="14.4" customHeight="1" x14ac:dyDescent="0.3">
      <c r="A392" s="638" t="s">
        <v>543</v>
      </c>
      <c r="B392" s="639" t="s">
        <v>544</v>
      </c>
      <c r="C392" s="640" t="s">
        <v>556</v>
      </c>
      <c r="D392" s="641" t="s">
        <v>1226</v>
      </c>
      <c r="E392" s="640" t="s">
        <v>1879</v>
      </c>
      <c r="F392" s="641" t="s">
        <v>1880</v>
      </c>
      <c r="G392" s="640" t="s">
        <v>1624</v>
      </c>
      <c r="H392" s="640" t="s">
        <v>1625</v>
      </c>
      <c r="I392" s="642">
        <v>2277.85</v>
      </c>
      <c r="J392" s="642">
        <v>2</v>
      </c>
      <c r="K392" s="643">
        <v>4555.7</v>
      </c>
    </row>
    <row r="393" spans="1:11" ht="14.4" customHeight="1" x14ac:dyDescent="0.3">
      <c r="A393" s="638" t="s">
        <v>543</v>
      </c>
      <c r="B393" s="639" t="s">
        <v>544</v>
      </c>
      <c r="C393" s="640" t="s">
        <v>556</v>
      </c>
      <c r="D393" s="641" t="s">
        <v>1226</v>
      </c>
      <c r="E393" s="640" t="s">
        <v>1879</v>
      </c>
      <c r="F393" s="641" t="s">
        <v>1880</v>
      </c>
      <c r="G393" s="640" t="s">
        <v>1626</v>
      </c>
      <c r="H393" s="640" t="s">
        <v>1627</v>
      </c>
      <c r="I393" s="642">
        <v>3130.75</v>
      </c>
      <c r="J393" s="642">
        <v>1</v>
      </c>
      <c r="K393" s="643">
        <v>3130.75</v>
      </c>
    </row>
    <row r="394" spans="1:11" ht="14.4" customHeight="1" x14ac:dyDescent="0.3">
      <c r="A394" s="638" t="s">
        <v>543</v>
      </c>
      <c r="B394" s="639" t="s">
        <v>544</v>
      </c>
      <c r="C394" s="640" t="s">
        <v>556</v>
      </c>
      <c r="D394" s="641" t="s">
        <v>1226</v>
      </c>
      <c r="E394" s="640" t="s">
        <v>1879</v>
      </c>
      <c r="F394" s="641" t="s">
        <v>1880</v>
      </c>
      <c r="G394" s="640" t="s">
        <v>1630</v>
      </c>
      <c r="H394" s="640" t="s">
        <v>1631</v>
      </c>
      <c r="I394" s="642">
        <v>3035.31</v>
      </c>
      <c r="J394" s="642">
        <v>1</v>
      </c>
      <c r="K394" s="643">
        <v>3035.31</v>
      </c>
    </row>
    <row r="395" spans="1:11" ht="14.4" customHeight="1" x14ac:dyDescent="0.3">
      <c r="A395" s="638" t="s">
        <v>543</v>
      </c>
      <c r="B395" s="639" t="s">
        <v>544</v>
      </c>
      <c r="C395" s="640" t="s">
        <v>556</v>
      </c>
      <c r="D395" s="641" t="s">
        <v>1226</v>
      </c>
      <c r="E395" s="640" t="s">
        <v>1879</v>
      </c>
      <c r="F395" s="641" t="s">
        <v>1880</v>
      </c>
      <c r="G395" s="640" t="s">
        <v>1632</v>
      </c>
      <c r="H395" s="640" t="s">
        <v>1633</v>
      </c>
      <c r="I395" s="642">
        <v>213.34</v>
      </c>
      <c r="J395" s="642">
        <v>2</v>
      </c>
      <c r="K395" s="643">
        <v>426.69</v>
      </c>
    </row>
    <row r="396" spans="1:11" ht="14.4" customHeight="1" x14ac:dyDescent="0.3">
      <c r="A396" s="638" t="s">
        <v>543</v>
      </c>
      <c r="B396" s="639" t="s">
        <v>544</v>
      </c>
      <c r="C396" s="640" t="s">
        <v>556</v>
      </c>
      <c r="D396" s="641" t="s">
        <v>1226</v>
      </c>
      <c r="E396" s="640" t="s">
        <v>1879</v>
      </c>
      <c r="F396" s="641" t="s">
        <v>1880</v>
      </c>
      <c r="G396" s="640" t="s">
        <v>1839</v>
      </c>
      <c r="H396" s="640" t="s">
        <v>1840</v>
      </c>
      <c r="I396" s="642">
        <v>5445</v>
      </c>
      <c r="J396" s="642">
        <v>2</v>
      </c>
      <c r="K396" s="643">
        <v>10890</v>
      </c>
    </row>
    <row r="397" spans="1:11" ht="14.4" customHeight="1" x14ac:dyDescent="0.3">
      <c r="A397" s="638" t="s">
        <v>543</v>
      </c>
      <c r="B397" s="639" t="s">
        <v>544</v>
      </c>
      <c r="C397" s="640" t="s">
        <v>556</v>
      </c>
      <c r="D397" s="641" t="s">
        <v>1226</v>
      </c>
      <c r="E397" s="640" t="s">
        <v>1879</v>
      </c>
      <c r="F397" s="641" t="s">
        <v>1880</v>
      </c>
      <c r="G397" s="640" t="s">
        <v>1640</v>
      </c>
      <c r="H397" s="640" t="s">
        <v>1641</v>
      </c>
      <c r="I397" s="642">
        <v>2375.23</v>
      </c>
      <c r="J397" s="642">
        <v>1</v>
      </c>
      <c r="K397" s="643">
        <v>2375.23</v>
      </c>
    </row>
    <row r="398" spans="1:11" ht="14.4" customHeight="1" x14ac:dyDescent="0.3">
      <c r="A398" s="638" t="s">
        <v>543</v>
      </c>
      <c r="B398" s="639" t="s">
        <v>544</v>
      </c>
      <c r="C398" s="640" t="s">
        <v>556</v>
      </c>
      <c r="D398" s="641" t="s">
        <v>1226</v>
      </c>
      <c r="E398" s="640" t="s">
        <v>1881</v>
      </c>
      <c r="F398" s="641" t="s">
        <v>1882</v>
      </c>
      <c r="G398" s="640" t="s">
        <v>1841</v>
      </c>
      <c r="H398" s="640" t="s">
        <v>1842</v>
      </c>
      <c r="I398" s="642">
        <v>335.17</v>
      </c>
      <c r="J398" s="642">
        <v>100</v>
      </c>
      <c r="K398" s="643">
        <v>33517</v>
      </c>
    </row>
    <row r="399" spans="1:11" ht="14.4" customHeight="1" x14ac:dyDescent="0.3">
      <c r="A399" s="638" t="s">
        <v>543</v>
      </c>
      <c r="B399" s="639" t="s">
        <v>544</v>
      </c>
      <c r="C399" s="640" t="s">
        <v>556</v>
      </c>
      <c r="D399" s="641" t="s">
        <v>1226</v>
      </c>
      <c r="E399" s="640" t="s">
        <v>1881</v>
      </c>
      <c r="F399" s="641" t="s">
        <v>1882</v>
      </c>
      <c r="G399" s="640" t="s">
        <v>1843</v>
      </c>
      <c r="H399" s="640" t="s">
        <v>1844</v>
      </c>
      <c r="I399" s="642">
        <v>630</v>
      </c>
      <c r="J399" s="642">
        <v>86</v>
      </c>
      <c r="K399" s="643">
        <v>54179.899999999994</v>
      </c>
    </row>
    <row r="400" spans="1:11" ht="14.4" customHeight="1" x14ac:dyDescent="0.3">
      <c r="A400" s="638" t="s">
        <v>543</v>
      </c>
      <c r="B400" s="639" t="s">
        <v>544</v>
      </c>
      <c r="C400" s="640" t="s">
        <v>556</v>
      </c>
      <c r="D400" s="641" t="s">
        <v>1226</v>
      </c>
      <c r="E400" s="640" t="s">
        <v>1881</v>
      </c>
      <c r="F400" s="641" t="s">
        <v>1882</v>
      </c>
      <c r="G400" s="640" t="s">
        <v>1845</v>
      </c>
      <c r="H400" s="640" t="s">
        <v>1846</v>
      </c>
      <c r="I400" s="642">
        <v>254.1</v>
      </c>
      <c r="J400" s="642">
        <v>40</v>
      </c>
      <c r="K400" s="643">
        <v>10164</v>
      </c>
    </row>
    <row r="401" spans="1:11" ht="14.4" customHeight="1" x14ac:dyDescent="0.3">
      <c r="A401" s="638" t="s">
        <v>543</v>
      </c>
      <c r="B401" s="639" t="s">
        <v>544</v>
      </c>
      <c r="C401" s="640" t="s">
        <v>556</v>
      </c>
      <c r="D401" s="641" t="s">
        <v>1226</v>
      </c>
      <c r="E401" s="640" t="s">
        <v>1881</v>
      </c>
      <c r="F401" s="641" t="s">
        <v>1882</v>
      </c>
      <c r="G401" s="640" t="s">
        <v>1847</v>
      </c>
      <c r="H401" s="640" t="s">
        <v>1848</v>
      </c>
      <c r="I401" s="642">
        <v>461.52</v>
      </c>
      <c r="J401" s="642">
        <v>30</v>
      </c>
      <c r="K401" s="643">
        <v>13845.72</v>
      </c>
    </row>
    <row r="402" spans="1:11" ht="14.4" customHeight="1" x14ac:dyDescent="0.3">
      <c r="A402" s="638" t="s">
        <v>543</v>
      </c>
      <c r="B402" s="639" t="s">
        <v>544</v>
      </c>
      <c r="C402" s="640" t="s">
        <v>556</v>
      </c>
      <c r="D402" s="641" t="s">
        <v>1226</v>
      </c>
      <c r="E402" s="640" t="s">
        <v>1881</v>
      </c>
      <c r="F402" s="641" t="s">
        <v>1882</v>
      </c>
      <c r="G402" s="640" t="s">
        <v>1849</v>
      </c>
      <c r="H402" s="640" t="s">
        <v>1850</v>
      </c>
      <c r="I402" s="642">
        <v>153</v>
      </c>
      <c r="J402" s="642">
        <v>30</v>
      </c>
      <c r="K402" s="643">
        <v>4589.9400000000005</v>
      </c>
    </row>
    <row r="403" spans="1:11" ht="14.4" customHeight="1" x14ac:dyDescent="0.3">
      <c r="A403" s="638" t="s">
        <v>543</v>
      </c>
      <c r="B403" s="639" t="s">
        <v>544</v>
      </c>
      <c r="C403" s="640" t="s">
        <v>556</v>
      </c>
      <c r="D403" s="641" t="s">
        <v>1226</v>
      </c>
      <c r="E403" s="640" t="s">
        <v>1881</v>
      </c>
      <c r="F403" s="641" t="s">
        <v>1882</v>
      </c>
      <c r="G403" s="640" t="s">
        <v>1851</v>
      </c>
      <c r="H403" s="640" t="s">
        <v>1852</v>
      </c>
      <c r="I403" s="642">
        <v>1698.7333333333333</v>
      </c>
      <c r="J403" s="642">
        <v>3</v>
      </c>
      <c r="K403" s="643">
        <v>5096.2</v>
      </c>
    </row>
    <row r="404" spans="1:11" ht="14.4" customHeight="1" x14ac:dyDescent="0.3">
      <c r="A404" s="638" t="s">
        <v>543</v>
      </c>
      <c r="B404" s="639" t="s">
        <v>544</v>
      </c>
      <c r="C404" s="640" t="s">
        <v>556</v>
      </c>
      <c r="D404" s="641" t="s">
        <v>1226</v>
      </c>
      <c r="E404" s="640" t="s">
        <v>1881</v>
      </c>
      <c r="F404" s="641" t="s">
        <v>1882</v>
      </c>
      <c r="G404" s="640" t="s">
        <v>1853</v>
      </c>
      <c r="H404" s="640" t="s">
        <v>1854</v>
      </c>
      <c r="I404" s="642">
        <v>256.74</v>
      </c>
      <c r="J404" s="642">
        <v>30</v>
      </c>
      <c r="K404" s="643">
        <v>7702.1399999999994</v>
      </c>
    </row>
    <row r="405" spans="1:11" ht="14.4" customHeight="1" x14ac:dyDescent="0.3">
      <c r="A405" s="638" t="s">
        <v>543</v>
      </c>
      <c r="B405" s="639" t="s">
        <v>544</v>
      </c>
      <c r="C405" s="640" t="s">
        <v>556</v>
      </c>
      <c r="D405" s="641" t="s">
        <v>1226</v>
      </c>
      <c r="E405" s="640" t="s">
        <v>1881</v>
      </c>
      <c r="F405" s="641" t="s">
        <v>1882</v>
      </c>
      <c r="G405" s="640" t="s">
        <v>1855</v>
      </c>
      <c r="H405" s="640" t="s">
        <v>1856</v>
      </c>
      <c r="I405" s="642">
        <v>5386.56</v>
      </c>
      <c r="J405" s="642">
        <v>8</v>
      </c>
      <c r="K405" s="643">
        <v>43092.44</v>
      </c>
    </row>
    <row r="406" spans="1:11" ht="14.4" customHeight="1" x14ac:dyDescent="0.3">
      <c r="A406" s="638" t="s">
        <v>543</v>
      </c>
      <c r="B406" s="639" t="s">
        <v>544</v>
      </c>
      <c r="C406" s="640" t="s">
        <v>556</v>
      </c>
      <c r="D406" s="641" t="s">
        <v>1226</v>
      </c>
      <c r="E406" s="640" t="s">
        <v>1881</v>
      </c>
      <c r="F406" s="641" t="s">
        <v>1882</v>
      </c>
      <c r="G406" s="640" t="s">
        <v>1857</v>
      </c>
      <c r="H406" s="640" t="s">
        <v>1858</v>
      </c>
      <c r="I406" s="642">
        <v>534.86</v>
      </c>
      <c r="J406" s="642">
        <v>40</v>
      </c>
      <c r="K406" s="643">
        <v>21394.5</v>
      </c>
    </row>
    <row r="407" spans="1:11" ht="14.4" customHeight="1" x14ac:dyDescent="0.3">
      <c r="A407" s="638" t="s">
        <v>543</v>
      </c>
      <c r="B407" s="639" t="s">
        <v>544</v>
      </c>
      <c r="C407" s="640" t="s">
        <v>556</v>
      </c>
      <c r="D407" s="641" t="s">
        <v>1226</v>
      </c>
      <c r="E407" s="640" t="s">
        <v>1881</v>
      </c>
      <c r="F407" s="641" t="s">
        <v>1882</v>
      </c>
      <c r="G407" s="640" t="s">
        <v>1859</v>
      </c>
      <c r="H407" s="640" t="s">
        <v>1860</v>
      </c>
      <c r="I407" s="642">
        <v>83.25</v>
      </c>
      <c r="J407" s="642">
        <v>10</v>
      </c>
      <c r="K407" s="643">
        <v>832.5</v>
      </c>
    </row>
    <row r="408" spans="1:11" ht="14.4" customHeight="1" x14ac:dyDescent="0.3">
      <c r="A408" s="638" t="s">
        <v>543</v>
      </c>
      <c r="B408" s="639" t="s">
        <v>544</v>
      </c>
      <c r="C408" s="640" t="s">
        <v>556</v>
      </c>
      <c r="D408" s="641" t="s">
        <v>1226</v>
      </c>
      <c r="E408" s="640" t="s">
        <v>1881</v>
      </c>
      <c r="F408" s="641" t="s">
        <v>1882</v>
      </c>
      <c r="G408" s="640" t="s">
        <v>1861</v>
      </c>
      <c r="H408" s="640" t="s">
        <v>1862</v>
      </c>
      <c r="I408" s="642">
        <v>461.52</v>
      </c>
      <c r="J408" s="642">
        <v>30</v>
      </c>
      <c r="K408" s="643">
        <v>13845.72</v>
      </c>
    </row>
    <row r="409" spans="1:11" ht="14.4" customHeight="1" x14ac:dyDescent="0.3">
      <c r="A409" s="638" t="s">
        <v>543</v>
      </c>
      <c r="B409" s="639" t="s">
        <v>544</v>
      </c>
      <c r="C409" s="640" t="s">
        <v>556</v>
      </c>
      <c r="D409" s="641" t="s">
        <v>1226</v>
      </c>
      <c r="E409" s="640" t="s">
        <v>1881</v>
      </c>
      <c r="F409" s="641" t="s">
        <v>1882</v>
      </c>
      <c r="G409" s="640" t="s">
        <v>1863</v>
      </c>
      <c r="H409" s="640" t="s">
        <v>1864</v>
      </c>
      <c r="I409" s="642">
        <v>370.48</v>
      </c>
      <c r="J409" s="642">
        <v>20</v>
      </c>
      <c r="K409" s="643">
        <v>7409.68</v>
      </c>
    </row>
    <row r="410" spans="1:11" ht="14.4" customHeight="1" x14ac:dyDescent="0.3">
      <c r="A410" s="638" t="s">
        <v>543</v>
      </c>
      <c r="B410" s="639" t="s">
        <v>544</v>
      </c>
      <c r="C410" s="640" t="s">
        <v>556</v>
      </c>
      <c r="D410" s="641" t="s">
        <v>1226</v>
      </c>
      <c r="E410" s="640" t="s">
        <v>1881</v>
      </c>
      <c r="F410" s="641" t="s">
        <v>1882</v>
      </c>
      <c r="G410" s="640" t="s">
        <v>1865</v>
      </c>
      <c r="H410" s="640" t="s">
        <v>1866</v>
      </c>
      <c r="I410" s="642">
        <v>461.52</v>
      </c>
      <c r="J410" s="642">
        <v>10</v>
      </c>
      <c r="K410" s="643">
        <v>4615.24</v>
      </c>
    </row>
    <row r="411" spans="1:11" ht="14.4" customHeight="1" x14ac:dyDescent="0.3">
      <c r="A411" s="638" t="s">
        <v>543</v>
      </c>
      <c r="B411" s="639" t="s">
        <v>544</v>
      </c>
      <c r="C411" s="640" t="s">
        <v>556</v>
      </c>
      <c r="D411" s="641" t="s">
        <v>1226</v>
      </c>
      <c r="E411" s="640" t="s">
        <v>1881</v>
      </c>
      <c r="F411" s="641" t="s">
        <v>1882</v>
      </c>
      <c r="G411" s="640" t="s">
        <v>1867</v>
      </c>
      <c r="H411" s="640" t="s">
        <v>1868</v>
      </c>
      <c r="I411" s="642">
        <v>1092.49</v>
      </c>
      <c r="J411" s="642">
        <v>10</v>
      </c>
      <c r="K411" s="643">
        <v>10924.85</v>
      </c>
    </row>
    <row r="412" spans="1:11" ht="14.4" customHeight="1" thickBot="1" x14ac:dyDescent="0.35">
      <c r="A412" s="644" t="s">
        <v>543</v>
      </c>
      <c r="B412" s="645" t="s">
        <v>544</v>
      </c>
      <c r="C412" s="646" t="s">
        <v>556</v>
      </c>
      <c r="D412" s="647" t="s">
        <v>1226</v>
      </c>
      <c r="E412" s="646" t="s">
        <v>1881</v>
      </c>
      <c r="F412" s="647" t="s">
        <v>1882</v>
      </c>
      <c r="G412" s="646" t="s">
        <v>1869</v>
      </c>
      <c r="H412" s="646" t="s">
        <v>1870</v>
      </c>
      <c r="I412" s="648">
        <v>461.52</v>
      </c>
      <c r="J412" s="648">
        <v>20</v>
      </c>
      <c r="K412" s="649">
        <v>9230.48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N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3" width="13.109375" customWidth="1"/>
  </cols>
  <sheetData>
    <row r="1" spans="1:14" ht="18.600000000000001" thickBot="1" x14ac:dyDescent="0.4">
      <c r="A1" s="524" t="s">
        <v>123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</row>
    <row r="2" spans="1:14" ht="15" thickBot="1" x14ac:dyDescent="0.35">
      <c r="A2" s="368" t="s">
        <v>301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</row>
    <row r="3" spans="1:14" x14ac:dyDescent="0.3">
      <c r="A3" s="387" t="s">
        <v>236</v>
      </c>
      <c r="B3" s="522" t="s">
        <v>218</v>
      </c>
      <c r="C3" s="370">
        <v>0</v>
      </c>
      <c r="D3" s="371">
        <v>99</v>
      </c>
      <c r="E3" s="390">
        <v>100</v>
      </c>
      <c r="F3" s="390">
        <v>101</v>
      </c>
      <c r="G3" s="390">
        <v>302</v>
      </c>
      <c r="H3" s="390">
        <v>303</v>
      </c>
      <c r="I3" s="390">
        <v>304</v>
      </c>
      <c r="J3" s="390">
        <v>305</v>
      </c>
      <c r="K3" s="390">
        <v>306</v>
      </c>
      <c r="L3" s="371">
        <v>642</v>
      </c>
      <c r="M3" s="724">
        <v>930</v>
      </c>
      <c r="N3" s="739"/>
    </row>
    <row r="4" spans="1:14" ht="24.6" outlineLevel="1" thickBot="1" x14ac:dyDescent="0.35">
      <c r="A4" s="388">
        <v>2016</v>
      </c>
      <c r="B4" s="523"/>
      <c r="C4" s="372" t="s">
        <v>219</v>
      </c>
      <c r="D4" s="373" t="s">
        <v>220</v>
      </c>
      <c r="E4" s="391" t="s">
        <v>267</v>
      </c>
      <c r="F4" s="391" t="s">
        <v>268</v>
      </c>
      <c r="G4" s="391" t="s">
        <v>269</v>
      </c>
      <c r="H4" s="391" t="s">
        <v>270</v>
      </c>
      <c r="I4" s="391" t="s">
        <v>271</v>
      </c>
      <c r="J4" s="391" t="s">
        <v>272</v>
      </c>
      <c r="K4" s="391" t="s">
        <v>245</v>
      </c>
      <c r="L4" s="373" t="s">
        <v>246</v>
      </c>
      <c r="M4" s="725" t="s">
        <v>238</v>
      </c>
      <c r="N4" s="739"/>
    </row>
    <row r="5" spans="1:14" x14ac:dyDescent="0.3">
      <c r="A5" s="374" t="s">
        <v>221</v>
      </c>
      <c r="B5" s="410"/>
      <c r="C5" s="411"/>
      <c r="D5" s="412"/>
      <c r="E5" s="412"/>
      <c r="F5" s="412"/>
      <c r="G5" s="412"/>
      <c r="H5" s="412"/>
      <c r="I5" s="412"/>
      <c r="J5" s="412"/>
      <c r="K5" s="412"/>
      <c r="L5" s="412"/>
      <c r="M5" s="726"/>
      <c r="N5" s="739"/>
    </row>
    <row r="6" spans="1:14" ht="15" collapsed="1" thickBot="1" x14ac:dyDescent="0.35">
      <c r="A6" s="375" t="s">
        <v>87</v>
      </c>
      <c r="B6" s="413">
        <f xml:space="preserve">
TRUNC(IF($A$4&lt;=12,SUMIFS('ON Data'!F:F,'ON Data'!$D:$D,$A$4,'ON Data'!$E:$E,1),SUMIFS('ON Data'!F:F,'ON Data'!$E:$E,1)/'ON Data'!$D$3),1)</f>
        <v>68.3</v>
      </c>
      <c r="C6" s="414">
        <f xml:space="preserve">
TRUNC(IF($A$4&lt;=12,SUMIFS('ON Data'!G:G,'ON Data'!$D:$D,$A$4,'ON Data'!$E:$E,1),SUMIFS('ON Data'!G:G,'ON Data'!$E:$E,1)/'ON Data'!$D$3),1)</f>
        <v>0</v>
      </c>
      <c r="D6" s="415">
        <f xml:space="preserve">
TRUNC(IF($A$4&lt;=12,SUMIFS('ON Data'!I:I,'ON Data'!$D:$D,$A$4,'ON Data'!$E:$E,1),SUMIFS('ON Data'!I:I,'ON Data'!$E:$E,1)/'ON Data'!$D$3),1)</f>
        <v>0.8</v>
      </c>
      <c r="E6" s="415">
        <f xml:space="preserve">
TRUNC(IF($A$4&lt;=12,SUMIFS('ON Data'!J:J,'ON Data'!$D:$D,$A$4,'ON Data'!$E:$E,1),SUMIFS('ON Data'!J:J,'ON Data'!$E:$E,1)/'ON Data'!$D$3),1)</f>
        <v>1</v>
      </c>
      <c r="F6" s="415">
        <f xml:space="preserve">
TRUNC(IF($A$4&lt;=12,SUMIFS('ON Data'!K:K,'ON Data'!$D:$D,$A$4,'ON Data'!$E:$E,1),SUMIFS('ON Data'!K:K,'ON Data'!$E:$E,1)/'ON Data'!$D$3),1)</f>
        <v>7.7</v>
      </c>
      <c r="G6" s="415">
        <f xml:space="preserve">
TRUNC(IF($A$4&lt;=12,SUMIFS('ON Data'!O:O,'ON Data'!$D:$D,$A$4,'ON Data'!$E:$E,1),SUMIFS('ON Data'!O:O,'ON Data'!$E:$E,1)/'ON Data'!$D$3),1)</f>
        <v>0</v>
      </c>
      <c r="H6" s="415">
        <f xml:space="preserve">
TRUNC(IF($A$4&lt;=12,SUMIFS('ON Data'!P:P,'ON Data'!$D:$D,$A$4,'ON Data'!$E:$E,1),SUMIFS('ON Data'!P:P,'ON Data'!$E:$E,1)/'ON Data'!$D$3),1)</f>
        <v>13.5</v>
      </c>
      <c r="I6" s="415">
        <f xml:space="preserve">
TRUNC(IF($A$4&lt;=12,SUMIFS('ON Data'!Q:Q,'ON Data'!$D:$D,$A$4,'ON Data'!$E:$E,1),SUMIFS('ON Data'!Q:Q,'ON Data'!$E:$E,1)/'ON Data'!$D$3),1)</f>
        <v>27.1</v>
      </c>
      <c r="J6" s="415">
        <f xml:space="preserve">
TRUNC(IF($A$4&lt;=12,SUMIFS('ON Data'!R:R,'ON Data'!$D:$D,$A$4,'ON Data'!$E:$E,1),SUMIFS('ON Data'!R:R,'ON Data'!$E:$E,1)/'ON Data'!$D$3),1)</f>
        <v>7.2</v>
      </c>
      <c r="K6" s="415">
        <f xml:space="preserve">
TRUNC(IF($A$4&lt;=12,SUMIFS('ON Data'!S:S,'ON Data'!$D:$D,$A$4,'ON Data'!$E:$E,1),SUMIFS('ON Data'!S:S,'ON Data'!$E:$E,1)/'ON Data'!$D$3),1)</f>
        <v>5.8</v>
      </c>
      <c r="L6" s="415">
        <f xml:space="preserve">
TRUNC(IF($A$4&lt;=12,SUMIFS('ON Data'!AR:AR,'ON Data'!$D:$D,$A$4,'ON Data'!$E:$E,1),SUMIFS('ON Data'!AR:AR,'ON Data'!$E:$E,1)/'ON Data'!$D$3),1)</f>
        <v>4</v>
      </c>
      <c r="M6" s="727">
        <f xml:space="preserve">
TRUNC(IF($A$4&lt;=12,SUMIFS('ON Data'!AW:AW,'ON Data'!$D:$D,$A$4,'ON Data'!$E:$E,1),SUMIFS('ON Data'!AW:AW,'ON Data'!$E:$E,1)/'ON Data'!$D$3),1)</f>
        <v>1</v>
      </c>
      <c r="N6" s="739"/>
    </row>
    <row r="7" spans="1:14" ht="15" hidden="1" outlineLevel="1" thickBot="1" x14ac:dyDescent="0.35">
      <c r="A7" s="375" t="s">
        <v>124</v>
      </c>
      <c r="B7" s="413"/>
      <c r="C7" s="416"/>
      <c r="D7" s="415"/>
      <c r="E7" s="415"/>
      <c r="F7" s="415"/>
      <c r="G7" s="415"/>
      <c r="H7" s="415"/>
      <c r="I7" s="415"/>
      <c r="J7" s="415"/>
      <c r="K7" s="415"/>
      <c r="L7" s="415"/>
      <c r="M7" s="727"/>
      <c r="N7" s="739"/>
    </row>
    <row r="8" spans="1:14" ht="15" hidden="1" outlineLevel="1" thickBot="1" x14ac:dyDescent="0.35">
      <c r="A8" s="375" t="s">
        <v>89</v>
      </c>
      <c r="B8" s="413"/>
      <c r="C8" s="416"/>
      <c r="D8" s="415"/>
      <c r="E8" s="415"/>
      <c r="F8" s="415"/>
      <c r="G8" s="415"/>
      <c r="H8" s="415"/>
      <c r="I8" s="415"/>
      <c r="J8" s="415"/>
      <c r="K8" s="415"/>
      <c r="L8" s="415"/>
      <c r="M8" s="727"/>
      <c r="N8" s="739"/>
    </row>
    <row r="9" spans="1:14" ht="15" hidden="1" outlineLevel="1" thickBot="1" x14ac:dyDescent="0.35">
      <c r="A9" s="376" t="s">
        <v>62</v>
      </c>
      <c r="B9" s="417"/>
      <c r="C9" s="418"/>
      <c r="D9" s="419"/>
      <c r="E9" s="419"/>
      <c r="F9" s="419"/>
      <c r="G9" s="419"/>
      <c r="H9" s="419"/>
      <c r="I9" s="419"/>
      <c r="J9" s="419"/>
      <c r="K9" s="419"/>
      <c r="L9" s="419"/>
      <c r="M9" s="728"/>
      <c r="N9" s="739"/>
    </row>
    <row r="10" spans="1:14" x14ac:dyDescent="0.3">
      <c r="A10" s="377" t="s">
        <v>222</v>
      </c>
      <c r="B10" s="392"/>
      <c r="C10" s="393"/>
      <c r="D10" s="394"/>
      <c r="E10" s="394"/>
      <c r="F10" s="394"/>
      <c r="G10" s="394"/>
      <c r="H10" s="394"/>
      <c r="I10" s="394"/>
      <c r="J10" s="394"/>
      <c r="K10" s="394"/>
      <c r="L10" s="394"/>
      <c r="M10" s="729"/>
      <c r="N10" s="739"/>
    </row>
    <row r="11" spans="1:14" x14ac:dyDescent="0.3">
      <c r="A11" s="378" t="s">
        <v>223</v>
      </c>
      <c r="B11" s="395">
        <f xml:space="preserve">
IF($A$4&lt;=12,SUMIFS('ON Data'!F:F,'ON Data'!$D:$D,$A$4,'ON Data'!$E:$E,2),SUMIFS('ON Data'!F:F,'ON Data'!$E:$E,2))</f>
        <v>117401.52</v>
      </c>
      <c r="C11" s="396">
        <f xml:space="preserve">
IF($A$4&lt;=12,SUMIFS('ON Data'!G:G,'ON Data'!$D:$D,$A$4,'ON Data'!$E:$E,2),SUMIFS('ON Data'!G:G,'ON Data'!$E:$E,2))</f>
        <v>0</v>
      </c>
      <c r="D11" s="397">
        <f xml:space="preserve">
IF($A$4&lt;=12,SUMIFS('ON Data'!I:I,'ON Data'!$D:$D,$A$4,'ON Data'!$E:$E,2),SUMIFS('ON Data'!I:I,'ON Data'!$E:$E,2))</f>
        <v>1668.8</v>
      </c>
      <c r="E11" s="397">
        <f xml:space="preserve">
IF($A$4&lt;=12,SUMIFS('ON Data'!J:J,'ON Data'!$D:$D,$A$4,'ON Data'!$E:$E,2),SUMIFS('ON Data'!J:J,'ON Data'!$E:$E,2))</f>
        <v>1896</v>
      </c>
      <c r="F11" s="397">
        <f xml:space="preserve">
IF($A$4&lt;=12,SUMIFS('ON Data'!K:K,'ON Data'!$D:$D,$A$4,'ON Data'!$E:$E,2),SUMIFS('ON Data'!K:K,'ON Data'!$E:$E,2))</f>
        <v>14171.599999999999</v>
      </c>
      <c r="G11" s="397">
        <f xml:space="preserve">
IF($A$4&lt;=12,SUMIFS('ON Data'!O:O,'ON Data'!$D:$D,$A$4,'ON Data'!$E:$E,2),SUMIFS('ON Data'!O:O,'ON Data'!$E:$E,2))</f>
        <v>0</v>
      </c>
      <c r="H11" s="397">
        <f xml:space="preserve">
IF($A$4&lt;=12,SUMIFS('ON Data'!P:P,'ON Data'!$D:$D,$A$4,'ON Data'!$E:$E,2),SUMIFS('ON Data'!P:P,'ON Data'!$E:$E,2))</f>
        <v>22167.329999999998</v>
      </c>
      <c r="I11" s="397">
        <f xml:space="preserve">
IF($A$4&lt;=12,SUMIFS('ON Data'!Q:Q,'ON Data'!$D:$D,$A$4,'ON Data'!$E:$E,2),SUMIFS('ON Data'!Q:Q,'ON Data'!$E:$E,2))</f>
        <v>46165.99</v>
      </c>
      <c r="J11" s="397">
        <f xml:space="preserve">
IF($A$4&lt;=12,SUMIFS('ON Data'!R:R,'ON Data'!$D:$D,$A$4,'ON Data'!$E:$E,2),SUMIFS('ON Data'!R:R,'ON Data'!$E:$E,2))</f>
        <v>12891.4</v>
      </c>
      <c r="K11" s="397">
        <f xml:space="preserve">
IF($A$4&lt;=12,SUMIFS('ON Data'!S:S,'ON Data'!$D:$D,$A$4,'ON Data'!$E:$E,2),SUMIFS('ON Data'!S:S,'ON Data'!$E:$E,2))</f>
        <v>9362.0499999999993</v>
      </c>
      <c r="L11" s="397">
        <f xml:space="preserve">
IF($A$4&lt;=12,SUMIFS('ON Data'!AR:AR,'ON Data'!$D:$D,$A$4,'ON Data'!$E:$E,2),SUMIFS('ON Data'!AR:AR,'ON Data'!$E:$E,2))</f>
        <v>7186.35</v>
      </c>
      <c r="M11" s="730">
        <f xml:space="preserve">
IF($A$4&lt;=12,SUMIFS('ON Data'!AW:AW,'ON Data'!$D:$D,$A$4,'ON Data'!$E:$E,2),SUMIFS('ON Data'!AW:AW,'ON Data'!$E:$E,2))</f>
        <v>1892</v>
      </c>
      <c r="N11" s="739"/>
    </row>
    <row r="12" spans="1:14" x14ac:dyDescent="0.3">
      <c r="A12" s="378" t="s">
        <v>224</v>
      </c>
      <c r="B12" s="395">
        <f xml:space="preserve">
IF($A$4&lt;=12,SUMIFS('ON Data'!F:F,'ON Data'!$D:$D,$A$4,'ON Data'!$E:$E,3),SUMIFS('ON Data'!F:F,'ON Data'!$E:$E,3))</f>
        <v>7693.6800000000012</v>
      </c>
      <c r="C12" s="396">
        <f xml:space="preserve">
IF($A$4&lt;=12,SUMIFS('ON Data'!G:G,'ON Data'!$D:$D,$A$4,'ON Data'!$E:$E,3),SUMIFS('ON Data'!G:G,'ON Data'!$E:$E,3))</f>
        <v>0</v>
      </c>
      <c r="D12" s="397">
        <f xml:space="preserve">
IF($A$4&lt;=12,SUMIFS('ON Data'!I:I,'ON Data'!$D:$D,$A$4,'ON Data'!$E:$E,3),SUMIFS('ON Data'!I:I,'ON Data'!$E:$E,3))</f>
        <v>315.3</v>
      </c>
      <c r="E12" s="397">
        <f xml:space="preserve">
IF($A$4&lt;=12,SUMIFS('ON Data'!J:J,'ON Data'!$D:$D,$A$4,'ON Data'!$E:$E,3),SUMIFS('ON Data'!J:J,'ON Data'!$E:$E,3))</f>
        <v>0</v>
      </c>
      <c r="F12" s="397">
        <f xml:space="preserve">
IF($A$4&lt;=12,SUMIFS('ON Data'!K:K,'ON Data'!$D:$D,$A$4,'ON Data'!$E:$E,3),SUMIFS('ON Data'!K:K,'ON Data'!$E:$E,3))</f>
        <v>142.30000000000001</v>
      </c>
      <c r="G12" s="397">
        <f xml:space="preserve">
IF($A$4&lt;=12,SUMIFS('ON Data'!O:O,'ON Data'!$D:$D,$A$4,'ON Data'!$E:$E,3),SUMIFS('ON Data'!O:O,'ON Data'!$E:$E,3))</f>
        <v>0</v>
      </c>
      <c r="H12" s="397">
        <f xml:space="preserve">
IF($A$4&lt;=12,SUMIFS('ON Data'!P:P,'ON Data'!$D:$D,$A$4,'ON Data'!$E:$E,3),SUMIFS('ON Data'!P:P,'ON Data'!$E:$E,3))</f>
        <v>3323.13</v>
      </c>
      <c r="I12" s="397">
        <f xml:space="preserve">
IF($A$4&lt;=12,SUMIFS('ON Data'!Q:Q,'ON Data'!$D:$D,$A$4,'ON Data'!$E:$E,3),SUMIFS('ON Data'!Q:Q,'ON Data'!$E:$E,3))</f>
        <v>2692.4</v>
      </c>
      <c r="J12" s="397">
        <f xml:space="preserve">
IF($A$4&lt;=12,SUMIFS('ON Data'!R:R,'ON Data'!$D:$D,$A$4,'ON Data'!$E:$E,3),SUMIFS('ON Data'!R:R,'ON Data'!$E:$E,3))</f>
        <v>887.1</v>
      </c>
      <c r="K12" s="397">
        <f xml:space="preserve">
IF($A$4&lt;=12,SUMIFS('ON Data'!S:S,'ON Data'!$D:$D,$A$4,'ON Data'!$E:$E,3),SUMIFS('ON Data'!S:S,'ON Data'!$E:$E,3))</f>
        <v>333.45</v>
      </c>
      <c r="L12" s="397">
        <f xml:space="preserve">
IF($A$4&lt;=12,SUMIFS('ON Data'!AR:AR,'ON Data'!$D:$D,$A$4,'ON Data'!$E:$E,3),SUMIFS('ON Data'!AR:AR,'ON Data'!$E:$E,3))</f>
        <v>0</v>
      </c>
      <c r="M12" s="730">
        <f xml:space="preserve">
IF($A$4&lt;=12,SUMIFS('ON Data'!AW:AW,'ON Data'!$D:$D,$A$4,'ON Data'!$E:$E,3),SUMIFS('ON Data'!AW:AW,'ON Data'!$E:$E,3))</f>
        <v>0</v>
      </c>
      <c r="N12" s="739"/>
    </row>
    <row r="13" spans="1:14" x14ac:dyDescent="0.3">
      <c r="A13" s="378" t="s">
        <v>231</v>
      </c>
      <c r="B13" s="395">
        <f xml:space="preserve">
IF($A$4&lt;=12,SUMIFS('ON Data'!F:F,'ON Data'!$D:$D,$A$4,'ON Data'!$E:$E,4),SUMIFS('ON Data'!F:F,'ON Data'!$E:$E,4))</f>
        <v>9280.61</v>
      </c>
      <c r="C13" s="396">
        <f xml:space="preserve">
IF($A$4&lt;=12,SUMIFS('ON Data'!G:G,'ON Data'!$D:$D,$A$4,'ON Data'!$E:$E,4),SUMIFS('ON Data'!G:G,'ON Data'!$E:$E,4))</f>
        <v>0</v>
      </c>
      <c r="D13" s="397">
        <f xml:space="preserve">
IF($A$4&lt;=12,SUMIFS('ON Data'!I:I,'ON Data'!$D:$D,$A$4,'ON Data'!$E:$E,4),SUMIFS('ON Data'!I:I,'ON Data'!$E:$E,4))</f>
        <v>224</v>
      </c>
      <c r="E13" s="397">
        <f xml:space="preserve">
IF($A$4&lt;=12,SUMIFS('ON Data'!J:J,'ON Data'!$D:$D,$A$4,'ON Data'!$E:$E,4),SUMIFS('ON Data'!J:J,'ON Data'!$E:$E,4))</f>
        <v>356</v>
      </c>
      <c r="F13" s="397">
        <f xml:space="preserve">
IF($A$4&lt;=12,SUMIFS('ON Data'!K:K,'ON Data'!$D:$D,$A$4,'ON Data'!$E:$E,4),SUMIFS('ON Data'!K:K,'ON Data'!$E:$E,4))</f>
        <v>2416.8000000000002</v>
      </c>
      <c r="G13" s="397">
        <f xml:space="preserve">
IF($A$4&lt;=12,SUMIFS('ON Data'!O:O,'ON Data'!$D:$D,$A$4,'ON Data'!$E:$E,4),SUMIFS('ON Data'!O:O,'ON Data'!$E:$E,4))</f>
        <v>0</v>
      </c>
      <c r="H13" s="397">
        <f xml:space="preserve">
IF($A$4&lt;=12,SUMIFS('ON Data'!P:P,'ON Data'!$D:$D,$A$4,'ON Data'!$E:$E,4),SUMIFS('ON Data'!P:P,'ON Data'!$E:$E,4))</f>
        <v>675.25</v>
      </c>
      <c r="I13" s="397">
        <f xml:space="preserve">
IF($A$4&lt;=12,SUMIFS('ON Data'!Q:Q,'ON Data'!$D:$D,$A$4,'ON Data'!$E:$E,4),SUMIFS('ON Data'!Q:Q,'ON Data'!$E:$E,4))</f>
        <v>3340.56</v>
      </c>
      <c r="J13" s="397">
        <f xml:space="preserve">
IF($A$4&lt;=12,SUMIFS('ON Data'!R:R,'ON Data'!$D:$D,$A$4,'ON Data'!$E:$E,4),SUMIFS('ON Data'!R:R,'ON Data'!$E:$E,4))</f>
        <v>882.25</v>
      </c>
      <c r="K13" s="397">
        <f xml:space="preserve">
IF($A$4&lt;=12,SUMIFS('ON Data'!S:S,'ON Data'!$D:$D,$A$4,'ON Data'!$E:$E,4),SUMIFS('ON Data'!S:S,'ON Data'!$E:$E,4))</f>
        <v>811</v>
      </c>
      <c r="L13" s="397">
        <f xml:space="preserve">
IF($A$4&lt;=12,SUMIFS('ON Data'!AR:AR,'ON Data'!$D:$D,$A$4,'ON Data'!$E:$E,4),SUMIFS('ON Data'!AR:AR,'ON Data'!$E:$E,4))</f>
        <v>574.75</v>
      </c>
      <c r="M13" s="730">
        <f xml:space="preserve">
IF($A$4&lt;=12,SUMIFS('ON Data'!AW:AW,'ON Data'!$D:$D,$A$4,'ON Data'!$E:$E,4),SUMIFS('ON Data'!AW:AW,'ON Data'!$E:$E,4))</f>
        <v>0</v>
      </c>
      <c r="N13" s="739"/>
    </row>
    <row r="14" spans="1:14" ht="15" thickBot="1" x14ac:dyDescent="0.35">
      <c r="A14" s="379" t="s">
        <v>225</v>
      </c>
      <c r="B14" s="398">
        <f xml:space="preserve">
IF($A$4&lt;=12,SUMIFS('ON Data'!F:F,'ON Data'!$D:$D,$A$4,'ON Data'!$E:$E,5),SUMIFS('ON Data'!F:F,'ON Data'!$E:$E,5))</f>
        <v>440</v>
      </c>
      <c r="C14" s="399">
        <f xml:space="preserve">
IF($A$4&lt;=12,SUMIFS('ON Data'!G:G,'ON Data'!$D:$D,$A$4,'ON Data'!$E:$E,5),SUMIFS('ON Data'!G:G,'ON Data'!$E:$E,5))</f>
        <v>440</v>
      </c>
      <c r="D14" s="400">
        <f xml:space="preserve">
IF($A$4&lt;=12,SUMIFS('ON Data'!I:I,'ON Data'!$D:$D,$A$4,'ON Data'!$E:$E,5),SUMIFS('ON Data'!I:I,'ON Data'!$E:$E,5))</f>
        <v>0</v>
      </c>
      <c r="E14" s="400">
        <f xml:space="preserve">
IF($A$4&lt;=12,SUMIFS('ON Data'!J:J,'ON Data'!$D:$D,$A$4,'ON Data'!$E:$E,5),SUMIFS('ON Data'!J:J,'ON Data'!$E:$E,5))</f>
        <v>0</v>
      </c>
      <c r="F14" s="400">
        <f xml:space="preserve">
IF($A$4&lt;=12,SUMIFS('ON Data'!K:K,'ON Data'!$D:$D,$A$4,'ON Data'!$E:$E,5),SUMIFS('ON Data'!K:K,'ON Data'!$E:$E,5))</f>
        <v>0</v>
      </c>
      <c r="G14" s="400">
        <f xml:space="preserve">
IF($A$4&lt;=12,SUMIFS('ON Data'!O:O,'ON Data'!$D:$D,$A$4,'ON Data'!$E:$E,5),SUMIFS('ON Data'!O:O,'ON Data'!$E:$E,5))</f>
        <v>0</v>
      </c>
      <c r="H14" s="400">
        <f xml:space="preserve">
IF($A$4&lt;=12,SUMIFS('ON Data'!P:P,'ON Data'!$D:$D,$A$4,'ON Data'!$E:$E,5),SUMIFS('ON Data'!P:P,'ON Data'!$E:$E,5))</f>
        <v>0</v>
      </c>
      <c r="I14" s="400">
        <f xml:space="preserve">
IF($A$4&lt;=12,SUMIFS('ON Data'!Q:Q,'ON Data'!$D:$D,$A$4,'ON Data'!$E:$E,5),SUMIFS('ON Data'!Q:Q,'ON Data'!$E:$E,5))</f>
        <v>0</v>
      </c>
      <c r="J14" s="400">
        <f xml:space="preserve">
IF($A$4&lt;=12,SUMIFS('ON Data'!R:R,'ON Data'!$D:$D,$A$4,'ON Data'!$E:$E,5),SUMIFS('ON Data'!R:R,'ON Data'!$E:$E,5))</f>
        <v>0</v>
      </c>
      <c r="K14" s="400">
        <f xml:space="preserve">
IF($A$4&lt;=12,SUMIFS('ON Data'!S:S,'ON Data'!$D:$D,$A$4,'ON Data'!$E:$E,5),SUMIFS('ON Data'!S:S,'ON Data'!$E:$E,5))</f>
        <v>0</v>
      </c>
      <c r="L14" s="400">
        <f xml:space="preserve">
IF($A$4&lt;=12,SUMIFS('ON Data'!AR:AR,'ON Data'!$D:$D,$A$4,'ON Data'!$E:$E,5),SUMIFS('ON Data'!AR:AR,'ON Data'!$E:$E,5))</f>
        <v>0</v>
      </c>
      <c r="M14" s="731">
        <f xml:space="preserve">
IF($A$4&lt;=12,SUMIFS('ON Data'!AW:AW,'ON Data'!$D:$D,$A$4,'ON Data'!$E:$E,5),SUMIFS('ON Data'!AW:AW,'ON Data'!$E:$E,5))</f>
        <v>0</v>
      </c>
      <c r="N14" s="739"/>
    </row>
    <row r="15" spans="1:14" x14ac:dyDescent="0.3">
      <c r="A15" s="279" t="s">
        <v>235</v>
      </c>
      <c r="B15" s="401"/>
      <c r="C15" s="402"/>
      <c r="D15" s="403"/>
      <c r="E15" s="403"/>
      <c r="F15" s="403"/>
      <c r="G15" s="403"/>
      <c r="H15" s="403"/>
      <c r="I15" s="403"/>
      <c r="J15" s="403"/>
      <c r="K15" s="403"/>
      <c r="L15" s="403"/>
      <c r="M15" s="732"/>
      <c r="N15" s="739"/>
    </row>
    <row r="16" spans="1:14" x14ac:dyDescent="0.3">
      <c r="A16" s="380" t="s">
        <v>226</v>
      </c>
      <c r="B16" s="395">
        <f xml:space="preserve">
IF($A$4&lt;=12,SUMIFS('ON Data'!F:F,'ON Data'!$D:$D,$A$4,'ON Data'!$E:$E,7),SUMIFS('ON Data'!F:F,'ON Data'!$E:$E,7))</f>
        <v>0</v>
      </c>
      <c r="C16" s="396">
        <f xml:space="preserve">
IF($A$4&lt;=12,SUMIFS('ON Data'!G:G,'ON Data'!$D:$D,$A$4,'ON Data'!$E:$E,7),SUMIFS('ON Data'!G:G,'ON Data'!$E:$E,7))</f>
        <v>0</v>
      </c>
      <c r="D16" s="397">
        <f xml:space="preserve">
IF($A$4&lt;=12,SUMIFS('ON Data'!I:I,'ON Data'!$D:$D,$A$4,'ON Data'!$E:$E,7),SUMIFS('ON Data'!I:I,'ON Data'!$E:$E,7))</f>
        <v>0</v>
      </c>
      <c r="E16" s="397">
        <f xml:space="preserve">
IF($A$4&lt;=12,SUMIFS('ON Data'!J:J,'ON Data'!$D:$D,$A$4,'ON Data'!$E:$E,7),SUMIFS('ON Data'!J:J,'ON Data'!$E:$E,7))</f>
        <v>0</v>
      </c>
      <c r="F16" s="397">
        <f xml:space="preserve">
IF($A$4&lt;=12,SUMIFS('ON Data'!K:K,'ON Data'!$D:$D,$A$4,'ON Data'!$E:$E,7),SUMIFS('ON Data'!K:K,'ON Data'!$E:$E,7))</f>
        <v>0</v>
      </c>
      <c r="G16" s="397">
        <f xml:space="preserve">
IF($A$4&lt;=12,SUMIFS('ON Data'!O:O,'ON Data'!$D:$D,$A$4,'ON Data'!$E:$E,7),SUMIFS('ON Data'!O:O,'ON Data'!$E:$E,7))</f>
        <v>0</v>
      </c>
      <c r="H16" s="397">
        <f xml:space="preserve">
IF($A$4&lt;=12,SUMIFS('ON Data'!P:P,'ON Data'!$D:$D,$A$4,'ON Data'!$E:$E,7),SUMIFS('ON Data'!P:P,'ON Data'!$E:$E,7))</f>
        <v>0</v>
      </c>
      <c r="I16" s="397">
        <f xml:space="preserve">
IF($A$4&lt;=12,SUMIFS('ON Data'!Q:Q,'ON Data'!$D:$D,$A$4,'ON Data'!$E:$E,7),SUMIFS('ON Data'!Q:Q,'ON Data'!$E:$E,7))</f>
        <v>0</v>
      </c>
      <c r="J16" s="397">
        <f xml:space="preserve">
IF($A$4&lt;=12,SUMIFS('ON Data'!R:R,'ON Data'!$D:$D,$A$4,'ON Data'!$E:$E,7),SUMIFS('ON Data'!R:R,'ON Data'!$E:$E,7))</f>
        <v>0</v>
      </c>
      <c r="K16" s="397">
        <f xml:space="preserve">
IF($A$4&lt;=12,SUMIFS('ON Data'!S:S,'ON Data'!$D:$D,$A$4,'ON Data'!$E:$E,7),SUMIFS('ON Data'!S:S,'ON Data'!$E:$E,7))</f>
        <v>0</v>
      </c>
      <c r="L16" s="397">
        <f xml:space="preserve">
IF($A$4&lt;=12,SUMIFS('ON Data'!AR:AR,'ON Data'!$D:$D,$A$4,'ON Data'!$E:$E,7),SUMIFS('ON Data'!AR:AR,'ON Data'!$E:$E,7))</f>
        <v>0</v>
      </c>
      <c r="M16" s="730">
        <f xml:space="preserve">
IF($A$4&lt;=12,SUMIFS('ON Data'!AW:AW,'ON Data'!$D:$D,$A$4,'ON Data'!$E:$E,7),SUMIFS('ON Data'!AW:AW,'ON Data'!$E:$E,7))</f>
        <v>0</v>
      </c>
      <c r="N16" s="739"/>
    </row>
    <row r="17" spans="1:14" x14ac:dyDescent="0.3">
      <c r="A17" s="380" t="s">
        <v>227</v>
      </c>
      <c r="B17" s="395">
        <f xml:space="preserve">
IF($A$4&lt;=12,SUMIFS('ON Data'!F:F,'ON Data'!$D:$D,$A$4,'ON Data'!$E:$E,8),SUMIFS('ON Data'!F:F,'ON Data'!$E:$E,8))</f>
        <v>0</v>
      </c>
      <c r="C17" s="396">
        <f xml:space="preserve">
IF($A$4&lt;=12,SUMIFS('ON Data'!G:G,'ON Data'!$D:$D,$A$4,'ON Data'!$E:$E,8),SUMIFS('ON Data'!G:G,'ON Data'!$E:$E,8))</f>
        <v>0</v>
      </c>
      <c r="D17" s="397">
        <f xml:space="preserve">
IF($A$4&lt;=12,SUMIFS('ON Data'!I:I,'ON Data'!$D:$D,$A$4,'ON Data'!$E:$E,8),SUMIFS('ON Data'!I:I,'ON Data'!$E:$E,8))</f>
        <v>0</v>
      </c>
      <c r="E17" s="397">
        <f xml:space="preserve">
IF($A$4&lt;=12,SUMIFS('ON Data'!J:J,'ON Data'!$D:$D,$A$4,'ON Data'!$E:$E,8),SUMIFS('ON Data'!J:J,'ON Data'!$E:$E,8))</f>
        <v>0</v>
      </c>
      <c r="F17" s="397">
        <f xml:space="preserve">
IF($A$4&lt;=12,SUMIFS('ON Data'!K:K,'ON Data'!$D:$D,$A$4,'ON Data'!$E:$E,8),SUMIFS('ON Data'!K:K,'ON Data'!$E:$E,8))</f>
        <v>0</v>
      </c>
      <c r="G17" s="397">
        <f xml:space="preserve">
IF($A$4&lt;=12,SUMIFS('ON Data'!O:O,'ON Data'!$D:$D,$A$4,'ON Data'!$E:$E,8),SUMIFS('ON Data'!O:O,'ON Data'!$E:$E,8))</f>
        <v>0</v>
      </c>
      <c r="H17" s="397">
        <f xml:space="preserve">
IF($A$4&lt;=12,SUMIFS('ON Data'!P:P,'ON Data'!$D:$D,$A$4,'ON Data'!$E:$E,8),SUMIFS('ON Data'!P:P,'ON Data'!$E:$E,8))</f>
        <v>0</v>
      </c>
      <c r="I17" s="397">
        <f xml:space="preserve">
IF($A$4&lt;=12,SUMIFS('ON Data'!Q:Q,'ON Data'!$D:$D,$A$4,'ON Data'!$E:$E,8),SUMIFS('ON Data'!Q:Q,'ON Data'!$E:$E,8))</f>
        <v>0</v>
      </c>
      <c r="J17" s="397">
        <f xml:space="preserve">
IF($A$4&lt;=12,SUMIFS('ON Data'!R:R,'ON Data'!$D:$D,$A$4,'ON Data'!$E:$E,8),SUMIFS('ON Data'!R:R,'ON Data'!$E:$E,8))</f>
        <v>0</v>
      </c>
      <c r="K17" s="397">
        <f xml:space="preserve">
IF($A$4&lt;=12,SUMIFS('ON Data'!S:S,'ON Data'!$D:$D,$A$4,'ON Data'!$E:$E,8),SUMIFS('ON Data'!S:S,'ON Data'!$E:$E,8))</f>
        <v>0</v>
      </c>
      <c r="L17" s="397">
        <f xml:space="preserve">
IF($A$4&lt;=12,SUMIFS('ON Data'!AR:AR,'ON Data'!$D:$D,$A$4,'ON Data'!$E:$E,8),SUMIFS('ON Data'!AR:AR,'ON Data'!$E:$E,8))</f>
        <v>0</v>
      </c>
      <c r="M17" s="730">
        <f xml:space="preserve">
IF($A$4&lt;=12,SUMIFS('ON Data'!AW:AW,'ON Data'!$D:$D,$A$4,'ON Data'!$E:$E,8),SUMIFS('ON Data'!AW:AW,'ON Data'!$E:$E,8))</f>
        <v>0</v>
      </c>
      <c r="N17" s="739"/>
    </row>
    <row r="18" spans="1:14" x14ac:dyDescent="0.3">
      <c r="A18" s="380" t="s">
        <v>228</v>
      </c>
      <c r="B18" s="395">
        <f xml:space="preserve">
B19-B16-B17</f>
        <v>2036179</v>
      </c>
      <c r="C18" s="396">
        <f t="shared" ref="C18:F18" si="0" xml:space="preserve">
C19-C16-C17</f>
        <v>0</v>
      </c>
      <c r="D18" s="397">
        <f t="shared" si="0"/>
        <v>32518</v>
      </c>
      <c r="E18" s="397">
        <f t="shared" si="0"/>
        <v>27515</v>
      </c>
      <c r="F18" s="397">
        <f t="shared" si="0"/>
        <v>435455</v>
      </c>
      <c r="G18" s="397">
        <f t="shared" ref="G18:K18" si="1" xml:space="preserve">
G19-G16-G17</f>
        <v>0</v>
      </c>
      <c r="H18" s="397">
        <f t="shared" si="1"/>
        <v>322740</v>
      </c>
      <c r="I18" s="397">
        <f t="shared" si="1"/>
        <v>730458</v>
      </c>
      <c r="J18" s="397">
        <f t="shared" si="1"/>
        <v>289803</v>
      </c>
      <c r="K18" s="397">
        <f t="shared" si="1"/>
        <v>112275</v>
      </c>
      <c r="L18" s="397">
        <f t="shared" ref="L18:M18" si="2" xml:space="preserve">
L19-L16-L17</f>
        <v>66340</v>
      </c>
      <c r="M18" s="730">
        <f t="shared" si="2"/>
        <v>19075</v>
      </c>
      <c r="N18" s="739"/>
    </row>
    <row r="19" spans="1:14" ht="15" thickBot="1" x14ac:dyDescent="0.35">
      <c r="A19" s="381" t="s">
        <v>229</v>
      </c>
      <c r="B19" s="404">
        <f xml:space="preserve">
IF($A$4&lt;=12,SUMIFS('ON Data'!F:F,'ON Data'!$D:$D,$A$4,'ON Data'!$E:$E,9),SUMIFS('ON Data'!F:F,'ON Data'!$E:$E,9))</f>
        <v>2036179</v>
      </c>
      <c r="C19" s="405">
        <f xml:space="preserve">
IF($A$4&lt;=12,SUMIFS('ON Data'!G:G,'ON Data'!$D:$D,$A$4,'ON Data'!$E:$E,9),SUMIFS('ON Data'!G:G,'ON Data'!$E:$E,9))</f>
        <v>0</v>
      </c>
      <c r="D19" s="406">
        <f xml:space="preserve">
IF($A$4&lt;=12,SUMIFS('ON Data'!I:I,'ON Data'!$D:$D,$A$4,'ON Data'!$E:$E,9),SUMIFS('ON Data'!I:I,'ON Data'!$E:$E,9))</f>
        <v>32518</v>
      </c>
      <c r="E19" s="406">
        <f xml:space="preserve">
IF($A$4&lt;=12,SUMIFS('ON Data'!J:J,'ON Data'!$D:$D,$A$4,'ON Data'!$E:$E,9),SUMIFS('ON Data'!J:J,'ON Data'!$E:$E,9))</f>
        <v>27515</v>
      </c>
      <c r="F19" s="406">
        <f xml:space="preserve">
IF($A$4&lt;=12,SUMIFS('ON Data'!K:K,'ON Data'!$D:$D,$A$4,'ON Data'!$E:$E,9),SUMIFS('ON Data'!K:K,'ON Data'!$E:$E,9))</f>
        <v>435455</v>
      </c>
      <c r="G19" s="406">
        <f xml:space="preserve">
IF($A$4&lt;=12,SUMIFS('ON Data'!O:O,'ON Data'!$D:$D,$A$4,'ON Data'!$E:$E,9),SUMIFS('ON Data'!O:O,'ON Data'!$E:$E,9))</f>
        <v>0</v>
      </c>
      <c r="H19" s="406">
        <f xml:space="preserve">
IF($A$4&lt;=12,SUMIFS('ON Data'!P:P,'ON Data'!$D:$D,$A$4,'ON Data'!$E:$E,9),SUMIFS('ON Data'!P:P,'ON Data'!$E:$E,9))</f>
        <v>322740</v>
      </c>
      <c r="I19" s="406">
        <f xml:space="preserve">
IF($A$4&lt;=12,SUMIFS('ON Data'!Q:Q,'ON Data'!$D:$D,$A$4,'ON Data'!$E:$E,9),SUMIFS('ON Data'!Q:Q,'ON Data'!$E:$E,9))</f>
        <v>730458</v>
      </c>
      <c r="J19" s="406">
        <f xml:space="preserve">
IF($A$4&lt;=12,SUMIFS('ON Data'!R:R,'ON Data'!$D:$D,$A$4,'ON Data'!$E:$E,9),SUMIFS('ON Data'!R:R,'ON Data'!$E:$E,9))</f>
        <v>289803</v>
      </c>
      <c r="K19" s="406">
        <f xml:space="preserve">
IF($A$4&lt;=12,SUMIFS('ON Data'!S:S,'ON Data'!$D:$D,$A$4,'ON Data'!$E:$E,9),SUMIFS('ON Data'!S:S,'ON Data'!$E:$E,9))</f>
        <v>112275</v>
      </c>
      <c r="L19" s="406">
        <f xml:space="preserve">
IF($A$4&lt;=12,SUMIFS('ON Data'!AR:AR,'ON Data'!$D:$D,$A$4,'ON Data'!$E:$E,9),SUMIFS('ON Data'!AR:AR,'ON Data'!$E:$E,9))</f>
        <v>66340</v>
      </c>
      <c r="M19" s="733">
        <f xml:space="preserve">
IF($A$4&lt;=12,SUMIFS('ON Data'!AW:AW,'ON Data'!$D:$D,$A$4,'ON Data'!$E:$E,9),SUMIFS('ON Data'!AW:AW,'ON Data'!$E:$E,9))</f>
        <v>19075</v>
      </c>
      <c r="N19" s="739"/>
    </row>
    <row r="20" spans="1:14" ht="15" collapsed="1" thickBot="1" x14ac:dyDescent="0.35">
      <c r="A20" s="382" t="s">
        <v>87</v>
      </c>
      <c r="B20" s="407">
        <f xml:space="preserve">
IF($A$4&lt;=12,SUMIFS('ON Data'!F:F,'ON Data'!$D:$D,$A$4,'ON Data'!$E:$E,6),SUMIFS('ON Data'!F:F,'ON Data'!$E:$E,6))</f>
        <v>36215442</v>
      </c>
      <c r="C20" s="408">
        <f xml:space="preserve">
IF($A$4&lt;=12,SUMIFS('ON Data'!G:G,'ON Data'!$D:$D,$A$4,'ON Data'!$E:$E,6),SUMIFS('ON Data'!G:G,'ON Data'!$E:$E,6))</f>
        <v>147690</v>
      </c>
      <c r="D20" s="409">
        <f xml:space="preserve">
IF($A$4&lt;=12,SUMIFS('ON Data'!I:I,'ON Data'!$D:$D,$A$4,'ON Data'!$E:$E,6),SUMIFS('ON Data'!I:I,'ON Data'!$E:$E,6))</f>
        <v>513943</v>
      </c>
      <c r="E20" s="409">
        <f xml:space="preserve">
IF($A$4&lt;=12,SUMIFS('ON Data'!J:J,'ON Data'!$D:$D,$A$4,'ON Data'!$E:$E,6),SUMIFS('ON Data'!J:J,'ON Data'!$E:$E,6))</f>
        <v>666636</v>
      </c>
      <c r="F20" s="409">
        <f xml:space="preserve">
IF($A$4&lt;=12,SUMIFS('ON Data'!K:K,'ON Data'!$D:$D,$A$4,'ON Data'!$E:$E,6),SUMIFS('ON Data'!K:K,'ON Data'!$E:$E,6))</f>
        <v>8572545</v>
      </c>
      <c r="G20" s="409">
        <f xml:space="preserve">
IF($A$4&lt;=12,SUMIFS('ON Data'!O:O,'ON Data'!$D:$D,$A$4,'ON Data'!$E:$E,6),SUMIFS('ON Data'!O:O,'ON Data'!$E:$E,6))</f>
        <v>0</v>
      </c>
      <c r="H20" s="409">
        <f xml:space="preserve">
IF($A$4&lt;=12,SUMIFS('ON Data'!P:P,'ON Data'!$D:$D,$A$4,'ON Data'!$E:$E,6),SUMIFS('ON Data'!P:P,'ON Data'!$E:$E,6))</f>
        <v>5840885</v>
      </c>
      <c r="I20" s="409">
        <f xml:space="preserve">
IF($A$4&lt;=12,SUMIFS('ON Data'!Q:Q,'ON Data'!$D:$D,$A$4,'ON Data'!$E:$E,6),SUMIFS('ON Data'!Q:Q,'ON Data'!$E:$E,6))</f>
        <v>13473176</v>
      </c>
      <c r="J20" s="409">
        <f xml:space="preserve">
IF($A$4&lt;=12,SUMIFS('ON Data'!R:R,'ON Data'!$D:$D,$A$4,'ON Data'!$E:$E,6),SUMIFS('ON Data'!R:R,'ON Data'!$E:$E,6))</f>
        <v>3882076</v>
      </c>
      <c r="K20" s="409">
        <f xml:space="preserve">
IF($A$4&lt;=12,SUMIFS('ON Data'!S:S,'ON Data'!$D:$D,$A$4,'ON Data'!$E:$E,6),SUMIFS('ON Data'!S:S,'ON Data'!$E:$E,6))</f>
        <v>1764333</v>
      </c>
      <c r="L20" s="409">
        <f xml:space="preserve">
IF($A$4&lt;=12,SUMIFS('ON Data'!AR:AR,'ON Data'!$D:$D,$A$4,'ON Data'!$E:$E,6),SUMIFS('ON Data'!AR:AR,'ON Data'!$E:$E,6))</f>
        <v>1051430</v>
      </c>
      <c r="M20" s="734">
        <f xml:space="preserve">
IF($A$4&lt;=12,SUMIFS('ON Data'!AW:AW,'ON Data'!$D:$D,$A$4,'ON Data'!$E:$E,6),SUMIFS('ON Data'!AW:AW,'ON Data'!$E:$E,6))</f>
        <v>302728</v>
      </c>
      <c r="N20" s="739"/>
    </row>
    <row r="21" spans="1:14" ht="15" hidden="1" outlineLevel="1" thickBot="1" x14ac:dyDescent="0.35">
      <c r="A21" s="375" t="s">
        <v>124</v>
      </c>
      <c r="B21" s="395">
        <f xml:space="preserve">
IF($A$4&lt;=12,SUMIFS('ON Data'!F:F,'ON Data'!$D:$D,$A$4,'ON Data'!$E:$E,12),SUMIFS('ON Data'!F:F,'ON Data'!$E:$E,12))</f>
        <v>0</v>
      </c>
      <c r="C21" s="396">
        <f xml:space="preserve">
IF($A$4&lt;=12,SUMIFS('ON Data'!G:G,'ON Data'!$D:$D,$A$4,'ON Data'!$E:$E,12),SUMIFS('ON Data'!G:G,'ON Data'!$E:$E,12))</f>
        <v>0</v>
      </c>
      <c r="D21" s="397">
        <f xml:space="preserve">
IF($A$4&lt;=12,SUMIFS('ON Data'!I:I,'ON Data'!$D:$D,$A$4,'ON Data'!$E:$E,12),SUMIFS('ON Data'!I:I,'ON Data'!$E:$E,12))</f>
        <v>0</v>
      </c>
      <c r="E21" s="397">
        <f xml:space="preserve">
IF($A$4&lt;=12,SUMIFS('ON Data'!J:J,'ON Data'!$D:$D,$A$4,'ON Data'!$E:$E,12),SUMIFS('ON Data'!J:J,'ON Data'!$E:$E,12))</f>
        <v>0</v>
      </c>
      <c r="F21" s="397">
        <f xml:space="preserve">
IF($A$4&lt;=12,SUMIFS('ON Data'!K:K,'ON Data'!$D:$D,$A$4,'ON Data'!$E:$E,12),SUMIFS('ON Data'!K:K,'ON Data'!$E:$E,12))</f>
        <v>0</v>
      </c>
      <c r="G21" s="397">
        <f xml:space="preserve">
IF($A$4&lt;=12,SUMIFS('ON Data'!O:O,'ON Data'!$D:$D,$A$4,'ON Data'!$E:$E,12),SUMIFS('ON Data'!O:O,'ON Data'!$E:$E,12))</f>
        <v>0</v>
      </c>
      <c r="H21" s="397">
        <f xml:space="preserve">
IF($A$4&lt;=12,SUMIFS('ON Data'!P:P,'ON Data'!$D:$D,$A$4,'ON Data'!$E:$E,12),SUMIFS('ON Data'!P:P,'ON Data'!$E:$E,12))</f>
        <v>0</v>
      </c>
      <c r="I21" s="397">
        <f xml:space="preserve">
IF($A$4&lt;=12,SUMIFS('ON Data'!Q:Q,'ON Data'!$D:$D,$A$4,'ON Data'!$E:$E,12),SUMIFS('ON Data'!Q:Q,'ON Data'!$E:$E,12))</f>
        <v>0</v>
      </c>
      <c r="J21" s="397">
        <f xml:space="preserve">
IF($A$4&lt;=12,SUMIFS('ON Data'!R:R,'ON Data'!$D:$D,$A$4,'ON Data'!$E:$E,12),SUMIFS('ON Data'!R:R,'ON Data'!$E:$E,12))</f>
        <v>0</v>
      </c>
      <c r="K21" s="397">
        <f xml:space="preserve">
IF($A$4&lt;=12,SUMIFS('ON Data'!S:S,'ON Data'!$D:$D,$A$4,'ON Data'!$E:$E,12),SUMIFS('ON Data'!S:S,'ON Data'!$E:$E,12))</f>
        <v>0</v>
      </c>
      <c r="N21" s="739"/>
    </row>
    <row r="22" spans="1:14" ht="15" hidden="1" outlineLevel="1" thickBot="1" x14ac:dyDescent="0.35">
      <c r="A22" s="375" t="s">
        <v>89</v>
      </c>
      <c r="B22" s="456" t="str">
        <f xml:space="preserve">
IF(OR(B21="",B21=0),"",B20/B21)</f>
        <v/>
      </c>
      <c r="C22" s="457" t="str">
        <f t="shared" ref="C22:F22" si="3" xml:space="preserve">
IF(OR(C21="",C21=0),"",C20/C21)</f>
        <v/>
      </c>
      <c r="D22" s="458" t="str">
        <f t="shared" si="3"/>
        <v/>
      </c>
      <c r="E22" s="458" t="str">
        <f t="shared" si="3"/>
        <v/>
      </c>
      <c r="F22" s="458" t="str">
        <f t="shared" si="3"/>
        <v/>
      </c>
      <c r="G22" s="458" t="str">
        <f t="shared" ref="G22:K22" si="4" xml:space="preserve">
IF(OR(G21="",G21=0),"",G20/G21)</f>
        <v/>
      </c>
      <c r="H22" s="458" t="str">
        <f t="shared" si="4"/>
        <v/>
      </c>
      <c r="I22" s="458" t="str">
        <f t="shared" si="4"/>
        <v/>
      </c>
      <c r="J22" s="458" t="str">
        <f t="shared" si="4"/>
        <v/>
      </c>
      <c r="K22" s="458" t="str">
        <f t="shared" si="4"/>
        <v/>
      </c>
      <c r="N22" s="739"/>
    </row>
    <row r="23" spans="1:14" ht="15" hidden="1" outlineLevel="1" thickBot="1" x14ac:dyDescent="0.35">
      <c r="A23" s="383" t="s">
        <v>62</v>
      </c>
      <c r="B23" s="398">
        <f xml:space="preserve">
IF(B21="","",B20-B21)</f>
        <v>36215442</v>
      </c>
      <c r="C23" s="399">
        <f t="shared" ref="C23:F23" si="5" xml:space="preserve">
IF(C21="","",C20-C21)</f>
        <v>147690</v>
      </c>
      <c r="D23" s="400">
        <f t="shared" si="5"/>
        <v>513943</v>
      </c>
      <c r="E23" s="400">
        <f t="shared" si="5"/>
        <v>666636</v>
      </c>
      <c r="F23" s="400">
        <f t="shared" si="5"/>
        <v>8572545</v>
      </c>
      <c r="G23" s="400">
        <f t="shared" ref="G23:K23" si="6" xml:space="preserve">
IF(G21="","",G20-G21)</f>
        <v>0</v>
      </c>
      <c r="H23" s="400">
        <f t="shared" si="6"/>
        <v>5840885</v>
      </c>
      <c r="I23" s="400">
        <f t="shared" si="6"/>
        <v>13473176</v>
      </c>
      <c r="J23" s="400">
        <f t="shared" si="6"/>
        <v>3882076</v>
      </c>
      <c r="K23" s="400">
        <f t="shared" si="6"/>
        <v>1764333</v>
      </c>
      <c r="N23" s="739"/>
    </row>
    <row r="24" spans="1:14" x14ac:dyDescent="0.3">
      <c r="A24" s="377" t="s">
        <v>230</v>
      </c>
      <c r="B24" s="424" t="s">
        <v>3</v>
      </c>
      <c r="C24" s="740" t="s">
        <v>241</v>
      </c>
      <c r="D24" s="710"/>
      <c r="E24" s="711"/>
      <c r="F24" s="712"/>
      <c r="G24" s="711" t="s">
        <v>242</v>
      </c>
      <c r="H24" s="713"/>
      <c r="I24" s="713"/>
      <c r="J24" s="713"/>
      <c r="K24" s="713"/>
      <c r="L24" s="713"/>
      <c r="M24" s="735" t="s">
        <v>243</v>
      </c>
      <c r="N24" s="739"/>
    </row>
    <row r="25" spans="1:14" x14ac:dyDescent="0.3">
      <c r="A25" s="378" t="s">
        <v>87</v>
      </c>
      <c r="B25" s="395">
        <f xml:space="preserve">
SUM(C25:M25)</f>
        <v>58079</v>
      </c>
      <c r="C25" s="741">
        <f xml:space="preserve">
IF($A$4&lt;=12,SUMIFS('ON Data'!J:J,'ON Data'!$D:$D,$A$4,'ON Data'!$E:$E,10),SUMIFS('ON Data'!J:J,'ON Data'!$E:$E,10))</f>
        <v>17059</v>
      </c>
      <c r="D25" s="714"/>
      <c r="E25" s="715"/>
      <c r="F25" s="716"/>
      <c r="G25" s="715">
        <f xml:space="preserve">
IF($A$4&lt;=12,SUMIFS('ON Data'!O:O,'ON Data'!$D:$D,$A$4,'ON Data'!$E:$E,10),SUMIFS('ON Data'!O:O,'ON Data'!$E:$E,10))</f>
        <v>41020</v>
      </c>
      <c r="H25" s="716"/>
      <c r="I25" s="716"/>
      <c r="J25" s="716"/>
      <c r="K25" s="716"/>
      <c r="L25" s="716"/>
      <c r="M25" s="736">
        <f xml:space="preserve">
IF($A$4&lt;=12,SUMIFS('ON Data'!AW:AW,'ON Data'!$D:$D,$A$4,'ON Data'!$E:$E,10),SUMIFS('ON Data'!AW:AW,'ON Data'!$E:$E,10))</f>
        <v>0</v>
      </c>
      <c r="N25" s="739"/>
    </row>
    <row r="26" spans="1:14" x14ac:dyDescent="0.3">
      <c r="A26" s="384" t="s">
        <v>240</v>
      </c>
      <c r="B26" s="404">
        <f xml:space="preserve">
SUM(C26:M26)</f>
        <v>62610.687022900776</v>
      </c>
      <c r="C26" s="741">
        <f xml:space="preserve">
IF($A$4&lt;=12,SUMIFS('ON Data'!J:J,'ON Data'!$D:$D,$A$4,'ON Data'!$E:$E,11),SUMIFS('ON Data'!J:J,'ON Data'!$E:$E,11))</f>
        <v>20610.687022900773</v>
      </c>
      <c r="D26" s="714"/>
      <c r="E26" s="715"/>
      <c r="F26" s="716"/>
      <c r="G26" s="717">
        <f xml:space="preserve">
IF($A$4&lt;=12,SUMIFS('ON Data'!O:O,'ON Data'!$D:$D,$A$4,'ON Data'!$E:$E,11),SUMIFS('ON Data'!O:O,'ON Data'!$E:$E,11))</f>
        <v>42000</v>
      </c>
      <c r="H26" s="718"/>
      <c r="I26" s="718"/>
      <c r="J26" s="718"/>
      <c r="K26" s="718"/>
      <c r="L26" s="718"/>
      <c r="M26" s="736">
        <f xml:space="preserve">
IF($A$4&lt;=12,SUMIFS('ON Data'!AW:AW,'ON Data'!$D:$D,$A$4,'ON Data'!$E:$E,11),SUMIFS('ON Data'!AW:AW,'ON Data'!$E:$E,11))</f>
        <v>0</v>
      </c>
      <c r="N26" s="739"/>
    </row>
    <row r="27" spans="1:14" x14ac:dyDescent="0.3">
      <c r="A27" s="384" t="s">
        <v>89</v>
      </c>
      <c r="B27" s="425">
        <f xml:space="preserve">
IF(B26=0,0,B25/B26)</f>
        <v>0.9276211899536696</v>
      </c>
      <c r="C27" s="742">
        <f xml:space="preserve">
IF(C26=0,0,C25/C26)</f>
        <v>0.82767740740740703</v>
      </c>
      <c r="D27" s="719"/>
      <c r="E27" s="720"/>
      <c r="F27" s="716"/>
      <c r="G27" s="720">
        <f xml:space="preserve">
IF(G26=0,0,G25/G26)</f>
        <v>0.97666666666666668</v>
      </c>
      <c r="H27" s="716"/>
      <c r="I27" s="716"/>
      <c r="J27" s="716"/>
      <c r="K27" s="716"/>
      <c r="L27" s="716"/>
      <c r="M27" s="737">
        <f xml:space="preserve">
IF(M26=0,0,M25/M26)</f>
        <v>0</v>
      </c>
      <c r="N27" s="739"/>
    </row>
    <row r="28" spans="1:14" ht="15" thickBot="1" x14ac:dyDescent="0.35">
      <c r="A28" s="384" t="s">
        <v>239</v>
      </c>
      <c r="B28" s="404">
        <f xml:space="preserve">
SUM(C28:M28)</f>
        <v>4531.6870229007727</v>
      </c>
      <c r="C28" s="743">
        <f xml:space="preserve">
C26-C25</f>
        <v>3551.6870229007727</v>
      </c>
      <c r="D28" s="721"/>
      <c r="E28" s="722"/>
      <c r="F28" s="723"/>
      <c r="G28" s="722">
        <f xml:space="preserve">
G26-G25</f>
        <v>980</v>
      </c>
      <c r="H28" s="723"/>
      <c r="I28" s="723"/>
      <c r="J28" s="723"/>
      <c r="K28" s="723"/>
      <c r="L28" s="723"/>
      <c r="M28" s="738">
        <f xml:space="preserve">
M26-M25</f>
        <v>0</v>
      </c>
      <c r="N28" s="739"/>
    </row>
    <row r="29" spans="1:14" x14ac:dyDescent="0.3">
      <c r="A29" s="385"/>
      <c r="B29" s="385"/>
      <c r="C29" s="386"/>
      <c r="D29" s="385"/>
      <c r="E29" s="386"/>
      <c r="F29" s="386"/>
      <c r="G29" s="386"/>
      <c r="H29" s="386"/>
      <c r="I29" s="386"/>
      <c r="J29" s="386"/>
      <c r="K29" s="386"/>
    </row>
    <row r="30" spans="1:14" x14ac:dyDescent="0.3">
      <c r="A30" s="216" t="s">
        <v>193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44"/>
    </row>
    <row r="31" spans="1:14" x14ac:dyDescent="0.3">
      <c r="A31" s="217" t="s">
        <v>237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4"/>
    </row>
    <row r="32" spans="1:14" ht="14.4" customHeight="1" x14ac:dyDescent="0.3">
      <c r="A32" s="421" t="s">
        <v>234</v>
      </c>
      <c r="B32" s="422"/>
      <c r="C32" s="422"/>
      <c r="D32" s="422"/>
      <c r="E32" s="422"/>
      <c r="F32" s="422"/>
      <c r="G32" s="422"/>
      <c r="H32" s="422"/>
      <c r="I32" s="422"/>
      <c r="J32" s="422"/>
      <c r="K32" s="422"/>
    </row>
    <row r="33" spans="1:1" x14ac:dyDescent="0.3">
      <c r="A33" s="423" t="s">
        <v>273</v>
      </c>
    </row>
    <row r="34" spans="1:1" x14ac:dyDescent="0.3">
      <c r="A34" s="423" t="s">
        <v>274</v>
      </c>
    </row>
    <row r="35" spans="1:1" x14ac:dyDescent="0.3">
      <c r="A35" s="423" t="s">
        <v>275</v>
      </c>
    </row>
    <row r="36" spans="1:1" x14ac:dyDescent="0.3">
      <c r="A36" s="423" t="s">
        <v>244</v>
      </c>
    </row>
  </sheetData>
  <mergeCells count="12">
    <mergeCell ref="B3:B4"/>
    <mergeCell ref="A1:M1"/>
    <mergeCell ref="C27:F27"/>
    <mergeCell ref="C28:F28"/>
    <mergeCell ref="G27:L27"/>
    <mergeCell ref="G28:L28"/>
    <mergeCell ref="C24:F24"/>
    <mergeCell ref="C25:F25"/>
    <mergeCell ref="C26:F26"/>
    <mergeCell ref="G24:L24"/>
    <mergeCell ref="G25:L25"/>
    <mergeCell ref="G26:L26"/>
  </mergeCells>
  <conditionalFormatting sqref="C27">
    <cfRule type="cellIs" dxfId="26" priority="8" operator="greaterThan">
      <formula>1</formula>
    </cfRule>
  </conditionalFormatting>
  <conditionalFormatting sqref="C28">
    <cfRule type="cellIs" dxfId="25" priority="7" operator="lessThan">
      <formula>0</formula>
    </cfRule>
  </conditionalFormatting>
  <conditionalFormatting sqref="B22:K22">
    <cfRule type="cellIs" dxfId="24" priority="6" operator="greaterThan">
      <formula>1</formula>
    </cfRule>
  </conditionalFormatting>
  <conditionalFormatting sqref="B23:K23">
    <cfRule type="cellIs" dxfId="23" priority="5" operator="greaterThan">
      <formula>0</formula>
    </cfRule>
  </conditionalFormatting>
  <conditionalFormatting sqref="M27">
    <cfRule type="cellIs" dxfId="22" priority="4" operator="greaterThan">
      <formula>1</formula>
    </cfRule>
  </conditionalFormatting>
  <conditionalFormatting sqref="M28">
    <cfRule type="cellIs" dxfId="21" priority="3" operator="lessThan">
      <formula>0</formula>
    </cfRule>
  </conditionalFormatting>
  <conditionalFormatting sqref="G28">
    <cfRule type="cellIs" dxfId="20" priority="1" operator="lessThan">
      <formula>0</formula>
    </cfRule>
  </conditionalFormatting>
  <conditionalFormatting sqref="G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07"/>
  <sheetViews>
    <sheetView showGridLines="0" showRowColHeaders="0" workbookViewId="0"/>
  </sheetViews>
  <sheetFormatPr defaultRowHeight="14.4" x14ac:dyDescent="0.3"/>
  <cols>
    <col min="1" max="16384" width="8.88671875" style="364"/>
  </cols>
  <sheetData>
    <row r="1" spans="1:49" x14ac:dyDescent="0.3">
      <c r="A1" s="364" t="s">
        <v>1892</v>
      </c>
    </row>
    <row r="2" spans="1:49" x14ac:dyDescent="0.3">
      <c r="A2" s="368" t="s">
        <v>301</v>
      </c>
    </row>
    <row r="3" spans="1:49" x14ac:dyDescent="0.3">
      <c r="A3" s="364" t="s">
        <v>205</v>
      </c>
      <c r="B3" s="389">
        <v>2016</v>
      </c>
      <c r="D3" s="365">
        <f>MAX(D5:D1048576)</f>
        <v>12</v>
      </c>
      <c r="F3" s="365">
        <f>SUMIF($E5:$E1048576,"&lt;10",F5:F1048576)</f>
        <v>38387257.509999998</v>
      </c>
      <c r="G3" s="365">
        <f t="shared" ref="G3:AW3" si="0">SUMIF($E5:$E1048576,"&lt;10",G5:G1048576)</f>
        <v>148130</v>
      </c>
      <c r="H3" s="365">
        <f t="shared" si="0"/>
        <v>0</v>
      </c>
      <c r="I3" s="365">
        <f t="shared" si="0"/>
        <v>548679.69999999995</v>
      </c>
      <c r="J3" s="365">
        <f t="shared" si="0"/>
        <v>696415</v>
      </c>
      <c r="K3" s="365">
        <f t="shared" si="0"/>
        <v>9024823.2999999989</v>
      </c>
      <c r="L3" s="365">
        <f t="shared" si="0"/>
        <v>0</v>
      </c>
      <c r="M3" s="365">
        <f t="shared" si="0"/>
        <v>0</v>
      </c>
      <c r="N3" s="365">
        <f t="shared" si="0"/>
        <v>0</v>
      </c>
      <c r="O3" s="365">
        <f t="shared" si="0"/>
        <v>0</v>
      </c>
      <c r="P3" s="365">
        <f t="shared" si="0"/>
        <v>6189952.709999999</v>
      </c>
      <c r="Q3" s="365">
        <f t="shared" si="0"/>
        <v>14256159.200000001</v>
      </c>
      <c r="R3" s="365">
        <f t="shared" si="0"/>
        <v>4186626.5</v>
      </c>
      <c r="S3" s="365">
        <f t="shared" si="0"/>
        <v>1887185</v>
      </c>
      <c r="T3" s="365">
        <f t="shared" si="0"/>
        <v>0</v>
      </c>
      <c r="U3" s="365">
        <f t="shared" si="0"/>
        <v>0</v>
      </c>
      <c r="V3" s="365">
        <f t="shared" si="0"/>
        <v>0</v>
      </c>
      <c r="W3" s="365">
        <f t="shared" si="0"/>
        <v>0</v>
      </c>
      <c r="X3" s="365">
        <f t="shared" si="0"/>
        <v>0</v>
      </c>
      <c r="Y3" s="365">
        <f t="shared" si="0"/>
        <v>0</v>
      </c>
      <c r="Z3" s="365">
        <f t="shared" si="0"/>
        <v>0</v>
      </c>
      <c r="AA3" s="365">
        <f t="shared" si="0"/>
        <v>0</v>
      </c>
      <c r="AB3" s="365">
        <f t="shared" si="0"/>
        <v>0</v>
      </c>
      <c r="AC3" s="365">
        <f t="shared" si="0"/>
        <v>0</v>
      </c>
      <c r="AD3" s="365">
        <f t="shared" si="0"/>
        <v>0</v>
      </c>
      <c r="AE3" s="365">
        <f t="shared" si="0"/>
        <v>0</v>
      </c>
      <c r="AF3" s="365">
        <f t="shared" si="0"/>
        <v>0</v>
      </c>
      <c r="AG3" s="365">
        <f t="shared" si="0"/>
        <v>0</v>
      </c>
      <c r="AH3" s="365">
        <f t="shared" si="0"/>
        <v>0</v>
      </c>
      <c r="AI3" s="365">
        <f t="shared" si="0"/>
        <v>0</v>
      </c>
      <c r="AJ3" s="365">
        <f t="shared" si="0"/>
        <v>0</v>
      </c>
      <c r="AK3" s="365">
        <f t="shared" si="0"/>
        <v>0</v>
      </c>
      <c r="AL3" s="365">
        <f t="shared" si="0"/>
        <v>0</v>
      </c>
      <c r="AM3" s="365">
        <f t="shared" si="0"/>
        <v>0</v>
      </c>
      <c r="AN3" s="365">
        <f t="shared" si="0"/>
        <v>0</v>
      </c>
      <c r="AO3" s="365">
        <f t="shared" si="0"/>
        <v>0</v>
      </c>
      <c r="AP3" s="365">
        <f t="shared" si="0"/>
        <v>0</v>
      </c>
      <c r="AQ3" s="365">
        <f t="shared" si="0"/>
        <v>0</v>
      </c>
      <c r="AR3" s="365">
        <f t="shared" si="0"/>
        <v>1125579.1000000001</v>
      </c>
      <c r="AS3" s="365">
        <f t="shared" si="0"/>
        <v>0</v>
      </c>
      <c r="AT3" s="365">
        <f t="shared" si="0"/>
        <v>0</v>
      </c>
      <c r="AU3" s="365">
        <f t="shared" si="0"/>
        <v>0</v>
      </c>
      <c r="AV3" s="365">
        <f t="shared" si="0"/>
        <v>0</v>
      </c>
      <c r="AW3" s="365">
        <f t="shared" si="0"/>
        <v>323707</v>
      </c>
    </row>
    <row r="4" spans="1:49" x14ac:dyDescent="0.3">
      <c r="A4" s="364" t="s">
        <v>206</v>
      </c>
      <c r="B4" s="389">
        <v>1</v>
      </c>
      <c r="C4" s="366" t="s">
        <v>5</v>
      </c>
      <c r="D4" s="367" t="s">
        <v>61</v>
      </c>
      <c r="E4" s="367" t="s">
        <v>204</v>
      </c>
      <c r="F4" s="367" t="s">
        <v>3</v>
      </c>
      <c r="G4" s="367">
        <v>0</v>
      </c>
      <c r="H4" s="367">
        <v>25</v>
      </c>
      <c r="I4" s="367">
        <v>99</v>
      </c>
      <c r="J4" s="367">
        <v>100</v>
      </c>
      <c r="K4" s="367">
        <v>101</v>
      </c>
      <c r="L4" s="367">
        <v>102</v>
      </c>
      <c r="M4" s="367">
        <v>103</v>
      </c>
      <c r="N4" s="367">
        <v>203</v>
      </c>
      <c r="O4" s="367">
        <v>302</v>
      </c>
      <c r="P4" s="367">
        <v>303</v>
      </c>
      <c r="Q4" s="367">
        <v>304</v>
      </c>
      <c r="R4" s="367">
        <v>305</v>
      </c>
      <c r="S4" s="367">
        <v>306</v>
      </c>
      <c r="T4" s="367">
        <v>407</v>
      </c>
      <c r="U4" s="367">
        <v>408</v>
      </c>
      <c r="V4" s="367">
        <v>409</v>
      </c>
      <c r="W4" s="367">
        <v>410</v>
      </c>
      <c r="X4" s="367">
        <v>415</v>
      </c>
      <c r="Y4" s="367">
        <v>416</v>
      </c>
      <c r="Z4" s="367">
        <v>418</v>
      </c>
      <c r="AA4" s="367">
        <v>419</v>
      </c>
      <c r="AB4" s="367">
        <v>420</v>
      </c>
      <c r="AC4" s="367">
        <v>421</v>
      </c>
      <c r="AD4" s="367">
        <v>520</v>
      </c>
      <c r="AE4" s="367">
        <v>521</v>
      </c>
      <c r="AF4" s="367">
        <v>522</v>
      </c>
      <c r="AG4" s="367">
        <v>523</v>
      </c>
      <c r="AH4" s="367">
        <v>524</v>
      </c>
      <c r="AI4" s="367">
        <v>525</v>
      </c>
      <c r="AJ4" s="367">
        <v>526</v>
      </c>
      <c r="AK4" s="367">
        <v>527</v>
      </c>
      <c r="AL4" s="367">
        <v>528</v>
      </c>
      <c r="AM4" s="367">
        <v>629</v>
      </c>
      <c r="AN4" s="367">
        <v>630</v>
      </c>
      <c r="AO4" s="367">
        <v>636</v>
      </c>
      <c r="AP4" s="367">
        <v>637</v>
      </c>
      <c r="AQ4" s="367">
        <v>640</v>
      </c>
      <c r="AR4" s="367">
        <v>642</v>
      </c>
      <c r="AS4" s="367">
        <v>743</v>
      </c>
      <c r="AT4" s="367">
        <v>745</v>
      </c>
      <c r="AU4" s="367">
        <v>746</v>
      </c>
      <c r="AV4" s="367">
        <v>747</v>
      </c>
      <c r="AW4" s="367">
        <v>930</v>
      </c>
    </row>
    <row r="5" spans="1:49" x14ac:dyDescent="0.3">
      <c r="A5" s="364" t="s">
        <v>207</v>
      </c>
      <c r="B5" s="389">
        <v>2</v>
      </c>
      <c r="C5" s="364">
        <v>9</v>
      </c>
      <c r="D5" s="364">
        <v>1</v>
      </c>
      <c r="E5" s="364">
        <v>1</v>
      </c>
      <c r="F5" s="364">
        <v>68.3</v>
      </c>
      <c r="G5" s="364">
        <v>0</v>
      </c>
      <c r="H5" s="364">
        <v>0</v>
      </c>
      <c r="I5" s="364">
        <v>0.8</v>
      </c>
      <c r="J5" s="364">
        <v>1</v>
      </c>
      <c r="K5" s="364">
        <v>8.5</v>
      </c>
      <c r="L5" s="364">
        <v>0</v>
      </c>
      <c r="M5" s="364">
        <v>0</v>
      </c>
      <c r="N5" s="364">
        <v>0</v>
      </c>
      <c r="O5" s="364">
        <v>0</v>
      </c>
      <c r="P5" s="364">
        <v>17.25</v>
      </c>
      <c r="Q5" s="364">
        <v>26.25</v>
      </c>
      <c r="R5" s="364">
        <v>6</v>
      </c>
      <c r="S5" s="364">
        <v>3.5</v>
      </c>
      <c r="T5" s="364">
        <v>0</v>
      </c>
      <c r="U5" s="364">
        <v>0</v>
      </c>
      <c r="V5" s="364">
        <v>0</v>
      </c>
      <c r="W5" s="364">
        <v>0</v>
      </c>
      <c r="X5" s="364">
        <v>0</v>
      </c>
      <c r="Y5" s="364">
        <v>0</v>
      </c>
      <c r="Z5" s="364">
        <v>0</v>
      </c>
      <c r="AA5" s="364">
        <v>0</v>
      </c>
      <c r="AB5" s="364">
        <v>0</v>
      </c>
      <c r="AC5" s="364">
        <v>0</v>
      </c>
      <c r="AD5" s="364">
        <v>0</v>
      </c>
      <c r="AE5" s="364">
        <v>0</v>
      </c>
      <c r="AF5" s="364">
        <v>0</v>
      </c>
      <c r="AG5" s="364">
        <v>0</v>
      </c>
      <c r="AH5" s="364">
        <v>0</v>
      </c>
      <c r="AI5" s="364">
        <v>0</v>
      </c>
      <c r="AJ5" s="364">
        <v>0</v>
      </c>
      <c r="AK5" s="364">
        <v>0</v>
      </c>
      <c r="AL5" s="364">
        <v>0</v>
      </c>
      <c r="AM5" s="364">
        <v>0</v>
      </c>
      <c r="AN5" s="364">
        <v>0</v>
      </c>
      <c r="AO5" s="364">
        <v>0</v>
      </c>
      <c r="AP5" s="364">
        <v>0</v>
      </c>
      <c r="AQ5" s="364">
        <v>0</v>
      </c>
      <c r="AR5" s="364">
        <v>4</v>
      </c>
      <c r="AS5" s="364">
        <v>0</v>
      </c>
      <c r="AT5" s="364">
        <v>0</v>
      </c>
      <c r="AU5" s="364">
        <v>0</v>
      </c>
      <c r="AV5" s="364">
        <v>0</v>
      </c>
      <c r="AW5" s="364">
        <v>1</v>
      </c>
    </row>
    <row r="6" spans="1:49" x14ac:dyDescent="0.3">
      <c r="A6" s="364" t="s">
        <v>208</v>
      </c>
      <c r="B6" s="389">
        <v>3</v>
      </c>
      <c r="C6" s="364">
        <v>9</v>
      </c>
      <c r="D6" s="364">
        <v>1</v>
      </c>
      <c r="E6" s="364">
        <v>2</v>
      </c>
      <c r="F6" s="364">
        <v>10235.15</v>
      </c>
      <c r="G6" s="364">
        <v>0</v>
      </c>
      <c r="H6" s="364">
        <v>0</v>
      </c>
      <c r="I6" s="364">
        <v>134.4</v>
      </c>
      <c r="J6" s="364">
        <v>168</v>
      </c>
      <c r="K6" s="364">
        <v>1386</v>
      </c>
      <c r="L6" s="364">
        <v>0</v>
      </c>
      <c r="M6" s="364">
        <v>0</v>
      </c>
      <c r="N6" s="364">
        <v>0</v>
      </c>
      <c r="O6" s="364">
        <v>0</v>
      </c>
      <c r="P6" s="364">
        <v>2378</v>
      </c>
      <c r="Q6" s="364">
        <v>3852</v>
      </c>
      <c r="R6" s="364">
        <v>959.5</v>
      </c>
      <c r="S6" s="364">
        <v>546</v>
      </c>
      <c r="T6" s="364">
        <v>0</v>
      </c>
      <c r="U6" s="364">
        <v>0</v>
      </c>
      <c r="V6" s="364">
        <v>0</v>
      </c>
      <c r="W6" s="364">
        <v>0</v>
      </c>
      <c r="X6" s="364">
        <v>0</v>
      </c>
      <c r="Y6" s="364">
        <v>0</v>
      </c>
      <c r="Z6" s="364">
        <v>0</v>
      </c>
      <c r="AA6" s="364">
        <v>0</v>
      </c>
      <c r="AB6" s="364">
        <v>0</v>
      </c>
      <c r="AC6" s="364">
        <v>0</v>
      </c>
      <c r="AD6" s="364">
        <v>0</v>
      </c>
      <c r="AE6" s="364">
        <v>0</v>
      </c>
      <c r="AF6" s="364">
        <v>0</v>
      </c>
      <c r="AG6" s="364">
        <v>0</v>
      </c>
      <c r="AH6" s="364">
        <v>0</v>
      </c>
      <c r="AI6" s="364">
        <v>0</v>
      </c>
      <c r="AJ6" s="364">
        <v>0</v>
      </c>
      <c r="AK6" s="364">
        <v>0</v>
      </c>
      <c r="AL6" s="364">
        <v>0</v>
      </c>
      <c r="AM6" s="364">
        <v>0</v>
      </c>
      <c r="AN6" s="364">
        <v>0</v>
      </c>
      <c r="AO6" s="364">
        <v>0</v>
      </c>
      <c r="AP6" s="364">
        <v>0</v>
      </c>
      <c r="AQ6" s="364">
        <v>0</v>
      </c>
      <c r="AR6" s="364">
        <v>647.25</v>
      </c>
      <c r="AS6" s="364">
        <v>0</v>
      </c>
      <c r="AT6" s="364">
        <v>0</v>
      </c>
      <c r="AU6" s="364">
        <v>0</v>
      </c>
      <c r="AV6" s="364">
        <v>0</v>
      </c>
      <c r="AW6" s="364">
        <v>164</v>
      </c>
    </row>
    <row r="7" spans="1:49" x14ac:dyDescent="0.3">
      <c r="A7" s="364" t="s">
        <v>209</v>
      </c>
      <c r="B7" s="389">
        <v>4</v>
      </c>
      <c r="C7" s="364">
        <v>9</v>
      </c>
      <c r="D7" s="364">
        <v>1</v>
      </c>
      <c r="E7" s="364">
        <v>3</v>
      </c>
      <c r="F7" s="364">
        <v>320.60000000000002</v>
      </c>
      <c r="G7" s="364">
        <v>0</v>
      </c>
      <c r="H7" s="364">
        <v>0</v>
      </c>
      <c r="I7" s="364">
        <v>33.6</v>
      </c>
      <c r="J7" s="364">
        <v>0</v>
      </c>
      <c r="K7" s="364">
        <v>23</v>
      </c>
      <c r="L7" s="364">
        <v>0</v>
      </c>
      <c r="M7" s="364">
        <v>0</v>
      </c>
      <c r="N7" s="364">
        <v>0</v>
      </c>
      <c r="O7" s="364">
        <v>0</v>
      </c>
      <c r="P7" s="364">
        <v>169</v>
      </c>
      <c r="Q7" s="364">
        <v>70</v>
      </c>
      <c r="R7" s="364">
        <v>15</v>
      </c>
      <c r="S7" s="364">
        <v>10</v>
      </c>
      <c r="T7" s="364">
        <v>0</v>
      </c>
      <c r="U7" s="364">
        <v>0</v>
      </c>
      <c r="V7" s="364">
        <v>0</v>
      </c>
      <c r="W7" s="364">
        <v>0</v>
      </c>
      <c r="X7" s="364">
        <v>0</v>
      </c>
      <c r="Y7" s="364">
        <v>0</v>
      </c>
      <c r="Z7" s="364">
        <v>0</v>
      </c>
      <c r="AA7" s="364">
        <v>0</v>
      </c>
      <c r="AB7" s="364">
        <v>0</v>
      </c>
      <c r="AC7" s="364">
        <v>0</v>
      </c>
      <c r="AD7" s="364">
        <v>0</v>
      </c>
      <c r="AE7" s="364">
        <v>0</v>
      </c>
      <c r="AF7" s="364">
        <v>0</v>
      </c>
      <c r="AG7" s="364">
        <v>0</v>
      </c>
      <c r="AH7" s="364">
        <v>0</v>
      </c>
      <c r="AI7" s="364">
        <v>0</v>
      </c>
      <c r="AJ7" s="364">
        <v>0</v>
      </c>
      <c r="AK7" s="364">
        <v>0</v>
      </c>
      <c r="AL7" s="364">
        <v>0</v>
      </c>
      <c r="AM7" s="364">
        <v>0</v>
      </c>
      <c r="AN7" s="364">
        <v>0</v>
      </c>
      <c r="AO7" s="364">
        <v>0</v>
      </c>
      <c r="AP7" s="364">
        <v>0</v>
      </c>
      <c r="AQ7" s="364">
        <v>0</v>
      </c>
      <c r="AR7" s="364">
        <v>0</v>
      </c>
      <c r="AS7" s="364">
        <v>0</v>
      </c>
      <c r="AT7" s="364">
        <v>0</v>
      </c>
      <c r="AU7" s="364">
        <v>0</v>
      </c>
      <c r="AV7" s="364">
        <v>0</v>
      </c>
      <c r="AW7" s="364">
        <v>0</v>
      </c>
    </row>
    <row r="8" spans="1:49" x14ac:dyDescent="0.3">
      <c r="A8" s="364" t="s">
        <v>210</v>
      </c>
      <c r="B8" s="389">
        <v>5</v>
      </c>
      <c r="C8" s="364">
        <v>9</v>
      </c>
      <c r="D8" s="364">
        <v>1</v>
      </c>
      <c r="E8" s="364">
        <v>4</v>
      </c>
      <c r="F8" s="364">
        <v>373.4</v>
      </c>
      <c r="G8" s="364">
        <v>0</v>
      </c>
      <c r="H8" s="364">
        <v>0</v>
      </c>
      <c r="I8" s="364">
        <v>2.4</v>
      </c>
      <c r="J8" s="364">
        <v>34</v>
      </c>
      <c r="K8" s="364">
        <v>215</v>
      </c>
      <c r="L8" s="364">
        <v>0</v>
      </c>
      <c r="M8" s="364">
        <v>0</v>
      </c>
      <c r="N8" s="364">
        <v>0</v>
      </c>
      <c r="O8" s="364">
        <v>0</v>
      </c>
      <c r="P8" s="364">
        <v>20</v>
      </c>
      <c r="Q8" s="364">
        <v>30</v>
      </c>
      <c r="R8" s="364">
        <v>10</v>
      </c>
      <c r="S8" s="364">
        <v>0</v>
      </c>
      <c r="T8" s="364">
        <v>0</v>
      </c>
      <c r="U8" s="364">
        <v>0</v>
      </c>
      <c r="V8" s="364">
        <v>0</v>
      </c>
      <c r="W8" s="364">
        <v>0</v>
      </c>
      <c r="X8" s="364">
        <v>0</v>
      </c>
      <c r="Y8" s="364">
        <v>0</v>
      </c>
      <c r="Z8" s="364">
        <v>0</v>
      </c>
      <c r="AA8" s="364">
        <v>0</v>
      </c>
      <c r="AB8" s="364">
        <v>0</v>
      </c>
      <c r="AC8" s="364">
        <v>0</v>
      </c>
      <c r="AD8" s="364">
        <v>0</v>
      </c>
      <c r="AE8" s="364">
        <v>0</v>
      </c>
      <c r="AF8" s="364">
        <v>0</v>
      </c>
      <c r="AG8" s="364">
        <v>0</v>
      </c>
      <c r="AH8" s="364">
        <v>0</v>
      </c>
      <c r="AI8" s="364">
        <v>0</v>
      </c>
      <c r="AJ8" s="364">
        <v>0</v>
      </c>
      <c r="AK8" s="364">
        <v>0</v>
      </c>
      <c r="AL8" s="364">
        <v>0</v>
      </c>
      <c r="AM8" s="364">
        <v>0</v>
      </c>
      <c r="AN8" s="364">
        <v>0</v>
      </c>
      <c r="AO8" s="364">
        <v>0</v>
      </c>
      <c r="AP8" s="364">
        <v>0</v>
      </c>
      <c r="AQ8" s="364">
        <v>0</v>
      </c>
      <c r="AR8" s="364">
        <v>62</v>
      </c>
      <c r="AS8" s="364">
        <v>0</v>
      </c>
      <c r="AT8" s="364">
        <v>0</v>
      </c>
      <c r="AU8" s="364">
        <v>0</v>
      </c>
      <c r="AV8" s="364">
        <v>0</v>
      </c>
      <c r="AW8" s="364">
        <v>0</v>
      </c>
    </row>
    <row r="9" spans="1:49" x14ac:dyDescent="0.3">
      <c r="A9" s="364" t="s">
        <v>211</v>
      </c>
      <c r="B9" s="389">
        <v>6</v>
      </c>
      <c r="C9" s="364">
        <v>9</v>
      </c>
      <c r="D9" s="364">
        <v>1</v>
      </c>
      <c r="E9" s="364">
        <v>5</v>
      </c>
      <c r="F9" s="364">
        <v>69</v>
      </c>
      <c r="G9" s="364">
        <v>69</v>
      </c>
      <c r="H9" s="364">
        <v>0</v>
      </c>
      <c r="I9" s="364">
        <v>0</v>
      </c>
      <c r="J9" s="364">
        <v>0</v>
      </c>
      <c r="K9" s="364">
        <v>0</v>
      </c>
      <c r="L9" s="364">
        <v>0</v>
      </c>
      <c r="M9" s="364">
        <v>0</v>
      </c>
      <c r="N9" s="364">
        <v>0</v>
      </c>
      <c r="O9" s="364">
        <v>0</v>
      </c>
      <c r="P9" s="364">
        <v>0</v>
      </c>
      <c r="Q9" s="364">
        <v>0</v>
      </c>
      <c r="R9" s="364">
        <v>0</v>
      </c>
      <c r="S9" s="364">
        <v>0</v>
      </c>
      <c r="T9" s="364">
        <v>0</v>
      </c>
      <c r="U9" s="364">
        <v>0</v>
      </c>
      <c r="V9" s="364">
        <v>0</v>
      </c>
      <c r="W9" s="364">
        <v>0</v>
      </c>
      <c r="X9" s="364">
        <v>0</v>
      </c>
      <c r="Y9" s="364">
        <v>0</v>
      </c>
      <c r="Z9" s="364">
        <v>0</v>
      </c>
      <c r="AA9" s="364">
        <v>0</v>
      </c>
      <c r="AB9" s="364">
        <v>0</v>
      </c>
      <c r="AC9" s="364">
        <v>0</v>
      </c>
      <c r="AD9" s="364">
        <v>0</v>
      </c>
      <c r="AE9" s="364">
        <v>0</v>
      </c>
      <c r="AF9" s="364">
        <v>0</v>
      </c>
      <c r="AG9" s="364">
        <v>0</v>
      </c>
      <c r="AH9" s="364">
        <v>0</v>
      </c>
      <c r="AI9" s="364">
        <v>0</v>
      </c>
      <c r="AJ9" s="364">
        <v>0</v>
      </c>
      <c r="AK9" s="364">
        <v>0</v>
      </c>
      <c r="AL9" s="364">
        <v>0</v>
      </c>
      <c r="AM9" s="364">
        <v>0</v>
      </c>
      <c r="AN9" s="364">
        <v>0</v>
      </c>
      <c r="AO9" s="364">
        <v>0</v>
      </c>
      <c r="AP9" s="364">
        <v>0</v>
      </c>
      <c r="AQ9" s="364">
        <v>0</v>
      </c>
      <c r="AR9" s="364">
        <v>0</v>
      </c>
      <c r="AS9" s="364">
        <v>0</v>
      </c>
      <c r="AT9" s="364">
        <v>0</v>
      </c>
      <c r="AU9" s="364">
        <v>0</v>
      </c>
      <c r="AV9" s="364">
        <v>0</v>
      </c>
      <c r="AW9" s="364">
        <v>0</v>
      </c>
    </row>
    <row r="10" spans="1:49" x14ac:dyDescent="0.3">
      <c r="A10" s="364" t="s">
        <v>212</v>
      </c>
      <c r="B10" s="389">
        <v>7</v>
      </c>
      <c r="C10" s="364">
        <v>9</v>
      </c>
      <c r="D10" s="364">
        <v>1</v>
      </c>
      <c r="E10" s="364">
        <v>6</v>
      </c>
      <c r="F10" s="364">
        <v>2644508</v>
      </c>
      <c r="G10" s="364">
        <v>24915</v>
      </c>
      <c r="H10" s="364">
        <v>0</v>
      </c>
      <c r="I10" s="364">
        <v>28826</v>
      </c>
      <c r="J10" s="364">
        <v>54583</v>
      </c>
      <c r="K10" s="364">
        <v>734370</v>
      </c>
      <c r="L10" s="364">
        <v>0</v>
      </c>
      <c r="M10" s="364">
        <v>0</v>
      </c>
      <c r="N10" s="364">
        <v>0</v>
      </c>
      <c r="O10" s="364">
        <v>0</v>
      </c>
      <c r="P10" s="364">
        <v>502015</v>
      </c>
      <c r="Q10" s="364">
        <v>877519</v>
      </c>
      <c r="R10" s="364">
        <v>234074</v>
      </c>
      <c r="S10" s="364">
        <v>83419</v>
      </c>
      <c r="T10" s="364">
        <v>0</v>
      </c>
      <c r="U10" s="364">
        <v>0</v>
      </c>
      <c r="V10" s="364">
        <v>0</v>
      </c>
      <c r="W10" s="364">
        <v>0</v>
      </c>
      <c r="X10" s="364">
        <v>0</v>
      </c>
      <c r="Y10" s="364">
        <v>0</v>
      </c>
      <c r="Z10" s="364">
        <v>0</v>
      </c>
      <c r="AA10" s="364">
        <v>0</v>
      </c>
      <c r="AB10" s="364">
        <v>0</v>
      </c>
      <c r="AC10" s="364">
        <v>0</v>
      </c>
      <c r="AD10" s="364">
        <v>0</v>
      </c>
      <c r="AE10" s="364">
        <v>0</v>
      </c>
      <c r="AF10" s="364">
        <v>0</v>
      </c>
      <c r="AG10" s="364">
        <v>0</v>
      </c>
      <c r="AH10" s="364">
        <v>0</v>
      </c>
      <c r="AI10" s="364">
        <v>0</v>
      </c>
      <c r="AJ10" s="364">
        <v>0</v>
      </c>
      <c r="AK10" s="364">
        <v>0</v>
      </c>
      <c r="AL10" s="364">
        <v>0</v>
      </c>
      <c r="AM10" s="364">
        <v>0</v>
      </c>
      <c r="AN10" s="364">
        <v>0</v>
      </c>
      <c r="AO10" s="364">
        <v>0</v>
      </c>
      <c r="AP10" s="364">
        <v>0</v>
      </c>
      <c r="AQ10" s="364">
        <v>0</v>
      </c>
      <c r="AR10" s="364">
        <v>81447</v>
      </c>
      <c r="AS10" s="364">
        <v>0</v>
      </c>
      <c r="AT10" s="364">
        <v>0</v>
      </c>
      <c r="AU10" s="364">
        <v>0</v>
      </c>
      <c r="AV10" s="364">
        <v>0</v>
      </c>
      <c r="AW10" s="364">
        <v>23340</v>
      </c>
    </row>
    <row r="11" spans="1:49" x14ac:dyDescent="0.3">
      <c r="A11" s="364" t="s">
        <v>213</v>
      </c>
      <c r="B11" s="389">
        <v>8</v>
      </c>
      <c r="C11" s="364">
        <v>9</v>
      </c>
      <c r="D11" s="364">
        <v>1</v>
      </c>
      <c r="E11" s="364">
        <v>9</v>
      </c>
      <c r="F11" s="364">
        <v>10292</v>
      </c>
      <c r="G11" s="364">
        <v>0</v>
      </c>
      <c r="H11" s="364">
        <v>0</v>
      </c>
      <c r="I11" s="364">
        <v>0</v>
      </c>
      <c r="J11" s="364">
        <v>0</v>
      </c>
      <c r="K11" s="364">
        <v>0</v>
      </c>
      <c r="L11" s="364">
        <v>0</v>
      </c>
      <c r="M11" s="364">
        <v>0</v>
      </c>
      <c r="N11" s="364">
        <v>0</v>
      </c>
      <c r="O11" s="364">
        <v>0</v>
      </c>
      <c r="P11" s="364">
        <v>5147</v>
      </c>
      <c r="Q11" s="364">
        <v>4116</v>
      </c>
      <c r="R11" s="364">
        <v>0</v>
      </c>
      <c r="S11" s="364">
        <v>1029</v>
      </c>
      <c r="T11" s="364">
        <v>0</v>
      </c>
      <c r="U11" s="364">
        <v>0</v>
      </c>
      <c r="V11" s="364">
        <v>0</v>
      </c>
      <c r="W11" s="364">
        <v>0</v>
      </c>
      <c r="X11" s="364">
        <v>0</v>
      </c>
      <c r="Y11" s="364">
        <v>0</v>
      </c>
      <c r="Z11" s="364">
        <v>0</v>
      </c>
      <c r="AA11" s="364">
        <v>0</v>
      </c>
      <c r="AB11" s="364">
        <v>0</v>
      </c>
      <c r="AC11" s="364">
        <v>0</v>
      </c>
      <c r="AD11" s="364">
        <v>0</v>
      </c>
      <c r="AE11" s="364">
        <v>0</v>
      </c>
      <c r="AF11" s="364">
        <v>0</v>
      </c>
      <c r="AG11" s="364">
        <v>0</v>
      </c>
      <c r="AH11" s="364">
        <v>0</v>
      </c>
      <c r="AI11" s="364">
        <v>0</v>
      </c>
      <c r="AJ11" s="364">
        <v>0</v>
      </c>
      <c r="AK11" s="364">
        <v>0</v>
      </c>
      <c r="AL11" s="364">
        <v>0</v>
      </c>
      <c r="AM11" s="364">
        <v>0</v>
      </c>
      <c r="AN11" s="364">
        <v>0</v>
      </c>
      <c r="AO11" s="364">
        <v>0</v>
      </c>
      <c r="AP11" s="364">
        <v>0</v>
      </c>
      <c r="AQ11" s="364">
        <v>0</v>
      </c>
      <c r="AR11" s="364">
        <v>0</v>
      </c>
      <c r="AS11" s="364">
        <v>0</v>
      </c>
      <c r="AT11" s="364">
        <v>0</v>
      </c>
      <c r="AU11" s="364">
        <v>0</v>
      </c>
      <c r="AV11" s="364">
        <v>0</v>
      </c>
      <c r="AW11" s="364">
        <v>0</v>
      </c>
    </row>
    <row r="12" spans="1:49" x14ac:dyDescent="0.3">
      <c r="A12" s="364" t="s">
        <v>214</v>
      </c>
      <c r="B12" s="389">
        <v>9</v>
      </c>
      <c r="C12" s="364">
        <v>9</v>
      </c>
      <c r="D12" s="364">
        <v>1</v>
      </c>
      <c r="E12" s="364">
        <v>10</v>
      </c>
      <c r="F12" s="364">
        <v>2000</v>
      </c>
      <c r="G12" s="364">
        <v>0</v>
      </c>
      <c r="H12" s="364">
        <v>0</v>
      </c>
      <c r="I12" s="364">
        <v>0</v>
      </c>
      <c r="J12" s="364">
        <v>0</v>
      </c>
      <c r="K12" s="364">
        <v>0</v>
      </c>
      <c r="L12" s="364">
        <v>0</v>
      </c>
      <c r="M12" s="364">
        <v>0</v>
      </c>
      <c r="N12" s="364">
        <v>0</v>
      </c>
      <c r="O12" s="364">
        <v>2000</v>
      </c>
      <c r="P12" s="364">
        <v>0</v>
      </c>
      <c r="Q12" s="364">
        <v>0</v>
      </c>
      <c r="R12" s="364">
        <v>0</v>
      </c>
      <c r="S12" s="364">
        <v>0</v>
      </c>
      <c r="T12" s="364">
        <v>0</v>
      </c>
      <c r="U12" s="364">
        <v>0</v>
      </c>
      <c r="V12" s="364">
        <v>0</v>
      </c>
      <c r="W12" s="364">
        <v>0</v>
      </c>
      <c r="X12" s="364">
        <v>0</v>
      </c>
      <c r="Y12" s="364">
        <v>0</v>
      </c>
      <c r="Z12" s="364">
        <v>0</v>
      </c>
      <c r="AA12" s="364">
        <v>0</v>
      </c>
      <c r="AB12" s="364">
        <v>0</v>
      </c>
      <c r="AC12" s="364">
        <v>0</v>
      </c>
      <c r="AD12" s="364">
        <v>0</v>
      </c>
      <c r="AE12" s="364">
        <v>0</v>
      </c>
      <c r="AF12" s="364">
        <v>0</v>
      </c>
      <c r="AG12" s="364">
        <v>0</v>
      </c>
      <c r="AH12" s="364">
        <v>0</v>
      </c>
      <c r="AI12" s="364">
        <v>0</v>
      </c>
      <c r="AJ12" s="364">
        <v>0</v>
      </c>
      <c r="AK12" s="364">
        <v>0</v>
      </c>
      <c r="AL12" s="364">
        <v>0</v>
      </c>
      <c r="AM12" s="364">
        <v>0</v>
      </c>
      <c r="AN12" s="364">
        <v>0</v>
      </c>
      <c r="AO12" s="364">
        <v>0</v>
      </c>
      <c r="AP12" s="364">
        <v>0</v>
      </c>
      <c r="AQ12" s="364">
        <v>0</v>
      </c>
      <c r="AR12" s="364">
        <v>0</v>
      </c>
      <c r="AS12" s="364">
        <v>0</v>
      </c>
      <c r="AT12" s="364">
        <v>0</v>
      </c>
      <c r="AU12" s="364">
        <v>0</v>
      </c>
      <c r="AV12" s="364">
        <v>0</v>
      </c>
      <c r="AW12" s="364">
        <v>0</v>
      </c>
    </row>
    <row r="13" spans="1:49" x14ac:dyDescent="0.3">
      <c r="A13" s="364" t="s">
        <v>215</v>
      </c>
      <c r="B13" s="389">
        <v>10</v>
      </c>
      <c r="C13" s="364">
        <v>9</v>
      </c>
      <c r="D13" s="364">
        <v>1</v>
      </c>
      <c r="E13" s="364">
        <v>11</v>
      </c>
      <c r="F13" s="364">
        <v>5217.5572519083971</v>
      </c>
      <c r="G13" s="364">
        <v>0</v>
      </c>
      <c r="H13" s="364">
        <v>0</v>
      </c>
      <c r="I13" s="364">
        <v>0</v>
      </c>
      <c r="J13" s="364">
        <v>1717.5572519083971</v>
      </c>
      <c r="K13" s="364">
        <v>0</v>
      </c>
      <c r="L13" s="364">
        <v>0</v>
      </c>
      <c r="M13" s="364">
        <v>0</v>
      </c>
      <c r="N13" s="364">
        <v>0</v>
      </c>
      <c r="O13" s="364">
        <v>3500</v>
      </c>
      <c r="P13" s="364">
        <v>0</v>
      </c>
      <c r="Q13" s="364">
        <v>0</v>
      </c>
      <c r="R13" s="364">
        <v>0</v>
      </c>
      <c r="S13" s="364">
        <v>0</v>
      </c>
      <c r="T13" s="364">
        <v>0</v>
      </c>
      <c r="U13" s="364">
        <v>0</v>
      </c>
      <c r="V13" s="364">
        <v>0</v>
      </c>
      <c r="W13" s="364">
        <v>0</v>
      </c>
      <c r="X13" s="364">
        <v>0</v>
      </c>
      <c r="Y13" s="364">
        <v>0</v>
      </c>
      <c r="Z13" s="364">
        <v>0</v>
      </c>
      <c r="AA13" s="364">
        <v>0</v>
      </c>
      <c r="AB13" s="364">
        <v>0</v>
      </c>
      <c r="AC13" s="364">
        <v>0</v>
      </c>
      <c r="AD13" s="364">
        <v>0</v>
      </c>
      <c r="AE13" s="364">
        <v>0</v>
      </c>
      <c r="AF13" s="364">
        <v>0</v>
      </c>
      <c r="AG13" s="364">
        <v>0</v>
      </c>
      <c r="AH13" s="364">
        <v>0</v>
      </c>
      <c r="AI13" s="364">
        <v>0</v>
      </c>
      <c r="AJ13" s="364">
        <v>0</v>
      </c>
      <c r="AK13" s="364">
        <v>0</v>
      </c>
      <c r="AL13" s="364">
        <v>0</v>
      </c>
      <c r="AM13" s="364">
        <v>0</v>
      </c>
      <c r="AN13" s="364">
        <v>0</v>
      </c>
      <c r="AO13" s="364">
        <v>0</v>
      </c>
      <c r="AP13" s="364">
        <v>0</v>
      </c>
      <c r="AQ13" s="364">
        <v>0</v>
      </c>
      <c r="AR13" s="364">
        <v>0</v>
      </c>
      <c r="AS13" s="364">
        <v>0</v>
      </c>
      <c r="AT13" s="364">
        <v>0</v>
      </c>
      <c r="AU13" s="364">
        <v>0</v>
      </c>
      <c r="AV13" s="364">
        <v>0</v>
      </c>
      <c r="AW13" s="364">
        <v>0</v>
      </c>
    </row>
    <row r="14" spans="1:49" x14ac:dyDescent="0.3">
      <c r="A14" s="364" t="s">
        <v>216</v>
      </c>
      <c r="B14" s="389">
        <v>11</v>
      </c>
      <c r="C14" s="364">
        <v>9</v>
      </c>
      <c r="D14" s="364">
        <v>2</v>
      </c>
      <c r="E14" s="364">
        <v>1</v>
      </c>
      <c r="F14" s="364">
        <v>67.3</v>
      </c>
      <c r="G14" s="364">
        <v>0</v>
      </c>
      <c r="H14" s="364">
        <v>0</v>
      </c>
      <c r="I14" s="364">
        <v>0.8</v>
      </c>
      <c r="J14" s="364">
        <v>1</v>
      </c>
      <c r="K14" s="364">
        <v>8.5</v>
      </c>
      <c r="L14" s="364">
        <v>0</v>
      </c>
      <c r="M14" s="364">
        <v>0</v>
      </c>
      <c r="N14" s="364">
        <v>0</v>
      </c>
      <c r="O14" s="364">
        <v>0</v>
      </c>
      <c r="P14" s="364">
        <v>16.25</v>
      </c>
      <c r="Q14" s="364">
        <v>26.25</v>
      </c>
      <c r="R14" s="364">
        <v>6</v>
      </c>
      <c r="S14" s="364">
        <v>3.5</v>
      </c>
      <c r="T14" s="364">
        <v>0</v>
      </c>
      <c r="U14" s="364">
        <v>0</v>
      </c>
      <c r="V14" s="364">
        <v>0</v>
      </c>
      <c r="W14" s="364">
        <v>0</v>
      </c>
      <c r="X14" s="364">
        <v>0</v>
      </c>
      <c r="Y14" s="364">
        <v>0</v>
      </c>
      <c r="Z14" s="364">
        <v>0</v>
      </c>
      <c r="AA14" s="364">
        <v>0</v>
      </c>
      <c r="AB14" s="364">
        <v>0</v>
      </c>
      <c r="AC14" s="364">
        <v>0</v>
      </c>
      <c r="AD14" s="364">
        <v>0</v>
      </c>
      <c r="AE14" s="364">
        <v>0</v>
      </c>
      <c r="AF14" s="364">
        <v>0</v>
      </c>
      <c r="AG14" s="364">
        <v>0</v>
      </c>
      <c r="AH14" s="364">
        <v>0</v>
      </c>
      <c r="AI14" s="364">
        <v>0</v>
      </c>
      <c r="AJ14" s="364">
        <v>0</v>
      </c>
      <c r="AK14" s="364">
        <v>0</v>
      </c>
      <c r="AL14" s="364">
        <v>0</v>
      </c>
      <c r="AM14" s="364">
        <v>0</v>
      </c>
      <c r="AN14" s="364">
        <v>0</v>
      </c>
      <c r="AO14" s="364">
        <v>0</v>
      </c>
      <c r="AP14" s="364">
        <v>0</v>
      </c>
      <c r="AQ14" s="364">
        <v>0</v>
      </c>
      <c r="AR14" s="364">
        <v>4</v>
      </c>
      <c r="AS14" s="364">
        <v>0</v>
      </c>
      <c r="AT14" s="364">
        <v>0</v>
      </c>
      <c r="AU14" s="364">
        <v>0</v>
      </c>
      <c r="AV14" s="364">
        <v>0</v>
      </c>
      <c r="AW14" s="364">
        <v>1</v>
      </c>
    </row>
    <row r="15" spans="1:49" x14ac:dyDescent="0.3">
      <c r="A15" s="364" t="s">
        <v>217</v>
      </c>
      <c r="B15" s="389">
        <v>12</v>
      </c>
      <c r="C15" s="364">
        <v>9</v>
      </c>
      <c r="D15" s="364">
        <v>2</v>
      </c>
      <c r="E15" s="364">
        <v>2</v>
      </c>
      <c r="F15" s="364">
        <v>9244.4</v>
      </c>
      <c r="G15" s="364">
        <v>0</v>
      </c>
      <c r="H15" s="364">
        <v>0</v>
      </c>
      <c r="I15" s="364">
        <v>134.4</v>
      </c>
      <c r="J15" s="364">
        <v>168</v>
      </c>
      <c r="K15" s="364">
        <v>1146</v>
      </c>
      <c r="L15" s="364">
        <v>0</v>
      </c>
      <c r="M15" s="364">
        <v>0</v>
      </c>
      <c r="N15" s="364">
        <v>0</v>
      </c>
      <c r="O15" s="364">
        <v>0</v>
      </c>
      <c r="P15" s="364">
        <v>2114</v>
      </c>
      <c r="Q15" s="364">
        <v>3475</v>
      </c>
      <c r="R15" s="364">
        <v>860</v>
      </c>
      <c r="S15" s="364">
        <v>528</v>
      </c>
      <c r="T15" s="364">
        <v>0</v>
      </c>
      <c r="U15" s="364">
        <v>0</v>
      </c>
      <c r="V15" s="364">
        <v>0</v>
      </c>
      <c r="W15" s="364">
        <v>0</v>
      </c>
      <c r="X15" s="364">
        <v>0</v>
      </c>
      <c r="Y15" s="364">
        <v>0</v>
      </c>
      <c r="Z15" s="364">
        <v>0</v>
      </c>
      <c r="AA15" s="364">
        <v>0</v>
      </c>
      <c r="AB15" s="364">
        <v>0</v>
      </c>
      <c r="AC15" s="364">
        <v>0</v>
      </c>
      <c r="AD15" s="364">
        <v>0</v>
      </c>
      <c r="AE15" s="364">
        <v>0</v>
      </c>
      <c r="AF15" s="364">
        <v>0</v>
      </c>
      <c r="AG15" s="364">
        <v>0</v>
      </c>
      <c r="AH15" s="364">
        <v>0</v>
      </c>
      <c r="AI15" s="364">
        <v>0</v>
      </c>
      <c r="AJ15" s="364">
        <v>0</v>
      </c>
      <c r="AK15" s="364">
        <v>0</v>
      </c>
      <c r="AL15" s="364">
        <v>0</v>
      </c>
      <c r="AM15" s="364">
        <v>0</v>
      </c>
      <c r="AN15" s="364">
        <v>0</v>
      </c>
      <c r="AO15" s="364">
        <v>0</v>
      </c>
      <c r="AP15" s="364">
        <v>0</v>
      </c>
      <c r="AQ15" s="364">
        <v>0</v>
      </c>
      <c r="AR15" s="364">
        <v>651</v>
      </c>
      <c r="AS15" s="364">
        <v>0</v>
      </c>
      <c r="AT15" s="364">
        <v>0</v>
      </c>
      <c r="AU15" s="364">
        <v>0</v>
      </c>
      <c r="AV15" s="364">
        <v>0</v>
      </c>
      <c r="AW15" s="364">
        <v>168</v>
      </c>
    </row>
    <row r="16" spans="1:49" x14ac:dyDescent="0.3">
      <c r="A16" s="364" t="s">
        <v>205</v>
      </c>
      <c r="B16" s="389">
        <v>2016</v>
      </c>
      <c r="C16" s="364">
        <v>9</v>
      </c>
      <c r="D16" s="364">
        <v>2</v>
      </c>
      <c r="E16" s="364">
        <v>3</v>
      </c>
      <c r="F16" s="364">
        <v>573.35</v>
      </c>
      <c r="G16" s="364">
        <v>0</v>
      </c>
      <c r="H16" s="364">
        <v>0</v>
      </c>
      <c r="I16" s="364">
        <v>56.6</v>
      </c>
      <c r="J16" s="364">
        <v>0</v>
      </c>
      <c r="K16" s="364">
        <v>0</v>
      </c>
      <c r="L16" s="364">
        <v>0</v>
      </c>
      <c r="M16" s="364">
        <v>0</v>
      </c>
      <c r="N16" s="364">
        <v>0</v>
      </c>
      <c r="O16" s="364">
        <v>0</v>
      </c>
      <c r="P16" s="364">
        <v>341.75</v>
      </c>
      <c r="Q16" s="364">
        <v>90</v>
      </c>
      <c r="R16" s="364">
        <v>50</v>
      </c>
      <c r="S16" s="364">
        <v>35</v>
      </c>
      <c r="T16" s="364">
        <v>0</v>
      </c>
      <c r="U16" s="364">
        <v>0</v>
      </c>
      <c r="V16" s="364">
        <v>0</v>
      </c>
      <c r="W16" s="364">
        <v>0</v>
      </c>
      <c r="X16" s="364">
        <v>0</v>
      </c>
      <c r="Y16" s="364">
        <v>0</v>
      </c>
      <c r="Z16" s="364">
        <v>0</v>
      </c>
      <c r="AA16" s="364">
        <v>0</v>
      </c>
      <c r="AB16" s="364">
        <v>0</v>
      </c>
      <c r="AC16" s="364">
        <v>0</v>
      </c>
      <c r="AD16" s="364">
        <v>0</v>
      </c>
      <c r="AE16" s="364">
        <v>0</v>
      </c>
      <c r="AF16" s="364">
        <v>0</v>
      </c>
      <c r="AG16" s="364">
        <v>0</v>
      </c>
      <c r="AH16" s="364">
        <v>0</v>
      </c>
      <c r="AI16" s="364">
        <v>0</v>
      </c>
      <c r="AJ16" s="364">
        <v>0</v>
      </c>
      <c r="AK16" s="364">
        <v>0</v>
      </c>
      <c r="AL16" s="364">
        <v>0</v>
      </c>
      <c r="AM16" s="364">
        <v>0</v>
      </c>
      <c r="AN16" s="364">
        <v>0</v>
      </c>
      <c r="AO16" s="364">
        <v>0</v>
      </c>
      <c r="AP16" s="364">
        <v>0</v>
      </c>
      <c r="AQ16" s="364">
        <v>0</v>
      </c>
      <c r="AR16" s="364">
        <v>0</v>
      </c>
      <c r="AS16" s="364">
        <v>0</v>
      </c>
      <c r="AT16" s="364">
        <v>0</v>
      </c>
      <c r="AU16" s="364">
        <v>0</v>
      </c>
      <c r="AV16" s="364">
        <v>0</v>
      </c>
      <c r="AW16" s="364">
        <v>0</v>
      </c>
    </row>
    <row r="17" spans="3:49" x14ac:dyDescent="0.3">
      <c r="C17" s="364">
        <v>9</v>
      </c>
      <c r="D17" s="364">
        <v>2</v>
      </c>
      <c r="E17" s="364">
        <v>4</v>
      </c>
      <c r="F17" s="364">
        <v>489.4</v>
      </c>
      <c r="G17" s="364">
        <v>0</v>
      </c>
      <c r="H17" s="364">
        <v>0</v>
      </c>
      <c r="I17" s="364">
        <v>2.4</v>
      </c>
      <c r="J17" s="364">
        <v>32.5</v>
      </c>
      <c r="K17" s="364">
        <v>179</v>
      </c>
      <c r="L17" s="364">
        <v>0</v>
      </c>
      <c r="M17" s="364">
        <v>0</v>
      </c>
      <c r="N17" s="364">
        <v>0</v>
      </c>
      <c r="O17" s="364">
        <v>0</v>
      </c>
      <c r="P17" s="364">
        <v>21</v>
      </c>
      <c r="Q17" s="364">
        <v>164</v>
      </c>
      <c r="R17" s="364">
        <v>21</v>
      </c>
      <c r="S17" s="364">
        <v>35</v>
      </c>
      <c r="T17" s="364">
        <v>0</v>
      </c>
      <c r="U17" s="364">
        <v>0</v>
      </c>
      <c r="V17" s="364">
        <v>0</v>
      </c>
      <c r="W17" s="364">
        <v>0</v>
      </c>
      <c r="X17" s="364">
        <v>0</v>
      </c>
      <c r="Y17" s="364">
        <v>0</v>
      </c>
      <c r="Z17" s="364">
        <v>0</v>
      </c>
      <c r="AA17" s="364">
        <v>0</v>
      </c>
      <c r="AB17" s="364">
        <v>0</v>
      </c>
      <c r="AC17" s="364">
        <v>0</v>
      </c>
      <c r="AD17" s="364">
        <v>0</v>
      </c>
      <c r="AE17" s="364">
        <v>0</v>
      </c>
      <c r="AF17" s="364">
        <v>0</v>
      </c>
      <c r="AG17" s="364">
        <v>0</v>
      </c>
      <c r="AH17" s="364">
        <v>0</v>
      </c>
      <c r="AI17" s="364">
        <v>0</v>
      </c>
      <c r="AJ17" s="364">
        <v>0</v>
      </c>
      <c r="AK17" s="364">
        <v>0</v>
      </c>
      <c r="AL17" s="364">
        <v>0</v>
      </c>
      <c r="AM17" s="364">
        <v>0</v>
      </c>
      <c r="AN17" s="364">
        <v>0</v>
      </c>
      <c r="AO17" s="364">
        <v>0</v>
      </c>
      <c r="AP17" s="364">
        <v>0</v>
      </c>
      <c r="AQ17" s="364">
        <v>0</v>
      </c>
      <c r="AR17" s="364">
        <v>34.5</v>
      </c>
      <c r="AS17" s="364">
        <v>0</v>
      </c>
      <c r="AT17" s="364">
        <v>0</v>
      </c>
      <c r="AU17" s="364">
        <v>0</v>
      </c>
      <c r="AV17" s="364">
        <v>0</v>
      </c>
      <c r="AW17" s="364">
        <v>0</v>
      </c>
    </row>
    <row r="18" spans="3:49" x14ac:dyDescent="0.3">
      <c r="C18" s="364">
        <v>9</v>
      </c>
      <c r="D18" s="364">
        <v>2</v>
      </c>
      <c r="E18" s="364">
        <v>5</v>
      </c>
      <c r="F18" s="364">
        <v>36.5</v>
      </c>
      <c r="G18" s="364">
        <v>36.5</v>
      </c>
      <c r="H18" s="364">
        <v>0</v>
      </c>
      <c r="I18" s="364">
        <v>0</v>
      </c>
      <c r="J18" s="364">
        <v>0</v>
      </c>
      <c r="K18" s="364">
        <v>0</v>
      </c>
      <c r="L18" s="364">
        <v>0</v>
      </c>
      <c r="M18" s="364">
        <v>0</v>
      </c>
      <c r="N18" s="364">
        <v>0</v>
      </c>
      <c r="O18" s="364">
        <v>0</v>
      </c>
      <c r="P18" s="364">
        <v>0</v>
      </c>
      <c r="Q18" s="364">
        <v>0</v>
      </c>
      <c r="R18" s="364">
        <v>0</v>
      </c>
      <c r="S18" s="364">
        <v>0</v>
      </c>
      <c r="T18" s="364">
        <v>0</v>
      </c>
      <c r="U18" s="364">
        <v>0</v>
      </c>
      <c r="V18" s="364">
        <v>0</v>
      </c>
      <c r="W18" s="364">
        <v>0</v>
      </c>
      <c r="X18" s="364">
        <v>0</v>
      </c>
      <c r="Y18" s="364">
        <v>0</v>
      </c>
      <c r="Z18" s="364">
        <v>0</v>
      </c>
      <c r="AA18" s="364">
        <v>0</v>
      </c>
      <c r="AB18" s="364">
        <v>0</v>
      </c>
      <c r="AC18" s="364">
        <v>0</v>
      </c>
      <c r="AD18" s="364">
        <v>0</v>
      </c>
      <c r="AE18" s="364">
        <v>0</v>
      </c>
      <c r="AF18" s="364">
        <v>0</v>
      </c>
      <c r="AG18" s="364">
        <v>0</v>
      </c>
      <c r="AH18" s="364">
        <v>0</v>
      </c>
      <c r="AI18" s="364">
        <v>0</v>
      </c>
      <c r="AJ18" s="364">
        <v>0</v>
      </c>
      <c r="AK18" s="364">
        <v>0</v>
      </c>
      <c r="AL18" s="364">
        <v>0</v>
      </c>
      <c r="AM18" s="364">
        <v>0</v>
      </c>
      <c r="AN18" s="364">
        <v>0</v>
      </c>
      <c r="AO18" s="364">
        <v>0</v>
      </c>
      <c r="AP18" s="364">
        <v>0</v>
      </c>
      <c r="AQ18" s="364">
        <v>0</v>
      </c>
      <c r="AR18" s="364">
        <v>0</v>
      </c>
      <c r="AS18" s="364">
        <v>0</v>
      </c>
      <c r="AT18" s="364">
        <v>0</v>
      </c>
      <c r="AU18" s="364">
        <v>0</v>
      </c>
      <c r="AV18" s="364">
        <v>0</v>
      </c>
      <c r="AW18" s="364">
        <v>0</v>
      </c>
    </row>
    <row r="19" spans="3:49" x14ac:dyDescent="0.3">
      <c r="C19" s="364">
        <v>9</v>
      </c>
      <c r="D19" s="364">
        <v>2</v>
      </c>
      <c r="E19" s="364">
        <v>6</v>
      </c>
      <c r="F19" s="364">
        <v>2613515</v>
      </c>
      <c r="G19" s="364">
        <v>17275</v>
      </c>
      <c r="H19" s="364">
        <v>0</v>
      </c>
      <c r="I19" s="364">
        <v>33319</v>
      </c>
      <c r="J19" s="364">
        <v>52419</v>
      </c>
      <c r="K19" s="364">
        <v>659171</v>
      </c>
      <c r="L19" s="364">
        <v>0</v>
      </c>
      <c r="M19" s="364">
        <v>0</v>
      </c>
      <c r="N19" s="364">
        <v>0</v>
      </c>
      <c r="O19" s="364">
        <v>0</v>
      </c>
      <c r="P19" s="364">
        <v>536680</v>
      </c>
      <c r="Q19" s="364">
        <v>898237</v>
      </c>
      <c r="R19" s="364">
        <v>225507</v>
      </c>
      <c r="S19" s="364">
        <v>91965</v>
      </c>
      <c r="T19" s="364">
        <v>0</v>
      </c>
      <c r="U19" s="364">
        <v>0</v>
      </c>
      <c r="V19" s="364">
        <v>0</v>
      </c>
      <c r="W19" s="364">
        <v>0</v>
      </c>
      <c r="X19" s="364">
        <v>0</v>
      </c>
      <c r="Y19" s="364">
        <v>0</v>
      </c>
      <c r="Z19" s="364">
        <v>0</v>
      </c>
      <c r="AA19" s="364">
        <v>0</v>
      </c>
      <c r="AB19" s="364">
        <v>0</v>
      </c>
      <c r="AC19" s="364">
        <v>0</v>
      </c>
      <c r="AD19" s="364">
        <v>0</v>
      </c>
      <c r="AE19" s="364">
        <v>0</v>
      </c>
      <c r="AF19" s="364">
        <v>0</v>
      </c>
      <c r="AG19" s="364">
        <v>0</v>
      </c>
      <c r="AH19" s="364">
        <v>0</v>
      </c>
      <c r="AI19" s="364">
        <v>0</v>
      </c>
      <c r="AJ19" s="364">
        <v>0</v>
      </c>
      <c r="AK19" s="364">
        <v>0</v>
      </c>
      <c r="AL19" s="364">
        <v>0</v>
      </c>
      <c r="AM19" s="364">
        <v>0</v>
      </c>
      <c r="AN19" s="364">
        <v>0</v>
      </c>
      <c r="AO19" s="364">
        <v>0</v>
      </c>
      <c r="AP19" s="364">
        <v>0</v>
      </c>
      <c r="AQ19" s="364">
        <v>0</v>
      </c>
      <c r="AR19" s="364">
        <v>75622</v>
      </c>
      <c r="AS19" s="364">
        <v>0</v>
      </c>
      <c r="AT19" s="364">
        <v>0</v>
      </c>
      <c r="AU19" s="364">
        <v>0</v>
      </c>
      <c r="AV19" s="364">
        <v>0</v>
      </c>
      <c r="AW19" s="364">
        <v>23320</v>
      </c>
    </row>
    <row r="20" spans="3:49" x14ac:dyDescent="0.3">
      <c r="C20" s="364">
        <v>9</v>
      </c>
      <c r="D20" s="364">
        <v>2</v>
      </c>
      <c r="E20" s="364">
        <v>9</v>
      </c>
      <c r="F20" s="364">
        <v>10292</v>
      </c>
      <c r="G20" s="364">
        <v>0</v>
      </c>
      <c r="H20" s="364">
        <v>0</v>
      </c>
      <c r="I20" s="364">
        <v>0</v>
      </c>
      <c r="J20" s="364">
        <v>0</v>
      </c>
      <c r="K20" s="364">
        <v>0</v>
      </c>
      <c r="L20" s="364">
        <v>0</v>
      </c>
      <c r="M20" s="364">
        <v>0</v>
      </c>
      <c r="N20" s="364">
        <v>0</v>
      </c>
      <c r="O20" s="364">
        <v>0</v>
      </c>
      <c r="P20" s="364">
        <v>5145</v>
      </c>
      <c r="Q20" s="364">
        <v>4118</v>
      </c>
      <c r="R20" s="364">
        <v>0</v>
      </c>
      <c r="S20" s="364">
        <v>1029</v>
      </c>
      <c r="T20" s="364">
        <v>0</v>
      </c>
      <c r="U20" s="364">
        <v>0</v>
      </c>
      <c r="V20" s="364">
        <v>0</v>
      </c>
      <c r="W20" s="364">
        <v>0</v>
      </c>
      <c r="X20" s="364">
        <v>0</v>
      </c>
      <c r="Y20" s="364">
        <v>0</v>
      </c>
      <c r="Z20" s="364">
        <v>0</v>
      </c>
      <c r="AA20" s="364">
        <v>0</v>
      </c>
      <c r="AB20" s="364">
        <v>0</v>
      </c>
      <c r="AC20" s="364">
        <v>0</v>
      </c>
      <c r="AD20" s="364">
        <v>0</v>
      </c>
      <c r="AE20" s="364">
        <v>0</v>
      </c>
      <c r="AF20" s="364">
        <v>0</v>
      </c>
      <c r="AG20" s="364">
        <v>0</v>
      </c>
      <c r="AH20" s="364">
        <v>0</v>
      </c>
      <c r="AI20" s="364">
        <v>0</v>
      </c>
      <c r="AJ20" s="364">
        <v>0</v>
      </c>
      <c r="AK20" s="364">
        <v>0</v>
      </c>
      <c r="AL20" s="364">
        <v>0</v>
      </c>
      <c r="AM20" s="364">
        <v>0</v>
      </c>
      <c r="AN20" s="364">
        <v>0</v>
      </c>
      <c r="AO20" s="364">
        <v>0</v>
      </c>
      <c r="AP20" s="364">
        <v>0</v>
      </c>
      <c r="AQ20" s="364">
        <v>0</v>
      </c>
      <c r="AR20" s="364">
        <v>0</v>
      </c>
      <c r="AS20" s="364">
        <v>0</v>
      </c>
      <c r="AT20" s="364">
        <v>0</v>
      </c>
      <c r="AU20" s="364">
        <v>0</v>
      </c>
      <c r="AV20" s="364">
        <v>0</v>
      </c>
      <c r="AW20" s="364">
        <v>0</v>
      </c>
    </row>
    <row r="21" spans="3:49" x14ac:dyDescent="0.3">
      <c r="C21" s="364">
        <v>9</v>
      </c>
      <c r="D21" s="364">
        <v>2</v>
      </c>
      <c r="E21" s="364">
        <v>11</v>
      </c>
      <c r="F21" s="364">
        <v>5217.5572519083971</v>
      </c>
      <c r="G21" s="364">
        <v>0</v>
      </c>
      <c r="H21" s="364">
        <v>0</v>
      </c>
      <c r="I21" s="364">
        <v>0</v>
      </c>
      <c r="J21" s="364">
        <v>1717.5572519083971</v>
      </c>
      <c r="K21" s="364">
        <v>0</v>
      </c>
      <c r="L21" s="364">
        <v>0</v>
      </c>
      <c r="M21" s="364">
        <v>0</v>
      </c>
      <c r="N21" s="364">
        <v>0</v>
      </c>
      <c r="O21" s="364">
        <v>3500</v>
      </c>
      <c r="P21" s="364">
        <v>0</v>
      </c>
      <c r="Q21" s="364">
        <v>0</v>
      </c>
      <c r="R21" s="364">
        <v>0</v>
      </c>
      <c r="S21" s="364">
        <v>0</v>
      </c>
      <c r="T21" s="364">
        <v>0</v>
      </c>
      <c r="U21" s="364">
        <v>0</v>
      </c>
      <c r="V21" s="364">
        <v>0</v>
      </c>
      <c r="W21" s="364">
        <v>0</v>
      </c>
      <c r="X21" s="364">
        <v>0</v>
      </c>
      <c r="Y21" s="364">
        <v>0</v>
      </c>
      <c r="Z21" s="364">
        <v>0</v>
      </c>
      <c r="AA21" s="364">
        <v>0</v>
      </c>
      <c r="AB21" s="364">
        <v>0</v>
      </c>
      <c r="AC21" s="364">
        <v>0</v>
      </c>
      <c r="AD21" s="364">
        <v>0</v>
      </c>
      <c r="AE21" s="364">
        <v>0</v>
      </c>
      <c r="AF21" s="364">
        <v>0</v>
      </c>
      <c r="AG21" s="364">
        <v>0</v>
      </c>
      <c r="AH21" s="364">
        <v>0</v>
      </c>
      <c r="AI21" s="364">
        <v>0</v>
      </c>
      <c r="AJ21" s="364">
        <v>0</v>
      </c>
      <c r="AK21" s="364">
        <v>0</v>
      </c>
      <c r="AL21" s="364">
        <v>0</v>
      </c>
      <c r="AM21" s="364">
        <v>0</v>
      </c>
      <c r="AN21" s="364">
        <v>0</v>
      </c>
      <c r="AO21" s="364">
        <v>0</v>
      </c>
      <c r="AP21" s="364">
        <v>0</v>
      </c>
      <c r="AQ21" s="364">
        <v>0</v>
      </c>
      <c r="AR21" s="364">
        <v>0</v>
      </c>
      <c r="AS21" s="364">
        <v>0</v>
      </c>
      <c r="AT21" s="364">
        <v>0</v>
      </c>
      <c r="AU21" s="364">
        <v>0</v>
      </c>
      <c r="AV21" s="364">
        <v>0</v>
      </c>
      <c r="AW21" s="364">
        <v>0</v>
      </c>
    </row>
    <row r="22" spans="3:49" x14ac:dyDescent="0.3">
      <c r="C22" s="364">
        <v>9</v>
      </c>
      <c r="D22" s="364">
        <v>3</v>
      </c>
      <c r="E22" s="364">
        <v>1</v>
      </c>
      <c r="F22" s="364">
        <v>67.3</v>
      </c>
      <c r="G22" s="364">
        <v>0</v>
      </c>
      <c r="H22" s="364">
        <v>0</v>
      </c>
      <c r="I22" s="364">
        <v>0.8</v>
      </c>
      <c r="J22" s="364">
        <v>1</v>
      </c>
      <c r="K22" s="364">
        <v>7.5</v>
      </c>
      <c r="L22" s="364">
        <v>0</v>
      </c>
      <c r="M22" s="364">
        <v>0</v>
      </c>
      <c r="N22" s="364">
        <v>0</v>
      </c>
      <c r="O22" s="364">
        <v>0</v>
      </c>
      <c r="P22" s="364">
        <v>16.25</v>
      </c>
      <c r="Q22" s="364">
        <v>27.25</v>
      </c>
      <c r="R22" s="364">
        <v>6</v>
      </c>
      <c r="S22" s="364">
        <v>3.5</v>
      </c>
      <c r="T22" s="364">
        <v>0</v>
      </c>
      <c r="U22" s="364">
        <v>0</v>
      </c>
      <c r="V22" s="364">
        <v>0</v>
      </c>
      <c r="W22" s="364">
        <v>0</v>
      </c>
      <c r="X22" s="364">
        <v>0</v>
      </c>
      <c r="Y22" s="364">
        <v>0</v>
      </c>
      <c r="Z22" s="364">
        <v>0</v>
      </c>
      <c r="AA22" s="364">
        <v>0</v>
      </c>
      <c r="AB22" s="364">
        <v>0</v>
      </c>
      <c r="AC22" s="364">
        <v>0</v>
      </c>
      <c r="AD22" s="364">
        <v>0</v>
      </c>
      <c r="AE22" s="364">
        <v>0</v>
      </c>
      <c r="AF22" s="364">
        <v>0</v>
      </c>
      <c r="AG22" s="364">
        <v>0</v>
      </c>
      <c r="AH22" s="364">
        <v>0</v>
      </c>
      <c r="AI22" s="364">
        <v>0</v>
      </c>
      <c r="AJ22" s="364">
        <v>0</v>
      </c>
      <c r="AK22" s="364">
        <v>0</v>
      </c>
      <c r="AL22" s="364">
        <v>0</v>
      </c>
      <c r="AM22" s="364">
        <v>0</v>
      </c>
      <c r="AN22" s="364">
        <v>0</v>
      </c>
      <c r="AO22" s="364">
        <v>0</v>
      </c>
      <c r="AP22" s="364">
        <v>0</v>
      </c>
      <c r="AQ22" s="364">
        <v>0</v>
      </c>
      <c r="AR22" s="364">
        <v>4</v>
      </c>
      <c r="AS22" s="364">
        <v>0</v>
      </c>
      <c r="AT22" s="364">
        <v>0</v>
      </c>
      <c r="AU22" s="364">
        <v>0</v>
      </c>
      <c r="AV22" s="364">
        <v>0</v>
      </c>
      <c r="AW22" s="364">
        <v>1</v>
      </c>
    </row>
    <row r="23" spans="3:49" x14ac:dyDescent="0.3">
      <c r="C23" s="364">
        <v>9</v>
      </c>
      <c r="D23" s="364">
        <v>3</v>
      </c>
      <c r="E23" s="364">
        <v>2</v>
      </c>
      <c r="F23" s="364">
        <v>10601.2</v>
      </c>
      <c r="G23" s="364">
        <v>0</v>
      </c>
      <c r="H23" s="364">
        <v>0</v>
      </c>
      <c r="I23" s="364">
        <v>147.19999999999999</v>
      </c>
      <c r="J23" s="364">
        <v>184</v>
      </c>
      <c r="K23" s="364">
        <v>1300</v>
      </c>
      <c r="L23" s="364">
        <v>0</v>
      </c>
      <c r="M23" s="364">
        <v>0</v>
      </c>
      <c r="N23" s="364">
        <v>0</v>
      </c>
      <c r="O23" s="364">
        <v>0</v>
      </c>
      <c r="P23" s="364">
        <v>2670</v>
      </c>
      <c r="Q23" s="364">
        <v>4044</v>
      </c>
      <c r="R23" s="364">
        <v>820</v>
      </c>
      <c r="S23" s="364">
        <v>576</v>
      </c>
      <c r="T23" s="364">
        <v>0</v>
      </c>
      <c r="U23" s="364">
        <v>0</v>
      </c>
      <c r="V23" s="364">
        <v>0</v>
      </c>
      <c r="W23" s="364">
        <v>0</v>
      </c>
      <c r="X23" s="364">
        <v>0</v>
      </c>
      <c r="Y23" s="364">
        <v>0</v>
      </c>
      <c r="Z23" s="364">
        <v>0</v>
      </c>
      <c r="AA23" s="364">
        <v>0</v>
      </c>
      <c r="AB23" s="364">
        <v>0</v>
      </c>
      <c r="AC23" s="364">
        <v>0</v>
      </c>
      <c r="AD23" s="364">
        <v>0</v>
      </c>
      <c r="AE23" s="364">
        <v>0</v>
      </c>
      <c r="AF23" s="364">
        <v>0</v>
      </c>
      <c r="AG23" s="364">
        <v>0</v>
      </c>
      <c r="AH23" s="364">
        <v>0</v>
      </c>
      <c r="AI23" s="364">
        <v>0</v>
      </c>
      <c r="AJ23" s="364">
        <v>0</v>
      </c>
      <c r="AK23" s="364">
        <v>0</v>
      </c>
      <c r="AL23" s="364">
        <v>0</v>
      </c>
      <c r="AM23" s="364">
        <v>0</v>
      </c>
      <c r="AN23" s="364">
        <v>0</v>
      </c>
      <c r="AO23" s="364">
        <v>0</v>
      </c>
      <c r="AP23" s="364">
        <v>0</v>
      </c>
      <c r="AQ23" s="364">
        <v>0</v>
      </c>
      <c r="AR23" s="364">
        <v>680</v>
      </c>
      <c r="AS23" s="364">
        <v>0</v>
      </c>
      <c r="AT23" s="364">
        <v>0</v>
      </c>
      <c r="AU23" s="364">
        <v>0</v>
      </c>
      <c r="AV23" s="364">
        <v>0</v>
      </c>
      <c r="AW23" s="364">
        <v>180</v>
      </c>
    </row>
    <row r="24" spans="3:49" x14ac:dyDescent="0.3">
      <c r="C24" s="364">
        <v>9</v>
      </c>
      <c r="D24" s="364">
        <v>3</v>
      </c>
      <c r="E24" s="364">
        <v>3</v>
      </c>
      <c r="F24" s="364">
        <v>434.8</v>
      </c>
      <c r="G24" s="364">
        <v>0</v>
      </c>
      <c r="H24" s="364">
        <v>0</v>
      </c>
      <c r="I24" s="364">
        <v>48.3</v>
      </c>
      <c r="J24" s="364">
        <v>0</v>
      </c>
      <c r="K24" s="364">
        <v>11.5</v>
      </c>
      <c r="L24" s="364">
        <v>0</v>
      </c>
      <c r="M24" s="364">
        <v>0</v>
      </c>
      <c r="N24" s="364">
        <v>0</v>
      </c>
      <c r="O24" s="364">
        <v>0</v>
      </c>
      <c r="P24" s="364">
        <v>197</v>
      </c>
      <c r="Q24" s="364">
        <v>148</v>
      </c>
      <c r="R24" s="364">
        <v>30</v>
      </c>
      <c r="S24" s="364">
        <v>0</v>
      </c>
      <c r="T24" s="364">
        <v>0</v>
      </c>
      <c r="U24" s="364">
        <v>0</v>
      </c>
      <c r="V24" s="364">
        <v>0</v>
      </c>
      <c r="W24" s="364">
        <v>0</v>
      </c>
      <c r="X24" s="364">
        <v>0</v>
      </c>
      <c r="Y24" s="364">
        <v>0</v>
      </c>
      <c r="Z24" s="364">
        <v>0</v>
      </c>
      <c r="AA24" s="364">
        <v>0</v>
      </c>
      <c r="AB24" s="364">
        <v>0</v>
      </c>
      <c r="AC24" s="364">
        <v>0</v>
      </c>
      <c r="AD24" s="364">
        <v>0</v>
      </c>
      <c r="AE24" s="364">
        <v>0</v>
      </c>
      <c r="AF24" s="364">
        <v>0</v>
      </c>
      <c r="AG24" s="364">
        <v>0</v>
      </c>
      <c r="AH24" s="364">
        <v>0</v>
      </c>
      <c r="AI24" s="364">
        <v>0</v>
      </c>
      <c r="AJ24" s="364">
        <v>0</v>
      </c>
      <c r="AK24" s="364">
        <v>0</v>
      </c>
      <c r="AL24" s="364">
        <v>0</v>
      </c>
      <c r="AM24" s="364">
        <v>0</v>
      </c>
      <c r="AN24" s="364">
        <v>0</v>
      </c>
      <c r="AO24" s="364">
        <v>0</v>
      </c>
      <c r="AP24" s="364">
        <v>0</v>
      </c>
      <c r="AQ24" s="364">
        <v>0</v>
      </c>
      <c r="AR24" s="364">
        <v>0</v>
      </c>
      <c r="AS24" s="364">
        <v>0</v>
      </c>
      <c r="AT24" s="364">
        <v>0</v>
      </c>
      <c r="AU24" s="364">
        <v>0</v>
      </c>
      <c r="AV24" s="364">
        <v>0</v>
      </c>
      <c r="AW24" s="364">
        <v>0</v>
      </c>
    </row>
    <row r="25" spans="3:49" x14ac:dyDescent="0.3">
      <c r="C25" s="364">
        <v>9</v>
      </c>
      <c r="D25" s="364">
        <v>3</v>
      </c>
      <c r="E25" s="364">
        <v>4</v>
      </c>
      <c r="F25" s="364">
        <v>485.8</v>
      </c>
      <c r="G25" s="364">
        <v>0</v>
      </c>
      <c r="H25" s="364">
        <v>0</v>
      </c>
      <c r="I25" s="364">
        <v>16.8</v>
      </c>
      <c r="J25" s="364">
        <v>34</v>
      </c>
      <c r="K25" s="364">
        <v>194.5</v>
      </c>
      <c r="L25" s="364">
        <v>0</v>
      </c>
      <c r="M25" s="364">
        <v>0</v>
      </c>
      <c r="N25" s="364">
        <v>0</v>
      </c>
      <c r="O25" s="364">
        <v>0</v>
      </c>
      <c r="P25" s="364">
        <v>71.75</v>
      </c>
      <c r="Q25" s="364">
        <v>112.25</v>
      </c>
      <c r="R25" s="364">
        <v>10</v>
      </c>
      <c r="S25" s="364">
        <v>10</v>
      </c>
      <c r="T25" s="364">
        <v>0</v>
      </c>
      <c r="U25" s="364">
        <v>0</v>
      </c>
      <c r="V25" s="364">
        <v>0</v>
      </c>
      <c r="W25" s="364">
        <v>0</v>
      </c>
      <c r="X25" s="364">
        <v>0</v>
      </c>
      <c r="Y25" s="364">
        <v>0</v>
      </c>
      <c r="Z25" s="364">
        <v>0</v>
      </c>
      <c r="AA25" s="364">
        <v>0</v>
      </c>
      <c r="AB25" s="364">
        <v>0</v>
      </c>
      <c r="AC25" s="364">
        <v>0</v>
      </c>
      <c r="AD25" s="364">
        <v>0</v>
      </c>
      <c r="AE25" s="364">
        <v>0</v>
      </c>
      <c r="AF25" s="364">
        <v>0</v>
      </c>
      <c r="AG25" s="364">
        <v>0</v>
      </c>
      <c r="AH25" s="364">
        <v>0</v>
      </c>
      <c r="AI25" s="364">
        <v>0</v>
      </c>
      <c r="AJ25" s="364">
        <v>0</v>
      </c>
      <c r="AK25" s="364">
        <v>0</v>
      </c>
      <c r="AL25" s="364">
        <v>0</v>
      </c>
      <c r="AM25" s="364">
        <v>0</v>
      </c>
      <c r="AN25" s="364">
        <v>0</v>
      </c>
      <c r="AO25" s="364">
        <v>0</v>
      </c>
      <c r="AP25" s="364">
        <v>0</v>
      </c>
      <c r="AQ25" s="364">
        <v>0</v>
      </c>
      <c r="AR25" s="364">
        <v>36.5</v>
      </c>
      <c r="AS25" s="364">
        <v>0</v>
      </c>
      <c r="AT25" s="364">
        <v>0</v>
      </c>
      <c r="AU25" s="364">
        <v>0</v>
      </c>
      <c r="AV25" s="364">
        <v>0</v>
      </c>
      <c r="AW25" s="364">
        <v>0</v>
      </c>
    </row>
    <row r="26" spans="3:49" x14ac:dyDescent="0.3">
      <c r="C26" s="364">
        <v>9</v>
      </c>
      <c r="D26" s="364">
        <v>3</v>
      </c>
      <c r="E26" s="364">
        <v>5</v>
      </c>
      <c r="F26" s="364">
        <v>36.5</v>
      </c>
      <c r="G26" s="364">
        <v>36.5</v>
      </c>
      <c r="H26" s="364">
        <v>0</v>
      </c>
      <c r="I26" s="364">
        <v>0</v>
      </c>
      <c r="J26" s="364">
        <v>0</v>
      </c>
      <c r="K26" s="364">
        <v>0</v>
      </c>
      <c r="L26" s="364">
        <v>0</v>
      </c>
      <c r="M26" s="364">
        <v>0</v>
      </c>
      <c r="N26" s="364">
        <v>0</v>
      </c>
      <c r="O26" s="364">
        <v>0</v>
      </c>
      <c r="P26" s="364">
        <v>0</v>
      </c>
      <c r="Q26" s="364">
        <v>0</v>
      </c>
      <c r="R26" s="364">
        <v>0</v>
      </c>
      <c r="S26" s="364">
        <v>0</v>
      </c>
      <c r="T26" s="364">
        <v>0</v>
      </c>
      <c r="U26" s="364">
        <v>0</v>
      </c>
      <c r="V26" s="364">
        <v>0</v>
      </c>
      <c r="W26" s="364">
        <v>0</v>
      </c>
      <c r="X26" s="364">
        <v>0</v>
      </c>
      <c r="Y26" s="364">
        <v>0</v>
      </c>
      <c r="Z26" s="364">
        <v>0</v>
      </c>
      <c r="AA26" s="364">
        <v>0</v>
      </c>
      <c r="AB26" s="364">
        <v>0</v>
      </c>
      <c r="AC26" s="364">
        <v>0</v>
      </c>
      <c r="AD26" s="364">
        <v>0</v>
      </c>
      <c r="AE26" s="364">
        <v>0</v>
      </c>
      <c r="AF26" s="364">
        <v>0</v>
      </c>
      <c r="AG26" s="364">
        <v>0</v>
      </c>
      <c r="AH26" s="364">
        <v>0</v>
      </c>
      <c r="AI26" s="364">
        <v>0</v>
      </c>
      <c r="AJ26" s="364">
        <v>0</v>
      </c>
      <c r="AK26" s="364">
        <v>0</v>
      </c>
      <c r="AL26" s="364">
        <v>0</v>
      </c>
      <c r="AM26" s="364">
        <v>0</v>
      </c>
      <c r="AN26" s="364">
        <v>0</v>
      </c>
      <c r="AO26" s="364">
        <v>0</v>
      </c>
      <c r="AP26" s="364">
        <v>0</v>
      </c>
      <c r="AQ26" s="364">
        <v>0</v>
      </c>
      <c r="AR26" s="364">
        <v>0</v>
      </c>
      <c r="AS26" s="364">
        <v>0</v>
      </c>
      <c r="AT26" s="364">
        <v>0</v>
      </c>
      <c r="AU26" s="364">
        <v>0</v>
      </c>
      <c r="AV26" s="364">
        <v>0</v>
      </c>
      <c r="AW26" s="364">
        <v>0</v>
      </c>
    </row>
    <row r="27" spans="3:49" x14ac:dyDescent="0.3">
      <c r="C27" s="364">
        <v>9</v>
      </c>
      <c r="D27" s="364">
        <v>3</v>
      </c>
      <c r="E27" s="364">
        <v>6</v>
      </c>
      <c r="F27" s="364">
        <v>2697836</v>
      </c>
      <c r="G27" s="364">
        <v>17275</v>
      </c>
      <c r="H27" s="364">
        <v>0</v>
      </c>
      <c r="I27" s="364">
        <v>40054</v>
      </c>
      <c r="J27" s="364">
        <v>53499</v>
      </c>
      <c r="K27" s="364">
        <v>670660</v>
      </c>
      <c r="L27" s="364">
        <v>0</v>
      </c>
      <c r="M27" s="364">
        <v>0</v>
      </c>
      <c r="N27" s="364">
        <v>0</v>
      </c>
      <c r="O27" s="364">
        <v>0</v>
      </c>
      <c r="P27" s="364">
        <v>536381</v>
      </c>
      <c r="Q27" s="364">
        <v>980714</v>
      </c>
      <c r="R27" s="364">
        <v>213356</v>
      </c>
      <c r="S27" s="364">
        <v>83078</v>
      </c>
      <c r="T27" s="364">
        <v>0</v>
      </c>
      <c r="U27" s="364">
        <v>0</v>
      </c>
      <c r="V27" s="364">
        <v>0</v>
      </c>
      <c r="W27" s="364">
        <v>0</v>
      </c>
      <c r="X27" s="364">
        <v>0</v>
      </c>
      <c r="Y27" s="364">
        <v>0</v>
      </c>
      <c r="Z27" s="364">
        <v>0</v>
      </c>
      <c r="AA27" s="364">
        <v>0</v>
      </c>
      <c r="AB27" s="364">
        <v>0</v>
      </c>
      <c r="AC27" s="364">
        <v>0</v>
      </c>
      <c r="AD27" s="364">
        <v>0</v>
      </c>
      <c r="AE27" s="364">
        <v>0</v>
      </c>
      <c r="AF27" s="364">
        <v>0</v>
      </c>
      <c r="AG27" s="364">
        <v>0</v>
      </c>
      <c r="AH27" s="364">
        <v>0</v>
      </c>
      <c r="AI27" s="364">
        <v>0</v>
      </c>
      <c r="AJ27" s="364">
        <v>0</v>
      </c>
      <c r="AK27" s="364">
        <v>0</v>
      </c>
      <c r="AL27" s="364">
        <v>0</v>
      </c>
      <c r="AM27" s="364">
        <v>0</v>
      </c>
      <c r="AN27" s="364">
        <v>0</v>
      </c>
      <c r="AO27" s="364">
        <v>0</v>
      </c>
      <c r="AP27" s="364">
        <v>0</v>
      </c>
      <c r="AQ27" s="364">
        <v>0</v>
      </c>
      <c r="AR27" s="364">
        <v>79430</v>
      </c>
      <c r="AS27" s="364">
        <v>0</v>
      </c>
      <c r="AT27" s="364">
        <v>0</v>
      </c>
      <c r="AU27" s="364">
        <v>0</v>
      </c>
      <c r="AV27" s="364">
        <v>0</v>
      </c>
      <c r="AW27" s="364">
        <v>23389</v>
      </c>
    </row>
    <row r="28" spans="3:49" x14ac:dyDescent="0.3">
      <c r="C28" s="364">
        <v>9</v>
      </c>
      <c r="D28" s="364">
        <v>3</v>
      </c>
      <c r="E28" s="364">
        <v>11</v>
      </c>
      <c r="F28" s="364">
        <v>5217.5572519083971</v>
      </c>
      <c r="G28" s="364">
        <v>0</v>
      </c>
      <c r="H28" s="364">
        <v>0</v>
      </c>
      <c r="I28" s="364">
        <v>0</v>
      </c>
      <c r="J28" s="364">
        <v>1717.5572519083971</v>
      </c>
      <c r="K28" s="364">
        <v>0</v>
      </c>
      <c r="L28" s="364">
        <v>0</v>
      </c>
      <c r="M28" s="364">
        <v>0</v>
      </c>
      <c r="N28" s="364">
        <v>0</v>
      </c>
      <c r="O28" s="364">
        <v>3500</v>
      </c>
      <c r="P28" s="364">
        <v>0</v>
      </c>
      <c r="Q28" s="364">
        <v>0</v>
      </c>
      <c r="R28" s="364">
        <v>0</v>
      </c>
      <c r="S28" s="364">
        <v>0</v>
      </c>
      <c r="T28" s="364">
        <v>0</v>
      </c>
      <c r="U28" s="364">
        <v>0</v>
      </c>
      <c r="V28" s="364">
        <v>0</v>
      </c>
      <c r="W28" s="364">
        <v>0</v>
      </c>
      <c r="X28" s="364">
        <v>0</v>
      </c>
      <c r="Y28" s="364">
        <v>0</v>
      </c>
      <c r="Z28" s="364">
        <v>0</v>
      </c>
      <c r="AA28" s="364">
        <v>0</v>
      </c>
      <c r="AB28" s="364">
        <v>0</v>
      </c>
      <c r="AC28" s="364">
        <v>0</v>
      </c>
      <c r="AD28" s="364">
        <v>0</v>
      </c>
      <c r="AE28" s="364">
        <v>0</v>
      </c>
      <c r="AF28" s="364">
        <v>0</v>
      </c>
      <c r="AG28" s="364">
        <v>0</v>
      </c>
      <c r="AH28" s="364">
        <v>0</v>
      </c>
      <c r="AI28" s="364">
        <v>0</v>
      </c>
      <c r="AJ28" s="364">
        <v>0</v>
      </c>
      <c r="AK28" s="364">
        <v>0</v>
      </c>
      <c r="AL28" s="364">
        <v>0</v>
      </c>
      <c r="AM28" s="364">
        <v>0</v>
      </c>
      <c r="AN28" s="364">
        <v>0</v>
      </c>
      <c r="AO28" s="364">
        <v>0</v>
      </c>
      <c r="AP28" s="364">
        <v>0</v>
      </c>
      <c r="AQ28" s="364">
        <v>0</v>
      </c>
      <c r="AR28" s="364">
        <v>0</v>
      </c>
      <c r="AS28" s="364">
        <v>0</v>
      </c>
      <c r="AT28" s="364">
        <v>0</v>
      </c>
      <c r="AU28" s="364">
        <v>0</v>
      </c>
      <c r="AV28" s="364">
        <v>0</v>
      </c>
      <c r="AW28" s="364">
        <v>0</v>
      </c>
    </row>
    <row r="29" spans="3:49" x14ac:dyDescent="0.3">
      <c r="C29" s="364">
        <v>9</v>
      </c>
      <c r="D29" s="364">
        <v>4</v>
      </c>
      <c r="E29" s="364">
        <v>1</v>
      </c>
      <c r="F29" s="364">
        <v>65.3</v>
      </c>
      <c r="G29" s="364">
        <v>0</v>
      </c>
      <c r="H29" s="364">
        <v>0</v>
      </c>
      <c r="I29" s="364">
        <v>0.8</v>
      </c>
      <c r="J29" s="364">
        <v>1</v>
      </c>
      <c r="K29" s="364">
        <v>7.5</v>
      </c>
      <c r="L29" s="364">
        <v>0</v>
      </c>
      <c r="M29" s="364">
        <v>0</v>
      </c>
      <c r="N29" s="364">
        <v>0</v>
      </c>
      <c r="O29" s="364">
        <v>0</v>
      </c>
      <c r="P29" s="364">
        <v>13</v>
      </c>
      <c r="Q29" s="364">
        <v>27.75</v>
      </c>
      <c r="R29" s="364">
        <v>6.75</v>
      </c>
      <c r="S29" s="364">
        <v>3.5</v>
      </c>
      <c r="T29" s="364">
        <v>0</v>
      </c>
      <c r="U29" s="364">
        <v>0</v>
      </c>
      <c r="V29" s="364">
        <v>0</v>
      </c>
      <c r="W29" s="364">
        <v>0</v>
      </c>
      <c r="X29" s="364">
        <v>0</v>
      </c>
      <c r="Y29" s="364">
        <v>0</v>
      </c>
      <c r="Z29" s="364">
        <v>0</v>
      </c>
      <c r="AA29" s="364">
        <v>0</v>
      </c>
      <c r="AB29" s="364">
        <v>0</v>
      </c>
      <c r="AC29" s="364">
        <v>0</v>
      </c>
      <c r="AD29" s="364">
        <v>0</v>
      </c>
      <c r="AE29" s="364">
        <v>0</v>
      </c>
      <c r="AF29" s="364">
        <v>0</v>
      </c>
      <c r="AG29" s="364">
        <v>0</v>
      </c>
      <c r="AH29" s="364">
        <v>0</v>
      </c>
      <c r="AI29" s="364">
        <v>0</v>
      </c>
      <c r="AJ29" s="364">
        <v>0</v>
      </c>
      <c r="AK29" s="364">
        <v>0</v>
      </c>
      <c r="AL29" s="364">
        <v>0</v>
      </c>
      <c r="AM29" s="364">
        <v>0</v>
      </c>
      <c r="AN29" s="364">
        <v>0</v>
      </c>
      <c r="AO29" s="364">
        <v>0</v>
      </c>
      <c r="AP29" s="364">
        <v>0</v>
      </c>
      <c r="AQ29" s="364">
        <v>0</v>
      </c>
      <c r="AR29" s="364">
        <v>4</v>
      </c>
      <c r="AS29" s="364">
        <v>0</v>
      </c>
      <c r="AT29" s="364">
        <v>0</v>
      </c>
      <c r="AU29" s="364">
        <v>0</v>
      </c>
      <c r="AV29" s="364">
        <v>0</v>
      </c>
      <c r="AW29" s="364">
        <v>1</v>
      </c>
    </row>
    <row r="30" spans="3:49" x14ac:dyDescent="0.3">
      <c r="C30" s="364">
        <v>9</v>
      </c>
      <c r="D30" s="364">
        <v>4</v>
      </c>
      <c r="E30" s="364">
        <v>2</v>
      </c>
      <c r="F30" s="364">
        <v>9983.15</v>
      </c>
      <c r="G30" s="364">
        <v>0</v>
      </c>
      <c r="H30" s="364">
        <v>0</v>
      </c>
      <c r="I30" s="364">
        <v>134.4</v>
      </c>
      <c r="J30" s="364">
        <v>128</v>
      </c>
      <c r="K30" s="364">
        <v>1240</v>
      </c>
      <c r="L30" s="364">
        <v>0</v>
      </c>
      <c r="M30" s="364">
        <v>0</v>
      </c>
      <c r="N30" s="364">
        <v>0</v>
      </c>
      <c r="O30" s="364">
        <v>0</v>
      </c>
      <c r="P30" s="364">
        <v>1932</v>
      </c>
      <c r="Q30" s="364">
        <v>4164</v>
      </c>
      <c r="R30" s="364">
        <v>1068</v>
      </c>
      <c r="S30" s="364">
        <v>552</v>
      </c>
      <c r="T30" s="364">
        <v>0</v>
      </c>
      <c r="U30" s="364">
        <v>0</v>
      </c>
      <c r="V30" s="364">
        <v>0</v>
      </c>
      <c r="W30" s="364">
        <v>0</v>
      </c>
      <c r="X30" s="364">
        <v>0</v>
      </c>
      <c r="Y30" s="364">
        <v>0</v>
      </c>
      <c r="Z30" s="364">
        <v>0</v>
      </c>
      <c r="AA30" s="364">
        <v>0</v>
      </c>
      <c r="AB30" s="364">
        <v>0</v>
      </c>
      <c r="AC30" s="364">
        <v>0</v>
      </c>
      <c r="AD30" s="364">
        <v>0</v>
      </c>
      <c r="AE30" s="364">
        <v>0</v>
      </c>
      <c r="AF30" s="364">
        <v>0</v>
      </c>
      <c r="AG30" s="364">
        <v>0</v>
      </c>
      <c r="AH30" s="364">
        <v>0</v>
      </c>
      <c r="AI30" s="364">
        <v>0</v>
      </c>
      <c r="AJ30" s="364">
        <v>0</v>
      </c>
      <c r="AK30" s="364">
        <v>0</v>
      </c>
      <c r="AL30" s="364">
        <v>0</v>
      </c>
      <c r="AM30" s="364">
        <v>0</v>
      </c>
      <c r="AN30" s="364">
        <v>0</v>
      </c>
      <c r="AO30" s="364">
        <v>0</v>
      </c>
      <c r="AP30" s="364">
        <v>0</v>
      </c>
      <c r="AQ30" s="364">
        <v>0</v>
      </c>
      <c r="AR30" s="364">
        <v>600.75</v>
      </c>
      <c r="AS30" s="364">
        <v>0</v>
      </c>
      <c r="AT30" s="364">
        <v>0</v>
      </c>
      <c r="AU30" s="364">
        <v>0</v>
      </c>
      <c r="AV30" s="364">
        <v>0</v>
      </c>
      <c r="AW30" s="364">
        <v>164</v>
      </c>
    </row>
    <row r="31" spans="3:49" x14ac:dyDescent="0.3">
      <c r="C31" s="364">
        <v>9</v>
      </c>
      <c r="D31" s="364">
        <v>4</v>
      </c>
      <c r="E31" s="364">
        <v>3</v>
      </c>
      <c r="F31" s="364">
        <v>558.70000000000005</v>
      </c>
      <c r="G31" s="364">
        <v>0</v>
      </c>
      <c r="H31" s="364">
        <v>0</v>
      </c>
      <c r="I31" s="364">
        <v>33.6</v>
      </c>
      <c r="J31" s="364">
        <v>0</v>
      </c>
      <c r="K31" s="364">
        <v>10.1</v>
      </c>
      <c r="L31" s="364">
        <v>0</v>
      </c>
      <c r="M31" s="364">
        <v>0</v>
      </c>
      <c r="N31" s="364">
        <v>0</v>
      </c>
      <c r="O31" s="364">
        <v>0</v>
      </c>
      <c r="P31" s="364">
        <v>276</v>
      </c>
      <c r="Q31" s="364">
        <v>149</v>
      </c>
      <c r="R31" s="364">
        <v>55</v>
      </c>
      <c r="S31" s="364">
        <v>35</v>
      </c>
      <c r="T31" s="364">
        <v>0</v>
      </c>
      <c r="U31" s="364">
        <v>0</v>
      </c>
      <c r="V31" s="364">
        <v>0</v>
      </c>
      <c r="W31" s="364">
        <v>0</v>
      </c>
      <c r="X31" s="364">
        <v>0</v>
      </c>
      <c r="Y31" s="364">
        <v>0</v>
      </c>
      <c r="Z31" s="364">
        <v>0</v>
      </c>
      <c r="AA31" s="364">
        <v>0</v>
      </c>
      <c r="AB31" s="364">
        <v>0</v>
      </c>
      <c r="AC31" s="364">
        <v>0</v>
      </c>
      <c r="AD31" s="364">
        <v>0</v>
      </c>
      <c r="AE31" s="364">
        <v>0</v>
      </c>
      <c r="AF31" s="364">
        <v>0</v>
      </c>
      <c r="AG31" s="364">
        <v>0</v>
      </c>
      <c r="AH31" s="364">
        <v>0</v>
      </c>
      <c r="AI31" s="364">
        <v>0</v>
      </c>
      <c r="AJ31" s="364">
        <v>0</v>
      </c>
      <c r="AK31" s="364">
        <v>0</v>
      </c>
      <c r="AL31" s="364">
        <v>0</v>
      </c>
      <c r="AM31" s="364">
        <v>0</v>
      </c>
      <c r="AN31" s="364">
        <v>0</v>
      </c>
      <c r="AO31" s="364">
        <v>0</v>
      </c>
      <c r="AP31" s="364">
        <v>0</v>
      </c>
      <c r="AQ31" s="364">
        <v>0</v>
      </c>
      <c r="AR31" s="364">
        <v>0</v>
      </c>
      <c r="AS31" s="364">
        <v>0</v>
      </c>
      <c r="AT31" s="364">
        <v>0</v>
      </c>
      <c r="AU31" s="364">
        <v>0</v>
      </c>
      <c r="AV31" s="364">
        <v>0</v>
      </c>
      <c r="AW31" s="364">
        <v>0</v>
      </c>
    </row>
    <row r="32" spans="3:49" x14ac:dyDescent="0.3">
      <c r="C32" s="364">
        <v>9</v>
      </c>
      <c r="D32" s="364">
        <v>4</v>
      </c>
      <c r="E32" s="364">
        <v>4</v>
      </c>
      <c r="F32" s="364">
        <v>665.3</v>
      </c>
      <c r="G32" s="364">
        <v>0</v>
      </c>
      <c r="H32" s="364">
        <v>0</v>
      </c>
      <c r="I32" s="364">
        <v>14.4</v>
      </c>
      <c r="J32" s="364">
        <v>34</v>
      </c>
      <c r="K32" s="364">
        <v>185.4</v>
      </c>
      <c r="L32" s="364">
        <v>0</v>
      </c>
      <c r="M32" s="364">
        <v>0</v>
      </c>
      <c r="N32" s="364">
        <v>0</v>
      </c>
      <c r="O32" s="364">
        <v>0</v>
      </c>
      <c r="P32" s="364">
        <v>45</v>
      </c>
      <c r="Q32" s="364">
        <v>237</v>
      </c>
      <c r="R32" s="364">
        <v>75</v>
      </c>
      <c r="S32" s="364">
        <v>30</v>
      </c>
      <c r="T32" s="364">
        <v>0</v>
      </c>
      <c r="U32" s="364">
        <v>0</v>
      </c>
      <c r="V32" s="364">
        <v>0</v>
      </c>
      <c r="W32" s="364">
        <v>0</v>
      </c>
      <c r="X32" s="364">
        <v>0</v>
      </c>
      <c r="Y32" s="364">
        <v>0</v>
      </c>
      <c r="Z32" s="364">
        <v>0</v>
      </c>
      <c r="AA32" s="364">
        <v>0</v>
      </c>
      <c r="AB32" s="364">
        <v>0</v>
      </c>
      <c r="AC32" s="364">
        <v>0</v>
      </c>
      <c r="AD32" s="364">
        <v>0</v>
      </c>
      <c r="AE32" s="364">
        <v>0</v>
      </c>
      <c r="AF32" s="364">
        <v>0</v>
      </c>
      <c r="AG32" s="364">
        <v>0</v>
      </c>
      <c r="AH32" s="364">
        <v>0</v>
      </c>
      <c r="AI32" s="364">
        <v>0</v>
      </c>
      <c r="AJ32" s="364">
        <v>0</v>
      </c>
      <c r="AK32" s="364">
        <v>0</v>
      </c>
      <c r="AL32" s="364">
        <v>0</v>
      </c>
      <c r="AM32" s="364">
        <v>0</v>
      </c>
      <c r="AN32" s="364">
        <v>0</v>
      </c>
      <c r="AO32" s="364">
        <v>0</v>
      </c>
      <c r="AP32" s="364">
        <v>0</v>
      </c>
      <c r="AQ32" s="364">
        <v>0</v>
      </c>
      <c r="AR32" s="364">
        <v>44.5</v>
      </c>
      <c r="AS32" s="364">
        <v>0</v>
      </c>
      <c r="AT32" s="364">
        <v>0</v>
      </c>
      <c r="AU32" s="364">
        <v>0</v>
      </c>
      <c r="AV32" s="364">
        <v>0</v>
      </c>
      <c r="AW32" s="364">
        <v>0</v>
      </c>
    </row>
    <row r="33" spans="3:49" x14ac:dyDescent="0.3">
      <c r="C33" s="364">
        <v>9</v>
      </c>
      <c r="D33" s="364">
        <v>4</v>
      </c>
      <c r="E33" s="364">
        <v>5</v>
      </c>
      <c r="F33" s="364">
        <v>41.5</v>
      </c>
      <c r="G33" s="364">
        <v>41.5</v>
      </c>
      <c r="H33" s="364">
        <v>0</v>
      </c>
      <c r="I33" s="364">
        <v>0</v>
      </c>
      <c r="J33" s="364">
        <v>0</v>
      </c>
      <c r="K33" s="364">
        <v>0</v>
      </c>
      <c r="L33" s="364">
        <v>0</v>
      </c>
      <c r="M33" s="364">
        <v>0</v>
      </c>
      <c r="N33" s="364">
        <v>0</v>
      </c>
      <c r="O33" s="364">
        <v>0</v>
      </c>
      <c r="P33" s="364">
        <v>0</v>
      </c>
      <c r="Q33" s="364">
        <v>0</v>
      </c>
      <c r="R33" s="364">
        <v>0</v>
      </c>
      <c r="S33" s="364">
        <v>0</v>
      </c>
      <c r="T33" s="364">
        <v>0</v>
      </c>
      <c r="U33" s="364">
        <v>0</v>
      </c>
      <c r="V33" s="364">
        <v>0</v>
      </c>
      <c r="W33" s="364">
        <v>0</v>
      </c>
      <c r="X33" s="364">
        <v>0</v>
      </c>
      <c r="Y33" s="364">
        <v>0</v>
      </c>
      <c r="Z33" s="364">
        <v>0</v>
      </c>
      <c r="AA33" s="364">
        <v>0</v>
      </c>
      <c r="AB33" s="364">
        <v>0</v>
      </c>
      <c r="AC33" s="364">
        <v>0</v>
      </c>
      <c r="AD33" s="364">
        <v>0</v>
      </c>
      <c r="AE33" s="364">
        <v>0</v>
      </c>
      <c r="AF33" s="364">
        <v>0</v>
      </c>
      <c r="AG33" s="364">
        <v>0</v>
      </c>
      <c r="AH33" s="364">
        <v>0</v>
      </c>
      <c r="AI33" s="364">
        <v>0</v>
      </c>
      <c r="AJ33" s="364">
        <v>0</v>
      </c>
      <c r="AK33" s="364">
        <v>0</v>
      </c>
      <c r="AL33" s="364">
        <v>0</v>
      </c>
      <c r="AM33" s="364">
        <v>0</v>
      </c>
      <c r="AN33" s="364">
        <v>0</v>
      </c>
      <c r="AO33" s="364">
        <v>0</v>
      </c>
      <c r="AP33" s="364">
        <v>0</v>
      </c>
      <c r="AQ33" s="364">
        <v>0</v>
      </c>
      <c r="AR33" s="364">
        <v>0</v>
      </c>
      <c r="AS33" s="364">
        <v>0</v>
      </c>
      <c r="AT33" s="364">
        <v>0</v>
      </c>
      <c r="AU33" s="364">
        <v>0</v>
      </c>
      <c r="AV33" s="364">
        <v>0</v>
      </c>
      <c r="AW33" s="364">
        <v>0</v>
      </c>
    </row>
    <row r="34" spans="3:49" x14ac:dyDescent="0.3">
      <c r="C34" s="364">
        <v>9</v>
      </c>
      <c r="D34" s="364">
        <v>4</v>
      </c>
      <c r="E34" s="364">
        <v>6</v>
      </c>
      <c r="F34" s="364">
        <v>2722577</v>
      </c>
      <c r="G34" s="364">
        <v>19775</v>
      </c>
      <c r="H34" s="364">
        <v>0</v>
      </c>
      <c r="I34" s="364">
        <v>35407</v>
      </c>
      <c r="J34" s="364">
        <v>54418</v>
      </c>
      <c r="K34" s="364">
        <v>665974</v>
      </c>
      <c r="L34" s="364">
        <v>0</v>
      </c>
      <c r="M34" s="364">
        <v>0</v>
      </c>
      <c r="N34" s="364">
        <v>0</v>
      </c>
      <c r="O34" s="364">
        <v>0</v>
      </c>
      <c r="P34" s="364">
        <v>438403</v>
      </c>
      <c r="Q34" s="364">
        <v>1025445</v>
      </c>
      <c r="R34" s="364">
        <v>286617</v>
      </c>
      <c r="S34" s="364">
        <v>94490</v>
      </c>
      <c r="T34" s="364">
        <v>0</v>
      </c>
      <c r="U34" s="364">
        <v>0</v>
      </c>
      <c r="V34" s="364">
        <v>0</v>
      </c>
      <c r="W34" s="364">
        <v>0</v>
      </c>
      <c r="X34" s="364">
        <v>0</v>
      </c>
      <c r="Y34" s="364">
        <v>0</v>
      </c>
      <c r="Z34" s="364">
        <v>0</v>
      </c>
      <c r="AA34" s="364">
        <v>0</v>
      </c>
      <c r="AB34" s="364">
        <v>0</v>
      </c>
      <c r="AC34" s="364">
        <v>0</v>
      </c>
      <c r="AD34" s="364">
        <v>0</v>
      </c>
      <c r="AE34" s="364">
        <v>0</v>
      </c>
      <c r="AF34" s="364">
        <v>0</v>
      </c>
      <c r="AG34" s="364">
        <v>0</v>
      </c>
      <c r="AH34" s="364">
        <v>0</v>
      </c>
      <c r="AI34" s="364">
        <v>0</v>
      </c>
      <c r="AJ34" s="364">
        <v>0</v>
      </c>
      <c r="AK34" s="364">
        <v>0</v>
      </c>
      <c r="AL34" s="364">
        <v>0</v>
      </c>
      <c r="AM34" s="364">
        <v>0</v>
      </c>
      <c r="AN34" s="364">
        <v>0</v>
      </c>
      <c r="AO34" s="364">
        <v>0</v>
      </c>
      <c r="AP34" s="364">
        <v>0</v>
      </c>
      <c r="AQ34" s="364">
        <v>0</v>
      </c>
      <c r="AR34" s="364">
        <v>78713</v>
      </c>
      <c r="AS34" s="364">
        <v>0</v>
      </c>
      <c r="AT34" s="364">
        <v>0</v>
      </c>
      <c r="AU34" s="364">
        <v>0</v>
      </c>
      <c r="AV34" s="364">
        <v>0</v>
      </c>
      <c r="AW34" s="364">
        <v>23335</v>
      </c>
    </row>
    <row r="35" spans="3:49" x14ac:dyDescent="0.3">
      <c r="C35" s="364">
        <v>9</v>
      </c>
      <c r="D35" s="364">
        <v>4</v>
      </c>
      <c r="E35" s="364">
        <v>9</v>
      </c>
      <c r="F35" s="364">
        <v>65308</v>
      </c>
      <c r="G35" s="364">
        <v>0</v>
      </c>
      <c r="H35" s="364">
        <v>0</v>
      </c>
      <c r="I35" s="364">
        <v>0</v>
      </c>
      <c r="J35" s="364">
        <v>0</v>
      </c>
      <c r="K35" s="364">
        <v>16800</v>
      </c>
      <c r="L35" s="364">
        <v>0</v>
      </c>
      <c r="M35" s="364">
        <v>0</v>
      </c>
      <c r="N35" s="364">
        <v>0</v>
      </c>
      <c r="O35" s="364">
        <v>0</v>
      </c>
      <c r="P35" s="364">
        <v>17201</v>
      </c>
      <c r="Q35" s="364">
        <v>21362</v>
      </c>
      <c r="R35" s="364">
        <v>5430</v>
      </c>
      <c r="S35" s="364">
        <v>4515</v>
      </c>
      <c r="T35" s="364">
        <v>0</v>
      </c>
      <c r="U35" s="364">
        <v>0</v>
      </c>
      <c r="V35" s="364">
        <v>0</v>
      </c>
      <c r="W35" s="364">
        <v>0</v>
      </c>
      <c r="X35" s="364">
        <v>0</v>
      </c>
      <c r="Y35" s="364">
        <v>0</v>
      </c>
      <c r="Z35" s="364">
        <v>0</v>
      </c>
      <c r="AA35" s="364">
        <v>0</v>
      </c>
      <c r="AB35" s="364">
        <v>0</v>
      </c>
      <c r="AC35" s="364">
        <v>0</v>
      </c>
      <c r="AD35" s="364">
        <v>0</v>
      </c>
      <c r="AE35" s="364">
        <v>0</v>
      </c>
      <c r="AF35" s="364">
        <v>0</v>
      </c>
      <c r="AG35" s="364">
        <v>0</v>
      </c>
      <c r="AH35" s="364">
        <v>0</v>
      </c>
      <c r="AI35" s="364">
        <v>0</v>
      </c>
      <c r="AJ35" s="364">
        <v>0</v>
      </c>
      <c r="AK35" s="364">
        <v>0</v>
      </c>
      <c r="AL35" s="364">
        <v>0</v>
      </c>
      <c r="AM35" s="364">
        <v>0</v>
      </c>
      <c r="AN35" s="364">
        <v>0</v>
      </c>
      <c r="AO35" s="364">
        <v>0</v>
      </c>
      <c r="AP35" s="364">
        <v>0</v>
      </c>
      <c r="AQ35" s="364">
        <v>0</v>
      </c>
      <c r="AR35" s="364">
        <v>0</v>
      </c>
      <c r="AS35" s="364">
        <v>0</v>
      </c>
      <c r="AT35" s="364">
        <v>0</v>
      </c>
      <c r="AU35" s="364">
        <v>0</v>
      </c>
      <c r="AV35" s="364">
        <v>0</v>
      </c>
      <c r="AW35" s="364">
        <v>0</v>
      </c>
    </row>
    <row r="36" spans="3:49" x14ac:dyDescent="0.3">
      <c r="C36" s="364">
        <v>9</v>
      </c>
      <c r="D36" s="364">
        <v>4</v>
      </c>
      <c r="E36" s="364">
        <v>10</v>
      </c>
      <c r="F36" s="364">
        <v>15100</v>
      </c>
      <c r="G36" s="364">
        <v>0</v>
      </c>
      <c r="H36" s="364">
        <v>0</v>
      </c>
      <c r="I36" s="364">
        <v>0</v>
      </c>
      <c r="J36" s="364">
        <v>3000</v>
      </c>
      <c r="K36" s="364">
        <v>0</v>
      </c>
      <c r="L36" s="364">
        <v>0</v>
      </c>
      <c r="M36" s="364">
        <v>0</v>
      </c>
      <c r="N36" s="364">
        <v>0</v>
      </c>
      <c r="O36" s="364">
        <v>12100</v>
      </c>
      <c r="P36" s="364">
        <v>0</v>
      </c>
      <c r="Q36" s="364">
        <v>0</v>
      </c>
      <c r="R36" s="364">
        <v>0</v>
      </c>
      <c r="S36" s="364">
        <v>0</v>
      </c>
      <c r="T36" s="364">
        <v>0</v>
      </c>
      <c r="U36" s="364">
        <v>0</v>
      </c>
      <c r="V36" s="364">
        <v>0</v>
      </c>
      <c r="W36" s="364">
        <v>0</v>
      </c>
      <c r="X36" s="364">
        <v>0</v>
      </c>
      <c r="Y36" s="364">
        <v>0</v>
      </c>
      <c r="Z36" s="364">
        <v>0</v>
      </c>
      <c r="AA36" s="364">
        <v>0</v>
      </c>
      <c r="AB36" s="364">
        <v>0</v>
      </c>
      <c r="AC36" s="364">
        <v>0</v>
      </c>
      <c r="AD36" s="364">
        <v>0</v>
      </c>
      <c r="AE36" s="364">
        <v>0</v>
      </c>
      <c r="AF36" s="364">
        <v>0</v>
      </c>
      <c r="AG36" s="364">
        <v>0</v>
      </c>
      <c r="AH36" s="364">
        <v>0</v>
      </c>
      <c r="AI36" s="364">
        <v>0</v>
      </c>
      <c r="AJ36" s="364">
        <v>0</v>
      </c>
      <c r="AK36" s="364">
        <v>0</v>
      </c>
      <c r="AL36" s="364">
        <v>0</v>
      </c>
      <c r="AM36" s="364">
        <v>0</v>
      </c>
      <c r="AN36" s="364">
        <v>0</v>
      </c>
      <c r="AO36" s="364">
        <v>0</v>
      </c>
      <c r="AP36" s="364">
        <v>0</v>
      </c>
      <c r="AQ36" s="364">
        <v>0</v>
      </c>
      <c r="AR36" s="364">
        <v>0</v>
      </c>
      <c r="AS36" s="364">
        <v>0</v>
      </c>
      <c r="AT36" s="364">
        <v>0</v>
      </c>
      <c r="AU36" s="364">
        <v>0</v>
      </c>
      <c r="AV36" s="364">
        <v>0</v>
      </c>
      <c r="AW36" s="364">
        <v>0</v>
      </c>
    </row>
    <row r="37" spans="3:49" x14ac:dyDescent="0.3">
      <c r="C37" s="364">
        <v>9</v>
      </c>
      <c r="D37" s="364">
        <v>4</v>
      </c>
      <c r="E37" s="364">
        <v>11</v>
      </c>
      <c r="F37" s="364">
        <v>5217.5572519083971</v>
      </c>
      <c r="G37" s="364">
        <v>0</v>
      </c>
      <c r="H37" s="364">
        <v>0</v>
      </c>
      <c r="I37" s="364">
        <v>0</v>
      </c>
      <c r="J37" s="364">
        <v>1717.5572519083971</v>
      </c>
      <c r="K37" s="364">
        <v>0</v>
      </c>
      <c r="L37" s="364">
        <v>0</v>
      </c>
      <c r="M37" s="364">
        <v>0</v>
      </c>
      <c r="N37" s="364">
        <v>0</v>
      </c>
      <c r="O37" s="364">
        <v>3500</v>
      </c>
      <c r="P37" s="364">
        <v>0</v>
      </c>
      <c r="Q37" s="364">
        <v>0</v>
      </c>
      <c r="R37" s="364">
        <v>0</v>
      </c>
      <c r="S37" s="364">
        <v>0</v>
      </c>
      <c r="T37" s="364">
        <v>0</v>
      </c>
      <c r="U37" s="364">
        <v>0</v>
      </c>
      <c r="V37" s="364">
        <v>0</v>
      </c>
      <c r="W37" s="364">
        <v>0</v>
      </c>
      <c r="X37" s="364">
        <v>0</v>
      </c>
      <c r="Y37" s="364">
        <v>0</v>
      </c>
      <c r="Z37" s="364">
        <v>0</v>
      </c>
      <c r="AA37" s="364">
        <v>0</v>
      </c>
      <c r="AB37" s="364">
        <v>0</v>
      </c>
      <c r="AC37" s="364">
        <v>0</v>
      </c>
      <c r="AD37" s="364">
        <v>0</v>
      </c>
      <c r="AE37" s="364">
        <v>0</v>
      </c>
      <c r="AF37" s="364">
        <v>0</v>
      </c>
      <c r="AG37" s="364">
        <v>0</v>
      </c>
      <c r="AH37" s="364">
        <v>0</v>
      </c>
      <c r="AI37" s="364">
        <v>0</v>
      </c>
      <c r="AJ37" s="364">
        <v>0</v>
      </c>
      <c r="AK37" s="364">
        <v>0</v>
      </c>
      <c r="AL37" s="364">
        <v>0</v>
      </c>
      <c r="AM37" s="364">
        <v>0</v>
      </c>
      <c r="AN37" s="364">
        <v>0</v>
      </c>
      <c r="AO37" s="364">
        <v>0</v>
      </c>
      <c r="AP37" s="364">
        <v>0</v>
      </c>
      <c r="AQ37" s="364">
        <v>0</v>
      </c>
      <c r="AR37" s="364">
        <v>0</v>
      </c>
      <c r="AS37" s="364">
        <v>0</v>
      </c>
      <c r="AT37" s="364">
        <v>0</v>
      </c>
      <c r="AU37" s="364">
        <v>0</v>
      </c>
      <c r="AV37" s="364">
        <v>0</v>
      </c>
      <c r="AW37" s="364">
        <v>0</v>
      </c>
    </row>
    <row r="38" spans="3:49" x14ac:dyDescent="0.3">
      <c r="C38" s="364">
        <v>9</v>
      </c>
      <c r="D38" s="364">
        <v>5</v>
      </c>
      <c r="E38" s="364">
        <v>1</v>
      </c>
      <c r="F38" s="364">
        <v>66.8</v>
      </c>
      <c r="G38" s="364">
        <v>0</v>
      </c>
      <c r="H38" s="364">
        <v>0</v>
      </c>
      <c r="I38" s="364">
        <v>0.8</v>
      </c>
      <c r="J38" s="364">
        <v>1</v>
      </c>
      <c r="K38" s="364">
        <v>7.5</v>
      </c>
      <c r="L38" s="364">
        <v>0</v>
      </c>
      <c r="M38" s="364">
        <v>0</v>
      </c>
      <c r="N38" s="364">
        <v>0</v>
      </c>
      <c r="O38" s="364">
        <v>0</v>
      </c>
      <c r="P38" s="364">
        <v>13.5</v>
      </c>
      <c r="Q38" s="364">
        <v>27.75</v>
      </c>
      <c r="R38" s="364">
        <v>7.75</v>
      </c>
      <c r="S38" s="364">
        <v>3.5</v>
      </c>
      <c r="T38" s="364">
        <v>0</v>
      </c>
      <c r="U38" s="364">
        <v>0</v>
      </c>
      <c r="V38" s="364">
        <v>0</v>
      </c>
      <c r="W38" s="364">
        <v>0</v>
      </c>
      <c r="X38" s="364">
        <v>0</v>
      </c>
      <c r="Y38" s="364">
        <v>0</v>
      </c>
      <c r="Z38" s="364">
        <v>0</v>
      </c>
      <c r="AA38" s="364">
        <v>0</v>
      </c>
      <c r="AB38" s="364">
        <v>0</v>
      </c>
      <c r="AC38" s="364">
        <v>0</v>
      </c>
      <c r="AD38" s="364">
        <v>0</v>
      </c>
      <c r="AE38" s="364">
        <v>0</v>
      </c>
      <c r="AF38" s="364">
        <v>0</v>
      </c>
      <c r="AG38" s="364">
        <v>0</v>
      </c>
      <c r="AH38" s="364">
        <v>0</v>
      </c>
      <c r="AI38" s="364">
        <v>0</v>
      </c>
      <c r="AJ38" s="364">
        <v>0</v>
      </c>
      <c r="AK38" s="364">
        <v>0</v>
      </c>
      <c r="AL38" s="364">
        <v>0</v>
      </c>
      <c r="AM38" s="364">
        <v>0</v>
      </c>
      <c r="AN38" s="364">
        <v>0</v>
      </c>
      <c r="AO38" s="364">
        <v>0</v>
      </c>
      <c r="AP38" s="364">
        <v>0</v>
      </c>
      <c r="AQ38" s="364">
        <v>0</v>
      </c>
      <c r="AR38" s="364">
        <v>4</v>
      </c>
      <c r="AS38" s="364">
        <v>0</v>
      </c>
      <c r="AT38" s="364">
        <v>0</v>
      </c>
      <c r="AU38" s="364">
        <v>0</v>
      </c>
      <c r="AV38" s="364">
        <v>0</v>
      </c>
      <c r="AW38" s="364">
        <v>1</v>
      </c>
    </row>
    <row r="39" spans="3:49" x14ac:dyDescent="0.3">
      <c r="C39" s="364">
        <v>9</v>
      </c>
      <c r="D39" s="364">
        <v>5</v>
      </c>
      <c r="E39" s="364">
        <v>2</v>
      </c>
      <c r="F39" s="364">
        <v>9919.75</v>
      </c>
      <c r="G39" s="364">
        <v>0</v>
      </c>
      <c r="H39" s="364">
        <v>0</v>
      </c>
      <c r="I39" s="364">
        <v>134.4</v>
      </c>
      <c r="J39" s="364">
        <v>176</v>
      </c>
      <c r="K39" s="364">
        <v>1256</v>
      </c>
      <c r="L39" s="364">
        <v>0</v>
      </c>
      <c r="M39" s="364">
        <v>0</v>
      </c>
      <c r="N39" s="364">
        <v>0</v>
      </c>
      <c r="O39" s="364">
        <v>0</v>
      </c>
      <c r="P39" s="364">
        <v>1763</v>
      </c>
      <c r="Q39" s="364">
        <v>4124</v>
      </c>
      <c r="R39" s="364">
        <v>1248</v>
      </c>
      <c r="S39" s="364">
        <v>468</v>
      </c>
      <c r="T39" s="364">
        <v>0</v>
      </c>
      <c r="U39" s="364">
        <v>0</v>
      </c>
      <c r="V39" s="364">
        <v>0</v>
      </c>
      <c r="W39" s="364">
        <v>0</v>
      </c>
      <c r="X39" s="364">
        <v>0</v>
      </c>
      <c r="Y39" s="364">
        <v>0</v>
      </c>
      <c r="Z39" s="364">
        <v>0</v>
      </c>
      <c r="AA39" s="364">
        <v>0</v>
      </c>
      <c r="AB39" s="364">
        <v>0</v>
      </c>
      <c r="AC39" s="364">
        <v>0</v>
      </c>
      <c r="AD39" s="364">
        <v>0</v>
      </c>
      <c r="AE39" s="364">
        <v>0</v>
      </c>
      <c r="AF39" s="364">
        <v>0</v>
      </c>
      <c r="AG39" s="364">
        <v>0</v>
      </c>
      <c r="AH39" s="364">
        <v>0</v>
      </c>
      <c r="AI39" s="364">
        <v>0</v>
      </c>
      <c r="AJ39" s="364">
        <v>0</v>
      </c>
      <c r="AK39" s="364">
        <v>0</v>
      </c>
      <c r="AL39" s="364">
        <v>0</v>
      </c>
      <c r="AM39" s="364">
        <v>0</v>
      </c>
      <c r="AN39" s="364">
        <v>0</v>
      </c>
      <c r="AO39" s="364">
        <v>0</v>
      </c>
      <c r="AP39" s="364">
        <v>0</v>
      </c>
      <c r="AQ39" s="364">
        <v>0</v>
      </c>
      <c r="AR39" s="364">
        <v>574.35</v>
      </c>
      <c r="AS39" s="364">
        <v>0</v>
      </c>
      <c r="AT39" s="364">
        <v>0</v>
      </c>
      <c r="AU39" s="364">
        <v>0</v>
      </c>
      <c r="AV39" s="364">
        <v>0</v>
      </c>
      <c r="AW39" s="364">
        <v>176</v>
      </c>
    </row>
    <row r="40" spans="3:49" x14ac:dyDescent="0.3">
      <c r="C40" s="364">
        <v>9</v>
      </c>
      <c r="D40" s="364">
        <v>5</v>
      </c>
      <c r="E40" s="364">
        <v>3</v>
      </c>
      <c r="F40" s="364">
        <v>702.98</v>
      </c>
      <c r="G40" s="364">
        <v>0</v>
      </c>
      <c r="H40" s="364">
        <v>0</v>
      </c>
      <c r="I40" s="364">
        <v>45.1</v>
      </c>
      <c r="J40" s="364">
        <v>0</v>
      </c>
      <c r="K40" s="364">
        <v>0</v>
      </c>
      <c r="L40" s="364">
        <v>0</v>
      </c>
      <c r="M40" s="364">
        <v>0</v>
      </c>
      <c r="N40" s="364">
        <v>0</v>
      </c>
      <c r="O40" s="364">
        <v>0</v>
      </c>
      <c r="P40" s="364">
        <v>312.63</v>
      </c>
      <c r="Q40" s="364">
        <v>235.25</v>
      </c>
      <c r="R40" s="364">
        <v>70</v>
      </c>
      <c r="S40" s="364">
        <v>40</v>
      </c>
      <c r="T40" s="364">
        <v>0</v>
      </c>
      <c r="U40" s="364">
        <v>0</v>
      </c>
      <c r="V40" s="364">
        <v>0</v>
      </c>
      <c r="W40" s="364">
        <v>0</v>
      </c>
      <c r="X40" s="364">
        <v>0</v>
      </c>
      <c r="Y40" s="364">
        <v>0</v>
      </c>
      <c r="Z40" s="364">
        <v>0</v>
      </c>
      <c r="AA40" s="364">
        <v>0</v>
      </c>
      <c r="AB40" s="364">
        <v>0</v>
      </c>
      <c r="AC40" s="364">
        <v>0</v>
      </c>
      <c r="AD40" s="364">
        <v>0</v>
      </c>
      <c r="AE40" s="364">
        <v>0</v>
      </c>
      <c r="AF40" s="364">
        <v>0</v>
      </c>
      <c r="AG40" s="364">
        <v>0</v>
      </c>
      <c r="AH40" s="364">
        <v>0</v>
      </c>
      <c r="AI40" s="364">
        <v>0</v>
      </c>
      <c r="AJ40" s="364">
        <v>0</v>
      </c>
      <c r="AK40" s="364">
        <v>0</v>
      </c>
      <c r="AL40" s="364">
        <v>0</v>
      </c>
      <c r="AM40" s="364">
        <v>0</v>
      </c>
      <c r="AN40" s="364">
        <v>0</v>
      </c>
      <c r="AO40" s="364">
        <v>0</v>
      </c>
      <c r="AP40" s="364">
        <v>0</v>
      </c>
      <c r="AQ40" s="364">
        <v>0</v>
      </c>
      <c r="AR40" s="364">
        <v>0</v>
      </c>
      <c r="AS40" s="364">
        <v>0</v>
      </c>
      <c r="AT40" s="364">
        <v>0</v>
      </c>
      <c r="AU40" s="364">
        <v>0</v>
      </c>
      <c r="AV40" s="364">
        <v>0</v>
      </c>
      <c r="AW40" s="364">
        <v>0</v>
      </c>
    </row>
    <row r="41" spans="3:49" x14ac:dyDescent="0.3">
      <c r="C41" s="364">
        <v>9</v>
      </c>
      <c r="D41" s="364">
        <v>5</v>
      </c>
      <c r="E41" s="364">
        <v>4</v>
      </c>
      <c r="F41" s="364">
        <v>847.5</v>
      </c>
      <c r="G41" s="364">
        <v>0</v>
      </c>
      <c r="H41" s="364">
        <v>0</v>
      </c>
      <c r="I41" s="364">
        <v>14.4</v>
      </c>
      <c r="J41" s="364">
        <v>23.5</v>
      </c>
      <c r="K41" s="364">
        <v>212.1</v>
      </c>
      <c r="L41" s="364">
        <v>0</v>
      </c>
      <c r="M41" s="364">
        <v>0</v>
      </c>
      <c r="N41" s="364">
        <v>0</v>
      </c>
      <c r="O41" s="364">
        <v>0</v>
      </c>
      <c r="P41" s="364">
        <v>87</v>
      </c>
      <c r="Q41" s="364">
        <v>315.25</v>
      </c>
      <c r="R41" s="364">
        <v>106.25</v>
      </c>
      <c r="S41" s="364">
        <v>35.75</v>
      </c>
      <c r="T41" s="364">
        <v>0</v>
      </c>
      <c r="U41" s="364">
        <v>0</v>
      </c>
      <c r="V41" s="364">
        <v>0</v>
      </c>
      <c r="W41" s="364">
        <v>0</v>
      </c>
      <c r="X41" s="364">
        <v>0</v>
      </c>
      <c r="Y41" s="364">
        <v>0</v>
      </c>
      <c r="Z41" s="364">
        <v>0</v>
      </c>
      <c r="AA41" s="364">
        <v>0</v>
      </c>
      <c r="AB41" s="364">
        <v>0</v>
      </c>
      <c r="AC41" s="364">
        <v>0</v>
      </c>
      <c r="AD41" s="364">
        <v>0</v>
      </c>
      <c r="AE41" s="364">
        <v>0</v>
      </c>
      <c r="AF41" s="364">
        <v>0</v>
      </c>
      <c r="AG41" s="364">
        <v>0</v>
      </c>
      <c r="AH41" s="364">
        <v>0</v>
      </c>
      <c r="AI41" s="364">
        <v>0</v>
      </c>
      <c r="AJ41" s="364">
        <v>0</v>
      </c>
      <c r="AK41" s="364">
        <v>0</v>
      </c>
      <c r="AL41" s="364">
        <v>0</v>
      </c>
      <c r="AM41" s="364">
        <v>0</v>
      </c>
      <c r="AN41" s="364">
        <v>0</v>
      </c>
      <c r="AO41" s="364">
        <v>0</v>
      </c>
      <c r="AP41" s="364">
        <v>0</v>
      </c>
      <c r="AQ41" s="364">
        <v>0</v>
      </c>
      <c r="AR41" s="364">
        <v>53.25</v>
      </c>
      <c r="AS41" s="364">
        <v>0</v>
      </c>
      <c r="AT41" s="364">
        <v>0</v>
      </c>
      <c r="AU41" s="364">
        <v>0</v>
      </c>
      <c r="AV41" s="364">
        <v>0</v>
      </c>
      <c r="AW41" s="364">
        <v>0</v>
      </c>
    </row>
    <row r="42" spans="3:49" x14ac:dyDescent="0.3">
      <c r="C42" s="364">
        <v>9</v>
      </c>
      <c r="D42" s="364">
        <v>5</v>
      </c>
      <c r="E42" s="364">
        <v>5</v>
      </c>
      <c r="F42" s="364">
        <v>11.5</v>
      </c>
      <c r="G42" s="364">
        <v>11.5</v>
      </c>
      <c r="H42" s="364">
        <v>0</v>
      </c>
      <c r="I42" s="364">
        <v>0</v>
      </c>
      <c r="J42" s="364">
        <v>0</v>
      </c>
      <c r="K42" s="364">
        <v>0</v>
      </c>
      <c r="L42" s="364">
        <v>0</v>
      </c>
      <c r="M42" s="364">
        <v>0</v>
      </c>
      <c r="N42" s="364">
        <v>0</v>
      </c>
      <c r="O42" s="364">
        <v>0</v>
      </c>
      <c r="P42" s="364">
        <v>0</v>
      </c>
      <c r="Q42" s="364">
        <v>0</v>
      </c>
      <c r="R42" s="364">
        <v>0</v>
      </c>
      <c r="S42" s="364">
        <v>0</v>
      </c>
      <c r="T42" s="364">
        <v>0</v>
      </c>
      <c r="U42" s="364">
        <v>0</v>
      </c>
      <c r="V42" s="364">
        <v>0</v>
      </c>
      <c r="W42" s="364">
        <v>0</v>
      </c>
      <c r="X42" s="364">
        <v>0</v>
      </c>
      <c r="Y42" s="364">
        <v>0</v>
      </c>
      <c r="Z42" s="364">
        <v>0</v>
      </c>
      <c r="AA42" s="364">
        <v>0</v>
      </c>
      <c r="AB42" s="364">
        <v>0</v>
      </c>
      <c r="AC42" s="364">
        <v>0</v>
      </c>
      <c r="AD42" s="364">
        <v>0</v>
      </c>
      <c r="AE42" s="364">
        <v>0</v>
      </c>
      <c r="AF42" s="364">
        <v>0</v>
      </c>
      <c r="AG42" s="364">
        <v>0</v>
      </c>
      <c r="AH42" s="364">
        <v>0</v>
      </c>
      <c r="AI42" s="364">
        <v>0</v>
      </c>
      <c r="AJ42" s="364">
        <v>0</v>
      </c>
      <c r="AK42" s="364">
        <v>0</v>
      </c>
      <c r="AL42" s="364">
        <v>0</v>
      </c>
      <c r="AM42" s="364">
        <v>0</v>
      </c>
      <c r="AN42" s="364">
        <v>0</v>
      </c>
      <c r="AO42" s="364">
        <v>0</v>
      </c>
      <c r="AP42" s="364">
        <v>0</v>
      </c>
      <c r="AQ42" s="364">
        <v>0</v>
      </c>
      <c r="AR42" s="364">
        <v>0</v>
      </c>
      <c r="AS42" s="364">
        <v>0</v>
      </c>
      <c r="AT42" s="364">
        <v>0</v>
      </c>
      <c r="AU42" s="364">
        <v>0</v>
      </c>
      <c r="AV42" s="364">
        <v>0</v>
      </c>
      <c r="AW42" s="364">
        <v>0</v>
      </c>
    </row>
    <row r="43" spans="3:49" x14ac:dyDescent="0.3">
      <c r="C43" s="364">
        <v>9</v>
      </c>
      <c r="D43" s="364">
        <v>5</v>
      </c>
      <c r="E43" s="364">
        <v>6</v>
      </c>
      <c r="F43" s="364">
        <v>2923017</v>
      </c>
      <c r="G43" s="364">
        <v>2875</v>
      </c>
      <c r="H43" s="364">
        <v>0</v>
      </c>
      <c r="I43" s="364">
        <v>40262</v>
      </c>
      <c r="J43" s="364">
        <v>51884</v>
      </c>
      <c r="K43" s="364">
        <v>677063</v>
      </c>
      <c r="L43" s="364">
        <v>0</v>
      </c>
      <c r="M43" s="364">
        <v>0</v>
      </c>
      <c r="N43" s="364">
        <v>0</v>
      </c>
      <c r="O43" s="364">
        <v>0</v>
      </c>
      <c r="P43" s="364">
        <v>493392</v>
      </c>
      <c r="Q43" s="364">
        <v>1118611</v>
      </c>
      <c r="R43" s="364">
        <v>331036</v>
      </c>
      <c r="S43" s="364">
        <v>104119</v>
      </c>
      <c r="T43" s="364">
        <v>0</v>
      </c>
      <c r="U43" s="364">
        <v>0</v>
      </c>
      <c r="V43" s="364">
        <v>0</v>
      </c>
      <c r="W43" s="364">
        <v>0</v>
      </c>
      <c r="X43" s="364">
        <v>0</v>
      </c>
      <c r="Y43" s="364">
        <v>0</v>
      </c>
      <c r="Z43" s="364">
        <v>0</v>
      </c>
      <c r="AA43" s="364">
        <v>0</v>
      </c>
      <c r="AB43" s="364">
        <v>0</v>
      </c>
      <c r="AC43" s="364">
        <v>0</v>
      </c>
      <c r="AD43" s="364">
        <v>0</v>
      </c>
      <c r="AE43" s="364">
        <v>0</v>
      </c>
      <c r="AF43" s="364">
        <v>0</v>
      </c>
      <c r="AG43" s="364">
        <v>0</v>
      </c>
      <c r="AH43" s="364">
        <v>0</v>
      </c>
      <c r="AI43" s="364">
        <v>0</v>
      </c>
      <c r="AJ43" s="364">
        <v>0</v>
      </c>
      <c r="AK43" s="364">
        <v>0</v>
      </c>
      <c r="AL43" s="364">
        <v>0</v>
      </c>
      <c r="AM43" s="364">
        <v>0</v>
      </c>
      <c r="AN43" s="364">
        <v>0</v>
      </c>
      <c r="AO43" s="364">
        <v>0</v>
      </c>
      <c r="AP43" s="364">
        <v>0</v>
      </c>
      <c r="AQ43" s="364">
        <v>0</v>
      </c>
      <c r="AR43" s="364">
        <v>80455</v>
      </c>
      <c r="AS43" s="364">
        <v>0</v>
      </c>
      <c r="AT43" s="364">
        <v>0</v>
      </c>
      <c r="AU43" s="364">
        <v>0</v>
      </c>
      <c r="AV43" s="364">
        <v>0</v>
      </c>
      <c r="AW43" s="364">
        <v>23320</v>
      </c>
    </row>
    <row r="44" spans="3:49" x14ac:dyDescent="0.3">
      <c r="C44" s="364">
        <v>9</v>
      </c>
      <c r="D44" s="364">
        <v>5</v>
      </c>
      <c r="E44" s="364">
        <v>9</v>
      </c>
      <c r="F44" s="364">
        <v>3938</v>
      </c>
      <c r="G44" s="364">
        <v>0</v>
      </c>
      <c r="H44" s="364">
        <v>0</v>
      </c>
      <c r="I44" s="364">
        <v>0</v>
      </c>
      <c r="J44" s="364">
        <v>0</v>
      </c>
      <c r="K44" s="364">
        <v>0</v>
      </c>
      <c r="L44" s="364">
        <v>0</v>
      </c>
      <c r="M44" s="364">
        <v>0</v>
      </c>
      <c r="N44" s="364">
        <v>0</v>
      </c>
      <c r="O44" s="364">
        <v>0</v>
      </c>
      <c r="P44" s="364">
        <v>1623</v>
      </c>
      <c r="Q44" s="364">
        <v>1157</v>
      </c>
      <c r="R44" s="364">
        <v>464</v>
      </c>
      <c r="S44" s="364">
        <v>694</v>
      </c>
      <c r="T44" s="364">
        <v>0</v>
      </c>
      <c r="U44" s="364">
        <v>0</v>
      </c>
      <c r="V44" s="364">
        <v>0</v>
      </c>
      <c r="W44" s="364">
        <v>0</v>
      </c>
      <c r="X44" s="364">
        <v>0</v>
      </c>
      <c r="Y44" s="364">
        <v>0</v>
      </c>
      <c r="Z44" s="364">
        <v>0</v>
      </c>
      <c r="AA44" s="364">
        <v>0</v>
      </c>
      <c r="AB44" s="364">
        <v>0</v>
      </c>
      <c r="AC44" s="364">
        <v>0</v>
      </c>
      <c r="AD44" s="364">
        <v>0</v>
      </c>
      <c r="AE44" s="364">
        <v>0</v>
      </c>
      <c r="AF44" s="364">
        <v>0</v>
      </c>
      <c r="AG44" s="364">
        <v>0</v>
      </c>
      <c r="AH44" s="364">
        <v>0</v>
      </c>
      <c r="AI44" s="364">
        <v>0</v>
      </c>
      <c r="AJ44" s="364">
        <v>0</v>
      </c>
      <c r="AK44" s="364">
        <v>0</v>
      </c>
      <c r="AL44" s="364">
        <v>0</v>
      </c>
      <c r="AM44" s="364">
        <v>0</v>
      </c>
      <c r="AN44" s="364">
        <v>0</v>
      </c>
      <c r="AO44" s="364">
        <v>0</v>
      </c>
      <c r="AP44" s="364">
        <v>0</v>
      </c>
      <c r="AQ44" s="364">
        <v>0</v>
      </c>
      <c r="AR44" s="364">
        <v>0</v>
      </c>
      <c r="AS44" s="364">
        <v>0</v>
      </c>
      <c r="AT44" s="364">
        <v>0</v>
      </c>
      <c r="AU44" s="364">
        <v>0</v>
      </c>
      <c r="AV44" s="364">
        <v>0</v>
      </c>
      <c r="AW44" s="364">
        <v>0</v>
      </c>
    </row>
    <row r="45" spans="3:49" x14ac:dyDescent="0.3">
      <c r="C45" s="364">
        <v>9</v>
      </c>
      <c r="D45" s="364">
        <v>5</v>
      </c>
      <c r="E45" s="364">
        <v>10</v>
      </c>
      <c r="F45" s="364">
        <v>8314</v>
      </c>
      <c r="G45" s="364">
        <v>0</v>
      </c>
      <c r="H45" s="364">
        <v>0</v>
      </c>
      <c r="I45" s="364">
        <v>0</v>
      </c>
      <c r="J45" s="364">
        <v>1100</v>
      </c>
      <c r="K45" s="364">
        <v>0</v>
      </c>
      <c r="L45" s="364">
        <v>0</v>
      </c>
      <c r="M45" s="364">
        <v>0</v>
      </c>
      <c r="N45" s="364">
        <v>0</v>
      </c>
      <c r="O45" s="364">
        <v>7214</v>
      </c>
      <c r="P45" s="364">
        <v>0</v>
      </c>
      <c r="Q45" s="364">
        <v>0</v>
      </c>
      <c r="R45" s="364">
        <v>0</v>
      </c>
      <c r="S45" s="364">
        <v>0</v>
      </c>
      <c r="T45" s="364">
        <v>0</v>
      </c>
      <c r="U45" s="364">
        <v>0</v>
      </c>
      <c r="V45" s="364">
        <v>0</v>
      </c>
      <c r="W45" s="364">
        <v>0</v>
      </c>
      <c r="X45" s="364">
        <v>0</v>
      </c>
      <c r="Y45" s="364">
        <v>0</v>
      </c>
      <c r="Z45" s="364">
        <v>0</v>
      </c>
      <c r="AA45" s="364">
        <v>0</v>
      </c>
      <c r="AB45" s="364">
        <v>0</v>
      </c>
      <c r="AC45" s="364">
        <v>0</v>
      </c>
      <c r="AD45" s="364">
        <v>0</v>
      </c>
      <c r="AE45" s="364">
        <v>0</v>
      </c>
      <c r="AF45" s="364">
        <v>0</v>
      </c>
      <c r="AG45" s="364">
        <v>0</v>
      </c>
      <c r="AH45" s="364">
        <v>0</v>
      </c>
      <c r="AI45" s="364">
        <v>0</v>
      </c>
      <c r="AJ45" s="364">
        <v>0</v>
      </c>
      <c r="AK45" s="364">
        <v>0</v>
      </c>
      <c r="AL45" s="364">
        <v>0</v>
      </c>
      <c r="AM45" s="364">
        <v>0</v>
      </c>
      <c r="AN45" s="364">
        <v>0</v>
      </c>
      <c r="AO45" s="364">
        <v>0</v>
      </c>
      <c r="AP45" s="364">
        <v>0</v>
      </c>
      <c r="AQ45" s="364">
        <v>0</v>
      </c>
      <c r="AR45" s="364">
        <v>0</v>
      </c>
      <c r="AS45" s="364">
        <v>0</v>
      </c>
      <c r="AT45" s="364">
        <v>0</v>
      </c>
      <c r="AU45" s="364">
        <v>0</v>
      </c>
      <c r="AV45" s="364">
        <v>0</v>
      </c>
      <c r="AW45" s="364">
        <v>0</v>
      </c>
    </row>
    <row r="46" spans="3:49" x14ac:dyDescent="0.3">
      <c r="C46" s="364">
        <v>9</v>
      </c>
      <c r="D46" s="364">
        <v>5</v>
      </c>
      <c r="E46" s="364">
        <v>11</v>
      </c>
      <c r="F46" s="364">
        <v>5217.5572519083971</v>
      </c>
      <c r="G46" s="364">
        <v>0</v>
      </c>
      <c r="H46" s="364">
        <v>0</v>
      </c>
      <c r="I46" s="364">
        <v>0</v>
      </c>
      <c r="J46" s="364">
        <v>1717.5572519083971</v>
      </c>
      <c r="K46" s="364">
        <v>0</v>
      </c>
      <c r="L46" s="364">
        <v>0</v>
      </c>
      <c r="M46" s="364">
        <v>0</v>
      </c>
      <c r="N46" s="364">
        <v>0</v>
      </c>
      <c r="O46" s="364">
        <v>3500</v>
      </c>
      <c r="P46" s="364">
        <v>0</v>
      </c>
      <c r="Q46" s="364">
        <v>0</v>
      </c>
      <c r="R46" s="364">
        <v>0</v>
      </c>
      <c r="S46" s="364">
        <v>0</v>
      </c>
      <c r="T46" s="364">
        <v>0</v>
      </c>
      <c r="U46" s="364">
        <v>0</v>
      </c>
      <c r="V46" s="364">
        <v>0</v>
      </c>
      <c r="W46" s="364">
        <v>0</v>
      </c>
      <c r="X46" s="364">
        <v>0</v>
      </c>
      <c r="Y46" s="364">
        <v>0</v>
      </c>
      <c r="Z46" s="364">
        <v>0</v>
      </c>
      <c r="AA46" s="364">
        <v>0</v>
      </c>
      <c r="AB46" s="364">
        <v>0</v>
      </c>
      <c r="AC46" s="364">
        <v>0</v>
      </c>
      <c r="AD46" s="364">
        <v>0</v>
      </c>
      <c r="AE46" s="364">
        <v>0</v>
      </c>
      <c r="AF46" s="364">
        <v>0</v>
      </c>
      <c r="AG46" s="364">
        <v>0</v>
      </c>
      <c r="AH46" s="364">
        <v>0</v>
      </c>
      <c r="AI46" s="364">
        <v>0</v>
      </c>
      <c r="AJ46" s="364">
        <v>0</v>
      </c>
      <c r="AK46" s="364">
        <v>0</v>
      </c>
      <c r="AL46" s="364">
        <v>0</v>
      </c>
      <c r="AM46" s="364">
        <v>0</v>
      </c>
      <c r="AN46" s="364">
        <v>0</v>
      </c>
      <c r="AO46" s="364">
        <v>0</v>
      </c>
      <c r="AP46" s="364">
        <v>0</v>
      </c>
      <c r="AQ46" s="364">
        <v>0</v>
      </c>
      <c r="AR46" s="364">
        <v>0</v>
      </c>
      <c r="AS46" s="364">
        <v>0</v>
      </c>
      <c r="AT46" s="364">
        <v>0</v>
      </c>
      <c r="AU46" s="364">
        <v>0</v>
      </c>
      <c r="AV46" s="364">
        <v>0</v>
      </c>
      <c r="AW46" s="364">
        <v>0</v>
      </c>
    </row>
    <row r="47" spans="3:49" x14ac:dyDescent="0.3">
      <c r="C47" s="364">
        <v>9</v>
      </c>
      <c r="D47" s="364">
        <v>6</v>
      </c>
      <c r="E47" s="364">
        <v>1</v>
      </c>
      <c r="F47" s="364">
        <v>67.05</v>
      </c>
      <c r="G47" s="364">
        <v>0</v>
      </c>
      <c r="H47" s="364">
        <v>0</v>
      </c>
      <c r="I47" s="364">
        <v>0.8</v>
      </c>
      <c r="J47" s="364">
        <v>1</v>
      </c>
      <c r="K47" s="364">
        <v>7.5</v>
      </c>
      <c r="L47" s="364">
        <v>0</v>
      </c>
      <c r="M47" s="364">
        <v>0</v>
      </c>
      <c r="N47" s="364">
        <v>0</v>
      </c>
      <c r="O47" s="364">
        <v>0</v>
      </c>
      <c r="P47" s="364">
        <v>11.75</v>
      </c>
      <c r="Q47" s="364">
        <v>27.75</v>
      </c>
      <c r="R47" s="364">
        <v>7.75</v>
      </c>
      <c r="S47" s="364">
        <v>5.5</v>
      </c>
      <c r="T47" s="364">
        <v>0</v>
      </c>
      <c r="U47" s="364">
        <v>0</v>
      </c>
      <c r="V47" s="364">
        <v>0</v>
      </c>
      <c r="W47" s="364">
        <v>0</v>
      </c>
      <c r="X47" s="364">
        <v>0</v>
      </c>
      <c r="Y47" s="364">
        <v>0</v>
      </c>
      <c r="Z47" s="364">
        <v>0</v>
      </c>
      <c r="AA47" s="364">
        <v>0</v>
      </c>
      <c r="AB47" s="364">
        <v>0</v>
      </c>
      <c r="AC47" s="364">
        <v>0</v>
      </c>
      <c r="AD47" s="364">
        <v>0</v>
      </c>
      <c r="AE47" s="364">
        <v>0</v>
      </c>
      <c r="AF47" s="364">
        <v>0</v>
      </c>
      <c r="AG47" s="364">
        <v>0</v>
      </c>
      <c r="AH47" s="364">
        <v>0</v>
      </c>
      <c r="AI47" s="364">
        <v>0</v>
      </c>
      <c r="AJ47" s="364">
        <v>0</v>
      </c>
      <c r="AK47" s="364">
        <v>0</v>
      </c>
      <c r="AL47" s="364">
        <v>0</v>
      </c>
      <c r="AM47" s="364">
        <v>0</v>
      </c>
      <c r="AN47" s="364">
        <v>0</v>
      </c>
      <c r="AO47" s="364">
        <v>0</v>
      </c>
      <c r="AP47" s="364">
        <v>0</v>
      </c>
      <c r="AQ47" s="364">
        <v>0</v>
      </c>
      <c r="AR47" s="364">
        <v>4</v>
      </c>
      <c r="AS47" s="364">
        <v>0</v>
      </c>
      <c r="AT47" s="364">
        <v>0</v>
      </c>
      <c r="AU47" s="364">
        <v>0</v>
      </c>
      <c r="AV47" s="364">
        <v>0</v>
      </c>
      <c r="AW47" s="364">
        <v>1</v>
      </c>
    </row>
    <row r="48" spans="3:49" x14ac:dyDescent="0.3">
      <c r="C48" s="364">
        <v>9</v>
      </c>
      <c r="D48" s="364">
        <v>6</v>
      </c>
      <c r="E48" s="364">
        <v>2</v>
      </c>
      <c r="F48" s="364">
        <v>9244.9</v>
      </c>
      <c r="G48" s="364">
        <v>0</v>
      </c>
      <c r="H48" s="364">
        <v>0</v>
      </c>
      <c r="I48" s="364">
        <v>121.6</v>
      </c>
      <c r="J48" s="364">
        <v>176</v>
      </c>
      <c r="K48" s="364">
        <v>1300</v>
      </c>
      <c r="L48" s="364">
        <v>0</v>
      </c>
      <c r="M48" s="364">
        <v>0</v>
      </c>
      <c r="N48" s="364">
        <v>0</v>
      </c>
      <c r="O48" s="364">
        <v>0</v>
      </c>
      <c r="P48" s="364">
        <v>1594.8</v>
      </c>
      <c r="Q48" s="364">
        <v>3556</v>
      </c>
      <c r="R48" s="364">
        <v>1136</v>
      </c>
      <c r="S48" s="364">
        <v>636</v>
      </c>
      <c r="T48" s="364">
        <v>0</v>
      </c>
      <c r="U48" s="364">
        <v>0</v>
      </c>
      <c r="V48" s="364">
        <v>0</v>
      </c>
      <c r="W48" s="364">
        <v>0</v>
      </c>
      <c r="X48" s="364">
        <v>0</v>
      </c>
      <c r="Y48" s="364">
        <v>0</v>
      </c>
      <c r="Z48" s="364">
        <v>0</v>
      </c>
      <c r="AA48" s="364">
        <v>0</v>
      </c>
      <c r="AB48" s="364">
        <v>0</v>
      </c>
      <c r="AC48" s="364">
        <v>0</v>
      </c>
      <c r="AD48" s="364">
        <v>0</v>
      </c>
      <c r="AE48" s="364">
        <v>0</v>
      </c>
      <c r="AF48" s="364">
        <v>0</v>
      </c>
      <c r="AG48" s="364">
        <v>0</v>
      </c>
      <c r="AH48" s="364">
        <v>0</v>
      </c>
      <c r="AI48" s="364">
        <v>0</v>
      </c>
      <c r="AJ48" s="364">
        <v>0</v>
      </c>
      <c r="AK48" s="364">
        <v>0</v>
      </c>
      <c r="AL48" s="364">
        <v>0</v>
      </c>
      <c r="AM48" s="364">
        <v>0</v>
      </c>
      <c r="AN48" s="364">
        <v>0</v>
      </c>
      <c r="AO48" s="364">
        <v>0</v>
      </c>
      <c r="AP48" s="364">
        <v>0</v>
      </c>
      <c r="AQ48" s="364">
        <v>0</v>
      </c>
      <c r="AR48" s="364">
        <v>548.5</v>
      </c>
      <c r="AS48" s="364">
        <v>0</v>
      </c>
      <c r="AT48" s="364">
        <v>0</v>
      </c>
      <c r="AU48" s="364">
        <v>0</v>
      </c>
      <c r="AV48" s="364">
        <v>0</v>
      </c>
      <c r="AW48" s="364">
        <v>176</v>
      </c>
    </row>
    <row r="49" spans="3:49" x14ac:dyDescent="0.3">
      <c r="C49" s="364">
        <v>9</v>
      </c>
      <c r="D49" s="364">
        <v>6</v>
      </c>
      <c r="E49" s="364">
        <v>3</v>
      </c>
      <c r="F49" s="364">
        <v>808.5</v>
      </c>
      <c r="G49" s="364">
        <v>0</v>
      </c>
      <c r="H49" s="364">
        <v>0</v>
      </c>
      <c r="I49" s="364">
        <v>30</v>
      </c>
      <c r="J49" s="364">
        <v>0</v>
      </c>
      <c r="K49" s="364">
        <v>0</v>
      </c>
      <c r="L49" s="364">
        <v>0</v>
      </c>
      <c r="M49" s="364">
        <v>0</v>
      </c>
      <c r="N49" s="364">
        <v>0</v>
      </c>
      <c r="O49" s="364">
        <v>0</v>
      </c>
      <c r="P49" s="364">
        <v>364.5</v>
      </c>
      <c r="Q49" s="364">
        <v>257.5</v>
      </c>
      <c r="R49" s="364">
        <v>106.5</v>
      </c>
      <c r="S49" s="364">
        <v>50</v>
      </c>
      <c r="T49" s="364">
        <v>0</v>
      </c>
      <c r="U49" s="364">
        <v>0</v>
      </c>
      <c r="V49" s="364">
        <v>0</v>
      </c>
      <c r="W49" s="364">
        <v>0</v>
      </c>
      <c r="X49" s="364">
        <v>0</v>
      </c>
      <c r="Y49" s="364">
        <v>0</v>
      </c>
      <c r="Z49" s="364">
        <v>0</v>
      </c>
      <c r="AA49" s="364">
        <v>0</v>
      </c>
      <c r="AB49" s="364">
        <v>0</v>
      </c>
      <c r="AC49" s="364">
        <v>0</v>
      </c>
      <c r="AD49" s="364">
        <v>0</v>
      </c>
      <c r="AE49" s="364">
        <v>0</v>
      </c>
      <c r="AF49" s="364">
        <v>0</v>
      </c>
      <c r="AG49" s="364">
        <v>0</v>
      </c>
      <c r="AH49" s="364">
        <v>0</v>
      </c>
      <c r="AI49" s="364">
        <v>0</v>
      </c>
      <c r="AJ49" s="364">
        <v>0</v>
      </c>
      <c r="AK49" s="364">
        <v>0</v>
      </c>
      <c r="AL49" s="364">
        <v>0</v>
      </c>
      <c r="AM49" s="364">
        <v>0</v>
      </c>
      <c r="AN49" s="364">
        <v>0</v>
      </c>
      <c r="AO49" s="364">
        <v>0</v>
      </c>
      <c r="AP49" s="364">
        <v>0</v>
      </c>
      <c r="AQ49" s="364">
        <v>0</v>
      </c>
      <c r="AR49" s="364">
        <v>0</v>
      </c>
      <c r="AS49" s="364">
        <v>0</v>
      </c>
      <c r="AT49" s="364">
        <v>0</v>
      </c>
      <c r="AU49" s="364">
        <v>0</v>
      </c>
      <c r="AV49" s="364">
        <v>0</v>
      </c>
      <c r="AW49" s="364">
        <v>0</v>
      </c>
    </row>
    <row r="50" spans="3:49" x14ac:dyDescent="0.3">
      <c r="C50" s="364">
        <v>9</v>
      </c>
      <c r="D50" s="364">
        <v>6</v>
      </c>
      <c r="E50" s="364">
        <v>4</v>
      </c>
      <c r="F50" s="364">
        <v>834.75</v>
      </c>
      <c r="G50" s="364">
        <v>0</v>
      </c>
      <c r="H50" s="364">
        <v>0</v>
      </c>
      <c r="I50" s="364">
        <v>6</v>
      </c>
      <c r="J50" s="364">
        <v>24</v>
      </c>
      <c r="K50" s="364">
        <v>189</v>
      </c>
      <c r="L50" s="364">
        <v>0</v>
      </c>
      <c r="M50" s="364">
        <v>0</v>
      </c>
      <c r="N50" s="364">
        <v>0</v>
      </c>
      <c r="O50" s="364">
        <v>0</v>
      </c>
      <c r="P50" s="364">
        <v>63</v>
      </c>
      <c r="Q50" s="364">
        <v>384.25</v>
      </c>
      <c r="R50" s="364">
        <v>73.5</v>
      </c>
      <c r="S50" s="364">
        <v>50</v>
      </c>
      <c r="T50" s="364">
        <v>0</v>
      </c>
      <c r="U50" s="364">
        <v>0</v>
      </c>
      <c r="V50" s="364">
        <v>0</v>
      </c>
      <c r="W50" s="364">
        <v>0</v>
      </c>
      <c r="X50" s="364">
        <v>0</v>
      </c>
      <c r="Y50" s="364">
        <v>0</v>
      </c>
      <c r="Z50" s="364">
        <v>0</v>
      </c>
      <c r="AA50" s="364">
        <v>0</v>
      </c>
      <c r="AB50" s="364">
        <v>0</v>
      </c>
      <c r="AC50" s="364">
        <v>0</v>
      </c>
      <c r="AD50" s="364">
        <v>0</v>
      </c>
      <c r="AE50" s="364">
        <v>0</v>
      </c>
      <c r="AF50" s="364">
        <v>0</v>
      </c>
      <c r="AG50" s="364">
        <v>0</v>
      </c>
      <c r="AH50" s="364">
        <v>0</v>
      </c>
      <c r="AI50" s="364">
        <v>0</v>
      </c>
      <c r="AJ50" s="364">
        <v>0</v>
      </c>
      <c r="AK50" s="364">
        <v>0</v>
      </c>
      <c r="AL50" s="364">
        <v>0</v>
      </c>
      <c r="AM50" s="364">
        <v>0</v>
      </c>
      <c r="AN50" s="364">
        <v>0</v>
      </c>
      <c r="AO50" s="364">
        <v>0</v>
      </c>
      <c r="AP50" s="364">
        <v>0</v>
      </c>
      <c r="AQ50" s="364">
        <v>0</v>
      </c>
      <c r="AR50" s="364">
        <v>45</v>
      </c>
      <c r="AS50" s="364">
        <v>0</v>
      </c>
      <c r="AT50" s="364">
        <v>0</v>
      </c>
      <c r="AU50" s="364">
        <v>0</v>
      </c>
      <c r="AV50" s="364">
        <v>0</v>
      </c>
      <c r="AW50" s="364">
        <v>0</v>
      </c>
    </row>
    <row r="51" spans="3:49" x14ac:dyDescent="0.3">
      <c r="C51" s="364">
        <v>9</v>
      </c>
      <c r="D51" s="364">
        <v>6</v>
      </c>
      <c r="E51" s="364">
        <v>5</v>
      </c>
      <c r="F51" s="364">
        <v>23</v>
      </c>
      <c r="G51" s="364">
        <v>23</v>
      </c>
      <c r="H51" s="364">
        <v>0</v>
      </c>
      <c r="I51" s="364">
        <v>0</v>
      </c>
      <c r="J51" s="364">
        <v>0</v>
      </c>
      <c r="K51" s="364">
        <v>0</v>
      </c>
      <c r="L51" s="364">
        <v>0</v>
      </c>
      <c r="M51" s="364">
        <v>0</v>
      </c>
      <c r="N51" s="364">
        <v>0</v>
      </c>
      <c r="O51" s="364">
        <v>0</v>
      </c>
      <c r="P51" s="364">
        <v>0</v>
      </c>
      <c r="Q51" s="364">
        <v>0</v>
      </c>
      <c r="R51" s="364">
        <v>0</v>
      </c>
      <c r="S51" s="364">
        <v>0</v>
      </c>
      <c r="T51" s="364">
        <v>0</v>
      </c>
      <c r="U51" s="364">
        <v>0</v>
      </c>
      <c r="V51" s="364">
        <v>0</v>
      </c>
      <c r="W51" s="364">
        <v>0</v>
      </c>
      <c r="X51" s="364">
        <v>0</v>
      </c>
      <c r="Y51" s="364">
        <v>0</v>
      </c>
      <c r="Z51" s="364">
        <v>0</v>
      </c>
      <c r="AA51" s="364">
        <v>0</v>
      </c>
      <c r="AB51" s="364">
        <v>0</v>
      </c>
      <c r="AC51" s="364">
        <v>0</v>
      </c>
      <c r="AD51" s="364">
        <v>0</v>
      </c>
      <c r="AE51" s="364">
        <v>0</v>
      </c>
      <c r="AF51" s="364">
        <v>0</v>
      </c>
      <c r="AG51" s="364">
        <v>0</v>
      </c>
      <c r="AH51" s="364">
        <v>0</v>
      </c>
      <c r="AI51" s="364">
        <v>0</v>
      </c>
      <c r="AJ51" s="364">
        <v>0</v>
      </c>
      <c r="AK51" s="364">
        <v>0</v>
      </c>
      <c r="AL51" s="364">
        <v>0</v>
      </c>
      <c r="AM51" s="364">
        <v>0</v>
      </c>
      <c r="AN51" s="364">
        <v>0</v>
      </c>
      <c r="AO51" s="364">
        <v>0</v>
      </c>
      <c r="AP51" s="364">
        <v>0</v>
      </c>
      <c r="AQ51" s="364">
        <v>0</v>
      </c>
      <c r="AR51" s="364">
        <v>0</v>
      </c>
      <c r="AS51" s="364">
        <v>0</v>
      </c>
      <c r="AT51" s="364">
        <v>0</v>
      </c>
      <c r="AU51" s="364">
        <v>0</v>
      </c>
      <c r="AV51" s="364">
        <v>0</v>
      </c>
      <c r="AW51" s="364">
        <v>0</v>
      </c>
    </row>
    <row r="52" spans="3:49" x14ac:dyDescent="0.3">
      <c r="C52" s="364">
        <v>9</v>
      </c>
      <c r="D52" s="364">
        <v>6</v>
      </c>
      <c r="E52" s="364">
        <v>6</v>
      </c>
      <c r="F52" s="364">
        <v>2846801</v>
      </c>
      <c r="G52" s="364">
        <v>5865</v>
      </c>
      <c r="H52" s="364">
        <v>0</v>
      </c>
      <c r="I52" s="364">
        <v>35391</v>
      </c>
      <c r="J52" s="364">
        <v>48391</v>
      </c>
      <c r="K52" s="364">
        <v>665581</v>
      </c>
      <c r="L52" s="364">
        <v>0</v>
      </c>
      <c r="M52" s="364">
        <v>0</v>
      </c>
      <c r="N52" s="364">
        <v>0</v>
      </c>
      <c r="O52" s="364">
        <v>0</v>
      </c>
      <c r="P52" s="364">
        <v>449227</v>
      </c>
      <c r="Q52" s="364">
        <v>1099615</v>
      </c>
      <c r="R52" s="364">
        <v>318997</v>
      </c>
      <c r="S52" s="364">
        <v>119602</v>
      </c>
      <c r="T52" s="364">
        <v>0</v>
      </c>
      <c r="U52" s="364">
        <v>0</v>
      </c>
      <c r="V52" s="364">
        <v>0</v>
      </c>
      <c r="W52" s="364">
        <v>0</v>
      </c>
      <c r="X52" s="364">
        <v>0</v>
      </c>
      <c r="Y52" s="364">
        <v>0</v>
      </c>
      <c r="Z52" s="364">
        <v>0</v>
      </c>
      <c r="AA52" s="364">
        <v>0</v>
      </c>
      <c r="AB52" s="364">
        <v>0</v>
      </c>
      <c r="AC52" s="364">
        <v>0</v>
      </c>
      <c r="AD52" s="364">
        <v>0</v>
      </c>
      <c r="AE52" s="364">
        <v>0</v>
      </c>
      <c r="AF52" s="364">
        <v>0</v>
      </c>
      <c r="AG52" s="364">
        <v>0</v>
      </c>
      <c r="AH52" s="364">
        <v>0</v>
      </c>
      <c r="AI52" s="364">
        <v>0</v>
      </c>
      <c r="AJ52" s="364">
        <v>0</v>
      </c>
      <c r="AK52" s="364">
        <v>0</v>
      </c>
      <c r="AL52" s="364">
        <v>0</v>
      </c>
      <c r="AM52" s="364">
        <v>0</v>
      </c>
      <c r="AN52" s="364">
        <v>0</v>
      </c>
      <c r="AO52" s="364">
        <v>0</v>
      </c>
      <c r="AP52" s="364">
        <v>0</v>
      </c>
      <c r="AQ52" s="364">
        <v>0</v>
      </c>
      <c r="AR52" s="364">
        <v>80812</v>
      </c>
      <c r="AS52" s="364">
        <v>0</v>
      </c>
      <c r="AT52" s="364">
        <v>0</v>
      </c>
      <c r="AU52" s="364">
        <v>0</v>
      </c>
      <c r="AV52" s="364">
        <v>0</v>
      </c>
      <c r="AW52" s="364">
        <v>23320</v>
      </c>
    </row>
    <row r="53" spans="3:49" x14ac:dyDescent="0.3">
      <c r="C53" s="364">
        <v>9</v>
      </c>
      <c r="D53" s="364">
        <v>6</v>
      </c>
      <c r="E53" s="364">
        <v>9</v>
      </c>
      <c r="F53" s="364">
        <v>27737</v>
      </c>
      <c r="G53" s="364">
        <v>0</v>
      </c>
      <c r="H53" s="364">
        <v>0</v>
      </c>
      <c r="I53" s="364">
        <v>2800</v>
      </c>
      <c r="J53" s="364">
        <v>0</v>
      </c>
      <c r="K53" s="364">
        <v>24937</v>
      </c>
      <c r="L53" s="364">
        <v>0</v>
      </c>
      <c r="M53" s="364">
        <v>0</v>
      </c>
      <c r="N53" s="364">
        <v>0</v>
      </c>
      <c r="O53" s="364">
        <v>0</v>
      </c>
      <c r="P53" s="364">
        <v>0</v>
      </c>
      <c r="Q53" s="364">
        <v>0</v>
      </c>
      <c r="R53" s="364">
        <v>0</v>
      </c>
      <c r="S53" s="364">
        <v>0</v>
      </c>
      <c r="T53" s="364">
        <v>0</v>
      </c>
      <c r="U53" s="364">
        <v>0</v>
      </c>
      <c r="V53" s="364">
        <v>0</v>
      </c>
      <c r="W53" s="364">
        <v>0</v>
      </c>
      <c r="X53" s="364">
        <v>0</v>
      </c>
      <c r="Y53" s="364">
        <v>0</v>
      </c>
      <c r="Z53" s="364">
        <v>0</v>
      </c>
      <c r="AA53" s="364">
        <v>0</v>
      </c>
      <c r="AB53" s="364">
        <v>0</v>
      </c>
      <c r="AC53" s="364">
        <v>0</v>
      </c>
      <c r="AD53" s="364">
        <v>0</v>
      </c>
      <c r="AE53" s="364">
        <v>0</v>
      </c>
      <c r="AF53" s="364">
        <v>0</v>
      </c>
      <c r="AG53" s="364">
        <v>0</v>
      </c>
      <c r="AH53" s="364">
        <v>0</v>
      </c>
      <c r="AI53" s="364">
        <v>0</v>
      </c>
      <c r="AJ53" s="364">
        <v>0</v>
      </c>
      <c r="AK53" s="364">
        <v>0</v>
      </c>
      <c r="AL53" s="364">
        <v>0</v>
      </c>
      <c r="AM53" s="364">
        <v>0</v>
      </c>
      <c r="AN53" s="364">
        <v>0</v>
      </c>
      <c r="AO53" s="364">
        <v>0</v>
      </c>
      <c r="AP53" s="364">
        <v>0</v>
      </c>
      <c r="AQ53" s="364">
        <v>0</v>
      </c>
      <c r="AR53" s="364">
        <v>0</v>
      </c>
      <c r="AS53" s="364">
        <v>0</v>
      </c>
      <c r="AT53" s="364">
        <v>0</v>
      </c>
      <c r="AU53" s="364">
        <v>0</v>
      </c>
      <c r="AV53" s="364">
        <v>0</v>
      </c>
      <c r="AW53" s="364">
        <v>0</v>
      </c>
    </row>
    <row r="54" spans="3:49" x14ac:dyDescent="0.3">
      <c r="C54" s="364">
        <v>9</v>
      </c>
      <c r="D54" s="364">
        <v>6</v>
      </c>
      <c r="E54" s="364">
        <v>10</v>
      </c>
      <c r="F54" s="364">
        <v>4200</v>
      </c>
      <c r="G54" s="364">
        <v>0</v>
      </c>
      <c r="H54" s="364">
        <v>0</v>
      </c>
      <c r="I54" s="364">
        <v>0</v>
      </c>
      <c r="J54" s="364">
        <v>0</v>
      </c>
      <c r="K54" s="364">
        <v>0</v>
      </c>
      <c r="L54" s="364">
        <v>0</v>
      </c>
      <c r="M54" s="364">
        <v>0</v>
      </c>
      <c r="N54" s="364">
        <v>0</v>
      </c>
      <c r="O54" s="364">
        <v>4200</v>
      </c>
      <c r="P54" s="364">
        <v>0</v>
      </c>
      <c r="Q54" s="364">
        <v>0</v>
      </c>
      <c r="R54" s="364">
        <v>0</v>
      </c>
      <c r="S54" s="364">
        <v>0</v>
      </c>
      <c r="T54" s="364">
        <v>0</v>
      </c>
      <c r="U54" s="364">
        <v>0</v>
      </c>
      <c r="V54" s="364">
        <v>0</v>
      </c>
      <c r="W54" s="364">
        <v>0</v>
      </c>
      <c r="X54" s="364">
        <v>0</v>
      </c>
      <c r="Y54" s="364">
        <v>0</v>
      </c>
      <c r="Z54" s="364">
        <v>0</v>
      </c>
      <c r="AA54" s="364">
        <v>0</v>
      </c>
      <c r="AB54" s="364">
        <v>0</v>
      </c>
      <c r="AC54" s="364">
        <v>0</v>
      </c>
      <c r="AD54" s="364">
        <v>0</v>
      </c>
      <c r="AE54" s="364">
        <v>0</v>
      </c>
      <c r="AF54" s="364">
        <v>0</v>
      </c>
      <c r="AG54" s="364">
        <v>0</v>
      </c>
      <c r="AH54" s="364">
        <v>0</v>
      </c>
      <c r="AI54" s="364">
        <v>0</v>
      </c>
      <c r="AJ54" s="364">
        <v>0</v>
      </c>
      <c r="AK54" s="364">
        <v>0</v>
      </c>
      <c r="AL54" s="364">
        <v>0</v>
      </c>
      <c r="AM54" s="364">
        <v>0</v>
      </c>
      <c r="AN54" s="364">
        <v>0</v>
      </c>
      <c r="AO54" s="364">
        <v>0</v>
      </c>
      <c r="AP54" s="364">
        <v>0</v>
      </c>
      <c r="AQ54" s="364">
        <v>0</v>
      </c>
      <c r="AR54" s="364">
        <v>0</v>
      </c>
      <c r="AS54" s="364">
        <v>0</v>
      </c>
      <c r="AT54" s="364">
        <v>0</v>
      </c>
      <c r="AU54" s="364">
        <v>0</v>
      </c>
      <c r="AV54" s="364">
        <v>0</v>
      </c>
      <c r="AW54" s="364">
        <v>0</v>
      </c>
    </row>
    <row r="55" spans="3:49" x14ac:dyDescent="0.3">
      <c r="C55" s="364">
        <v>9</v>
      </c>
      <c r="D55" s="364">
        <v>6</v>
      </c>
      <c r="E55" s="364">
        <v>11</v>
      </c>
      <c r="F55" s="364">
        <v>5217.5572519083971</v>
      </c>
      <c r="G55" s="364">
        <v>0</v>
      </c>
      <c r="H55" s="364">
        <v>0</v>
      </c>
      <c r="I55" s="364">
        <v>0</v>
      </c>
      <c r="J55" s="364">
        <v>1717.5572519083971</v>
      </c>
      <c r="K55" s="364">
        <v>0</v>
      </c>
      <c r="L55" s="364">
        <v>0</v>
      </c>
      <c r="M55" s="364">
        <v>0</v>
      </c>
      <c r="N55" s="364">
        <v>0</v>
      </c>
      <c r="O55" s="364">
        <v>3500</v>
      </c>
      <c r="P55" s="364">
        <v>0</v>
      </c>
      <c r="Q55" s="364">
        <v>0</v>
      </c>
      <c r="R55" s="364">
        <v>0</v>
      </c>
      <c r="S55" s="364">
        <v>0</v>
      </c>
      <c r="T55" s="364">
        <v>0</v>
      </c>
      <c r="U55" s="364">
        <v>0</v>
      </c>
      <c r="V55" s="364">
        <v>0</v>
      </c>
      <c r="W55" s="364">
        <v>0</v>
      </c>
      <c r="X55" s="364">
        <v>0</v>
      </c>
      <c r="Y55" s="364">
        <v>0</v>
      </c>
      <c r="Z55" s="364">
        <v>0</v>
      </c>
      <c r="AA55" s="364">
        <v>0</v>
      </c>
      <c r="AB55" s="364">
        <v>0</v>
      </c>
      <c r="AC55" s="364">
        <v>0</v>
      </c>
      <c r="AD55" s="364">
        <v>0</v>
      </c>
      <c r="AE55" s="364">
        <v>0</v>
      </c>
      <c r="AF55" s="364">
        <v>0</v>
      </c>
      <c r="AG55" s="364">
        <v>0</v>
      </c>
      <c r="AH55" s="364">
        <v>0</v>
      </c>
      <c r="AI55" s="364">
        <v>0</v>
      </c>
      <c r="AJ55" s="364">
        <v>0</v>
      </c>
      <c r="AK55" s="364">
        <v>0</v>
      </c>
      <c r="AL55" s="364">
        <v>0</v>
      </c>
      <c r="AM55" s="364">
        <v>0</v>
      </c>
      <c r="AN55" s="364">
        <v>0</v>
      </c>
      <c r="AO55" s="364">
        <v>0</v>
      </c>
      <c r="AP55" s="364">
        <v>0</v>
      </c>
      <c r="AQ55" s="364">
        <v>0</v>
      </c>
      <c r="AR55" s="364">
        <v>0</v>
      </c>
      <c r="AS55" s="364">
        <v>0</v>
      </c>
      <c r="AT55" s="364">
        <v>0</v>
      </c>
      <c r="AU55" s="364">
        <v>0</v>
      </c>
      <c r="AV55" s="364">
        <v>0</v>
      </c>
      <c r="AW55" s="364">
        <v>0</v>
      </c>
    </row>
    <row r="56" spans="3:49" x14ac:dyDescent="0.3">
      <c r="C56" s="364">
        <v>9</v>
      </c>
      <c r="D56" s="364">
        <v>7</v>
      </c>
      <c r="E56" s="364">
        <v>1</v>
      </c>
      <c r="F56" s="364">
        <v>69.3</v>
      </c>
      <c r="G56" s="364">
        <v>0</v>
      </c>
      <c r="H56" s="364">
        <v>0</v>
      </c>
      <c r="I56" s="364">
        <v>0.8</v>
      </c>
      <c r="J56" s="364">
        <v>1</v>
      </c>
      <c r="K56" s="364">
        <v>7.5</v>
      </c>
      <c r="L56" s="364">
        <v>0</v>
      </c>
      <c r="M56" s="364">
        <v>0</v>
      </c>
      <c r="N56" s="364">
        <v>0</v>
      </c>
      <c r="O56" s="364">
        <v>0</v>
      </c>
      <c r="P56" s="364">
        <v>12</v>
      </c>
      <c r="Q56" s="364">
        <v>27.75</v>
      </c>
      <c r="R56" s="364">
        <v>7.75</v>
      </c>
      <c r="S56" s="364">
        <v>7.5</v>
      </c>
      <c r="T56" s="364">
        <v>0</v>
      </c>
      <c r="U56" s="364">
        <v>0</v>
      </c>
      <c r="V56" s="364">
        <v>0</v>
      </c>
      <c r="W56" s="364">
        <v>0</v>
      </c>
      <c r="X56" s="364">
        <v>0</v>
      </c>
      <c r="Y56" s="364">
        <v>0</v>
      </c>
      <c r="Z56" s="364">
        <v>0</v>
      </c>
      <c r="AA56" s="364">
        <v>0</v>
      </c>
      <c r="AB56" s="364">
        <v>0</v>
      </c>
      <c r="AC56" s="364">
        <v>0</v>
      </c>
      <c r="AD56" s="364">
        <v>0</v>
      </c>
      <c r="AE56" s="364">
        <v>0</v>
      </c>
      <c r="AF56" s="364">
        <v>0</v>
      </c>
      <c r="AG56" s="364">
        <v>0</v>
      </c>
      <c r="AH56" s="364">
        <v>0</v>
      </c>
      <c r="AI56" s="364">
        <v>0</v>
      </c>
      <c r="AJ56" s="364">
        <v>0</v>
      </c>
      <c r="AK56" s="364">
        <v>0</v>
      </c>
      <c r="AL56" s="364">
        <v>0</v>
      </c>
      <c r="AM56" s="364">
        <v>0</v>
      </c>
      <c r="AN56" s="364">
        <v>0</v>
      </c>
      <c r="AO56" s="364">
        <v>0</v>
      </c>
      <c r="AP56" s="364">
        <v>0</v>
      </c>
      <c r="AQ56" s="364">
        <v>0</v>
      </c>
      <c r="AR56" s="364">
        <v>4</v>
      </c>
      <c r="AS56" s="364">
        <v>0</v>
      </c>
      <c r="AT56" s="364">
        <v>0</v>
      </c>
      <c r="AU56" s="364">
        <v>0</v>
      </c>
      <c r="AV56" s="364">
        <v>0</v>
      </c>
      <c r="AW56" s="364">
        <v>1</v>
      </c>
    </row>
    <row r="57" spans="3:49" x14ac:dyDescent="0.3">
      <c r="C57" s="364">
        <v>9</v>
      </c>
      <c r="D57" s="364">
        <v>7</v>
      </c>
      <c r="E57" s="364">
        <v>2</v>
      </c>
      <c r="F57" s="364">
        <v>8613.9500000000007</v>
      </c>
      <c r="G57" s="364">
        <v>0</v>
      </c>
      <c r="H57" s="364">
        <v>0</v>
      </c>
      <c r="I57" s="364">
        <v>134.4</v>
      </c>
      <c r="J57" s="364">
        <v>128</v>
      </c>
      <c r="K57" s="364">
        <v>828</v>
      </c>
      <c r="L57" s="364">
        <v>0</v>
      </c>
      <c r="M57" s="364">
        <v>0</v>
      </c>
      <c r="N57" s="364">
        <v>0</v>
      </c>
      <c r="O57" s="364">
        <v>0</v>
      </c>
      <c r="P57" s="364">
        <v>1514.8</v>
      </c>
      <c r="Q57" s="364">
        <v>3408</v>
      </c>
      <c r="R57" s="364">
        <v>1040</v>
      </c>
      <c r="S57" s="364">
        <v>960</v>
      </c>
      <c r="T57" s="364">
        <v>0</v>
      </c>
      <c r="U57" s="364">
        <v>0</v>
      </c>
      <c r="V57" s="364">
        <v>0</v>
      </c>
      <c r="W57" s="364">
        <v>0</v>
      </c>
      <c r="X57" s="364">
        <v>0</v>
      </c>
      <c r="Y57" s="364">
        <v>0</v>
      </c>
      <c r="Z57" s="364">
        <v>0</v>
      </c>
      <c r="AA57" s="364">
        <v>0</v>
      </c>
      <c r="AB57" s="364">
        <v>0</v>
      </c>
      <c r="AC57" s="364">
        <v>0</v>
      </c>
      <c r="AD57" s="364">
        <v>0</v>
      </c>
      <c r="AE57" s="364">
        <v>0</v>
      </c>
      <c r="AF57" s="364">
        <v>0</v>
      </c>
      <c r="AG57" s="364">
        <v>0</v>
      </c>
      <c r="AH57" s="364">
        <v>0</v>
      </c>
      <c r="AI57" s="364">
        <v>0</v>
      </c>
      <c r="AJ57" s="364">
        <v>0</v>
      </c>
      <c r="AK57" s="364">
        <v>0</v>
      </c>
      <c r="AL57" s="364">
        <v>0</v>
      </c>
      <c r="AM57" s="364">
        <v>0</v>
      </c>
      <c r="AN57" s="364">
        <v>0</v>
      </c>
      <c r="AO57" s="364">
        <v>0</v>
      </c>
      <c r="AP57" s="364">
        <v>0</v>
      </c>
      <c r="AQ57" s="364">
        <v>0</v>
      </c>
      <c r="AR57" s="364">
        <v>472.75</v>
      </c>
      <c r="AS57" s="364">
        <v>0</v>
      </c>
      <c r="AT57" s="364">
        <v>0</v>
      </c>
      <c r="AU57" s="364">
        <v>0</v>
      </c>
      <c r="AV57" s="364">
        <v>0</v>
      </c>
      <c r="AW57" s="364">
        <v>128</v>
      </c>
    </row>
    <row r="58" spans="3:49" x14ac:dyDescent="0.3">
      <c r="C58" s="364">
        <v>9</v>
      </c>
      <c r="D58" s="364">
        <v>7</v>
      </c>
      <c r="E58" s="364">
        <v>3</v>
      </c>
      <c r="F58" s="364">
        <v>860.1</v>
      </c>
      <c r="G58" s="364">
        <v>0</v>
      </c>
      <c r="H58" s="364">
        <v>0</v>
      </c>
      <c r="I58" s="364">
        <v>33.6</v>
      </c>
      <c r="J58" s="364">
        <v>0</v>
      </c>
      <c r="K58" s="364">
        <v>0</v>
      </c>
      <c r="L58" s="364">
        <v>0</v>
      </c>
      <c r="M58" s="364">
        <v>0</v>
      </c>
      <c r="N58" s="364">
        <v>0</v>
      </c>
      <c r="O58" s="364">
        <v>0</v>
      </c>
      <c r="P58" s="364">
        <v>347.5</v>
      </c>
      <c r="Q58" s="364">
        <v>329</v>
      </c>
      <c r="R58" s="364">
        <v>100</v>
      </c>
      <c r="S58" s="364">
        <v>50</v>
      </c>
      <c r="T58" s="364">
        <v>0</v>
      </c>
      <c r="U58" s="364">
        <v>0</v>
      </c>
      <c r="V58" s="364">
        <v>0</v>
      </c>
      <c r="W58" s="364">
        <v>0</v>
      </c>
      <c r="X58" s="364">
        <v>0</v>
      </c>
      <c r="Y58" s="364">
        <v>0</v>
      </c>
      <c r="Z58" s="364">
        <v>0</v>
      </c>
      <c r="AA58" s="364">
        <v>0</v>
      </c>
      <c r="AB58" s="364">
        <v>0</v>
      </c>
      <c r="AC58" s="364">
        <v>0</v>
      </c>
      <c r="AD58" s="364">
        <v>0</v>
      </c>
      <c r="AE58" s="364">
        <v>0</v>
      </c>
      <c r="AF58" s="364">
        <v>0</v>
      </c>
      <c r="AG58" s="364">
        <v>0</v>
      </c>
      <c r="AH58" s="364">
        <v>0</v>
      </c>
      <c r="AI58" s="364">
        <v>0</v>
      </c>
      <c r="AJ58" s="364">
        <v>0</v>
      </c>
      <c r="AK58" s="364">
        <v>0</v>
      </c>
      <c r="AL58" s="364">
        <v>0</v>
      </c>
      <c r="AM58" s="364">
        <v>0</v>
      </c>
      <c r="AN58" s="364">
        <v>0</v>
      </c>
      <c r="AO58" s="364">
        <v>0</v>
      </c>
      <c r="AP58" s="364">
        <v>0</v>
      </c>
      <c r="AQ58" s="364">
        <v>0</v>
      </c>
      <c r="AR58" s="364">
        <v>0</v>
      </c>
      <c r="AS58" s="364">
        <v>0</v>
      </c>
      <c r="AT58" s="364">
        <v>0</v>
      </c>
      <c r="AU58" s="364">
        <v>0</v>
      </c>
      <c r="AV58" s="364">
        <v>0</v>
      </c>
      <c r="AW58" s="364">
        <v>0</v>
      </c>
    </row>
    <row r="59" spans="3:49" x14ac:dyDescent="0.3">
      <c r="C59" s="364">
        <v>9</v>
      </c>
      <c r="D59" s="364">
        <v>7</v>
      </c>
      <c r="E59" s="364">
        <v>4</v>
      </c>
      <c r="F59" s="364">
        <v>877.6</v>
      </c>
      <c r="G59" s="364">
        <v>0</v>
      </c>
      <c r="H59" s="364">
        <v>0</v>
      </c>
      <c r="I59" s="364">
        <v>25.6</v>
      </c>
      <c r="J59" s="364">
        <v>32</v>
      </c>
      <c r="K59" s="364">
        <v>232</v>
      </c>
      <c r="L59" s="364">
        <v>0</v>
      </c>
      <c r="M59" s="364">
        <v>0</v>
      </c>
      <c r="N59" s="364">
        <v>0</v>
      </c>
      <c r="O59" s="364">
        <v>0</v>
      </c>
      <c r="P59" s="364">
        <v>66</v>
      </c>
      <c r="Q59" s="364">
        <v>313.5</v>
      </c>
      <c r="R59" s="364">
        <v>70</v>
      </c>
      <c r="S59" s="364">
        <v>80</v>
      </c>
      <c r="T59" s="364">
        <v>0</v>
      </c>
      <c r="U59" s="364">
        <v>0</v>
      </c>
      <c r="V59" s="364">
        <v>0</v>
      </c>
      <c r="W59" s="364">
        <v>0</v>
      </c>
      <c r="X59" s="364">
        <v>0</v>
      </c>
      <c r="Y59" s="364">
        <v>0</v>
      </c>
      <c r="Z59" s="364">
        <v>0</v>
      </c>
      <c r="AA59" s="364">
        <v>0</v>
      </c>
      <c r="AB59" s="364">
        <v>0</v>
      </c>
      <c r="AC59" s="364">
        <v>0</v>
      </c>
      <c r="AD59" s="364">
        <v>0</v>
      </c>
      <c r="AE59" s="364">
        <v>0</v>
      </c>
      <c r="AF59" s="364">
        <v>0</v>
      </c>
      <c r="AG59" s="364">
        <v>0</v>
      </c>
      <c r="AH59" s="364">
        <v>0</v>
      </c>
      <c r="AI59" s="364">
        <v>0</v>
      </c>
      <c r="AJ59" s="364">
        <v>0</v>
      </c>
      <c r="AK59" s="364">
        <v>0</v>
      </c>
      <c r="AL59" s="364">
        <v>0</v>
      </c>
      <c r="AM59" s="364">
        <v>0</v>
      </c>
      <c r="AN59" s="364">
        <v>0</v>
      </c>
      <c r="AO59" s="364">
        <v>0</v>
      </c>
      <c r="AP59" s="364">
        <v>0</v>
      </c>
      <c r="AQ59" s="364">
        <v>0</v>
      </c>
      <c r="AR59" s="364">
        <v>58.5</v>
      </c>
      <c r="AS59" s="364">
        <v>0</v>
      </c>
      <c r="AT59" s="364">
        <v>0</v>
      </c>
      <c r="AU59" s="364">
        <v>0</v>
      </c>
      <c r="AV59" s="364">
        <v>0</v>
      </c>
      <c r="AW59" s="364">
        <v>0</v>
      </c>
    </row>
    <row r="60" spans="3:49" x14ac:dyDescent="0.3">
      <c r="C60" s="364">
        <v>9</v>
      </c>
      <c r="D60" s="364">
        <v>7</v>
      </c>
      <c r="E60" s="364">
        <v>5</v>
      </c>
      <c r="F60" s="364">
        <v>46</v>
      </c>
      <c r="G60" s="364">
        <v>46</v>
      </c>
      <c r="H60" s="364">
        <v>0</v>
      </c>
      <c r="I60" s="364">
        <v>0</v>
      </c>
      <c r="J60" s="364">
        <v>0</v>
      </c>
      <c r="K60" s="364">
        <v>0</v>
      </c>
      <c r="L60" s="364">
        <v>0</v>
      </c>
      <c r="M60" s="364">
        <v>0</v>
      </c>
      <c r="N60" s="364">
        <v>0</v>
      </c>
      <c r="O60" s="364">
        <v>0</v>
      </c>
      <c r="P60" s="364">
        <v>0</v>
      </c>
      <c r="Q60" s="364">
        <v>0</v>
      </c>
      <c r="R60" s="364">
        <v>0</v>
      </c>
      <c r="S60" s="364">
        <v>0</v>
      </c>
      <c r="T60" s="364">
        <v>0</v>
      </c>
      <c r="U60" s="364">
        <v>0</v>
      </c>
      <c r="V60" s="364">
        <v>0</v>
      </c>
      <c r="W60" s="364">
        <v>0</v>
      </c>
      <c r="X60" s="364">
        <v>0</v>
      </c>
      <c r="Y60" s="364">
        <v>0</v>
      </c>
      <c r="Z60" s="364">
        <v>0</v>
      </c>
      <c r="AA60" s="364">
        <v>0</v>
      </c>
      <c r="AB60" s="364">
        <v>0</v>
      </c>
      <c r="AC60" s="364">
        <v>0</v>
      </c>
      <c r="AD60" s="364">
        <v>0</v>
      </c>
      <c r="AE60" s="364">
        <v>0</v>
      </c>
      <c r="AF60" s="364">
        <v>0</v>
      </c>
      <c r="AG60" s="364">
        <v>0</v>
      </c>
      <c r="AH60" s="364">
        <v>0</v>
      </c>
      <c r="AI60" s="364">
        <v>0</v>
      </c>
      <c r="AJ60" s="364">
        <v>0</v>
      </c>
      <c r="AK60" s="364">
        <v>0</v>
      </c>
      <c r="AL60" s="364">
        <v>0</v>
      </c>
      <c r="AM60" s="364">
        <v>0</v>
      </c>
      <c r="AN60" s="364">
        <v>0</v>
      </c>
      <c r="AO60" s="364">
        <v>0</v>
      </c>
      <c r="AP60" s="364">
        <v>0</v>
      </c>
      <c r="AQ60" s="364">
        <v>0</v>
      </c>
      <c r="AR60" s="364">
        <v>0</v>
      </c>
      <c r="AS60" s="364">
        <v>0</v>
      </c>
      <c r="AT60" s="364">
        <v>0</v>
      </c>
      <c r="AU60" s="364">
        <v>0</v>
      </c>
      <c r="AV60" s="364">
        <v>0</v>
      </c>
      <c r="AW60" s="364">
        <v>0</v>
      </c>
    </row>
    <row r="61" spans="3:49" x14ac:dyDescent="0.3">
      <c r="C61" s="364">
        <v>9</v>
      </c>
      <c r="D61" s="364">
        <v>7</v>
      </c>
      <c r="E61" s="364">
        <v>6</v>
      </c>
      <c r="F61" s="364">
        <v>3741943</v>
      </c>
      <c r="G61" s="364">
        <v>11615</v>
      </c>
      <c r="H61" s="364">
        <v>0</v>
      </c>
      <c r="I61" s="364">
        <v>55787</v>
      </c>
      <c r="J61" s="364">
        <v>67950</v>
      </c>
      <c r="K61" s="364">
        <v>866427</v>
      </c>
      <c r="L61" s="364">
        <v>0</v>
      </c>
      <c r="M61" s="364">
        <v>0</v>
      </c>
      <c r="N61" s="364">
        <v>0</v>
      </c>
      <c r="O61" s="364">
        <v>0</v>
      </c>
      <c r="P61" s="364">
        <v>569661</v>
      </c>
      <c r="Q61" s="364">
        <v>1390209</v>
      </c>
      <c r="R61" s="364">
        <v>438261</v>
      </c>
      <c r="S61" s="364">
        <v>204664</v>
      </c>
      <c r="T61" s="364">
        <v>0</v>
      </c>
      <c r="U61" s="364">
        <v>0</v>
      </c>
      <c r="V61" s="364">
        <v>0</v>
      </c>
      <c r="W61" s="364">
        <v>0</v>
      </c>
      <c r="X61" s="364">
        <v>0</v>
      </c>
      <c r="Y61" s="364">
        <v>0</v>
      </c>
      <c r="Z61" s="364">
        <v>0</v>
      </c>
      <c r="AA61" s="364">
        <v>0</v>
      </c>
      <c r="AB61" s="364">
        <v>0</v>
      </c>
      <c r="AC61" s="364">
        <v>0</v>
      </c>
      <c r="AD61" s="364">
        <v>0</v>
      </c>
      <c r="AE61" s="364">
        <v>0</v>
      </c>
      <c r="AF61" s="364">
        <v>0</v>
      </c>
      <c r="AG61" s="364">
        <v>0</v>
      </c>
      <c r="AH61" s="364">
        <v>0</v>
      </c>
      <c r="AI61" s="364">
        <v>0</v>
      </c>
      <c r="AJ61" s="364">
        <v>0</v>
      </c>
      <c r="AK61" s="364">
        <v>0</v>
      </c>
      <c r="AL61" s="364">
        <v>0</v>
      </c>
      <c r="AM61" s="364">
        <v>0</v>
      </c>
      <c r="AN61" s="364">
        <v>0</v>
      </c>
      <c r="AO61" s="364">
        <v>0</v>
      </c>
      <c r="AP61" s="364">
        <v>0</v>
      </c>
      <c r="AQ61" s="364">
        <v>0</v>
      </c>
      <c r="AR61" s="364">
        <v>107806</v>
      </c>
      <c r="AS61" s="364">
        <v>0</v>
      </c>
      <c r="AT61" s="364">
        <v>0</v>
      </c>
      <c r="AU61" s="364">
        <v>0</v>
      </c>
      <c r="AV61" s="364">
        <v>0</v>
      </c>
      <c r="AW61" s="364">
        <v>29563</v>
      </c>
    </row>
    <row r="62" spans="3:49" x14ac:dyDescent="0.3">
      <c r="C62" s="364">
        <v>9</v>
      </c>
      <c r="D62" s="364">
        <v>7</v>
      </c>
      <c r="E62" s="364">
        <v>9</v>
      </c>
      <c r="F62" s="364">
        <v>692948</v>
      </c>
      <c r="G62" s="364">
        <v>0</v>
      </c>
      <c r="H62" s="364">
        <v>0</v>
      </c>
      <c r="I62" s="364">
        <v>10909</v>
      </c>
      <c r="J62" s="364">
        <v>11310</v>
      </c>
      <c r="K62" s="364">
        <v>168451</v>
      </c>
      <c r="L62" s="364">
        <v>0</v>
      </c>
      <c r="M62" s="364">
        <v>0</v>
      </c>
      <c r="N62" s="364">
        <v>0</v>
      </c>
      <c r="O62" s="364">
        <v>0</v>
      </c>
      <c r="P62" s="364">
        <v>101654</v>
      </c>
      <c r="Q62" s="364">
        <v>241476</v>
      </c>
      <c r="R62" s="364">
        <v>109790</v>
      </c>
      <c r="S62" s="364">
        <v>22223</v>
      </c>
      <c r="T62" s="364">
        <v>0</v>
      </c>
      <c r="U62" s="364">
        <v>0</v>
      </c>
      <c r="V62" s="364">
        <v>0</v>
      </c>
      <c r="W62" s="364">
        <v>0</v>
      </c>
      <c r="X62" s="364">
        <v>0</v>
      </c>
      <c r="Y62" s="364">
        <v>0</v>
      </c>
      <c r="Z62" s="364">
        <v>0</v>
      </c>
      <c r="AA62" s="364">
        <v>0</v>
      </c>
      <c r="AB62" s="364">
        <v>0</v>
      </c>
      <c r="AC62" s="364">
        <v>0</v>
      </c>
      <c r="AD62" s="364">
        <v>0</v>
      </c>
      <c r="AE62" s="364">
        <v>0</v>
      </c>
      <c r="AF62" s="364">
        <v>0</v>
      </c>
      <c r="AG62" s="364">
        <v>0</v>
      </c>
      <c r="AH62" s="364">
        <v>0</v>
      </c>
      <c r="AI62" s="364">
        <v>0</v>
      </c>
      <c r="AJ62" s="364">
        <v>0</v>
      </c>
      <c r="AK62" s="364">
        <v>0</v>
      </c>
      <c r="AL62" s="364">
        <v>0</v>
      </c>
      <c r="AM62" s="364">
        <v>0</v>
      </c>
      <c r="AN62" s="364">
        <v>0</v>
      </c>
      <c r="AO62" s="364">
        <v>0</v>
      </c>
      <c r="AP62" s="364">
        <v>0</v>
      </c>
      <c r="AQ62" s="364">
        <v>0</v>
      </c>
      <c r="AR62" s="364">
        <v>20720</v>
      </c>
      <c r="AS62" s="364">
        <v>0</v>
      </c>
      <c r="AT62" s="364">
        <v>0</v>
      </c>
      <c r="AU62" s="364">
        <v>0</v>
      </c>
      <c r="AV62" s="364">
        <v>0</v>
      </c>
      <c r="AW62" s="364">
        <v>6415</v>
      </c>
    </row>
    <row r="63" spans="3:49" x14ac:dyDescent="0.3">
      <c r="C63" s="364">
        <v>9</v>
      </c>
      <c r="D63" s="364">
        <v>7</v>
      </c>
      <c r="E63" s="364">
        <v>11</v>
      </c>
      <c r="F63" s="364">
        <v>5217.5572519083971</v>
      </c>
      <c r="G63" s="364">
        <v>0</v>
      </c>
      <c r="H63" s="364">
        <v>0</v>
      </c>
      <c r="I63" s="364">
        <v>0</v>
      </c>
      <c r="J63" s="364">
        <v>1717.5572519083971</v>
      </c>
      <c r="K63" s="364">
        <v>0</v>
      </c>
      <c r="L63" s="364">
        <v>0</v>
      </c>
      <c r="M63" s="364">
        <v>0</v>
      </c>
      <c r="N63" s="364">
        <v>0</v>
      </c>
      <c r="O63" s="364">
        <v>3500</v>
      </c>
      <c r="P63" s="364">
        <v>0</v>
      </c>
      <c r="Q63" s="364">
        <v>0</v>
      </c>
      <c r="R63" s="364">
        <v>0</v>
      </c>
      <c r="S63" s="364">
        <v>0</v>
      </c>
      <c r="T63" s="364">
        <v>0</v>
      </c>
      <c r="U63" s="364">
        <v>0</v>
      </c>
      <c r="V63" s="364">
        <v>0</v>
      </c>
      <c r="W63" s="364">
        <v>0</v>
      </c>
      <c r="X63" s="364">
        <v>0</v>
      </c>
      <c r="Y63" s="364">
        <v>0</v>
      </c>
      <c r="Z63" s="364">
        <v>0</v>
      </c>
      <c r="AA63" s="364">
        <v>0</v>
      </c>
      <c r="AB63" s="364">
        <v>0</v>
      </c>
      <c r="AC63" s="364">
        <v>0</v>
      </c>
      <c r="AD63" s="364">
        <v>0</v>
      </c>
      <c r="AE63" s="364">
        <v>0</v>
      </c>
      <c r="AF63" s="364">
        <v>0</v>
      </c>
      <c r="AG63" s="364">
        <v>0</v>
      </c>
      <c r="AH63" s="364">
        <v>0</v>
      </c>
      <c r="AI63" s="364">
        <v>0</v>
      </c>
      <c r="AJ63" s="364">
        <v>0</v>
      </c>
      <c r="AK63" s="364">
        <v>0</v>
      </c>
      <c r="AL63" s="364">
        <v>0</v>
      </c>
      <c r="AM63" s="364">
        <v>0</v>
      </c>
      <c r="AN63" s="364">
        <v>0</v>
      </c>
      <c r="AO63" s="364">
        <v>0</v>
      </c>
      <c r="AP63" s="364">
        <v>0</v>
      </c>
      <c r="AQ63" s="364">
        <v>0</v>
      </c>
      <c r="AR63" s="364">
        <v>0</v>
      </c>
      <c r="AS63" s="364">
        <v>0</v>
      </c>
      <c r="AT63" s="364">
        <v>0</v>
      </c>
      <c r="AU63" s="364">
        <v>0</v>
      </c>
      <c r="AV63" s="364">
        <v>0</v>
      </c>
      <c r="AW63" s="364">
        <v>0</v>
      </c>
    </row>
    <row r="64" spans="3:49" x14ac:dyDescent="0.3">
      <c r="C64" s="364">
        <v>9</v>
      </c>
      <c r="D64" s="364">
        <v>8</v>
      </c>
      <c r="E64" s="364">
        <v>1</v>
      </c>
      <c r="F64" s="364">
        <v>71.25</v>
      </c>
      <c r="G64" s="364">
        <v>0</v>
      </c>
      <c r="H64" s="364">
        <v>0</v>
      </c>
      <c r="I64" s="364">
        <v>1</v>
      </c>
      <c r="J64" s="364">
        <v>1</v>
      </c>
      <c r="K64" s="364">
        <v>7.5</v>
      </c>
      <c r="L64" s="364">
        <v>0</v>
      </c>
      <c r="M64" s="364">
        <v>0</v>
      </c>
      <c r="N64" s="364">
        <v>0</v>
      </c>
      <c r="O64" s="364">
        <v>0</v>
      </c>
      <c r="P64" s="364">
        <v>13</v>
      </c>
      <c r="Q64" s="364">
        <v>27.75</v>
      </c>
      <c r="R64" s="364">
        <v>7.75</v>
      </c>
      <c r="S64" s="364">
        <v>8.25</v>
      </c>
      <c r="T64" s="364">
        <v>0</v>
      </c>
      <c r="U64" s="364">
        <v>0</v>
      </c>
      <c r="V64" s="364">
        <v>0</v>
      </c>
      <c r="W64" s="364">
        <v>0</v>
      </c>
      <c r="X64" s="364">
        <v>0</v>
      </c>
      <c r="Y64" s="364">
        <v>0</v>
      </c>
      <c r="Z64" s="364">
        <v>0</v>
      </c>
      <c r="AA64" s="364">
        <v>0</v>
      </c>
      <c r="AB64" s="364">
        <v>0</v>
      </c>
      <c r="AC64" s="364">
        <v>0</v>
      </c>
      <c r="AD64" s="364">
        <v>0</v>
      </c>
      <c r="AE64" s="364">
        <v>0</v>
      </c>
      <c r="AF64" s="364">
        <v>0</v>
      </c>
      <c r="AG64" s="364">
        <v>0</v>
      </c>
      <c r="AH64" s="364">
        <v>0</v>
      </c>
      <c r="AI64" s="364">
        <v>0</v>
      </c>
      <c r="AJ64" s="364">
        <v>0</v>
      </c>
      <c r="AK64" s="364">
        <v>0</v>
      </c>
      <c r="AL64" s="364">
        <v>0</v>
      </c>
      <c r="AM64" s="364">
        <v>0</v>
      </c>
      <c r="AN64" s="364">
        <v>0</v>
      </c>
      <c r="AO64" s="364">
        <v>0</v>
      </c>
      <c r="AP64" s="364">
        <v>0</v>
      </c>
      <c r="AQ64" s="364">
        <v>0</v>
      </c>
      <c r="AR64" s="364">
        <v>4</v>
      </c>
      <c r="AS64" s="364">
        <v>0</v>
      </c>
      <c r="AT64" s="364">
        <v>0</v>
      </c>
      <c r="AU64" s="364">
        <v>0</v>
      </c>
      <c r="AV64" s="364">
        <v>0</v>
      </c>
      <c r="AW64" s="364">
        <v>1</v>
      </c>
    </row>
    <row r="65" spans="3:49" x14ac:dyDescent="0.3">
      <c r="C65" s="364">
        <v>9</v>
      </c>
      <c r="D65" s="364">
        <v>8</v>
      </c>
      <c r="E65" s="364">
        <v>2</v>
      </c>
      <c r="F65" s="364">
        <v>9400</v>
      </c>
      <c r="G65" s="364">
        <v>0</v>
      </c>
      <c r="H65" s="364">
        <v>0</v>
      </c>
      <c r="I65" s="364">
        <v>184</v>
      </c>
      <c r="J65" s="364">
        <v>104</v>
      </c>
      <c r="K65" s="364">
        <v>976</v>
      </c>
      <c r="L65" s="364">
        <v>0</v>
      </c>
      <c r="M65" s="364">
        <v>0</v>
      </c>
      <c r="N65" s="364">
        <v>0</v>
      </c>
      <c r="O65" s="364">
        <v>0</v>
      </c>
      <c r="P65" s="364">
        <v>1578</v>
      </c>
      <c r="Q65" s="364">
        <v>3548</v>
      </c>
      <c r="R65" s="364">
        <v>1164</v>
      </c>
      <c r="S65" s="364">
        <v>1200</v>
      </c>
      <c r="T65" s="364">
        <v>0</v>
      </c>
      <c r="U65" s="364">
        <v>0</v>
      </c>
      <c r="V65" s="364">
        <v>0</v>
      </c>
      <c r="W65" s="364">
        <v>0</v>
      </c>
      <c r="X65" s="364">
        <v>0</v>
      </c>
      <c r="Y65" s="364">
        <v>0</v>
      </c>
      <c r="Z65" s="364">
        <v>0</v>
      </c>
      <c r="AA65" s="364">
        <v>0</v>
      </c>
      <c r="AB65" s="364">
        <v>0</v>
      </c>
      <c r="AC65" s="364">
        <v>0</v>
      </c>
      <c r="AD65" s="364">
        <v>0</v>
      </c>
      <c r="AE65" s="364">
        <v>0</v>
      </c>
      <c r="AF65" s="364">
        <v>0</v>
      </c>
      <c r="AG65" s="364">
        <v>0</v>
      </c>
      <c r="AH65" s="364">
        <v>0</v>
      </c>
      <c r="AI65" s="364">
        <v>0</v>
      </c>
      <c r="AJ65" s="364">
        <v>0</v>
      </c>
      <c r="AK65" s="364">
        <v>0</v>
      </c>
      <c r="AL65" s="364">
        <v>0</v>
      </c>
      <c r="AM65" s="364">
        <v>0</v>
      </c>
      <c r="AN65" s="364">
        <v>0</v>
      </c>
      <c r="AO65" s="364">
        <v>0</v>
      </c>
      <c r="AP65" s="364">
        <v>0</v>
      </c>
      <c r="AQ65" s="364">
        <v>0</v>
      </c>
      <c r="AR65" s="364">
        <v>558</v>
      </c>
      <c r="AS65" s="364">
        <v>0</v>
      </c>
      <c r="AT65" s="364">
        <v>0</v>
      </c>
      <c r="AU65" s="364">
        <v>0</v>
      </c>
      <c r="AV65" s="364">
        <v>0</v>
      </c>
      <c r="AW65" s="364">
        <v>88</v>
      </c>
    </row>
    <row r="66" spans="3:49" x14ac:dyDescent="0.3">
      <c r="C66" s="364">
        <v>9</v>
      </c>
      <c r="D66" s="364">
        <v>8</v>
      </c>
      <c r="E66" s="364">
        <v>3</v>
      </c>
      <c r="F66" s="364">
        <v>869.76</v>
      </c>
      <c r="G66" s="364">
        <v>0</v>
      </c>
      <c r="H66" s="364">
        <v>0</v>
      </c>
      <c r="I66" s="364">
        <v>11.5</v>
      </c>
      <c r="J66" s="364">
        <v>0</v>
      </c>
      <c r="K66" s="364">
        <v>0</v>
      </c>
      <c r="L66" s="364">
        <v>0</v>
      </c>
      <c r="M66" s="364">
        <v>0</v>
      </c>
      <c r="N66" s="364">
        <v>0</v>
      </c>
      <c r="O66" s="364">
        <v>0</v>
      </c>
      <c r="P66" s="364">
        <v>344.01</v>
      </c>
      <c r="Q66" s="364">
        <v>397.75</v>
      </c>
      <c r="R66" s="364">
        <v>104.5</v>
      </c>
      <c r="S66" s="364">
        <v>12</v>
      </c>
      <c r="T66" s="364">
        <v>0</v>
      </c>
      <c r="U66" s="364">
        <v>0</v>
      </c>
      <c r="V66" s="364">
        <v>0</v>
      </c>
      <c r="W66" s="364">
        <v>0</v>
      </c>
      <c r="X66" s="364">
        <v>0</v>
      </c>
      <c r="Y66" s="364">
        <v>0</v>
      </c>
      <c r="Z66" s="364">
        <v>0</v>
      </c>
      <c r="AA66" s="364">
        <v>0</v>
      </c>
      <c r="AB66" s="364">
        <v>0</v>
      </c>
      <c r="AC66" s="364">
        <v>0</v>
      </c>
      <c r="AD66" s="364">
        <v>0</v>
      </c>
      <c r="AE66" s="364">
        <v>0</v>
      </c>
      <c r="AF66" s="364">
        <v>0</v>
      </c>
      <c r="AG66" s="364">
        <v>0</v>
      </c>
      <c r="AH66" s="364">
        <v>0</v>
      </c>
      <c r="AI66" s="364">
        <v>0</v>
      </c>
      <c r="AJ66" s="364">
        <v>0</v>
      </c>
      <c r="AK66" s="364">
        <v>0</v>
      </c>
      <c r="AL66" s="364">
        <v>0</v>
      </c>
      <c r="AM66" s="364">
        <v>0</v>
      </c>
      <c r="AN66" s="364">
        <v>0</v>
      </c>
      <c r="AO66" s="364">
        <v>0</v>
      </c>
      <c r="AP66" s="364">
        <v>0</v>
      </c>
      <c r="AQ66" s="364">
        <v>0</v>
      </c>
      <c r="AR66" s="364">
        <v>0</v>
      </c>
      <c r="AS66" s="364">
        <v>0</v>
      </c>
      <c r="AT66" s="364">
        <v>0</v>
      </c>
      <c r="AU66" s="364">
        <v>0</v>
      </c>
      <c r="AV66" s="364">
        <v>0</v>
      </c>
      <c r="AW66" s="364">
        <v>0</v>
      </c>
    </row>
    <row r="67" spans="3:49" x14ac:dyDescent="0.3">
      <c r="C67" s="364">
        <v>9</v>
      </c>
      <c r="D67" s="364">
        <v>8</v>
      </c>
      <c r="E67" s="364">
        <v>4</v>
      </c>
      <c r="F67" s="364">
        <v>1112.75</v>
      </c>
      <c r="G67" s="364">
        <v>0</v>
      </c>
      <c r="H67" s="364">
        <v>0</v>
      </c>
      <c r="I67" s="364">
        <v>34</v>
      </c>
      <c r="J67" s="364">
        <v>28</v>
      </c>
      <c r="K67" s="364">
        <v>222.5</v>
      </c>
      <c r="L67" s="364">
        <v>0</v>
      </c>
      <c r="M67" s="364">
        <v>0</v>
      </c>
      <c r="N67" s="364">
        <v>0</v>
      </c>
      <c r="O67" s="364">
        <v>0</v>
      </c>
      <c r="P67" s="364">
        <v>75</v>
      </c>
      <c r="Q67" s="364">
        <v>407</v>
      </c>
      <c r="R67" s="364">
        <v>127.25</v>
      </c>
      <c r="S67" s="364">
        <v>172.5</v>
      </c>
      <c r="T67" s="364">
        <v>0</v>
      </c>
      <c r="U67" s="364">
        <v>0</v>
      </c>
      <c r="V67" s="364">
        <v>0</v>
      </c>
      <c r="W67" s="364">
        <v>0</v>
      </c>
      <c r="X67" s="364">
        <v>0</v>
      </c>
      <c r="Y67" s="364">
        <v>0</v>
      </c>
      <c r="Z67" s="364">
        <v>0</v>
      </c>
      <c r="AA67" s="364">
        <v>0</v>
      </c>
      <c r="AB67" s="364">
        <v>0</v>
      </c>
      <c r="AC67" s="364">
        <v>0</v>
      </c>
      <c r="AD67" s="364">
        <v>0</v>
      </c>
      <c r="AE67" s="364">
        <v>0</v>
      </c>
      <c r="AF67" s="364">
        <v>0</v>
      </c>
      <c r="AG67" s="364">
        <v>0</v>
      </c>
      <c r="AH67" s="364">
        <v>0</v>
      </c>
      <c r="AI67" s="364">
        <v>0</v>
      </c>
      <c r="AJ67" s="364">
        <v>0</v>
      </c>
      <c r="AK67" s="364">
        <v>0</v>
      </c>
      <c r="AL67" s="364">
        <v>0</v>
      </c>
      <c r="AM67" s="364">
        <v>0</v>
      </c>
      <c r="AN67" s="364">
        <v>0</v>
      </c>
      <c r="AO67" s="364">
        <v>0</v>
      </c>
      <c r="AP67" s="364">
        <v>0</v>
      </c>
      <c r="AQ67" s="364">
        <v>0</v>
      </c>
      <c r="AR67" s="364">
        <v>46.5</v>
      </c>
      <c r="AS67" s="364">
        <v>0</v>
      </c>
      <c r="AT67" s="364">
        <v>0</v>
      </c>
      <c r="AU67" s="364">
        <v>0</v>
      </c>
      <c r="AV67" s="364">
        <v>0</v>
      </c>
      <c r="AW67" s="364">
        <v>0</v>
      </c>
    </row>
    <row r="68" spans="3:49" x14ac:dyDescent="0.3">
      <c r="C68" s="364">
        <v>9</v>
      </c>
      <c r="D68" s="364">
        <v>8</v>
      </c>
      <c r="E68" s="364">
        <v>5</v>
      </c>
      <c r="F68" s="364">
        <v>11.5</v>
      </c>
      <c r="G68" s="364">
        <v>11.5</v>
      </c>
      <c r="H68" s="364">
        <v>0</v>
      </c>
      <c r="I68" s="364">
        <v>0</v>
      </c>
      <c r="J68" s="364">
        <v>0</v>
      </c>
      <c r="K68" s="364">
        <v>0</v>
      </c>
      <c r="L68" s="364">
        <v>0</v>
      </c>
      <c r="M68" s="364">
        <v>0</v>
      </c>
      <c r="N68" s="364">
        <v>0</v>
      </c>
      <c r="O68" s="364">
        <v>0</v>
      </c>
      <c r="P68" s="364">
        <v>0</v>
      </c>
      <c r="Q68" s="364">
        <v>0</v>
      </c>
      <c r="R68" s="364">
        <v>0</v>
      </c>
      <c r="S68" s="364">
        <v>0</v>
      </c>
      <c r="T68" s="364">
        <v>0</v>
      </c>
      <c r="U68" s="364">
        <v>0</v>
      </c>
      <c r="V68" s="364">
        <v>0</v>
      </c>
      <c r="W68" s="364">
        <v>0</v>
      </c>
      <c r="X68" s="364">
        <v>0</v>
      </c>
      <c r="Y68" s="364">
        <v>0</v>
      </c>
      <c r="Z68" s="364">
        <v>0</v>
      </c>
      <c r="AA68" s="364">
        <v>0</v>
      </c>
      <c r="AB68" s="364">
        <v>0</v>
      </c>
      <c r="AC68" s="364">
        <v>0</v>
      </c>
      <c r="AD68" s="364">
        <v>0</v>
      </c>
      <c r="AE68" s="364">
        <v>0</v>
      </c>
      <c r="AF68" s="364">
        <v>0</v>
      </c>
      <c r="AG68" s="364">
        <v>0</v>
      </c>
      <c r="AH68" s="364">
        <v>0</v>
      </c>
      <c r="AI68" s="364">
        <v>0</v>
      </c>
      <c r="AJ68" s="364">
        <v>0</v>
      </c>
      <c r="AK68" s="364">
        <v>0</v>
      </c>
      <c r="AL68" s="364">
        <v>0</v>
      </c>
      <c r="AM68" s="364">
        <v>0</v>
      </c>
      <c r="AN68" s="364">
        <v>0</v>
      </c>
      <c r="AO68" s="364">
        <v>0</v>
      </c>
      <c r="AP68" s="364">
        <v>0</v>
      </c>
      <c r="AQ68" s="364">
        <v>0</v>
      </c>
      <c r="AR68" s="364">
        <v>0</v>
      </c>
      <c r="AS68" s="364">
        <v>0</v>
      </c>
      <c r="AT68" s="364">
        <v>0</v>
      </c>
      <c r="AU68" s="364">
        <v>0</v>
      </c>
      <c r="AV68" s="364">
        <v>0</v>
      </c>
      <c r="AW68" s="364">
        <v>0</v>
      </c>
    </row>
    <row r="69" spans="3:49" x14ac:dyDescent="0.3">
      <c r="C69" s="364">
        <v>9</v>
      </c>
      <c r="D69" s="364">
        <v>8</v>
      </c>
      <c r="E69" s="364">
        <v>6</v>
      </c>
      <c r="F69" s="364">
        <v>3056588</v>
      </c>
      <c r="G69" s="364">
        <v>2875</v>
      </c>
      <c r="H69" s="364">
        <v>0</v>
      </c>
      <c r="I69" s="364">
        <v>44213</v>
      </c>
      <c r="J69" s="364">
        <v>53979</v>
      </c>
      <c r="K69" s="364">
        <v>687767</v>
      </c>
      <c r="L69" s="364">
        <v>0</v>
      </c>
      <c r="M69" s="364">
        <v>0</v>
      </c>
      <c r="N69" s="364">
        <v>0</v>
      </c>
      <c r="O69" s="364">
        <v>0</v>
      </c>
      <c r="P69" s="364">
        <v>451844</v>
      </c>
      <c r="Q69" s="364">
        <v>1169153</v>
      </c>
      <c r="R69" s="364">
        <v>331176</v>
      </c>
      <c r="S69" s="364">
        <v>207527</v>
      </c>
      <c r="T69" s="364">
        <v>0</v>
      </c>
      <c r="U69" s="364">
        <v>0</v>
      </c>
      <c r="V69" s="364">
        <v>0</v>
      </c>
      <c r="W69" s="364">
        <v>0</v>
      </c>
      <c r="X69" s="364">
        <v>0</v>
      </c>
      <c r="Y69" s="364">
        <v>0</v>
      </c>
      <c r="Z69" s="364">
        <v>0</v>
      </c>
      <c r="AA69" s="364">
        <v>0</v>
      </c>
      <c r="AB69" s="364">
        <v>0</v>
      </c>
      <c r="AC69" s="364">
        <v>0</v>
      </c>
      <c r="AD69" s="364">
        <v>0</v>
      </c>
      <c r="AE69" s="364">
        <v>0</v>
      </c>
      <c r="AF69" s="364">
        <v>0</v>
      </c>
      <c r="AG69" s="364">
        <v>0</v>
      </c>
      <c r="AH69" s="364">
        <v>0</v>
      </c>
      <c r="AI69" s="364">
        <v>0</v>
      </c>
      <c r="AJ69" s="364">
        <v>0</v>
      </c>
      <c r="AK69" s="364">
        <v>0</v>
      </c>
      <c r="AL69" s="364">
        <v>0</v>
      </c>
      <c r="AM69" s="364">
        <v>0</v>
      </c>
      <c r="AN69" s="364">
        <v>0</v>
      </c>
      <c r="AO69" s="364">
        <v>0</v>
      </c>
      <c r="AP69" s="364">
        <v>0</v>
      </c>
      <c r="AQ69" s="364">
        <v>0</v>
      </c>
      <c r="AR69" s="364">
        <v>83663</v>
      </c>
      <c r="AS69" s="364">
        <v>0</v>
      </c>
      <c r="AT69" s="364">
        <v>0</v>
      </c>
      <c r="AU69" s="364">
        <v>0</v>
      </c>
      <c r="AV69" s="364">
        <v>0</v>
      </c>
      <c r="AW69" s="364">
        <v>24391</v>
      </c>
    </row>
    <row r="70" spans="3:49" x14ac:dyDescent="0.3">
      <c r="C70" s="364">
        <v>9</v>
      </c>
      <c r="D70" s="364">
        <v>8</v>
      </c>
      <c r="E70" s="364">
        <v>9</v>
      </c>
      <c r="F70" s="364">
        <v>15000</v>
      </c>
      <c r="G70" s="364">
        <v>0</v>
      </c>
      <c r="H70" s="364">
        <v>0</v>
      </c>
      <c r="I70" s="364">
        <v>0</v>
      </c>
      <c r="J70" s="364">
        <v>0</v>
      </c>
      <c r="K70" s="364">
        <v>0</v>
      </c>
      <c r="L70" s="364">
        <v>0</v>
      </c>
      <c r="M70" s="364">
        <v>0</v>
      </c>
      <c r="N70" s="364">
        <v>0</v>
      </c>
      <c r="O70" s="364">
        <v>0</v>
      </c>
      <c r="P70" s="364">
        <v>0</v>
      </c>
      <c r="Q70" s="364">
        <v>15000</v>
      </c>
      <c r="R70" s="364">
        <v>0</v>
      </c>
      <c r="S70" s="364">
        <v>0</v>
      </c>
      <c r="T70" s="364">
        <v>0</v>
      </c>
      <c r="U70" s="364">
        <v>0</v>
      </c>
      <c r="V70" s="364">
        <v>0</v>
      </c>
      <c r="W70" s="364">
        <v>0</v>
      </c>
      <c r="X70" s="364">
        <v>0</v>
      </c>
      <c r="Y70" s="364">
        <v>0</v>
      </c>
      <c r="Z70" s="364">
        <v>0</v>
      </c>
      <c r="AA70" s="364">
        <v>0</v>
      </c>
      <c r="AB70" s="364">
        <v>0</v>
      </c>
      <c r="AC70" s="364">
        <v>0</v>
      </c>
      <c r="AD70" s="364">
        <v>0</v>
      </c>
      <c r="AE70" s="364">
        <v>0</v>
      </c>
      <c r="AF70" s="364">
        <v>0</v>
      </c>
      <c r="AG70" s="364">
        <v>0</v>
      </c>
      <c r="AH70" s="364">
        <v>0</v>
      </c>
      <c r="AI70" s="364">
        <v>0</v>
      </c>
      <c r="AJ70" s="364">
        <v>0</v>
      </c>
      <c r="AK70" s="364">
        <v>0</v>
      </c>
      <c r="AL70" s="364">
        <v>0</v>
      </c>
      <c r="AM70" s="364">
        <v>0</v>
      </c>
      <c r="AN70" s="364">
        <v>0</v>
      </c>
      <c r="AO70" s="364">
        <v>0</v>
      </c>
      <c r="AP70" s="364">
        <v>0</v>
      </c>
      <c r="AQ70" s="364">
        <v>0</v>
      </c>
      <c r="AR70" s="364">
        <v>0</v>
      </c>
      <c r="AS70" s="364">
        <v>0</v>
      </c>
      <c r="AT70" s="364">
        <v>0</v>
      </c>
      <c r="AU70" s="364">
        <v>0</v>
      </c>
      <c r="AV70" s="364">
        <v>0</v>
      </c>
      <c r="AW70" s="364">
        <v>0</v>
      </c>
    </row>
    <row r="71" spans="3:49" x14ac:dyDescent="0.3">
      <c r="C71" s="364">
        <v>9</v>
      </c>
      <c r="D71" s="364">
        <v>8</v>
      </c>
      <c r="E71" s="364">
        <v>10</v>
      </c>
      <c r="F71" s="364">
        <v>4014</v>
      </c>
      <c r="G71" s="364">
        <v>0</v>
      </c>
      <c r="H71" s="364">
        <v>0</v>
      </c>
      <c r="I71" s="364">
        <v>0</v>
      </c>
      <c r="J71" s="364">
        <v>0</v>
      </c>
      <c r="K71" s="364">
        <v>0</v>
      </c>
      <c r="L71" s="364">
        <v>0</v>
      </c>
      <c r="M71" s="364">
        <v>0</v>
      </c>
      <c r="N71" s="364">
        <v>0</v>
      </c>
      <c r="O71" s="364">
        <v>4014</v>
      </c>
      <c r="P71" s="364">
        <v>0</v>
      </c>
      <c r="Q71" s="364">
        <v>0</v>
      </c>
      <c r="R71" s="364">
        <v>0</v>
      </c>
      <c r="S71" s="364">
        <v>0</v>
      </c>
      <c r="T71" s="364">
        <v>0</v>
      </c>
      <c r="U71" s="364">
        <v>0</v>
      </c>
      <c r="V71" s="364">
        <v>0</v>
      </c>
      <c r="W71" s="364">
        <v>0</v>
      </c>
      <c r="X71" s="364">
        <v>0</v>
      </c>
      <c r="Y71" s="364">
        <v>0</v>
      </c>
      <c r="Z71" s="364">
        <v>0</v>
      </c>
      <c r="AA71" s="364">
        <v>0</v>
      </c>
      <c r="AB71" s="364">
        <v>0</v>
      </c>
      <c r="AC71" s="364">
        <v>0</v>
      </c>
      <c r="AD71" s="364">
        <v>0</v>
      </c>
      <c r="AE71" s="364">
        <v>0</v>
      </c>
      <c r="AF71" s="364">
        <v>0</v>
      </c>
      <c r="AG71" s="364">
        <v>0</v>
      </c>
      <c r="AH71" s="364">
        <v>0</v>
      </c>
      <c r="AI71" s="364">
        <v>0</v>
      </c>
      <c r="AJ71" s="364">
        <v>0</v>
      </c>
      <c r="AK71" s="364">
        <v>0</v>
      </c>
      <c r="AL71" s="364">
        <v>0</v>
      </c>
      <c r="AM71" s="364">
        <v>0</v>
      </c>
      <c r="AN71" s="364">
        <v>0</v>
      </c>
      <c r="AO71" s="364">
        <v>0</v>
      </c>
      <c r="AP71" s="364">
        <v>0</v>
      </c>
      <c r="AQ71" s="364">
        <v>0</v>
      </c>
      <c r="AR71" s="364">
        <v>0</v>
      </c>
      <c r="AS71" s="364">
        <v>0</v>
      </c>
      <c r="AT71" s="364">
        <v>0</v>
      </c>
      <c r="AU71" s="364">
        <v>0</v>
      </c>
      <c r="AV71" s="364">
        <v>0</v>
      </c>
      <c r="AW71" s="364">
        <v>0</v>
      </c>
    </row>
    <row r="72" spans="3:49" x14ac:dyDescent="0.3">
      <c r="C72" s="364">
        <v>9</v>
      </c>
      <c r="D72" s="364">
        <v>8</v>
      </c>
      <c r="E72" s="364">
        <v>11</v>
      </c>
      <c r="F72" s="364">
        <v>5217.5572519083971</v>
      </c>
      <c r="G72" s="364">
        <v>0</v>
      </c>
      <c r="H72" s="364">
        <v>0</v>
      </c>
      <c r="I72" s="364">
        <v>0</v>
      </c>
      <c r="J72" s="364">
        <v>1717.5572519083971</v>
      </c>
      <c r="K72" s="364">
        <v>0</v>
      </c>
      <c r="L72" s="364">
        <v>0</v>
      </c>
      <c r="M72" s="364">
        <v>0</v>
      </c>
      <c r="N72" s="364">
        <v>0</v>
      </c>
      <c r="O72" s="364">
        <v>3500</v>
      </c>
      <c r="P72" s="364">
        <v>0</v>
      </c>
      <c r="Q72" s="364">
        <v>0</v>
      </c>
      <c r="R72" s="364">
        <v>0</v>
      </c>
      <c r="S72" s="364">
        <v>0</v>
      </c>
      <c r="T72" s="364">
        <v>0</v>
      </c>
      <c r="U72" s="364">
        <v>0</v>
      </c>
      <c r="V72" s="364">
        <v>0</v>
      </c>
      <c r="W72" s="364">
        <v>0</v>
      </c>
      <c r="X72" s="364">
        <v>0</v>
      </c>
      <c r="Y72" s="364">
        <v>0</v>
      </c>
      <c r="Z72" s="364">
        <v>0</v>
      </c>
      <c r="AA72" s="364">
        <v>0</v>
      </c>
      <c r="AB72" s="364">
        <v>0</v>
      </c>
      <c r="AC72" s="364">
        <v>0</v>
      </c>
      <c r="AD72" s="364">
        <v>0</v>
      </c>
      <c r="AE72" s="364">
        <v>0</v>
      </c>
      <c r="AF72" s="364">
        <v>0</v>
      </c>
      <c r="AG72" s="364">
        <v>0</v>
      </c>
      <c r="AH72" s="364">
        <v>0</v>
      </c>
      <c r="AI72" s="364">
        <v>0</v>
      </c>
      <c r="AJ72" s="364">
        <v>0</v>
      </c>
      <c r="AK72" s="364">
        <v>0</v>
      </c>
      <c r="AL72" s="364">
        <v>0</v>
      </c>
      <c r="AM72" s="364">
        <v>0</v>
      </c>
      <c r="AN72" s="364">
        <v>0</v>
      </c>
      <c r="AO72" s="364">
        <v>0</v>
      </c>
      <c r="AP72" s="364">
        <v>0</v>
      </c>
      <c r="AQ72" s="364">
        <v>0</v>
      </c>
      <c r="AR72" s="364">
        <v>0</v>
      </c>
      <c r="AS72" s="364">
        <v>0</v>
      </c>
      <c r="AT72" s="364">
        <v>0</v>
      </c>
      <c r="AU72" s="364">
        <v>0</v>
      </c>
      <c r="AV72" s="364">
        <v>0</v>
      </c>
      <c r="AW72" s="364">
        <v>0</v>
      </c>
    </row>
    <row r="73" spans="3:49" x14ac:dyDescent="0.3">
      <c r="C73" s="364">
        <v>9</v>
      </c>
      <c r="D73" s="364">
        <v>9</v>
      </c>
      <c r="E73" s="364">
        <v>1</v>
      </c>
      <c r="F73" s="364">
        <v>69.25</v>
      </c>
      <c r="G73" s="364">
        <v>0</v>
      </c>
      <c r="H73" s="364">
        <v>0</v>
      </c>
      <c r="I73" s="364">
        <v>1</v>
      </c>
      <c r="J73" s="364">
        <v>1</v>
      </c>
      <c r="K73" s="364">
        <v>7.5</v>
      </c>
      <c r="L73" s="364">
        <v>0</v>
      </c>
      <c r="M73" s="364">
        <v>0</v>
      </c>
      <c r="N73" s="364">
        <v>0</v>
      </c>
      <c r="O73" s="364">
        <v>0</v>
      </c>
      <c r="P73" s="364">
        <v>12</v>
      </c>
      <c r="Q73" s="364">
        <v>26.75</v>
      </c>
      <c r="R73" s="364">
        <v>7.75</v>
      </c>
      <c r="S73" s="364">
        <v>8.25</v>
      </c>
      <c r="T73" s="364">
        <v>0</v>
      </c>
      <c r="U73" s="364">
        <v>0</v>
      </c>
      <c r="V73" s="364">
        <v>0</v>
      </c>
      <c r="W73" s="364">
        <v>0</v>
      </c>
      <c r="X73" s="364">
        <v>0</v>
      </c>
      <c r="Y73" s="364">
        <v>0</v>
      </c>
      <c r="Z73" s="364">
        <v>0</v>
      </c>
      <c r="AA73" s="364">
        <v>0</v>
      </c>
      <c r="AB73" s="364">
        <v>0</v>
      </c>
      <c r="AC73" s="364">
        <v>0</v>
      </c>
      <c r="AD73" s="364">
        <v>0</v>
      </c>
      <c r="AE73" s="364">
        <v>0</v>
      </c>
      <c r="AF73" s="364">
        <v>0</v>
      </c>
      <c r="AG73" s="364">
        <v>0</v>
      </c>
      <c r="AH73" s="364">
        <v>0</v>
      </c>
      <c r="AI73" s="364">
        <v>0</v>
      </c>
      <c r="AJ73" s="364">
        <v>0</v>
      </c>
      <c r="AK73" s="364">
        <v>0</v>
      </c>
      <c r="AL73" s="364">
        <v>0</v>
      </c>
      <c r="AM73" s="364">
        <v>0</v>
      </c>
      <c r="AN73" s="364">
        <v>0</v>
      </c>
      <c r="AO73" s="364">
        <v>0</v>
      </c>
      <c r="AP73" s="364">
        <v>0</v>
      </c>
      <c r="AQ73" s="364">
        <v>0</v>
      </c>
      <c r="AR73" s="364">
        <v>4</v>
      </c>
      <c r="AS73" s="364">
        <v>0</v>
      </c>
      <c r="AT73" s="364">
        <v>0</v>
      </c>
      <c r="AU73" s="364">
        <v>0</v>
      </c>
      <c r="AV73" s="364">
        <v>0</v>
      </c>
      <c r="AW73" s="364">
        <v>1</v>
      </c>
    </row>
    <row r="74" spans="3:49" x14ac:dyDescent="0.3">
      <c r="C74" s="364">
        <v>9</v>
      </c>
      <c r="D74" s="364">
        <v>9</v>
      </c>
      <c r="E74" s="364">
        <v>2</v>
      </c>
      <c r="F74" s="364">
        <v>9226.15</v>
      </c>
      <c r="G74" s="364">
        <v>0</v>
      </c>
      <c r="H74" s="364">
        <v>0</v>
      </c>
      <c r="I74" s="364">
        <v>72</v>
      </c>
      <c r="J74" s="364">
        <v>176</v>
      </c>
      <c r="K74" s="364">
        <v>1100</v>
      </c>
      <c r="L74" s="364">
        <v>0</v>
      </c>
      <c r="M74" s="364">
        <v>0</v>
      </c>
      <c r="N74" s="364">
        <v>0</v>
      </c>
      <c r="O74" s="364">
        <v>0</v>
      </c>
      <c r="P74" s="364">
        <v>1532.4</v>
      </c>
      <c r="Q74" s="364">
        <v>3554</v>
      </c>
      <c r="R74" s="364">
        <v>1040</v>
      </c>
      <c r="S74" s="364">
        <v>972</v>
      </c>
      <c r="T74" s="364">
        <v>0</v>
      </c>
      <c r="U74" s="364">
        <v>0</v>
      </c>
      <c r="V74" s="364">
        <v>0</v>
      </c>
      <c r="W74" s="364">
        <v>0</v>
      </c>
      <c r="X74" s="364">
        <v>0</v>
      </c>
      <c r="Y74" s="364">
        <v>0</v>
      </c>
      <c r="Z74" s="364">
        <v>0</v>
      </c>
      <c r="AA74" s="364">
        <v>0</v>
      </c>
      <c r="AB74" s="364">
        <v>0</v>
      </c>
      <c r="AC74" s="364">
        <v>0</v>
      </c>
      <c r="AD74" s="364">
        <v>0</v>
      </c>
      <c r="AE74" s="364">
        <v>0</v>
      </c>
      <c r="AF74" s="364">
        <v>0</v>
      </c>
      <c r="AG74" s="364">
        <v>0</v>
      </c>
      <c r="AH74" s="364">
        <v>0</v>
      </c>
      <c r="AI74" s="364">
        <v>0</v>
      </c>
      <c r="AJ74" s="364">
        <v>0</v>
      </c>
      <c r="AK74" s="364">
        <v>0</v>
      </c>
      <c r="AL74" s="364">
        <v>0</v>
      </c>
      <c r="AM74" s="364">
        <v>0</v>
      </c>
      <c r="AN74" s="364">
        <v>0</v>
      </c>
      <c r="AO74" s="364">
        <v>0</v>
      </c>
      <c r="AP74" s="364">
        <v>0</v>
      </c>
      <c r="AQ74" s="364">
        <v>0</v>
      </c>
      <c r="AR74" s="364">
        <v>627.75</v>
      </c>
      <c r="AS74" s="364">
        <v>0</v>
      </c>
      <c r="AT74" s="364">
        <v>0</v>
      </c>
      <c r="AU74" s="364">
        <v>0</v>
      </c>
      <c r="AV74" s="364">
        <v>0</v>
      </c>
      <c r="AW74" s="364">
        <v>152</v>
      </c>
    </row>
    <row r="75" spans="3:49" x14ac:dyDescent="0.3">
      <c r="C75" s="364">
        <v>9</v>
      </c>
      <c r="D75" s="364">
        <v>9</v>
      </c>
      <c r="E75" s="364">
        <v>3</v>
      </c>
      <c r="F75" s="364">
        <v>975.5</v>
      </c>
      <c r="G75" s="364">
        <v>0</v>
      </c>
      <c r="H75" s="364">
        <v>0</v>
      </c>
      <c r="I75" s="364">
        <v>11.5</v>
      </c>
      <c r="J75" s="364">
        <v>0</v>
      </c>
      <c r="K75" s="364">
        <v>11.5</v>
      </c>
      <c r="L75" s="364">
        <v>0</v>
      </c>
      <c r="M75" s="364">
        <v>0</v>
      </c>
      <c r="N75" s="364">
        <v>0</v>
      </c>
      <c r="O75" s="364">
        <v>0</v>
      </c>
      <c r="P75" s="364">
        <v>381.5</v>
      </c>
      <c r="Q75" s="364">
        <v>411</v>
      </c>
      <c r="R75" s="364">
        <v>115</v>
      </c>
      <c r="S75" s="364">
        <v>45</v>
      </c>
      <c r="T75" s="364">
        <v>0</v>
      </c>
      <c r="U75" s="364">
        <v>0</v>
      </c>
      <c r="V75" s="364">
        <v>0</v>
      </c>
      <c r="W75" s="364">
        <v>0</v>
      </c>
      <c r="X75" s="364">
        <v>0</v>
      </c>
      <c r="Y75" s="364">
        <v>0</v>
      </c>
      <c r="Z75" s="364">
        <v>0</v>
      </c>
      <c r="AA75" s="364">
        <v>0</v>
      </c>
      <c r="AB75" s="364">
        <v>0</v>
      </c>
      <c r="AC75" s="364">
        <v>0</v>
      </c>
      <c r="AD75" s="364">
        <v>0</v>
      </c>
      <c r="AE75" s="364">
        <v>0</v>
      </c>
      <c r="AF75" s="364">
        <v>0</v>
      </c>
      <c r="AG75" s="364">
        <v>0</v>
      </c>
      <c r="AH75" s="364">
        <v>0</v>
      </c>
      <c r="AI75" s="364">
        <v>0</v>
      </c>
      <c r="AJ75" s="364">
        <v>0</v>
      </c>
      <c r="AK75" s="364">
        <v>0</v>
      </c>
      <c r="AL75" s="364">
        <v>0</v>
      </c>
      <c r="AM75" s="364">
        <v>0</v>
      </c>
      <c r="AN75" s="364">
        <v>0</v>
      </c>
      <c r="AO75" s="364">
        <v>0</v>
      </c>
      <c r="AP75" s="364">
        <v>0</v>
      </c>
      <c r="AQ75" s="364">
        <v>0</v>
      </c>
      <c r="AR75" s="364">
        <v>0</v>
      </c>
      <c r="AS75" s="364">
        <v>0</v>
      </c>
      <c r="AT75" s="364">
        <v>0</v>
      </c>
      <c r="AU75" s="364">
        <v>0</v>
      </c>
      <c r="AV75" s="364">
        <v>0</v>
      </c>
      <c r="AW75" s="364">
        <v>0</v>
      </c>
    </row>
    <row r="76" spans="3:49" x14ac:dyDescent="0.3">
      <c r="C76" s="364">
        <v>9</v>
      </c>
      <c r="D76" s="364">
        <v>9</v>
      </c>
      <c r="E76" s="364">
        <v>4</v>
      </c>
      <c r="F76" s="364">
        <v>1036</v>
      </c>
      <c r="G76" s="364">
        <v>0</v>
      </c>
      <c r="H76" s="364">
        <v>0</v>
      </c>
      <c r="I76" s="364">
        <v>6</v>
      </c>
      <c r="J76" s="364">
        <v>32</v>
      </c>
      <c r="K76" s="364">
        <v>194.5</v>
      </c>
      <c r="L76" s="364">
        <v>0</v>
      </c>
      <c r="M76" s="364">
        <v>0</v>
      </c>
      <c r="N76" s="364">
        <v>0</v>
      </c>
      <c r="O76" s="364">
        <v>0</v>
      </c>
      <c r="P76" s="364">
        <v>94.5</v>
      </c>
      <c r="Q76" s="364">
        <v>424</v>
      </c>
      <c r="R76" s="364">
        <v>114</v>
      </c>
      <c r="S76" s="364">
        <v>125</v>
      </c>
      <c r="T76" s="364">
        <v>0</v>
      </c>
      <c r="U76" s="364">
        <v>0</v>
      </c>
      <c r="V76" s="364">
        <v>0</v>
      </c>
      <c r="W76" s="364">
        <v>0</v>
      </c>
      <c r="X76" s="364">
        <v>0</v>
      </c>
      <c r="Y76" s="364">
        <v>0</v>
      </c>
      <c r="Z76" s="364">
        <v>0</v>
      </c>
      <c r="AA76" s="364">
        <v>0</v>
      </c>
      <c r="AB76" s="364">
        <v>0</v>
      </c>
      <c r="AC76" s="364">
        <v>0</v>
      </c>
      <c r="AD76" s="364">
        <v>0</v>
      </c>
      <c r="AE76" s="364">
        <v>0</v>
      </c>
      <c r="AF76" s="364">
        <v>0</v>
      </c>
      <c r="AG76" s="364">
        <v>0</v>
      </c>
      <c r="AH76" s="364">
        <v>0</v>
      </c>
      <c r="AI76" s="364">
        <v>0</v>
      </c>
      <c r="AJ76" s="364">
        <v>0</v>
      </c>
      <c r="AK76" s="364">
        <v>0</v>
      </c>
      <c r="AL76" s="364">
        <v>0</v>
      </c>
      <c r="AM76" s="364">
        <v>0</v>
      </c>
      <c r="AN76" s="364">
        <v>0</v>
      </c>
      <c r="AO76" s="364">
        <v>0</v>
      </c>
      <c r="AP76" s="364">
        <v>0</v>
      </c>
      <c r="AQ76" s="364">
        <v>0</v>
      </c>
      <c r="AR76" s="364">
        <v>46</v>
      </c>
      <c r="AS76" s="364">
        <v>0</v>
      </c>
      <c r="AT76" s="364">
        <v>0</v>
      </c>
      <c r="AU76" s="364">
        <v>0</v>
      </c>
      <c r="AV76" s="364">
        <v>0</v>
      </c>
      <c r="AW76" s="364">
        <v>0</v>
      </c>
    </row>
    <row r="77" spans="3:49" x14ac:dyDescent="0.3">
      <c r="C77" s="364">
        <v>9</v>
      </c>
      <c r="D77" s="364">
        <v>9</v>
      </c>
      <c r="E77" s="364">
        <v>5</v>
      </c>
      <c r="F77" s="364">
        <v>49.5</v>
      </c>
      <c r="G77" s="364">
        <v>49.5</v>
      </c>
      <c r="H77" s="364">
        <v>0</v>
      </c>
      <c r="I77" s="364">
        <v>0</v>
      </c>
      <c r="J77" s="364">
        <v>0</v>
      </c>
      <c r="K77" s="364">
        <v>0</v>
      </c>
      <c r="L77" s="364">
        <v>0</v>
      </c>
      <c r="M77" s="364">
        <v>0</v>
      </c>
      <c r="N77" s="364">
        <v>0</v>
      </c>
      <c r="O77" s="364">
        <v>0</v>
      </c>
      <c r="P77" s="364">
        <v>0</v>
      </c>
      <c r="Q77" s="364">
        <v>0</v>
      </c>
      <c r="R77" s="364">
        <v>0</v>
      </c>
      <c r="S77" s="364">
        <v>0</v>
      </c>
      <c r="T77" s="364">
        <v>0</v>
      </c>
      <c r="U77" s="364">
        <v>0</v>
      </c>
      <c r="V77" s="364">
        <v>0</v>
      </c>
      <c r="W77" s="364">
        <v>0</v>
      </c>
      <c r="X77" s="364">
        <v>0</v>
      </c>
      <c r="Y77" s="364">
        <v>0</v>
      </c>
      <c r="Z77" s="364">
        <v>0</v>
      </c>
      <c r="AA77" s="364">
        <v>0</v>
      </c>
      <c r="AB77" s="364">
        <v>0</v>
      </c>
      <c r="AC77" s="364">
        <v>0</v>
      </c>
      <c r="AD77" s="364">
        <v>0</v>
      </c>
      <c r="AE77" s="364">
        <v>0</v>
      </c>
      <c r="AF77" s="364">
        <v>0</v>
      </c>
      <c r="AG77" s="364">
        <v>0</v>
      </c>
      <c r="AH77" s="364">
        <v>0</v>
      </c>
      <c r="AI77" s="364">
        <v>0</v>
      </c>
      <c r="AJ77" s="364">
        <v>0</v>
      </c>
      <c r="AK77" s="364">
        <v>0</v>
      </c>
      <c r="AL77" s="364">
        <v>0</v>
      </c>
      <c r="AM77" s="364">
        <v>0</v>
      </c>
      <c r="AN77" s="364">
        <v>0</v>
      </c>
      <c r="AO77" s="364">
        <v>0</v>
      </c>
      <c r="AP77" s="364">
        <v>0</v>
      </c>
      <c r="AQ77" s="364">
        <v>0</v>
      </c>
      <c r="AR77" s="364">
        <v>0</v>
      </c>
      <c r="AS77" s="364">
        <v>0</v>
      </c>
      <c r="AT77" s="364">
        <v>0</v>
      </c>
      <c r="AU77" s="364">
        <v>0</v>
      </c>
      <c r="AV77" s="364">
        <v>0</v>
      </c>
      <c r="AW77" s="364">
        <v>0</v>
      </c>
    </row>
    <row r="78" spans="3:49" x14ac:dyDescent="0.3">
      <c r="C78" s="364">
        <v>9</v>
      </c>
      <c r="D78" s="364">
        <v>9</v>
      </c>
      <c r="E78" s="364">
        <v>6</v>
      </c>
      <c r="F78" s="364">
        <v>3025315</v>
      </c>
      <c r="G78" s="364">
        <v>16240</v>
      </c>
      <c r="H78" s="364">
        <v>0</v>
      </c>
      <c r="I78" s="364">
        <v>37209</v>
      </c>
      <c r="J78" s="364">
        <v>54479</v>
      </c>
      <c r="K78" s="364">
        <v>643544</v>
      </c>
      <c r="L78" s="364">
        <v>0</v>
      </c>
      <c r="M78" s="364">
        <v>0</v>
      </c>
      <c r="N78" s="364">
        <v>0</v>
      </c>
      <c r="O78" s="364">
        <v>0</v>
      </c>
      <c r="P78" s="364">
        <v>474749</v>
      </c>
      <c r="Q78" s="364">
        <v>1169386</v>
      </c>
      <c r="R78" s="364">
        <v>341043</v>
      </c>
      <c r="S78" s="364">
        <v>181679</v>
      </c>
      <c r="T78" s="364">
        <v>0</v>
      </c>
      <c r="U78" s="364">
        <v>0</v>
      </c>
      <c r="V78" s="364">
        <v>0</v>
      </c>
      <c r="W78" s="364">
        <v>0</v>
      </c>
      <c r="X78" s="364">
        <v>0</v>
      </c>
      <c r="Y78" s="364">
        <v>0</v>
      </c>
      <c r="Z78" s="364">
        <v>0</v>
      </c>
      <c r="AA78" s="364">
        <v>0</v>
      </c>
      <c r="AB78" s="364">
        <v>0</v>
      </c>
      <c r="AC78" s="364">
        <v>0</v>
      </c>
      <c r="AD78" s="364">
        <v>0</v>
      </c>
      <c r="AE78" s="364">
        <v>0</v>
      </c>
      <c r="AF78" s="364">
        <v>0</v>
      </c>
      <c r="AG78" s="364">
        <v>0</v>
      </c>
      <c r="AH78" s="364">
        <v>0</v>
      </c>
      <c r="AI78" s="364">
        <v>0</v>
      </c>
      <c r="AJ78" s="364">
        <v>0</v>
      </c>
      <c r="AK78" s="364">
        <v>0</v>
      </c>
      <c r="AL78" s="364">
        <v>0</v>
      </c>
      <c r="AM78" s="364">
        <v>0</v>
      </c>
      <c r="AN78" s="364">
        <v>0</v>
      </c>
      <c r="AO78" s="364">
        <v>0</v>
      </c>
      <c r="AP78" s="364">
        <v>0</v>
      </c>
      <c r="AQ78" s="364">
        <v>0</v>
      </c>
      <c r="AR78" s="364">
        <v>83030</v>
      </c>
      <c r="AS78" s="364">
        <v>0</v>
      </c>
      <c r="AT78" s="364">
        <v>0</v>
      </c>
      <c r="AU78" s="364">
        <v>0</v>
      </c>
      <c r="AV78" s="364">
        <v>0</v>
      </c>
      <c r="AW78" s="364">
        <v>23956</v>
      </c>
    </row>
    <row r="79" spans="3:49" x14ac:dyDescent="0.3">
      <c r="C79" s="364">
        <v>9</v>
      </c>
      <c r="D79" s="364">
        <v>9</v>
      </c>
      <c r="E79" s="364">
        <v>9</v>
      </c>
      <c r="F79" s="364">
        <v>30988</v>
      </c>
      <c r="G79" s="364">
        <v>0</v>
      </c>
      <c r="H79" s="364">
        <v>0</v>
      </c>
      <c r="I79" s="364">
        <v>0</v>
      </c>
      <c r="J79" s="364">
        <v>0</v>
      </c>
      <c r="K79" s="364">
        <v>14000</v>
      </c>
      <c r="L79" s="364">
        <v>0</v>
      </c>
      <c r="M79" s="364">
        <v>0</v>
      </c>
      <c r="N79" s="364">
        <v>0</v>
      </c>
      <c r="O79" s="364">
        <v>0</v>
      </c>
      <c r="P79" s="364">
        <v>4073</v>
      </c>
      <c r="Q79" s="364">
        <v>8205</v>
      </c>
      <c r="R79" s="364">
        <v>2035</v>
      </c>
      <c r="S79" s="364">
        <v>2675</v>
      </c>
      <c r="T79" s="364">
        <v>0</v>
      </c>
      <c r="U79" s="364">
        <v>0</v>
      </c>
      <c r="V79" s="364">
        <v>0</v>
      </c>
      <c r="W79" s="364">
        <v>0</v>
      </c>
      <c r="X79" s="364">
        <v>0</v>
      </c>
      <c r="Y79" s="364">
        <v>0</v>
      </c>
      <c r="Z79" s="364">
        <v>0</v>
      </c>
      <c r="AA79" s="364">
        <v>0</v>
      </c>
      <c r="AB79" s="364">
        <v>0</v>
      </c>
      <c r="AC79" s="364">
        <v>0</v>
      </c>
      <c r="AD79" s="364">
        <v>0</v>
      </c>
      <c r="AE79" s="364">
        <v>0</v>
      </c>
      <c r="AF79" s="364">
        <v>0</v>
      </c>
      <c r="AG79" s="364">
        <v>0</v>
      </c>
      <c r="AH79" s="364">
        <v>0</v>
      </c>
      <c r="AI79" s="364">
        <v>0</v>
      </c>
      <c r="AJ79" s="364">
        <v>0</v>
      </c>
      <c r="AK79" s="364">
        <v>0</v>
      </c>
      <c r="AL79" s="364">
        <v>0</v>
      </c>
      <c r="AM79" s="364">
        <v>0</v>
      </c>
      <c r="AN79" s="364">
        <v>0</v>
      </c>
      <c r="AO79" s="364">
        <v>0</v>
      </c>
      <c r="AP79" s="364">
        <v>0</v>
      </c>
      <c r="AQ79" s="364">
        <v>0</v>
      </c>
      <c r="AR79" s="364">
        <v>0</v>
      </c>
      <c r="AS79" s="364">
        <v>0</v>
      </c>
      <c r="AT79" s="364">
        <v>0</v>
      </c>
      <c r="AU79" s="364">
        <v>0</v>
      </c>
      <c r="AV79" s="364">
        <v>0</v>
      </c>
      <c r="AW79" s="364">
        <v>0</v>
      </c>
    </row>
    <row r="80" spans="3:49" x14ac:dyDescent="0.3">
      <c r="C80" s="364">
        <v>9</v>
      </c>
      <c r="D80" s="364">
        <v>9</v>
      </c>
      <c r="E80" s="364">
        <v>10</v>
      </c>
      <c r="F80" s="364">
        <v>7000</v>
      </c>
      <c r="G80" s="364">
        <v>0</v>
      </c>
      <c r="H80" s="364">
        <v>0</v>
      </c>
      <c r="I80" s="364">
        <v>0</v>
      </c>
      <c r="J80" s="364">
        <v>6000</v>
      </c>
      <c r="K80" s="364">
        <v>0</v>
      </c>
      <c r="L80" s="364">
        <v>0</v>
      </c>
      <c r="M80" s="364">
        <v>0</v>
      </c>
      <c r="N80" s="364">
        <v>0</v>
      </c>
      <c r="O80" s="364">
        <v>1000</v>
      </c>
      <c r="P80" s="364">
        <v>0</v>
      </c>
      <c r="Q80" s="364">
        <v>0</v>
      </c>
      <c r="R80" s="364">
        <v>0</v>
      </c>
      <c r="S80" s="364">
        <v>0</v>
      </c>
      <c r="T80" s="364">
        <v>0</v>
      </c>
      <c r="U80" s="364">
        <v>0</v>
      </c>
      <c r="V80" s="364">
        <v>0</v>
      </c>
      <c r="W80" s="364">
        <v>0</v>
      </c>
      <c r="X80" s="364">
        <v>0</v>
      </c>
      <c r="Y80" s="364">
        <v>0</v>
      </c>
      <c r="Z80" s="364">
        <v>0</v>
      </c>
      <c r="AA80" s="364">
        <v>0</v>
      </c>
      <c r="AB80" s="364">
        <v>0</v>
      </c>
      <c r="AC80" s="364">
        <v>0</v>
      </c>
      <c r="AD80" s="364">
        <v>0</v>
      </c>
      <c r="AE80" s="364">
        <v>0</v>
      </c>
      <c r="AF80" s="364">
        <v>0</v>
      </c>
      <c r="AG80" s="364">
        <v>0</v>
      </c>
      <c r="AH80" s="364">
        <v>0</v>
      </c>
      <c r="AI80" s="364">
        <v>0</v>
      </c>
      <c r="AJ80" s="364">
        <v>0</v>
      </c>
      <c r="AK80" s="364">
        <v>0</v>
      </c>
      <c r="AL80" s="364">
        <v>0</v>
      </c>
      <c r="AM80" s="364">
        <v>0</v>
      </c>
      <c r="AN80" s="364">
        <v>0</v>
      </c>
      <c r="AO80" s="364">
        <v>0</v>
      </c>
      <c r="AP80" s="364">
        <v>0</v>
      </c>
      <c r="AQ80" s="364">
        <v>0</v>
      </c>
      <c r="AR80" s="364">
        <v>0</v>
      </c>
      <c r="AS80" s="364">
        <v>0</v>
      </c>
      <c r="AT80" s="364">
        <v>0</v>
      </c>
      <c r="AU80" s="364">
        <v>0</v>
      </c>
      <c r="AV80" s="364">
        <v>0</v>
      </c>
      <c r="AW80" s="364">
        <v>0</v>
      </c>
    </row>
    <row r="81" spans="3:49" x14ac:dyDescent="0.3">
      <c r="C81" s="364">
        <v>9</v>
      </c>
      <c r="D81" s="364">
        <v>9</v>
      </c>
      <c r="E81" s="364">
        <v>11</v>
      </c>
      <c r="F81" s="364">
        <v>5217.5572519083971</v>
      </c>
      <c r="G81" s="364">
        <v>0</v>
      </c>
      <c r="H81" s="364">
        <v>0</v>
      </c>
      <c r="I81" s="364">
        <v>0</v>
      </c>
      <c r="J81" s="364">
        <v>1717.5572519083971</v>
      </c>
      <c r="K81" s="364">
        <v>0</v>
      </c>
      <c r="L81" s="364">
        <v>0</v>
      </c>
      <c r="M81" s="364">
        <v>0</v>
      </c>
      <c r="N81" s="364">
        <v>0</v>
      </c>
      <c r="O81" s="364">
        <v>3500</v>
      </c>
      <c r="P81" s="364">
        <v>0</v>
      </c>
      <c r="Q81" s="364">
        <v>0</v>
      </c>
      <c r="R81" s="364">
        <v>0</v>
      </c>
      <c r="S81" s="364">
        <v>0</v>
      </c>
      <c r="T81" s="364">
        <v>0</v>
      </c>
      <c r="U81" s="364">
        <v>0</v>
      </c>
      <c r="V81" s="364">
        <v>0</v>
      </c>
      <c r="W81" s="364">
        <v>0</v>
      </c>
      <c r="X81" s="364">
        <v>0</v>
      </c>
      <c r="Y81" s="364">
        <v>0</v>
      </c>
      <c r="Z81" s="364">
        <v>0</v>
      </c>
      <c r="AA81" s="364">
        <v>0</v>
      </c>
      <c r="AB81" s="364">
        <v>0</v>
      </c>
      <c r="AC81" s="364">
        <v>0</v>
      </c>
      <c r="AD81" s="364">
        <v>0</v>
      </c>
      <c r="AE81" s="364">
        <v>0</v>
      </c>
      <c r="AF81" s="364">
        <v>0</v>
      </c>
      <c r="AG81" s="364">
        <v>0</v>
      </c>
      <c r="AH81" s="364">
        <v>0</v>
      </c>
      <c r="AI81" s="364">
        <v>0</v>
      </c>
      <c r="AJ81" s="364">
        <v>0</v>
      </c>
      <c r="AK81" s="364">
        <v>0</v>
      </c>
      <c r="AL81" s="364">
        <v>0</v>
      </c>
      <c r="AM81" s="364">
        <v>0</v>
      </c>
      <c r="AN81" s="364">
        <v>0</v>
      </c>
      <c r="AO81" s="364">
        <v>0</v>
      </c>
      <c r="AP81" s="364">
        <v>0</v>
      </c>
      <c r="AQ81" s="364">
        <v>0</v>
      </c>
      <c r="AR81" s="364">
        <v>0</v>
      </c>
      <c r="AS81" s="364">
        <v>0</v>
      </c>
      <c r="AT81" s="364">
        <v>0</v>
      </c>
      <c r="AU81" s="364">
        <v>0</v>
      </c>
      <c r="AV81" s="364">
        <v>0</v>
      </c>
      <c r="AW81" s="364">
        <v>0</v>
      </c>
    </row>
    <row r="82" spans="3:49" x14ac:dyDescent="0.3">
      <c r="C82" s="364">
        <v>9</v>
      </c>
      <c r="D82" s="364">
        <v>10</v>
      </c>
      <c r="E82" s="364">
        <v>1</v>
      </c>
      <c r="F82" s="364">
        <v>70.25</v>
      </c>
      <c r="G82" s="364">
        <v>0</v>
      </c>
      <c r="H82" s="364">
        <v>0</v>
      </c>
      <c r="I82" s="364">
        <v>1</v>
      </c>
      <c r="J82" s="364">
        <v>1</v>
      </c>
      <c r="K82" s="364">
        <v>8.5</v>
      </c>
      <c r="L82" s="364">
        <v>0</v>
      </c>
      <c r="M82" s="364">
        <v>0</v>
      </c>
      <c r="N82" s="364">
        <v>0</v>
      </c>
      <c r="O82" s="364">
        <v>0</v>
      </c>
      <c r="P82" s="364">
        <v>12</v>
      </c>
      <c r="Q82" s="364">
        <v>27</v>
      </c>
      <c r="R82" s="364">
        <v>7.75</v>
      </c>
      <c r="S82" s="364">
        <v>8</v>
      </c>
      <c r="T82" s="364">
        <v>0</v>
      </c>
      <c r="U82" s="364">
        <v>0</v>
      </c>
      <c r="V82" s="364">
        <v>0</v>
      </c>
      <c r="W82" s="364">
        <v>0</v>
      </c>
      <c r="X82" s="364">
        <v>0</v>
      </c>
      <c r="Y82" s="364">
        <v>0</v>
      </c>
      <c r="Z82" s="364">
        <v>0</v>
      </c>
      <c r="AA82" s="364">
        <v>0</v>
      </c>
      <c r="AB82" s="364">
        <v>0</v>
      </c>
      <c r="AC82" s="364">
        <v>0</v>
      </c>
      <c r="AD82" s="364">
        <v>0</v>
      </c>
      <c r="AE82" s="364">
        <v>0</v>
      </c>
      <c r="AF82" s="364">
        <v>0</v>
      </c>
      <c r="AG82" s="364">
        <v>0</v>
      </c>
      <c r="AH82" s="364">
        <v>0</v>
      </c>
      <c r="AI82" s="364">
        <v>0</v>
      </c>
      <c r="AJ82" s="364">
        <v>0</v>
      </c>
      <c r="AK82" s="364">
        <v>0</v>
      </c>
      <c r="AL82" s="364">
        <v>0</v>
      </c>
      <c r="AM82" s="364">
        <v>0</v>
      </c>
      <c r="AN82" s="364">
        <v>0</v>
      </c>
      <c r="AO82" s="364">
        <v>0</v>
      </c>
      <c r="AP82" s="364">
        <v>0</v>
      </c>
      <c r="AQ82" s="364">
        <v>0</v>
      </c>
      <c r="AR82" s="364">
        <v>4</v>
      </c>
      <c r="AS82" s="364">
        <v>0</v>
      </c>
      <c r="AT82" s="364">
        <v>0</v>
      </c>
      <c r="AU82" s="364">
        <v>0</v>
      </c>
      <c r="AV82" s="364">
        <v>0</v>
      </c>
      <c r="AW82" s="364">
        <v>1</v>
      </c>
    </row>
    <row r="83" spans="3:49" x14ac:dyDescent="0.3">
      <c r="C83" s="364">
        <v>9</v>
      </c>
      <c r="D83" s="364">
        <v>10</v>
      </c>
      <c r="E83" s="364">
        <v>2</v>
      </c>
      <c r="F83" s="364">
        <v>10050.1</v>
      </c>
      <c r="G83" s="364">
        <v>0</v>
      </c>
      <c r="H83" s="364">
        <v>0</v>
      </c>
      <c r="I83" s="364">
        <v>128</v>
      </c>
      <c r="J83" s="364">
        <v>168</v>
      </c>
      <c r="K83" s="364">
        <v>1188</v>
      </c>
      <c r="L83" s="364">
        <v>0</v>
      </c>
      <c r="M83" s="364">
        <v>0</v>
      </c>
      <c r="N83" s="364">
        <v>0</v>
      </c>
      <c r="O83" s="364">
        <v>0</v>
      </c>
      <c r="P83" s="364">
        <v>1615.6</v>
      </c>
      <c r="Q83" s="364">
        <v>4098</v>
      </c>
      <c r="R83" s="364">
        <v>1154</v>
      </c>
      <c r="S83" s="364">
        <v>960</v>
      </c>
      <c r="T83" s="364">
        <v>0</v>
      </c>
      <c r="U83" s="364">
        <v>0</v>
      </c>
      <c r="V83" s="364">
        <v>0</v>
      </c>
      <c r="W83" s="364">
        <v>0</v>
      </c>
      <c r="X83" s="364">
        <v>0</v>
      </c>
      <c r="Y83" s="364">
        <v>0</v>
      </c>
      <c r="Z83" s="364">
        <v>0</v>
      </c>
      <c r="AA83" s="364">
        <v>0</v>
      </c>
      <c r="AB83" s="364">
        <v>0</v>
      </c>
      <c r="AC83" s="364">
        <v>0</v>
      </c>
      <c r="AD83" s="364">
        <v>0</v>
      </c>
      <c r="AE83" s="364">
        <v>0</v>
      </c>
      <c r="AF83" s="364">
        <v>0</v>
      </c>
      <c r="AG83" s="364">
        <v>0</v>
      </c>
      <c r="AH83" s="364">
        <v>0</v>
      </c>
      <c r="AI83" s="364">
        <v>0</v>
      </c>
      <c r="AJ83" s="364">
        <v>0</v>
      </c>
      <c r="AK83" s="364">
        <v>0</v>
      </c>
      <c r="AL83" s="364">
        <v>0</v>
      </c>
      <c r="AM83" s="364">
        <v>0</v>
      </c>
      <c r="AN83" s="364">
        <v>0</v>
      </c>
      <c r="AO83" s="364">
        <v>0</v>
      </c>
      <c r="AP83" s="364">
        <v>0</v>
      </c>
      <c r="AQ83" s="364">
        <v>0</v>
      </c>
      <c r="AR83" s="364">
        <v>570.5</v>
      </c>
      <c r="AS83" s="364">
        <v>0</v>
      </c>
      <c r="AT83" s="364">
        <v>0</v>
      </c>
      <c r="AU83" s="364">
        <v>0</v>
      </c>
      <c r="AV83" s="364">
        <v>0</v>
      </c>
      <c r="AW83" s="364">
        <v>168</v>
      </c>
    </row>
    <row r="84" spans="3:49" x14ac:dyDescent="0.3">
      <c r="C84" s="364">
        <v>9</v>
      </c>
      <c r="D84" s="364">
        <v>10</v>
      </c>
      <c r="E84" s="364">
        <v>3</v>
      </c>
      <c r="F84" s="364">
        <v>537.54</v>
      </c>
      <c r="G84" s="364">
        <v>0</v>
      </c>
      <c r="H84" s="364">
        <v>0</v>
      </c>
      <c r="I84" s="364">
        <v>11.5</v>
      </c>
      <c r="J84" s="364">
        <v>0</v>
      </c>
      <c r="K84" s="364">
        <v>11.5</v>
      </c>
      <c r="L84" s="364">
        <v>0</v>
      </c>
      <c r="M84" s="364">
        <v>0</v>
      </c>
      <c r="N84" s="364">
        <v>0</v>
      </c>
      <c r="O84" s="364">
        <v>0</v>
      </c>
      <c r="P84" s="364">
        <v>192.04</v>
      </c>
      <c r="Q84" s="364">
        <v>212.5</v>
      </c>
      <c r="R84" s="364">
        <v>80</v>
      </c>
      <c r="S84" s="364">
        <v>30</v>
      </c>
      <c r="T84" s="364">
        <v>0</v>
      </c>
      <c r="U84" s="364">
        <v>0</v>
      </c>
      <c r="V84" s="364">
        <v>0</v>
      </c>
      <c r="W84" s="364">
        <v>0</v>
      </c>
      <c r="X84" s="364">
        <v>0</v>
      </c>
      <c r="Y84" s="364">
        <v>0</v>
      </c>
      <c r="Z84" s="364">
        <v>0</v>
      </c>
      <c r="AA84" s="364">
        <v>0</v>
      </c>
      <c r="AB84" s="364">
        <v>0</v>
      </c>
      <c r="AC84" s="364">
        <v>0</v>
      </c>
      <c r="AD84" s="364">
        <v>0</v>
      </c>
      <c r="AE84" s="364">
        <v>0</v>
      </c>
      <c r="AF84" s="364">
        <v>0</v>
      </c>
      <c r="AG84" s="364">
        <v>0</v>
      </c>
      <c r="AH84" s="364">
        <v>0</v>
      </c>
      <c r="AI84" s="364">
        <v>0</v>
      </c>
      <c r="AJ84" s="364">
        <v>0</v>
      </c>
      <c r="AK84" s="364">
        <v>0</v>
      </c>
      <c r="AL84" s="364">
        <v>0</v>
      </c>
      <c r="AM84" s="364">
        <v>0</v>
      </c>
      <c r="AN84" s="364">
        <v>0</v>
      </c>
      <c r="AO84" s="364">
        <v>0</v>
      </c>
      <c r="AP84" s="364">
        <v>0</v>
      </c>
      <c r="AQ84" s="364">
        <v>0</v>
      </c>
      <c r="AR84" s="364">
        <v>0</v>
      </c>
      <c r="AS84" s="364">
        <v>0</v>
      </c>
      <c r="AT84" s="364">
        <v>0</v>
      </c>
      <c r="AU84" s="364">
        <v>0</v>
      </c>
      <c r="AV84" s="364">
        <v>0</v>
      </c>
      <c r="AW84" s="364">
        <v>0</v>
      </c>
    </row>
    <row r="85" spans="3:49" x14ac:dyDescent="0.3">
      <c r="C85" s="364">
        <v>9</v>
      </c>
      <c r="D85" s="364">
        <v>10</v>
      </c>
      <c r="E85" s="364">
        <v>4</v>
      </c>
      <c r="F85" s="364">
        <v>930</v>
      </c>
      <c r="G85" s="364">
        <v>0</v>
      </c>
      <c r="H85" s="364">
        <v>0</v>
      </c>
      <c r="I85" s="364">
        <v>34</v>
      </c>
      <c r="J85" s="364">
        <v>32</v>
      </c>
      <c r="K85" s="364">
        <v>231</v>
      </c>
      <c r="L85" s="364">
        <v>0</v>
      </c>
      <c r="M85" s="364">
        <v>0</v>
      </c>
      <c r="N85" s="364">
        <v>0</v>
      </c>
      <c r="O85" s="364">
        <v>0</v>
      </c>
      <c r="P85" s="364">
        <v>42</v>
      </c>
      <c r="Q85" s="364">
        <v>302.5</v>
      </c>
      <c r="R85" s="364">
        <v>116</v>
      </c>
      <c r="S85" s="364">
        <v>115</v>
      </c>
      <c r="T85" s="364">
        <v>0</v>
      </c>
      <c r="U85" s="364">
        <v>0</v>
      </c>
      <c r="V85" s="364">
        <v>0</v>
      </c>
      <c r="W85" s="364">
        <v>0</v>
      </c>
      <c r="X85" s="364">
        <v>0</v>
      </c>
      <c r="Y85" s="364">
        <v>0</v>
      </c>
      <c r="Z85" s="364">
        <v>0</v>
      </c>
      <c r="AA85" s="364">
        <v>0</v>
      </c>
      <c r="AB85" s="364">
        <v>0</v>
      </c>
      <c r="AC85" s="364">
        <v>0</v>
      </c>
      <c r="AD85" s="364">
        <v>0</v>
      </c>
      <c r="AE85" s="364">
        <v>0</v>
      </c>
      <c r="AF85" s="364">
        <v>0</v>
      </c>
      <c r="AG85" s="364">
        <v>0</v>
      </c>
      <c r="AH85" s="364">
        <v>0</v>
      </c>
      <c r="AI85" s="364">
        <v>0</v>
      </c>
      <c r="AJ85" s="364">
        <v>0</v>
      </c>
      <c r="AK85" s="364">
        <v>0</v>
      </c>
      <c r="AL85" s="364">
        <v>0</v>
      </c>
      <c r="AM85" s="364">
        <v>0</v>
      </c>
      <c r="AN85" s="364">
        <v>0</v>
      </c>
      <c r="AO85" s="364">
        <v>0</v>
      </c>
      <c r="AP85" s="364">
        <v>0</v>
      </c>
      <c r="AQ85" s="364">
        <v>0</v>
      </c>
      <c r="AR85" s="364">
        <v>57.5</v>
      </c>
      <c r="AS85" s="364">
        <v>0</v>
      </c>
      <c r="AT85" s="364">
        <v>0</v>
      </c>
      <c r="AU85" s="364">
        <v>0</v>
      </c>
      <c r="AV85" s="364">
        <v>0</v>
      </c>
      <c r="AW85" s="364">
        <v>0</v>
      </c>
    </row>
    <row r="86" spans="3:49" x14ac:dyDescent="0.3">
      <c r="C86" s="364">
        <v>9</v>
      </c>
      <c r="D86" s="364">
        <v>10</v>
      </c>
      <c r="E86" s="364">
        <v>5</v>
      </c>
      <c r="F86" s="364">
        <v>34.5</v>
      </c>
      <c r="G86" s="364">
        <v>34.5</v>
      </c>
      <c r="H86" s="364">
        <v>0</v>
      </c>
      <c r="I86" s="364">
        <v>0</v>
      </c>
      <c r="J86" s="364">
        <v>0</v>
      </c>
      <c r="K86" s="364">
        <v>0</v>
      </c>
      <c r="L86" s="364">
        <v>0</v>
      </c>
      <c r="M86" s="364">
        <v>0</v>
      </c>
      <c r="N86" s="364">
        <v>0</v>
      </c>
      <c r="O86" s="364">
        <v>0</v>
      </c>
      <c r="P86" s="364">
        <v>0</v>
      </c>
      <c r="Q86" s="364">
        <v>0</v>
      </c>
      <c r="R86" s="364">
        <v>0</v>
      </c>
      <c r="S86" s="364">
        <v>0</v>
      </c>
      <c r="T86" s="364">
        <v>0</v>
      </c>
      <c r="U86" s="364">
        <v>0</v>
      </c>
      <c r="V86" s="364">
        <v>0</v>
      </c>
      <c r="W86" s="364">
        <v>0</v>
      </c>
      <c r="X86" s="364">
        <v>0</v>
      </c>
      <c r="Y86" s="364">
        <v>0</v>
      </c>
      <c r="Z86" s="364">
        <v>0</v>
      </c>
      <c r="AA86" s="364">
        <v>0</v>
      </c>
      <c r="AB86" s="364">
        <v>0</v>
      </c>
      <c r="AC86" s="364">
        <v>0</v>
      </c>
      <c r="AD86" s="364">
        <v>0</v>
      </c>
      <c r="AE86" s="364">
        <v>0</v>
      </c>
      <c r="AF86" s="364">
        <v>0</v>
      </c>
      <c r="AG86" s="364">
        <v>0</v>
      </c>
      <c r="AH86" s="364">
        <v>0</v>
      </c>
      <c r="AI86" s="364">
        <v>0</v>
      </c>
      <c r="AJ86" s="364">
        <v>0</v>
      </c>
      <c r="AK86" s="364">
        <v>0</v>
      </c>
      <c r="AL86" s="364">
        <v>0</v>
      </c>
      <c r="AM86" s="364">
        <v>0</v>
      </c>
      <c r="AN86" s="364">
        <v>0</v>
      </c>
      <c r="AO86" s="364">
        <v>0</v>
      </c>
      <c r="AP86" s="364">
        <v>0</v>
      </c>
      <c r="AQ86" s="364">
        <v>0</v>
      </c>
      <c r="AR86" s="364">
        <v>0</v>
      </c>
      <c r="AS86" s="364">
        <v>0</v>
      </c>
      <c r="AT86" s="364">
        <v>0</v>
      </c>
      <c r="AU86" s="364">
        <v>0</v>
      </c>
      <c r="AV86" s="364">
        <v>0</v>
      </c>
      <c r="AW86" s="364">
        <v>0</v>
      </c>
    </row>
    <row r="87" spans="3:49" x14ac:dyDescent="0.3">
      <c r="C87" s="364">
        <v>9</v>
      </c>
      <c r="D87" s="364">
        <v>10</v>
      </c>
      <c r="E87" s="364">
        <v>6</v>
      </c>
      <c r="F87" s="364">
        <v>2983641</v>
      </c>
      <c r="G87" s="364">
        <v>8740</v>
      </c>
      <c r="H87" s="364">
        <v>0</v>
      </c>
      <c r="I87" s="364">
        <v>47488</v>
      </c>
      <c r="J87" s="364">
        <v>54690</v>
      </c>
      <c r="K87" s="364">
        <v>721115</v>
      </c>
      <c r="L87" s="364">
        <v>0</v>
      </c>
      <c r="M87" s="364">
        <v>0</v>
      </c>
      <c r="N87" s="364">
        <v>0</v>
      </c>
      <c r="O87" s="364">
        <v>0</v>
      </c>
      <c r="P87" s="364">
        <v>401708</v>
      </c>
      <c r="Q87" s="364">
        <v>1115471</v>
      </c>
      <c r="R87" s="364">
        <v>343925</v>
      </c>
      <c r="S87" s="364">
        <v>180228</v>
      </c>
      <c r="T87" s="364">
        <v>0</v>
      </c>
      <c r="U87" s="364">
        <v>0</v>
      </c>
      <c r="V87" s="364">
        <v>0</v>
      </c>
      <c r="W87" s="364">
        <v>0</v>
      </c>
      <c r="X87" s="364">
        <v>0</v>
      </c>
      <c r="Y87" s="364">
        <v>0</v>
      </c>
      <c r="Z87" s="364">
        <v>0</v>
      </c>
      <c r="AA87" s="364">
        <v>0</v>
      </c>
      <c r="AB87" s="364">
        <v>0</v>
      </c>
      <c r="AC87" s="364">
        <v>0</v>
      </c>
      <c r="AD87" s="364">
        <v>0</v>
      </c>
      <c r="AE87" s="364">
        <v>0</v>
      </c>
      <c r="AF87" s="364">
        <v>0</v>
      </c>
      <c r="AG87" s="364">
        <v>0</v>
      </c>
      <c r="AH87" s="364">
        <v>0</v>
      </c>
      <c r="AI87" s="364">
        <v>0</v>
      </c>
      <c r="AJ87" s="364">
        <v>0</v>
      </c>
      <c r="AK87" s="364">
        <v>0</v>
      </c>
      <c r="AL87" s="364">
        <v>0</v>
      </c>
      <c r="AM87" s="364">
        <v>0</v>
      </c>
      <c r="AN87" s="364">
        <v>0</v>
      </c>
      <c r="AO87" s="364">
        <v>0</v>
      </c>
      <c r="AP87" s="364">
        <v>0</v>
      </c>
      <c r="AQ87" s="364">
        <v>0</v>
      </c>
      <c r="AR87" s="364">
        <v>86276</v>
      </c>
      <c r="AS87" s="364">
        <v>0</v>
      </c>
      <c r="AT87" s="364">
        <v>0</v>
      </c>
      <c r="AU87" s="364">
        <v>0</v>
      </c>
      <c r="AV87" s="364">
        <v>0</v>
      </c>
      <c r="AW87" s="364">
        <v>24000</v>
      </c>
    </row>
    <row r="88" spans="3:49" x14ac:dyDescent="0.3">
      <c r="C88" s="364">
        <v>9</v>
      </c>
      <c r="D88" s="364">
        <v>10</v>
      </c>
      <c r="E88" s="364">
        <v>9</v>
      </c>
      <c r="F88" s="364">
        <v>21464</v>
      </c>
      <c r="G88" s="364">
        <v>0</v>
      </c>
      <c r="H88" s="364">
        <v>0</v>
      </c>
      <c r="I88" s="364">
        <v>0</v>
      </c>
      <c r="J88" s="364">
        <v>0</v>
      </c>
      <c r="K88" s="364">
        <v>0</v>
      </c>
      <c r="L88" s="364">
        <v>0</v>
      </c>
      <c r="M88" s="364">
        <v>0</v>
      </c>
      <c r="N88" s="364">
        <v>0</v>
      </c>
      <c r="O88" s="364">
        <v>0</v>
      </c>
      <c r="P88" s="364">
        <v>7156</v>
      </c>
      <c r="Q88" s="364">
        <v>7154</v>
      </c>
      <c r="R88" s="364">
        <v>4088</v>
      </c>
      <c r="S88" s="364">
        <v>3066</v>
      </c>
      <c r="T88" s="364">
        <v>0</v>
      </c>
      <c r="U88" s="364">
        <v>0</v>
      </c>
      <c r="V88" s="364">
        <v>0</v>
      </c>
      <c r="W88" s="364">
        <v>0</v>
      </c>
      <c r="X88" s="364">
        <v>0</v>
      </c>
      <c r="Y88" s="364">
        <v>0</v>
      </c>
      <c r="Z88" s="364">
        <v>0</v>
      </c>
      <c r="AA88" s="364">
        <v>0</v>
      </c>
      <c r="AB88" s="364">
        <v>0</v>
      </c>
      <c r="AC88" s="364">
        <v>0</v>
      </c>
      <c r="AD88" s="364">
        <v>0</v>
      </c>
      <c r="AE88" s="364">
        <v>0</v>
      </c>
      <c r="AF88" s="364">
        <v>0</v>
      </c>
      <c r="AG88" s="364">
        <v>0</v>
      </c>
      <c r="AH88" s="364">
        <v>0</v>
      </c>
      <c r="AI88" s="364">
        <v>0</v>
      </c>
      <c r="AJ88" s="364">
        <v>0</v>
      </c>
      <c r="AK88" s="364">
        <v>0</v>
      </c>
      <c r="AL88" s="364">
        <v>0</v>
      </c>
      <c r="AM88" s="364">
        <v>0</v>
      </c>
      <c r="AN88" s="364">
        <v>0</v>
      </c>
      <c r="AO88" s="364">
        <v>0</v>
      </c>
      <c r="AP88" s="364">
        <v>0</v>
      </c>
      <c r="AQ88" s="364">
        <v>0</v>
      </c>
      <c r="AR88" s="364">
        <v>0</v>
      </c>
      <c r="AS88" s="364">
        <v>0</v>
      </c>
      <c r="AT88" s="364">
        <v>0</v>
      </c>
      <c r="AU88" s="364">
        <v>0</v>
      </c>
      <c r="AV88" s="364">
        <v>0</v>
      </c>
      <c r="AW88" s="364">
        <v>0</v>
      </c>
    </row>
    <row r="89" spans="3:49" x14ac:dyDescent="0.3">
      <c r="C89" s="364">
        <v>9</v>
      </c>
      <c r="D89" s="364">
        <v>10</v>
      </c>
      <c r="E89" s="364">
        <v>10</v>
      </c>
      <c r="F89" s="364">
        <v>10000</v>
      </c>
      <c r="G89" s="364">
        <v>0</v>
      </c>
      <c r="H89" s="364">
        <v>0</v>
      </c>
      <c r="I89" s="364">
        <v>0</v>
      </c>
      <c r="J89" s="364">
        <v>5000</v>
      </c>
      <c r="K89" s="364">
        <v>0</v>
      </c>
      <c r="L89" s="364">
        <v>0</v>
      </c>
      <c r="M89" s="364">
        <v>0</v>
      </c>
      <c r="N89" s="364">
        <v>0</v>
      </c>
      <c r="O89" s="364">
        <v>5000</v>
      </c>
      <c r="P89" s="364">
        <v>0</v>
      </c>
      <c r="Q89" s="364">
        <v>0</v>
      </c>
      <c r="R89" s="364">
        <v>0</v>
      </c>
      <c r="S89" s="364">
        <v>0</v>
      </c>
      <c r="T89" s="364">
        <v>0</v>
      </c>
      <c r="U89" s="364">
        <v>0</v>
      </c>
      <c r="V89" s="364">
        <v>0</v>
      </c>
      <c r="W89" s="364">
        <v>0</v>
      </c>
      <c r="X89" s="364">
        <v>0</v>
      </c>
      <c r="Y89" s="364">
        <v>0</v>
      </c>
      <c r="Z89" s="364">
        <v>0</v>
      </c>
      <c r="AA89" s="364">
        <v>0</v>
      </c>
      <c r="AB89" s="364">
        <v>0</v>
      </c>
      <c r="AC89" s="364">
        <v>0</v>
      </c>
      <c r="AD89" s="364">
        <v>0</v>
      </c>
      <c r="AE89" s="364">
        <v>0</v>
      </c>
      <c r="AF89" s="364">
        <v>0</v>
      </c>
      <c r="AG89" s="364">
        <v>0</v>
      </c>
      <c r="AH89" s="364">
        <v>0</v>
      </c>
      <c r="AI89" s="364">
        <v>0</v>
      </c>
      <c r="AJ89" s="364">
        <v>0</v>
      </c>
      <c r="AK89" s="364">
        <v>0</v>
      </c>
      <c r="AL89" s="364">
        <v>0</v>
      </c>
      <c r="AM89" s="364">
        <v>0</v>
      </c>
      <c r="AN89" s="364">
        <v>0</v>
      </c>
      <c r="AO89" s="364">
        <v>0</v>
      </c>
      <c r="AP89" s="364">
        <v>0</v>
      </c>
      <c r="AQ89" s="364">
        <v>0</v>
      </c>
      <c r="AR89" s="364">
        <v>0</v>
      </c>
      <c r="AS89" s="364">
        <v>0</v>
      </c>
      <c r="AT89" s="364">
        <v>0</v>
      </c>
      <c r="AU89" s="364">
        <v>0</v>
      </c>
      <c r="AV89" s="364">
        <v>0</v>
      </c>
      <c r="AW89" s="364">
        <v>0</v>
      </c>
    </row>
    <row r="90" spans="3:49" x14ac:dyDescent="0.3">
      <c r="C90" s="364">
        <v>9</v>
      </c>
      <c r="D90" s="364">
        <v>10</v>
      </c>
      <c r="E90" s="364">
        <v>11</v>
      </c>
      <c r="F90" s="364">
        <v>5217.5572519083971</v>
      </c>
      <c r="G90" s="364">
        <v>0</v>
      </c>
      <c r="H90" s="364">
        <v>0</v>
      </c>
      <c r="I90" s="364">
        <v>0</v>
      </c>
      <c r="J90" s="364">
        <v>1717.5572519083971</v>
      </c>
      <c r="K90" s="364">
        <v>0</v>
      </c>
      <c r="L90" s="364">
        <v>0</v>
      </c>
      <c r="M90" s="364">
        <v>0</v>
      </c>
      <c r="N90" s="364">
        <v>0</v>
      </c>
      <c r="O90" s="364">
        <v>3500</v>
      </c>
      <c r="P90" s="364">
        <v>0</v>
      </c>
      <c r="Q90" s="364">
        <v>0</v>
      </c>
      <c r="R90" s="364">
        <v>0</v>
      </c>
      <c r="S90" s="364">
        <v>0</v>
      </c>
      <c r="T90" s="364">
        <v>0</v>
      </c>
      <c r="U90" s="364">
        <v>0</v>
      </c>
      <c r="V90" s="364">
        <v>0</v>
      </c>
      <c r="W90" s="364">
        <v>0</v>
      </c>
      <c r="X90" s="364">
        <v>0</v>
      </c>
      <c r="Y90" s="364">
        <v>0</v>
      </c>
      <c r="Z90" s="364">
        <v>0</v>
      </c>
      <c r="AA90" s="364">
        <v>0</v>
      </c>
      <c r="AB90" s="364">
        <v>0</v>
      </c>
      <c r="AC90" s="364">
        <v>0</v>
      </c>
      <c r="AD90" s="364">
        <v>0</v>
      </c>
      <c r="AE90" s="364">
        <v>0</v>
      </c>
      <c r="AF90" s="364">
        <v>0</v>
      </c>
      <c r="AG90" s="364">
        <v>0</v>
      </c>
      <c r="AH90" s="364">
        <v>0</v>
      </c>
      <c r="AI90" s="364">
        <v>0</v>
      </c>
      <c r="AJ90" s="364">
        <v>0</v>
      </c>
      <c r="AK90" s="364">
        <v>0</v>
      </c>
      <c r="AL90" s="364">
        <v>0</v>
      </c>
      <c r="AM90" s="364">
        <v>0</v>
      </c>
      <c r="AN90" s="364">
        <v>0</v>
      </c>
      <c r="AO90" s="364">
        <v>0</v>
      </c>
      <c r="AP90" s="364">
        <v>0</v>
      </c>
      <c r="AQ90" s="364">
        <v>0</v>
      </c>
      <c r="AR90" s="364">
        <v>0</v>
      </c>
      <c r="AS90" s="364">
        <v>0</v>
      </c>
      <c r="AT90" s="364">
        <v>0</v>
      </c>
      <c r="AU90" s="364">
        <v>0</v>
      </c>
      <c r="AV90" s="364">
        <v>0</v>
      </c>
      <c r="AW90" s="364">
        <v>0</v>
      </c>
    </row>
    <row r="91" spans="3:49" x14ac:dyDescent="0.3">
      <c r="C91" s="364">
        <v>9</v>
      </c>
      <c r="D91" s="364">
        <v>11</v>
      </c>
      <c r="E91" s="364">
        <v>1</v>
      </c>
      <c r="F91" s="364">
        <v>69.05</v>
      </c>
      <c r="G91" s="364">
        <v>0</v>
      </c>
      <c r="H91" s="364">
        <v>0</v>
      </c>
      <c r="I91" s="364">
        <v>1</v>
      </c>
      <c r="J91" s="364">
        <v>1</v>
      </c>
      <c r="K91" s="364">
        <v>7.3</v>
      </c>
      <c r="L91" s="364">
        <v>0</v>
      </c>
      <c r="M91" s="364">
        <v>0</v>
      </c>
      <c r="N91" s="364">
        <v>0</v>
      </c>
      <c r="O91" s="364">
        <v>0</v>
      </c>
      <c r="P91" s="364">
        <v>12</v>
      </c>
      <c r="Q91" s="364">
        <v>27</v>
      </c>
      <c r="R91" s="364">
        <v>7.75</v>
      </c>
      <c r="S91" s="364">
        <v>8</v>
      </c>
      <c r="T91" s="364">
        <v>0</v>
      </c>
      <c r="U91" s="364">
        <v>0</v>
      </c>
      <c r="V91" s="364">
        <v>0</v>
      </c>
      <c r="W91" s="364">
        <v>0</v>
      </c>
      <c r="X91" s="364">
        <v>0</v>
      </c>
      <c r="Y91" s="364">
        <v>0</v>
      </c>
      <c r="Z91" s="364">
        <v>0</v>
      </c>
      <c r="AA91" s="364">
        <v>0</v>
      </c>
      <c r="AB91" s="364">
        <v>0</v>
      </c>
      <c r="AC91" s="364">
        <v>0</v>
      </c>
      <c r="AD91" s="364">
        <v>0</v>
      </c>
      <c r="AE91" s="364">
        <v>0</v>
      </c>
      <c r="AF91" s="364">
        <v>0</v>
      </c>
      <c r="AG91" s="364">
        <v>0</v>
      </c>
      <c r="AH91" s="364">
        <v>0</v>
      </c>
      <c r="AI91" s="364">
        <v>0</v>
      </c>
      <c r="AJ91" s="364">
        <v>0</v>
      </c>
      <c r="AK91" s="364">
        <v>0</v>
      </c>
      <c r="AL91" s="364">
        <v>0</v>
      </c>
      <c r="AM91" s="364">
        <v>0</v>
      </c>
      <c r="AN91" s="364">
        <v>0</v>
      </c>
      <c r="AO91" s="364">
        <v>0</v>
      </c>
      <c r="AP91" s="364">
        <v>0</v>
      </c>
      <c r="AQ91" s="364">
        <v>0</v>
      </c>
      <c r="AR91" s="364">
        <v>4</v>
      </c>
      <c r="AS91" s="364">
        <v>0</v>
      </c>
      <c r="AT91" s="364">
        <v>0</v>
      </c>
      <c r="AU91" s="364">
        <v>0</v>
      </c>
      <c r="AV91" s="364">
        <v>0</v>
      </c>
      <c r="AW91" s="364">
        <v>1</v>
      </c>
    </row>
    <row r="92" spans="3:49" x14ac:dyDescent="0.3">
      <c r="C92" s="364">
        <v>9</v>
      </c>
      <c r="D92" s="364">
        <v>11</v>
      </c>
      <c r="E92" s="364">
        <v>2</v>
      </c>
      <c r="F92" s="364">
        <v>10162.49</v>
      </c>
      <c r="G92" s="364">
        <v>0</v>
      </c>
      <c r="H92" s="364">
        <v>0</v>
      </c>
      <c r="I92" s="364">
        <v>176</v>
      </c>
      <c r="J92" s="364">
        <v>176</v>
      </c>
      <c r="K92" s="364">
        <v>1260.8</v>
      </c>
      <c r="L92" s="364">
        <v>0</v>
      </c>
      <c r="M92" s="364">
        <v>0</v>
      </c>
      <c r="N92" s="364">
        <v>0</v>
      </c>
      <c r="O92" s="364">
        <v>0</v>
      </c>
      <c r="P92" s="364">
        <v>1704.44</v>
      </c>
      <c r="Q92" s="364">
        <v>3968</v>
      </c>
      <c r="R92" s="364">
        <v>1160</v>
      </c>
      <c r="S92" s="364">
        <v>906</v>
      </c>
      <c r="T92" s="364">
        <v>0</v>
      </c>
      <c r="U92" s="364">
        <v>0</v>
      </c>
      <c r="V92" s="364">
        <v>0</v>
      </c>
      <c r="W92" s="364">
        <v>0</v>
      </c>
      <c r="X92" s="364">
        <v>0</v>
      </c>
      <c r="Y92" s="364">
        <v>0</v>
      </c>
      <c r="Z92" s="364">
        <v>0</v>
      </c>
      <c r="AA92" s="364">
        <v>0</v>
      </c>
      <c r="AB92" s="364">
        <v>0</v>
      </c>
      <c r="AC92" s="364">
        <v>0</v>
      </c>
      <c r="AD92" s="364">
        <v>0</v>
      </c>
      <c r="AE92" s="364">
        <v>0</v>
      </c>
      <c r="AF92" s="364">
        <v>0</v>
      </c>
      <c r="AG92" s="364">
        <v>0</v>
      </c>
      <c r="AH92" s="364">
        <v>0</v>
      </c>
      <c r="AI92" s="364">
        <v>0</v>
      </c>
      <c r="AJ92" s="364">
        <v>0</v>
      </c>
      <c r="AK92" s="364">
        <v>0</v>
      </c>
      <c r="AL92" s="364">
        <v>0</v>
      </c>
      <c r="AM92" s="364">
        <v>0</v>
      </c>
      <c r="AN92" s="364">
        <v>0</v>
      </c>
      <c r="AO92" s="364">
        <v>0</v>
      </c>
      <c r="AP92" s="364">
        <v>0</v>
      </c>
      <c r="AQ92" s="364">
        <v>0</v>
      </c>
      <c r="AR92" s="364">
        <v>643.25</v>
      </c>
      <c r="AS92" s="364">
        <v>0</v>
      </c>
      <c r="AT92" s="364">
        <v>0</v>
      </c>
      <c r="AU92" s="364">
        <v>0</v>
      </c>
      <c r="AV92" s="364">
        <v>0</v>
      </c>
      <c r="AW92" s="364">
        <v>168</v>
      </c>
    </row>
    <row r="93" spans="3:49" x14ac:dyDescent="0.3">
      <c r="C93" s="364">
        <v>9</v>
      </c>
      <c r="D93" s="364">
        <v>11</v>
      </c>
      <c r="E93" s="364">
        <v>3</v>
      </c>
      <c r="F93" s="364">
        <v>472</v>
      </c>
      <c r="G93" s="364">
        <v>0</v>
      </c>
      <c r="H93" s="364">
        <v>0</v>
      </c>
      <c r="I93" s="364">
        <v>0</v>
      </c>
      <c r="J93" s="364">
        <v>0</v>
      </c>
      <c r="K93" s="364">
        <v>28</v>
      </c>
      <c r="L93" s="364">
        <v>0</v>
      </c>
      <c r="M93" s="364">
        <v>0</v>
      </c>
      <c r="N93" s="364">
        <v>0</v>
      </c>
      <c r="O93" s="364">
        <v>0</v>
      </c>
      <c r="P93" s="364">
        <v>144</v>
      </c>
      <c r="Q93" s="364">
        <v>220</v>
      </c>
      <c r="R93" s="364">
        <v>80</v>
      </c>
      <c r="S93" s="364">
        <v>0</v>
      </c>
      <c r="T93" s="364">
        <v>0</v>
      </c>
      <c r="U93" s="364">
        <v>0</v>
      </c>
      <c r="V93" s="364">
        <v>0</v>
      </c>
      <c r="W93" s="364">
        <v>0</v>
      </c>
      <c r="X93" s="364">
        <v>0</v>
      </c>
      <c r="Y93" s="364">
        <v>0</v>
      </c>
      <c r="Z93" s="364">
        <v>0</v>
      </c>
      <c r="AA93" s="364">
        <v>0</v>
      </c>
      <c r="AB93" s="364">
        <v>0</v>
      </c>
      <c r="AC93" s="364">
        <v>0</v>
      </c>
      <c r="AD93" s="364">
        <v>0</v>
      </c>
      <c r="AE93" s="364">
        <v>0</v>
      </c>
      <c r="AF93" s="364">
        <v>0</v>
      </c>
      <c r="AG93" s="364">
        <v>0</v>
      </c>
      <c r="AH93" s="364">
        <v>0</v>
      </c>
      <c r="AI93" s="364">
        <v>0</v>
      </c>
      <c r="AJ93" s="364">
        <v>0</v>
      </c>
      <c r="AK93" s="364">
        <v>0</v>
      </c>
      <c r="AL93" s="364">
        <v>0</v>
      </c>
      <c r="AM93" s="364">
        <v>0</v>
      </c>
      <c r="AN93" s="364">
        <v>0</v>
      </c>
      <c r="AO93" s="364">
        <v>0</v>
      </c>
      <c r="AP93" s="364">
        <v>0</v>
      </c>
      <c r="AQ93" s="364">
        <v>0</v>
      </c>
      <c r="AR93" s="364">
        <v>0</v>
      </c>
      <c r="AS93" s="364">
        <v>0</v>
      </c>
      <c r="AT93" s="364">
        <v>0</v>
      </c>
      <c r="AU93" s="364">
        <v>0</v>
      </c>
      <c r="AV93" s="364">
        <v>0</v>
      </c>
      <c r="AW93" s="364">
        <v>0</v>
      </c>
    </row>
    <row r="94" spans="3:49" x14ac:dyDescent="0.3">
      <c r="C94" s="364">
        <v>9</v>
      </c>
      <c r="D94" s="364">
        <v>11</v>
      </c>
      <c r="E94" s="364">
        <v>4</v>
      </c>
      <c r="F94" s="364">
        <v>704</v>
      </c>
      <c r="G94" s="364">
        <v>0</v>
      </c>
      <c r="H94" s="364">
        <v>0</v>
      </c>
      <c r="I94" s="364">
        <v>34</v>
      </c>
      <c r="J94" s="364">
        <v>16</v>
      </c>
      <c r="K94" s="364">
        <v>161</v>
      </c>
      <c r="L94" s="364">
        <v>0</v>
      </c>
      <c r="M94" s="364">
        <v>0</v>
      </c>
      <c r="N94" s="364">
        <v>0</v>
      </c>
      <c r="O94" s="364">
        <v>0</v>
      </c>
      <c r="P94" s="364">
        <v>28</v>
      </c>
      <c r="Q94" s="364">
        <v>306</v>
      </c>
      <c r="R94" s="364">
        <v>74.5</v>
      </c>
      <c r="S94" s="364">
        <v>60</v>
      </c>
      <c r="T94" s="364">
        <v>0</v>
      </c>
      <c r="U94" s="364">
        <v>0</v>
      </c>
      <c r="V94" s="364">
        <v>0</v>
      </c>
      <c r="W94" s="364">
        <v>0</v>
      </c>
      <c r="X94" s="364">
        <v>0</v>
      </c>
      <c r="Y94" s="364">
        <v>0</v>
      </c>
      <c r="Z94" s="364">
        <v>0</v>
      </c>
      <c r="AA94" s="364">
        <v>0</v>
      </c>
      <c r="AB94" s="364">
        <v>0</v>
      </c>
      <c r="AC94" s="364">
        <v>0</v>
      </c>
      <c r="AD94" s="364">
        <v>0</v>
      </c>
      <c r="AE94" s="364">
        <v>0</v>
      </c>
      <c r="AF94" s="364">
        <v>0</v>
      </c>
      <c r="AG94" s="364">
        <v>0</v>
      </c>
      <c r="AH94" s="364">
        <v>0</v>
      </c>
      <c r="AI94" s="364">
        <v>0</v>
      </c>
      <c r="AJ94" s="364">
        <v>0</v>
      </c>
      <c r="AK94" s="364">
        <v>0</v>
      </c>
      <c r="AL94" s="364">
        <v>0</v>
      </c>
      <c r="AM94" s="364">
        <v>0</v>
      </c>
      <c r="AN94" s="364">
        <v>0</v>
      </c>
      <c r="AO94" s="364">
        <v>0</v>
      </c>
      <c r="AP94" s="364">
        <v>0</v>
      </c>
      <c r="AQ94" s="364">
        <v>0</v>
      </c>
      <c r="AR94" s="364">
        <v>24.5</v>
      </c>
      <c r="AS94" s="364">
        <v>0</v>
      </c>
      <c r="AT94" s="364">
        <v>0</v>
      </c>
      <c r="AU94" s="364">
        <v>0</v>
      </c>
      <c r="AV94" s="364">
        <v>0</v>
      </c>
      <c r="AW94" s="364">
        <v>0</v>
      </c>
    </row>
    <row r="95" spans="3:49" x14ac:dyDescent="0.3">
      <c r="C95" s="364">
        <v>9</v>
      </c>
      <c r="D95" s="364">
        <v>11</v>
      </c>
      <c r="E95" s="364">
        <v>5</v>
      </c>
      <c r="F95" s="364">
        <v>46</v>
      </c>
      <c r="G95" s="364">
        <v>46</v>
      </c>
      <c r="H95" s="364">
        <v>0</v>
      </c>
      <c r="I95" s="364">
        <v>0</v>
      </c>
      <c r="J95" s="364">
        <v>0</v>
      </c>
      <c r="K95" s="364">
        <v>0</v>
      </c>
      <c r="L95" s="364">
        <v>0</v>
      </c>
      <c r="M95" s="364">
        <v>0</v>
      </c>
      <c r="N95" s="364">
        <v>0</v>
      </c>
      <c r="O95" s="364">
        <v>0</v>
      </c>
      <c r="P95" s="364">
        <v>0</v>
      </c>
      <c r="Q95" s="364">
        <v>0</v>
      </c>
      <c r="R95" s="364">
        <v>0</v>
      </c>
      <c r="S95" s="364">
        <v>0</v>
      </c>
      <c r="T95" s="364">
        <v>0</v>
      </c>
      <c r="U95" s="364">
        <v>0</v>
      </c>
      <c r="V95" s="364">
        <v>0</v>
      </c>
      <c r="W95" s="364">
        <v>0</v>
      </c>
      <c r="X95" s="364">
        <v>0</v>
      </c>
      <c r="Y95" s="364">
        <v>0</v>
      </c>
      <c r="Z95" s="364">
        <v>0</v>
      </c>
      <c r="AA95" s="364">
        <v>0</v>
      </c>
      <c r="AB95" s="364">
        <v>0</v>
      </c>
      <c r="AC95" s="364">
        <v>0</v>
      </c>
      <c r="AD95" s="364">
        <v>0</v>
      </c>
      <c r="AE95" s="364">
        <v>0</v>
      </c>
      <c r="AF95" s="364">
        <v>0</v>
      </c>
      <c r="AG95" s="364">
        <v>0</v>
      </c>
      <c r="AH95" s="364">
        <v>0</v>
      </c>
      <c r="AI95" s="364">
        <v>0</v>
      </c>
      <c r="AJ95" s="364">
        <v>0</v>
      </c>
      <c r="AK95" s="364">
        <v>0</v>
      </c>
      <c r="AL95" s="364">
        <v>0</v>
      </c>
      <c r="AM95" s="364">
        <v>0</v>
      </c>
      <c r="AN95" s="364">
        <v>0</v>
      </c>
      <c r="AO95" s="364">
        <v>0</v>
      </c>
      <c r="AP95" s="364">
        <v>0</v>
      </c>
      <c r="AQ95" s="364">
        <v>0</v>
      </c>
      <c r="AR95" s="364">
        <v>0</v>
      </c>
      <c r="AS95" s="364">
        <v>0</v>
      </c>
      <c r="AT95" s="364">
        <v>0</v>
      </c>
      <c r="AU95" s="364">
        <v>0</v>
      </c>
      <c r="AV95" s="364">
        <v>0</v>
      </c>
      <c r="AW95" s="364">
        <v>0</v>
      </c>
    </row>
    <row r="96" spans="3:49" x14ac:dyDescent="0.3">
      <c r="C96" s="364">
        <v>9</v>
      </c>
      <c r="D96" s="364">
        <v>11</v>
      </c>
      <c r="E96" s="364">
        <v>6</v>
      </c>
      <c r="F96" s="364">
        <v>3477177</v>
      </c>
      <c r="G96" s="364">
        <v>11615</v>
      </c>
      <c r="H96" s="364">
        <v>0</v>
      </c>
      <c r="I96" s="364">
        <v>59639</v>
      </c>
      <c r="J96" s="364">
        <v>56510</v>
      </c>
      <c r="K96" s="364">
        <v>748536</v>
      </c>
      <c r="L96" s="364">
        <v>0</v>
      </c>
      <c r="M96" s="364">
        <v>0</v>
      </c>
      <c r="N96" s="364">
        <v>0</v>
      </c>
      <c r="O96" s="364">
        <v>0</v>
      </c>
      <c r="P96" s="364">
        <v>485614</v>
      </c>
      <c r="Q96" s="364">
        <v>1344958</v>
      </c>
      <c r="R96" s="364">
        <v>439514</v>
      </c>
      <c r="S96" s="364">
        <v>198628</v>
      </c>
      <c r="T96" s="364">
        <v>0</v>
      </c>
      <c r="U96" s="364">
        <v>0</v>
      </c>
      <c r="V96" s="364">
        <v>0</v>
      </c>
      <c r="W96" s="364">
        <v>0</v>
      </c>
      <c r="X96" s="364">
        <v>0</v>
      </c>
      <c r="Y96" s="364">
        <v>0</v>
      </c>
      <c r="Z96" s="364">
        <v>0</v>
      </c>
      <c r="AA96" s="364">
        <v>0</v>
      </c>
      <c r="AB96" s="364">
        <v>0</v>
      </c>
      <c r="AC96" s="364">
        <v>0</v>
      </c>
      <c r="AD96" s="364">
        <v>0</v>
      </c>
      <c r="AE96" s="364">
        <v>0</v>
      </c>
      <c r="AF96" s="364">
        <v>0</v>
      </c>
      <c r="AG96" s="364">
        <v>0</v>
      </c>
      <c r="AH96" s="364">
        <v>0</v>
      </c>
      <c r="AI96" s="364">
        <v>0</v>
      </c>
      <c r="AJ96" s="364">
        <v>0</v>
      </c>
      <c r="AK96" s="364">
        <v>0</v>
      </c>
      <c r="AL96" s="364">
        <v>0</v>
      </c>
      <c r="AM96" s="364">
        <v>0</v>
      </c>
      <c r="AN96" s="364">
        <v>0</v>
      </c>
      <c r="AO96" s="364">
        <v>0</v>
      </c>
      <c r="AP96" s="364">
        <v>0</v>
      </c>
      <c r="AQ96" s="364">
        <v>0</v>
      </c>
      <c r="AR96" s="364">
        <v>101458</v>
      </c>
      <c r="AS96" s="364">
        <v>0</v>
      </c>
      <c r="AT96" s="364">
        <v>0</v>
      </c>
      <c r="AU96" s="364">
        <v>0</v>
      </c>
      <c r="AV96" s="364">
        <v>0</v>
      </c>
      <c r="AW96" s="364">
        <v>30705</v>
      </c>
    </row>
    <row r="97" spans="3:49" x14ac:dyDescent="0.3">
      <c r="C97" s="364">
        <v>9</v>
      </c>
      <c r="D97" s="364">
        <v>11</v>
      </c>
      <c r="E97" s="364">
        <v>9</v>
      </c>
      <c r="F97" s="364">
        <v>659348</v>
      </c>
      <c r="G97" s="364">
        <v>0</v>
      </c>
      <c r="H97" s="364">
        <v>0</v>
      </c>
      <c r="I97" s="364">
        <v>12809</v>
      </c>
      <c r="J97" s="364">
        <v>10205</v>
      </c>
      <c r="K97" s="364">
        <v>80842</v>
      </c>
      <c r="L97" s="364">
        <v>0</v>
      </c>
      <c r="M97" s="364">
        <v>0</v>
      </c>
      <c r="N97" s="364">
        <v>0</v>
      </c>
      <c r="O97" s="364">
        <v>0</v>
      </c>
      <c r="P97" s="364">
        <v>103949</v>
      </c>
      <c r="Q97" s="364">
        <v>261658</v>
      </c>
      <c r="R97" s="364">
        <v>119176</v>
      </c>
      <c r="S97" s="364">
        <v>42429</v>
      </c>
      <c r="T97" s="364">
        <v>0</v>
      </c>
      <c r="U97" s="364">
        <v>0</v>
      </c>
      <c r="V97" s="364">
        <v>0</v>
      </c>
      <c r="W97" s="364">
        <v>0</v>
      </c>
      <c r="X97" s="364">
        <v>0</v>
      </c>
      <c r="Y97" s="364">
        <v>0</v>
      </c>
      <c r="Z97" s="364">
        <v>0</v>
      </c>
      <c r="AA97" s="364">
        <v>0</v>
      </c>
      <c r="AB97" s="364">
        <v>0</v>
      </c>
      <c r="AC97" s="364">
        <v>0</v>
      </c>
      <c r="AD97" s="364">
        <v>0</v>
      </c>
      <c r="AE97" s="364">
        <v>0</v>
      </c>
      <c r="AF97" s="364">
        <v>0</v>
      </c>
      <c r="AG97" s="364">
        <v>0</v>
      </c>
      <c r="AH97" s="364">
        <v>0</v>
      </c>
      <c r="AI97" s="364">
        <v>0</v>
      </c>
      <c r="AJ97" s="364">
        <v>0</v>
      </c>
      <c r="AK97" s="364">
        <v>0</v>
      </c>
      <c r="AL97" s="364">
        <v>0</v>
      </c>
      <c r="AM97" s="364">
        <v>0</v>
      </c>
      <c r="AN97" s="364">
        <v>0</v>
      </c>
      <c r="AO97" s="364">
        <v>0</v>
      </c>
      <c r="AP97" s="364">
        <v>0</v>
      </c>
      <c r="AQ97" s="364">
        <v>0</v>
      </c>
      <c r="AR97" s="364">
        <v>21620</v>
      </c>
      <c r="AS97" s="364">
        <v>0</v>
      </c>
      <c r="AT97" s="364">
        <v>0</v>
      </c>
      <c r="AU97" s="364">
        <v>0</v>
      </c>
      <c r="AV97" s="364">
        <v>0</v>
      </c>
      <c r="AW97" s="364">
        <v>6660</v>
      </c>
    </row>
    <row r="98" spans="3:49" x14ac:dyDescent="0.3">
      <c r="C98" s="364">
        <v>9</v>
      </c>
      <c r="D98" s="364">
        <v>11</v>
      </c>
      <c r="E98" s="364">
        <v>11</v>
      </c>
      <c r="F98" s="364">
        <v>5217.5572519083971</v>
      </c>
      <c r="G98" s="364">
        <v>0</v>
      </c>
      <c r="H98" s="364">
        <v>0</v>
      </c>
      <c r="I98" s="364">
        <v>0</v>
      </c>
      <c r="J98" s="364">
        <v>1717.5572519083971</v>
      </c>
      <c r="K98" s="364">
        <v>0</v>
      </c>
      <c r="L98" s="364">
        <v>0</v>
      </c>
      <c r="M98" s="364">
        <v>0</v>
      </c>
      <c r="N98" s="364">
        <v>0</v>
      </c>
      <c r="O98" s="364">
        <v>3500</v>
      </c>
      <c r="P98" s="364">
        <v>0</v>
      </c>
      <c r="Q98" s="364">
        <v>0</v>
      </c>
      <c r="R98" s="364">
        <v>0</v>
      </c>
      <c r="S98" s="364">
        <v>0</v>
      </c>
      <c r="T98" s="364">
        <v>0</v>
      </c>
      <c r="U98" s="364">
        <v>0</v>
      </c>
      <c r="V98" s="364">
        <v>0</v>
      </c>
      <c r="W98" s="364">
        <v>0</v>
      </c>
      <c r="X98" s="364">
        <v>0</v>
      </c>
      <c r="Y98" s="364">
        <v>0</v>
      </c>
      <c r="Z98" s="364">
        <v>0</v>
      </c>
      <c r="AA98" s="364">
        <v>0</v>
      </c>
      <c r="AB98" s="364">
        <v>0</v>
      </c>
      <c r="AC98" s="364">
        <v>0</v>
      </c>
      <c r="AD98" s="364">
        <v>0</v>
      </c>
      <c r="AE98" s="364">
        <v>0</v>
      </c>
      <c r="AF98" s="364">
        <v>0</v>
      </c>
      <c r="AG98" s="364">
        <v>0</v>
      </c>
      <c r="AH98" s="364">
        <v>0</v>
      </c>
      <c r="AI98" s="364">
        <v>0</v>
      </c>
      <c r="AJ98" s="364">
        <v>0</v>
      </c>
      <c r="AK98" s="364">
        <v>0</v>
      </c>
      <c r="AL98" s="364">
        <v>0</v>
      </c>
      <c r="AM98" s="364">
        <v>0</v>
      </c>
      <c r="AN98" s="364">
        <v>0</v>
      </c>
      <c r="AO98" s="364">
        <v>0</v>
      </c>
      <c r="AP98" s="364">
        <v>0</v>
      </c>
      <c r="AQ98" s="364">
        <v>0</v>
      </c>
      <c r="AR98" s="364">
        <v>0</v>
      </c>
      <c r="AS98" s="364">
        <v>0</v>
      </c>
      <c r="AT98" s="364">
        <v>0</v>
      </c>
      <c r="AU98" s="364">
        <v>0</v>
      </c>
      <c r="AV98" s="364">
        <v>0</v>
      </c>
      <c r="AW98" s="364">
        <v>0</v>
      </c>
    </row>
    <row r="99" spans="3:49" x14ac:dyDescent="0.3">
      <c r="C99" s="364">
        <v>9</v>
      </c>
      <c r="D99" s="364">
        <v>12</v>
      </c>
      <c r="E99" s="364">
        <v>1</v>
      </c>
      <c r="F99" s="364">
        <v>69.55</v>
      </c>
      <c r="G99" s="364">
        <v>0</v>
      </c>
      <c r="H99" s="364">
        <v>0</v>
      </c>
      <c r="I99" s="364">
        <v>1</v>
      </c>
      <c r="J99" s="364">
        <v>1</v>
      </c>
      <c r="K99" s="364">
        <v>7.3</v>
      </c>
      <c r="L99" s="364">
        <v>0</v>
      </c>
      <c r="M99" s="364">
        <v>0</v>
      </c>
      <c r="N99" s="364">
        <v>0</v>
      </c>
      <c r="O99" s="364">
        <v>0</v>
      </c>
      <c r="P99" s="364">
        <v>13</v>
      </c>
      <c r="Q99" s="364">
        <v>27</v>
      </c>
      <c r="R99" s="364">
        <v>7.75</v>
      </c>
      <c r="S99" s="364">
        <v>7.5</v>
      </c>
      <c r="T99" s="364">
        <v>0</v>
      </c>
      <c r="U99" s="364">
        <v>0</v>
      </c>
      <c r="V99" s="364">
        <v>0</v>
      </c>
      <c r="W99" s="364">
        <v>0</v>
      </c>
      <c r="X99" s="364">
        <v>0</v>
      </c>
      <c r="Y99" s="364">
        <v>0</v>
      </c>
      <c r="Z99" s="364">
        <v>0</v>
      </c>
      <c r="AA99" s="364">
        <v>0</v>
      </c>
      <c r="AB99" s="364">
        <v>0</v>
      </c>
      <c r="AC99" s="364">
        <v>0</v>
      </c>
      <c r="AD99" s="364">
        <v>0</v>
      </c>
      <c r="AE99" s="364">
        <v>0</v>
      </c>
      <c r="AF99" s="364">
        <v>0</v>
      </c>
      <c r="AG99" s="364">
        <v>0</v>
      </c>
      <c r="AH99" s="364">
        <v>0</v>
      </c>
      <c r="AI99" s="364">
        <v>0</v>
      </c>
      <c r="AJ99" s="364">
        <v>0</v>
      </c>
      <c r="AK99" s="364">
        <v>0</v>
      </c>
      <c r="AL99" s="364">
        <v>0</v>
      </c>
      <c r="AM99" s="364">
        <v>0</v>
      </c>
      <c r="AN99" s="364">
        <v>0</v>
      </c>
      <c r="AO99" s="364">
        <v>0</v>
      </c>
      <c r="AP99" s="364">
        <v>0</v>
      </c>
      <c r="AQ99" s="364">
        <v>0</v>
      </c>
      <c r="AR99" s="364">
        <v>4</v>
      </c>
      <c r="AS99" s="364">
        <v>0</v>
      </c>
      <c r="AT99" s="364">
        <v>0</v>
      </c>
      <c r="AU99" s="364">
        <v>0</v>
      </c>
      <c r="AV99" s="364">
        <v>0</v>
      </c>
      <c r="AW99" s="364">
        <v>1</v>
      </c>
    </row>
    <row r="100" spans="3:49" x14ac:dyDescent="0.3">
      <c r="C100" s="364">
        <v>9</v>
      </c>
      <c r="D100" s="364">
        <v>12</v>
      </c>
      <c r="E100" s="364">
        <v>2</v>
      </c>
      <c r="F100" s="364">
        <v>10720.28</v>
      </c>
      <c r="G100" s="364">
        <v>0</v>
      </c>
      <c r="H100" s="364">
        <v>0</v>
      </c>
      <c r="I100" s="364">
        <v>168</v>
      </c>
      <c r="J100" s="364">
        <v>144</v>
      </c>
      <c r="K100" s="364">
        <v>1190.8</v>
      </c>
      <c r="L100" s="364">
        <v>0</v>
      </c>
      <c r="M100" s="364">
        <v>0</v>
      </c>
      <c r="N100" s="364">
        <v>0</v>
      </c>
      <c r="O100" s="364">
        <v>0</v>
      </c>
      <c r="P100" s="364">
        <v>1770.29</v>
      </c>
      <c r="Q100" s="364">
        <v>4374.99</v>
      </c>
      <c r="R100" s="364">
        <v>1241.9000000000001</v>
      </c>
      <c r="S100" s="364">
        <v>1058.05</v>
      </c>
      <c r="T100" s="364">
        <v>0</v>
      </c>
      <c r="U100" s="364">
        <v>0</v>
      </c>
      <c r="V100" s="364">
        <v>0</v>
      </c>
      <c r="W100" s="364">
        <v>0</v>
      </c>
      <c r="X100" s="364">
        <v>0</v>
      </c>
      <c r="Y100" s="364">
        <v>0</v>
      </c>
      <c r="Z100" s="364">
        <v>0</v>
      </c>
      <c r="AA100" s="364">
        <v>0</v>
      </c>
      <c r="AB100" s="364">
        <v>0</v>
      </c>
      <c r="AC100" s="364">
        <v>0</v>
      </c>
      <c r="AD100" s="364">
        <v>0</v>
      </c>
      <c r="AE100" s="364">
        <v>0</v>
      </c>
      <c r="AF100" s="364">
        <v>0</v>
      </c>
      <c r="AG100" s="364">
        <v>0</v>
      </c>
      <c r="AH100" s="364">
        <v>0</v>
      </c>
      <c r="AI100" s="364">
        <v>0</v>
      </c>
      <c r="AJ100" s="364">
        <v>0</v>
      </c>
      <c r="AK100" s="364">
        <v>0</v>
      </c>
      <c r="AL100" s="364">
        <v>0</v>
      </c>
      <c r="AM100" s="364">
        <v>0</v>
      </c>
      <c r="AN100" s="364">
        <v>0</v>
      </c>
      <c r="AO100" s="364">
        <v>0</v>
      </c>
      <c r="AP100" s="364">
        <v>0</v>
      </c>
      <c r="AQ100" s="364">
        <v>0</v>
      </c>
      <c r="AR100" s="364">
        <v>612.25</v>
      </c>
      <c r="AS100" s="364">
        <v>0</v>
      </c>
      <c r="AT100" s="364">
        <v>0</v>
      </c>
      <c r="AU100" s="364">
        <v>0</v>
      </c>
      <c r="AV100" s="364">
        <v>0</v>
      </c>
      <c r="AW100" s="364">
        <v>160</v>
      </c>
    </row>
    <row r="101" spans="3:49" x14ac:dyDescent="0.3">
      <c r="C101" s="364">
        <v>9</v>
      </c>
      <c r="D101" s="364">
        <v>12</v>
      </c>
      <c r="E101" s="364">
        <v>3</v>
      </c>
      <c r="F101" s="364">
        <v>579.85</v>
      </c>
      <c r="G101" s="364">
        <v>0</v>
      </c>
      <c r="H101" s="364">
        <v>0</v>
      </c>
      <c r="I101" s="364">
        <v>0</v>
      </c>
      <c r="J101" s="364">
        <v>0</v>
      </c>
      <c r="K101" s="364">
        <v>46.7</v>
      </c>
      <c r="L101" s="364">
        <v>0</v>
      </c>
      <c r="M101" s="364">
        <v>0</v>
      </c>
      <c r="N101" s="364">
        <v>0</v>
      </c>
      <c r="O101" s="364">
        <v>0</v>
      </c>
      <c r="P101" s="364">
        <v>253.2</v>
      </c>
      <c r="Q101" s="364">
        <v>172.4</v>
      </c>
      <c r="R101" s="364">
        <v>81.099999999999994</v>
      </c>
      <c r="S101" s="364">
        <v>26.45</v>
      </c>
      <c r="T101" s="364">
        <v>0</v>
      </c>
      <c r="U101" s="364">
        <v>0</v>
      </c>
      <c r="V101" s="364">
        <v>0</v>
      </c>
      <c r="W101" s="364">
        <v>0</v>
      </c>
      <c r="X101" s="364">
        <v>0</v>
      </c>
      <c r="Y101" s="364">
        <v>0</v>
      </c>
      <c r="Z101" s="364">
        <v>0</v>
      </c>
      <c r="AA101" s="364">
        <v>0</v>
      </c>
      <c r="AB101" s="364">
        <v>0</v>
      </c>
      <c r="AC101" s="364">
        <v>0</v>
      </c>
      <c r="AD101" s="364">
        <v>0</v>
      </c>
      <c r="AE101" s="364">
        <v>0</v>
      </c>
      <c r="AF101" s="364">
        <v>0</v>
      </c>
      <c r="AG101" s="364">
        <v>0</v>
      </c>
      <c r="AH101" s="364">
        <v>0</v>
      </c>
      <c r="AI101" s="364">
        <v>0</v>
      </c>
      <c r="AJ101" s="364">
        <v>0</v>
      </c>
      <c r="AK101" s="364">
        <v>0</v>
      </c>
      <c r="AL101" s="364">
        <v>0</v>
      </c>
      <c r="AM101" s="364">
        <v>0</v>
      </c>
      <c r="AN101" s="364">
        <v>0</v>
      </c>
      <c r="AO101" s="364">
        <v>0</v>
      </c>
      <c r="AP101" s="364">
        <v>0</v>
      </c>
      <c r="AQ101" s="364">
        <v>0</v>
      </c>
      <c r="AR101" s="364">
        <v>0</v>
      </c>
      <c r="AS101" s="364">
        <v>0</v>
      </c>
      <c r="AT101" s="364">
        <v>0</v>
      </c>
      <c r="AU101" s="364">
        <v>0</v>
      </c>
      <c r="AV101" s="364">
        <v>0</v>
      </c>
      <c r="AW101" s="364">
        <v>0</v>
      </c>
    </row>
    <row r="102" spans="3:49" x14ac:dyDescent="0.3">
      <c r="C102" s="364">
        <v>9</v>
      </c>
      <c r="D102" s="364">
        <v>12</v>
      </c>
      <c r="E102" s="364">
        <v>4</v>
      </c>
      <c r="F102" s="364">
        <v>924.11</v>
      </c>
      <c r="G102" s="364">
        <v>0</v>
      </c>
      <c r="H102" s="364">
        <v>0</v>
      </c>
      <c r="I102" s="364">
        <v>34</v>
      </c>
      <c r="J102" s="364">
        <v>34</v>
      </c>
      <c r="K102" s="364">
        <v>200.8</v>
      </c>
      <c r="L102" s="364">
        <v>0</v>
      </c>
      <c r="M102" s="364">
        <v>0</v>
      </c>
      <c r="N102" s="364">
        <v>0</v>
      </c>
      <c r="O102" s="364">
        <v>0</v>
      </c>
      <c r="P102" s="364">
        <v>62</v>
      </c>
      <c r="Q102" s="364">
        <v>344.81</v>
      </c>
      <c r="R102" s="364">
        <v>84.75</v>
      </c>
      <c r="S102" s="364">
        <v>97.75</v>
      </c>
      <c r="T102" s="364">
        <v>0</v>
      </c>
      <c r="U102" s="364">
        <v>0</v>
      </c>
      <c r="V102" s="364">
        <v>0</v>
      </c>
      <c r="W102" s="364">
        <v>0</v>
      </c>
      <c r="X102" s="364">
        <v>0</v>
      </c>
      <c r="Y102" s="364">
        <v>0</v>
      </c>
      <c r="Z102" s="364">
        <v>0</v>
      </c>
      <c r="AA102" s="364">
        <v>0</v>
      </c>
      <c r="AB102" s="364">
        <v>0</v>
      </c>
      <c r="AC102" s="364">
        <v>0</v>
      </c>
      <c r="AD102" s="364">
        <v>0</v>
      </c>
      <c r="AE102" s="364">
        <v>0</v>
      </c>
      <c r="AF102" s="364">
        <v>0</v>
      </c>
      <c r="AG102" s="364">
        <v>0</v>
      </c>
      <c r="AH102" s="364">
        <v>0</v>
      </c>
      <c r="AI102" s="364">
        <v>0</v>
      </c>
      <c r="AJ102" s="364">
        <v>0</v>
      </c>
      <c r="AK102" s="364">
        <v>0</v>
      </c>
      <c r="AL102" s="364">
        <v>0</v>
      </c>
      <c r="AM102" s="364">
        <v>0</v>
      </c>
      <c r="AN102" s="364">
        <v>0</v>
      </c>
      <c r="AO102" s="364">
        <v>0</v>
      </c>
      <c r="AP102" s="364">
        <v>0</v>
      </c>
      <c r="AQ102" s="364">
        <v>0</v>
      </c>
      <c r="AR102" s="364">
        <v>66</v>
      </c>
      <c r="AS102" s="364">
        <v>0</v>
      </c>
      <c r="AT102" s="364">
        <v>0</v>
      </c>
      <c r="AU102" s="364">
        <v>0</v>
      </c>
      <c r="AV102" s="364">
        <v>0</v>
      </c>
      <c r="AW102" s="364">
        <v>0</v>
      </c>
    </row>
    <row r="103" spans="3:49" x14ac:dyDescent="0.3">
      <c r="C103" s="364">
        <v>9</v>
      </c>
      <c r="D103" s="364">
        <v>12</v>
      </c>
      <c r="E103" s="364">
        <v>5</v>
      </c>
      <c r="F103" s="364">
        <v>34.5</v>
      </c>
      <c r="G103" s="364">
        <v>34.5</v>
      </c>
      <c r="H103" s="364">
        <v>0</v>
      </c>
      <c r="I103" s="364">
        <v>0</v>
      </c>
      <c r="J103" s="364">
        <v>0</v>
      </c>
      <c r="K103" s="364">
        <v>0</v>
      </c>
      <c r="L103" s="364">
        <v>0</v>
      </c>
      <c r="M103" s="364">
        <v>0</v>
      </c>
      <c r="N103" s="364">
        <v>0</v>
      </c>
      <c r="O103" s="364">
        <v>0</v>
      </c>
      <c r="P103" s="364">
        <v>0</v>
      </c>
      <c r="Q103" s="364">
        <v>0</v>
      </c>
      <c r="R103" s="364">
        <v>0</v>
      </c>
      <c r="S103" s="364">
        <v>0</v>
      </c>
      <c r="T103" s="364">
        <v>0</v>
      </c>
      <c r="U103" s="364">
        <v>0</v>
      </c>
      <c r="V103" s="364">
        <v>0</v>
      </c>
      <c r="W103" s="364">
        <v>0</v>
      </c>
      <c r="X103" s="364">
        <v>0</v>
      </c>
      <c r="Y103" s="364">
        <v>0</v>
      </c>
      <c r="Z103" s="364">
        <v>0</v>
      </c>
      <c r="AA103" s="364">
        <v>0</v>
      </c>
      <c r="AB103" s="364">
        <v>0</v>
      </c>
      <c r="AC103" s="364">
        <v>0</v>
      </c>
      <c r="AD103" s="364">
        <v>0</v>
      </c>
      <c r="AE103" s="364">
        <v>0</v>
      </c>
      <c r="AF103" s="364">
        <v>0</v>
      </c>
      <c r="AG103" s="364">
        <v>0</v>
      </c>
      <c r="AH103" s="364">
        <v>0</v>
      </c>
      <c r="AI103" s="364">
        <v>0</v>
      </c>
      <c r="AJ103" s="364">
        <v>0</v>
      </c>
      <c r="AK103" s="364">
        <v>0</v>
      </c>
      <c r="AL103" s="364">
        <v>0</v>
      </c>
      <c r="AM103" s="364">
        <v>0</v>
      </c>
      <c r="AN103" s="364">
        <v>0</v>
      </c>
      <c r="AO103" s="364">
        <v>0</v>
      </c>
      <c r="AP103" s="364">
        <v>0</v>
      </c>
      <c r="AQ103" s="364">
        <v>0</v>
      </c>
      <c r="AR103" s="364">
        <v>0</v>
      </c>
      <c r="AS103" s="364">
        <v>0</v>
      </c>
      <c r="AT103" s="364">
        <v>0</v>
      </c>
      <c r="AU103" s="364">
        <v>0</v>
      </c>
      <c r="AV103" s="364">
        <v>0</v>
      </c>
      <c r="AW103" s="364">
        <v>0</v>
      </c>
    </row>
    <row r="104" spans="3:49" x14ac:dyDescent="0.3">
      <c r="C104" s="364">
        <v>9</v>
      </c>
      <c r="D104" s="364">
        <v>12</v>
      </c>
      <c r="E104" s="364">
        <v>6</v>
      </c>
      <c r="F104" s="364">
        <v>3482524</v>
      </c>
      <c r="G104" s="364">
        <v>8625</v>
      </c>
      <c r="H104" s="364">
        <v>0</v>
      </c>
      <c r="I104" s="364">
        <v>56348</v>
      </c>
      <c r="J104" s="364">
        <v>63834</v>
      </c>
      <c r="K104" s="364">
        <v>832337</v>
      </c>
      <c r="L104" s="364">
        <v>0</v>
      </c>
      <c r="M104" s="364">
        <v>0</v>
      </c>
      <c r="N104" s="364">
        <v>0</v>
      </c>
      <c r="O104" s="364">
        <v>0</v>
      </c>
      <c r="P104" s="364">
        <v>501211</v>
      </c>
      <c r="Q104" s="364">
        <v>1283858</v>
      </c>
      <c r="R104" s="364">
        <v>378570</v>
      </c>
      <c r="S104" s="364">
        <v>214934</v>
      </c>
      <c r="T104" s="364">
        <v>0</v>
      </c>
      <c r="U104" s="364">
        <v>0</v>
      </c>
      <c r="V104" s="364">
        <v>0</v>
      </c>
      <c r="W104" s="364">
        <v>0</v>
      </c>
      <c r="X104" s="364">
        <v>0</v>
      </c>
      <c r="Y104" s="364">
        <v>0</v>
      </c>
      <c r="Z104" s="364">
        <v>0</v>
      </c>
      <c r="AA104" s="364">
        <v>0</v>
      </c>
      <c r="AB104" s="364">
        <v>0</v>
      </c>
      <c r="AC104" s="364">
        <v>0</v>
      </c>
      <c r="AD104" s="364">
        <v>0</v>
      </c>
      <c r="AE104" s="364">
        <v>0</v>
      </c>
      <c r="AF104" s="364">
        <v>0</v>
      </c>
      <c r="AG104" s="364">
        <v>0</v>
      </c>
      <c r="AH104" s="364">
        <v>0</v>
      </c>
      <c r="AI104" s="364">
        <v>0</v>
      </c>
      <c r="AJ104" s="364">
        <v>0</v>
      </c>
      <c r="AK104" s="364">
        <v>0</v>
      </c>
      <c r="AL104" s="364">
        <v>0</v>
      </c>
      <c r="AM104" s="364">
        <v>0</v>
      </c>
      <c r="AN104" s="364">
        <v>0</v>
      </c>
      <c r="AO104" s="364">
        <v>0</v>
      </c>
      <c r="AP104" s="364">
        <v>0</v>
      </c>
      <c r="AQ104" s="364">
        <v>0</v>
      </c>
      <c r="AR104" s="364">
        <v>112718</v>
      </c>
      <c r="AS104" s="364">
        <v>0</v>
      </c>
      <c r="AT104" s="364">
        <v>0</v>
      </c>
      <c r="AU104" s="364">
        <v>0</v>
      </c>
      <c r="AV104" s="364">
        <v>0</v>
      </c>
      <c r="AW104" s="364">
        <v>30089</v>
      </c>
    </row>
    <row r="105" spans="3:49" x14ac:dyDescent="0.3">
      <c r="C105" s="364">
        <v>9</v>
      </c>
      <c r="D105" s="364">
        <v>12</v>
      </c>
      <c r="E105" s="364">
        <v>9</v>
      </c>
      <c r="F105" s="364">
        <v>498864</v>
      </c>
      <c r="G105" s="364">
        <v>0</v>
      </c>
      <c r="H105" s="364">
        <v>0</v>
      </c>
      <c r="I105" s="364">
        <v>6000</v>
      </c>
      <c r="J105" s="364">
        <v>6000</v>
      </c>
      <c r="K105" s="364">
        <v>130425</v>
      </c>
      <c r="L105" s="364">
        <v>0</v>
      </c>
      <c r="M105" s="364">
        <v>0</v>
      </c>
      <c r="N105" s="364">
        <v>0</v>
      </c>
      <c r="O105" s="364">
        <v>0</v>
      </c>
      <c r="P105" s="364">
        <v>76792</v>
      </c>
      <c r="Q105" s="364">
        <v>166212</v>
      </c>
      <c r="R105" s="364">
        <v>48820</v>
      </c>
      <c r="S105" s="364">
        <v>34615</v>
      </c>
      <c r="T105" s="364">
        <v>0</v>
      </c>
      <c r="U105" s="364">
        <v>0</v>
      </c>
      <c r="V105" s="364">
        <v>0</v>
      </c>
      <c r="W105" s="364">
        <v>0</v>
      </c>
      <c r="X105" s="364">
        <v>0</v>
      </c>
      <c r="Y105" s="364">
        <v>0</v>
      </c>
      <c r="Z105" s="364">
        <v>0</v>
      </c>
      <c r="AA105" s="364">
        <v>0</v>
      </c>
      <c r="AB105" s="364">
        <v>0</v>
      </c>
      <c r="AC105" s="364">
        <v>0</v>
      </c>
      <c r="AD105" s="364">
        <v>0</v>
      </c>
      <c r="AE105" s="364">
        <v>0</v>
      </c>
      <c r="AF105" s="364">
        <v>0</v>
      </c>
      <c r="AG105" s="364">
        <v>0</v>
      </c>
      <c r="AH105" s="364">
        <v>0</v>
      </c>
      <c r="AI105" s="364">
        <v>0</v>
      </c>
      <c r="AJ105" s="364">
        <v>0</v>
      </c>
      <c r="AK105" s="364">
        <v>0</v>
      </c>
      <c r="AL105" s="364">
        <v>0</v>
      </c>
      <c r="AM105" s="364">
        <v>0</v>
      </c>
      <c r="AN105" s="364">
        <v>0</v>
      </c>
      <c r="AO105" s="364">
        <v>0</v>
      </c>
      <c r="AP105" s="364">
        <v>0</v>
      </c>
      <c r="AQ105" s="364">
        <v>0</v>
      </c>
      <c r="AR105" s="364">
        <v>24000</v>
      </c>
      <c r="AS105" s="364">
        <v>0</v>
      </c>
      <c r="AT105" s="364">
        <v>0</v>
      </c>
      <c r="AU105" s="364">
        <v>0</v>
      </c>
      <c r="AV105" s="364">
        <v>0</v>
      </c>
      <c r="AW105" s="364">
        <v>6000</v>
      </c>
    </row>
    <row r="106" spans="3:49" x14ac:dyDescent="0.3">
      <c r="C106" s="364">
        <v>9</v>
      </c>
      <c r="D106" s="364">
        <v>12</v>
      </c>
      <c r="E106" s="364">
        <v>10</v>
      </c>
      <c r="F106" s="364">
        <v>7451</v>
      </c>
      <c r="G106" s="364">
        <v>0</v>
      </c>
      <c r="H106" s="364">
        <v>0</v>
      </c>
      <c r="I106" s="364">
        <v>0</v>
      </c>
      <c r="J106" s="364">
        <v>1959</v>
      </c>
      <c r="K106" s="364">
        <v>0</v>
      </c>
      <c r="L106" s="364">
        <v>0</v>
      </c>
      <c r="M106" s="364">
        <v>0</v>
      </c>
      <c r="N106" s="364">
        <v>0</v>
      </c>
      <c r="O106" s="364">
        <v>5492</v>
      </c>
      <c r="P106" s="364">
        <v>0</v>
      </c>
      <c r="Q106" s="364">
        <v>0</v>
      </c>
      <c r="R106" s="364">
        <v>0</v>
      </c>
      <c r="S106" s="364">
        <v>0</v>
      </c>
      <c r="T106" s="364">
        <v>0</v>
      </c>
      <c r="U106" s="364">
        <v>0</v>
      </c>
      <c r="V106" s="364">
        <v>0</v>
      </c>
      <c r="W106" s="364">
        <v>0</v>
      </c>
      <c r="X106" s="364">
        <v>0</v>
      </c>
      <c r="Y106" s="364">
        <v>0</v>
      </c>
      <c r="Z106" s="364">
        <v>0</v>
      </c>
      <c r="AA106" s="364">
        <v>0</v>
      </c>
      <c r="AB106" s="364">
        <v>0</v>
      </c>
      <c r="AC106" s="364">
        <v>0</v>
      </c>
      <c r="AD106" s="364">
        <v>0</v>
      </c>
      <c r="AE106" s="364">
        <v>0</v>
      </c>
      <c r="AF106" s="364">
        <v>0</v>
      </c>
      <c r="AG106" s="364">
        <v>0</v>
      </c>
      <c r="AH106" s="364">
        <v>0</v>
      </c>
      <c r="AI106" s="364">
        <v>0</v>
      </c>
      <c r="AJ106" s="364">
        <v>0</v>
      </c>
      <c r="AK106" s="364">
        <v>0</v>
      </c>
      <c r="AL106" s="364">
        <v>0</v>
      </c>
      <c r="AM106" s="364">
        <v>0</v>
      </c>
      <c r="AN106" s="364">
        <v>0</v>
      </c>
      <c r="AO106" s="364">
        <v>0</v>
      </c>
      <c r="AP106" s="364">
        <v>0</v>
      </c>
      <c r="AQ106" s="364">
        <v>0</v>
      </c>
      <c r="AR106" s="364">
        <v>0</v>
      </c>
      <c r="AS106" s="364">
        <v>0</v>
      </c>
      <c r="AT106" s="364">
        <v>0</v>
      </c>
      <c r="AU106" s="364">
        <v>0</v>
      </c>
      <c r="AV106" s="364">
        <v>0</v>
      </c>
      <c r="AW106" s="364">
        <v>0</v>
      </c>
    </row>
    <row r="107" spans="3:49" x14ac:dyDescent="0.3">
      <c r="C107" s="364">
        <v>9</v>
      </c>
      <c r="D107" s="364">
        <v>12</v>
      </c>
      <c r="E107" s="364">
        <v>11</v>
      </c>
      <c r="F107" s="364">
        <v>5217.5572519083971</v>
      </c>
      <c r="G107" s="364">
        <v>0</v>
      </c>
      <c r="H107" s="364">
        <v>0</v>
      </c>
      <c r="I107" s="364">
        <v>0</v>
      </c>
      <c r="J107" s="364">
        <v>1717.5572519083971</v>
      </c>
      <c r="K107" s="364">
        <v>0</v>
      </c>
      <c r="L107" s="364">
        <v>0</v>
      </c>
      <c r="M107" s="364">
        <v>0</v>
      </c>
      <c r="N107" s="364">
        <v>0</v>
      </c>
      <c r="O107" s="364">
        <v>3500</v>
      </c>
      <c r="P107" s="364">
        <v>0</v>
      </c>
      <c r="Q107" s="364">
        <v>0</v>
      </c>
      <c r="R107" s="364">
        <v>0</v>
      </c>
      <c r="S107" s="364">
        <v>0</v>
      </c>
      <c r="T107" s="364">
        <v>0</v>
      </c>
      <c r="U107" s="364">
        <v>0</v>
      </c>
      <c r="V107" s="364">
        <v>0</v>
      </c>
      <c r="W107" s="364">
        <v>0</v>
      </c>
      <c r="X107" s="364">
        <v>0</v>
      </c>
      <c r="Y107" s="364">
        <v>0</v>
      </c>
      <c r="Z107" s="364">
        <v>0</v>
      </c>
      <c r="AA107" s="364">
        <v>0</v>
      </c>
      <c r="AB107" s="364">
        <v>0</v>
      </c>
      <c r="AC107" s="364">
        <v>0</v>
      </c>
      <c r="AD107" s="364">
        <v>0</v>
      </c>
      <c r="AE107" s="364">
        <v>0</v>
      </c>
      <c r="AF107" s="364">
        <v>0</v>
      </c>
      <c r="AG107" s="364">
        <v>0</v>
      </c>
      <c r="AH107" s="364">
        <v>0</v>
      </c>
      <c r="AI107" s="364">
        <v>0</v>
      </c>
      <c r="AJ107" s="364">
        <v>0</v>
      </c>
      <c r="AK107" s="364">
        <v>0</v>
      </c>
      <c r="AL107" s="364">
        <v>0</v>
      </c>
      <c r="AM107" s="364">
        <v>0</v>
      </c>
      <c r="AN107" s="364">
        <v>0</v>
      </c>
      <c r="AO107" s="364">
        <v>0</v>
      </c>
      <c r="AP107" s="364">
        <v>0</v>
      </c>
      <c r="AQ107" s="364">
        <v>0</v>
      </c>
      <c r="AR107" s="364">
        <v>0</v>
      </c>
      <c r="AS107" s="364">
        <v>0</v>
      </c>
      <c r="AT107" s="364">
        <v>0</v>
      </c>
      <c r="AU107" s="364">
        <v>0</v>
      </c>
      <c r="AV107" s="364">
        <v>0</v>
      </c>
      <c r="AW107" s="364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67" bestFit="1" customWidth="1"/>
    <col min="2" max="2" width="11.6640625" style="267" hidden="1" customWidth="1"/>
    <col min="3" max="4" width="11" style="269" customWidth="1"/>
    <col min="5" max="5" width="11" style="270" customWidth="1"/>
    <col min="6" max="16384" width="8.88671875" style="267"/>
  </cols>
  <sheetData>
    <row r="1" spans="1:5" ht="18.600000000000001" thickBot="1" x14ac:dyDescent="0.4">
      <c r="A1" s="464" t="s">
        <v>143</v>
      </c>
      <c r="B1" s="464"/>
      <c r="C1" s="465"/>
      <c r="D1" s="465"/>
      <c r="E1" s="465"/>
    </row>
    <row r="2" spans="1:5" ht="14.4" customHeight="1" thickBot="1" x14ac:dyDescent="0.35">
      <c r="A2" s="368" t="s">
        <v>301</v>
      </c>
      <c r="B2" s="268"/>
    </row>
    <row r="3" spans="1:5" ht="14.4" customHeight="1" thickBot="1" x14ac:dyDescent="0.35">
      <c r="A3" s="271"/>
      <c r="C3" s="272" t="s">
        <v>124</v>
      </c>
      <c r="D3" s="273" t="s">
        <v>87</v>
      </c>
      <c r="E3" s="274" t="s">
        <v>89</v>
      </c>
    </row>
    <row r="4" spans="1:5" ht="14.4" customHeight="1" thickBot="1" x14ac:dyDescent="0.35">
      <c r="A4" s="275" t="str">
        <f>HYPERLINK("#HI!A1","NÁKLADY CELKEM (v tisících Kč)")</f>
        <v>NÁKLADY CELKEM (v tisících Kč)</v>
      </c>
      <c r="B4" s="276"/>
      <c r="C4" s="277">
        <f ca="1">IF(ISERROR(VLOOKUP("Náklady celkem",INDIRECT("HI!$A:$G"),6,0)),0,VLOOKUP("Náklady celkem",INDIRECT("HI!$A:$G"),6,0))</f>
        <v>67893.119146232333</v>
      </c>
      <c r="D4" s="277">
        <f ca="1">IF(ISERROR(VLOOKUP("Náklady celkem",INDIRECT("HI!$A:$G"),5,0)),0,VLOOKUP("Náklady celkem",INDIRECT("HI!$A:$G"),5,0))</f>
        <v>71417.368840000025</v>
      </c>
      <c r="E4" s="278">
        <f ca="1">IF(C4=0,0,D4/C4)</f>
        <v>1.0519087904354041</v>
      </c>
    </row>
    <row r="5" spans="1:5" ht="14.4" customHeight="1" x14ac:dyDescent="0.3">
      <c r="A5" s="279" t="s">
        <v>185</v>
      </c>
      <c r="B5" s="280"/>
      <c r="C5" s="281"/>
      <c r="D5" s="281"/>
      <c r="E5" s="282"/>
    </row>
    <row r="6" spans="1:5" ht="14.4" customHeight="1" x14ac:dyDescent="0.3">
      <c r="A6" s="283" t="s">
        <v>190</v>
      </c>
      <c r="B6" s="284"/>
      <c r="C6" s="285"/>
      <c r="D6" s="285"/>
      <c r="E6" s="282"/>
    </row>
    <row r="7" spans="1:5" ht="14.4" customHeight="1" x14ac:dyDescent="0.3">
      <c r="A7" s="45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4" t="s">
        <v>129</v>
      </c>
      <c r="C7" s="285">
        <f>IF(ISERROR(HI!F5),"",HI!F5)</f>
        <v>7718.1817008941034</v>
      </c>
      <c r="D7" s="285">
        <f>IF(ISERROR(HI!E5),"",HI!E5)</f>
        <v>7597.7264100000029</v>
      </c>
      <c r="E7" s="282">
        <f t="shared" ref="E7:E15" si="0">IF(C7=0,0,D7/C7)</f>
        <v>0.98439330718527307</v>
      </c>
    </row>
    <row r="8" spans="1:5" ht="14.4" customHeight="1" x14ac:dyDescent="0.3">
      <c r="A8" s="450" t="str">
        <f>HYPERLINK("#'LŽ PL'!A1","Plnění pozitivního listu (min. 90%)")</f>
        <v>Plnění pozitivního listu (min. 90%)</v>
      </c>
      <c r="B8" s="284" t="s">
        <v>178</v>
      </c>
      <c r="C8" s="286">
        <v>0.9</v>
      </c>
      <c r="D8" s="286">
        <f>IF(ISERROR(VLOOKUP("celkem",'LŽ PL'!$A:$F,5,0)),0,VLOOKUP("celkem",'LŽ PL'!$A:$F,5,0))</f>
        <v>0.82724597921932275</v>
      </c>
      <c r="E8" s="282">
        <f t="shared" si="0"/>
        <v>0.91916219913258079</v>
      </c>
    </row>
    <row r="9" spans="1:5" ht="14.4" customHeight="1" x14ac:dyDescent="0.3">
      <c r="A9" s="450" t="str">
        <f>HYPERLINK("#'LŽ Statim'!A1","Podíl statimových žádanek (max. 30%)")</f>
        <v>Podíl statimových žádanek (max. 30%)</v>
      </c>
      <c r="B9" s="448" t="s">
        <v>260</v>
      </c>
      <c r="C9" s="449">
        <v>0.3</v>
      </c>
      <c r="D9" s="449">
        <f>IF('LŽ Statim'!G3="",0,'LŽ Statim'!G3)</f>
        <v>0.13854748603351955</v>
      </c>
      <c r="E9" s="282">
        <f>IF(C9=0,0,D9/C9)</f>
        <v>0.46182495344506519</v>
      </c>
    </row>
    <row r="10" spans="1:5" ht="14.4" customHeight="1" x14ac:dyDescent="0.3">
      <c r="A10" s="287" t="s">
        <v>186</v>
      </c>
      <c r="B10" s="284"/>
      <c r="C10" s="285"/>
      <c r="D10" s="285"/>
      <c r="E10" s="282"/>
    </row>
    <row r="11" spans="1:5" ht="14.4" customHeight="1" x14ac:dyDescent="0.3">
      <c r="A11" s="450" t="str">
        <f>HYPERLINK("#'Léky Recepty'!A1","Záchyt v lékárně (Úhrada Kč, min. 60%)")</f>
        <v>Záchyt v lékárně (Úhrada Kč, min. 60%)</v>
      </c>
      <c r="B11" s="284" t="s">
        <v>134</v>
      </c>
      <c r="C11" s="286">
        <v>0.6</v>
      </c>
      <c r="D11" s="286">
        <f>IF(ISERROR(VLOOKUP("Celkem",'Léky Recepty'!B:H,5,0)),0,VLOOKUP("Celkem",'Léky Recepty'!B:H,5,0))</f>
        <v>0.76899112754052779</v>
      </c>
      <c r="E11" s="282">
        <f t="shared" si="0"/>
        <v>1.2816518792342131</v>
      </c>
    </row>
    <row r="12" spans="1:5" ht="14.4" customHeight="1" x14ac:dyDescent="0.3">
      <c r="A12" s="450" t="str">
        <f>HYPERLINK("#'LRp PL'!A1","Plnění pozitivního listu (min. 80%)")</f>
        <v>Plnění pozitivního listu (min. 80%)</v>
      </c>
      <c r="B12" s="284" t="s">
        <v>179</v>
      </c>
      <c r="C12" s="286">
        <v>0.8</v>
      </c>
      <c r="D12" s="286">
        <f>IF(ISERROR(VLOOKUP("Celkem",'LRp PL'!A:F,5,0)),0,VLOOKUP("Celkem",'LRp PL'!A:F,5,0))</f>
        <v>0.69662921348314621</v>
      </c>
      <c r="E12" s="282">
        <f t="shared" si="0"/>
        <v>0.87078651685393271</v>
      </c>
    </row>
    <row r="13" spans="1:5" ht="14.4" customHeight="1" x14ac:dyDescent="0.3">
      <c r="A13" s="287" t="s">
        <v>187</v>
      </c>
      <c r="B13" s="284"/>
      <c r="C13" s="285"/>
      <c r="D13" s="285"/>
      <c r="E13" s="282"/>
    </row>
    <row r="14" spans="1:5" ht="14.4" customHeight="1" x14ac:dyDescent="0.3">
      <c r="A14" s="288" t="s">
        <v>191</v>
      </c>
      <c r="B14" s="284"/>
      <c r="C14" s="281"/>
      <c r="D14" s="281"/>
      <c r="E14" s="282"/>
    </row>
    <row r="15" spans="1:5" ht="14.4" customHeight="1" x14ac:dyDescent="0.3">
      <c r="A15" s="28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4" t="s">
        <v>129</v>
      </c>
      <c r="C15" s="285">
        <f>IF(ISERROR(HI!F6),"",HI!F6)</f>
        <v>4812.2083351891688</v>
      </c>
      <c r="D15" s="285">
        <f>IF(ISERROR(HI!E6),"",HI!E6)</f>
        <v>4635.6786000000011</v>
      </c>
      <c r="E15" s="282">
        <f t="shared" si="0"/>
        <v>0.96331627334205427</v>
      </c>
    </row>
    <row r="16" spans="1:5" ht="14.4" customHeight="1" thickBot="1" x14ac:dyDescent="0.35">
      <c r="A16" s="290" t="str">
        <f>HYPERLINK("#HI!A1","Osobní náklady")</f>
        <v>Osobní náklady</v>
      </c>
      <c r="B16" s="284"/>
      <c r="C16" s="281">
        <f ca="1">IF(ISERROR(VLOOKUP("Osobní náklady (Kč) *",INDIRECT("HI!$A:$G"),6,0)),0,VLOOKUP("Osobní náklady (Kč) *",INDIRECT("HI!$A:$G"),6,0))</f>
        <v>45907.004144460661</v>
      </c>
      <c r="D16" s="281">
        <f ca="1">IF(ISERROR(VLOOKUP("Osobní náklady (Kč) *",INDIRECT("HI!$A:$G"),5,0)),0,VLOOKUP("Osobní náklady (Kč) *",INDIRECT("HI!$A:$G"),5,0))</f>
        <v>48915.81577000003</v>
      </c>
      <c r="E16" s="282">
        <f ca="1">IF(C16=0,0,D16/C16)</f>
        <v>1.0655414501907206</v>
      </c>
    </row>
    <row r="17" spans="1:5" ht="14.4" customHeight="1" thickBot="1" x14ac:dyDescent="0.35">
      <c r="A17" s="294"/>
      <c r="B17" s="295"/>
      <c r="C17" s="296"/>
      <c r="D17" s="296"/>
      <c r="E17" s="297"/>
    </row>
    <row r="18" spans="1:5" ht="14.4" customHeight="1" thickBot="1" x14ac:dyDescent="0.35">
      <c r="A18" s="298" t="str">
        <f>HYPERLINK("#HI!A1","VÝNOSY CELKEM (v tisících)")</f>
        <v>VÝNOSY CELKEM (v tisících)</v>
      </c>
      <c r="B18" s="299"/>
      <c r="C18" s="300">
        <f ca="1">IF(ISERROR(VLOOKUP("Výnosy celkem",INDIRECT("HI!$A:$G"),6,0)),0,VLOOKUP("Výnosy celkem",INDIRECT("HI!$A:$G"),6,0))</f>
        <v>82987.08</v>
      </c>
      <c r="D18" s="300">
        <f ca="1">IF(ISERROR(VLOOKUP("Výnosy celkem",INDIRECT("HI!$A:$G"),5,0)),0,VLOOKUP("Výnosy celkem",INDIRECT("HI!$A:$G"),5,0))</f>
        <v>88574.074999999997</v>
      </c>
      <c r="E18" s="301">
        <f t="shared" ref="E18:E28" ca="1" si="1">IF(C18=0,0,D18/C18)</f>
        <v>1.067323672552402</v>
      </c>
    </row>
    <row r="19" spans="1:5" ht="14.4" customHeight="1" x14ac:dyDescent="0.3">
      <c r="A19" s="302" t="str">
        <f>HYPERLINK("#HI!A1","Ambulance (body za výkony + Kč za ZUM a ZULP)")</f>
        <v>Ambulance (body za výkony + Kč za ZUM a ZULP)</v>
      </c>
      <c r="B19" s="280"/>
      <c r="C19" s="281">
        <f ca="1">IF(ISERROR(VLOOKUP("Ambulance *",INDIRECT("HI!$A:$G"),6,0)),0,VLOOKUP("Ambulance *",INDIRECT("HI!$A:$G"),6,0))</f>
        <v>0</v>
      </c>
      <c r="D19" s="281">
        <f ca="1">IF(ISERROR(VLOOKUP("Ambulance *",INDIRECT("HI!$A:$G"),5,0)),0,VLOOKUP("Ambulance *",INDIRECT("HI!$A:$G"),5,0))</f>
        <v>376.02499999999998</v>
      </c>
      <c r="E19" s="282">
        <f t="shared" ca="1" si="1"/>
        <v>0</v>
      </c>
    </row>
    <row r="20" spans="1:5" ht="14.4" customHeight="1" x14ac:dyDescent="0.3">
      <c r="A20" s="303" t="str">
        <f>HYPERLINK("#'ZV Vykáz.-A'!A1","Zdravotní výkony vykázané u ambulantních pacientů (min. 100 %)")</f>
        <v>Zdravotní výkony vykázané u ambulantních pacientů (min. 100 %)</v>
      </c>
      <c r="B20" s="267" t="s">
        <v>145</v>
      </c>
      <c r="C20" s="286">
        <v>1</v>
      </c>
      <c r="D20" s="286" t="str">
        <f>IF(ISERROR(VLOOKUP("Celkem:",'ZV Vykáz.-A'!$A:$S,7,0)),"",VLOOKUP("Celkem:",'ZV Vykáz.-A'!$A:$S,7,0))</f>
        <v/>
      </c>
      <c r="E20" s="282" t="e">
        <f t="shared" si="1"/>
        <v>#VALUE!</v>
      </c>
    </row>
    <row r="21" spans="1:5" ht="14.4" customHeight="1" x14ac:dyDescent="0.3">
      <c r="A21" s="303" t="str">
        <f>HYPERLINK("#'ZV Vykáz.-H'!A1","Zdravotní výkony vykázané u hospitalizovaných pacientů (max. 85 %)")</f>
        <v>Zdravotní výkony vykázané u hospitalizovaných pacientů (max. 85 %)</v>
      </c>
      <c r="B21" s="267" t="s">
        <v>147</v>
      </c>
      <c r="C21" s="286">
        <v>0.85</v>
      </c>
      <c r="D21" s="286">
        <f>IF(ISERROR(VLOOKUP("Celkem:",'ZV Vykáz.-H'!$A:$S,7,0)),"",VLOOKUP("Celkem:",'ZV Vykáz.-H'!$A:$S,7,0))</f>
        <v>1.1360572467612979</v>
      </c>
      <c r="E21" s="282">
        <f t="shared" si="1"/>
        <v>1.3365379373662329</v>
      </c>
    </row>
    <row r="22" spans="1:5" ht="14.4" customHeight="1" x14ac:dyDescent="0.3">
      <c r="A22" s="304" t="str">
        <f>HYPERLINK("#HI!A1","Hospitalizace (casemix * 30000)")</f>
        <v>Hospitalizace (casemix * 30000)</v>
      </c>
      <c r="B22" s="284"/>
      <c r="C22" s="281">
        <f ca="1">IF(ISERROR(VLOOKUP("Hospitalizace *",INDIRECT("HI!$A:$G"),6,0)),0,VLOOKUP("Hospitalizace *",INDIRECT("HI!$A:$G"),6,0))</f>
        <v>82987.08</v>
      </c>
      <c r="D22" s="281">
        <f ca="1">IF(ISERROR(VLOOKUP("Hospitalizace *",INDIRECT("HI!$A:$G"),5,0)),0,VLOOKUP("Hospitalizace *",INDIRECT("HI!$A:$G"),5,0))</f>
        <v>88198.05</v>
      </c>
      <c r="E22" s="282">
        <f ca="1">IF(C22=0,0,D22/C22)</f>
        <v>1.062792545538414</v>
      </c>
    </row>
    <row r="23" spans="1:5" ht="14.4" customHeight="1" x14ac:dyDescent="0.3">
      <c r="A23" s="303" t="str">
        <f>HYPERLINK("#'CaseMix'!A1","Casemix (min. 100 %)")</f>
        <v>Casemix (min. 100 %)</v>
      </c>
      <c r="B23" s="284" t="s">
        <v>64</v>
      </c>
      <c r="C23" s="286">
        <v>1</v>
      </c>
      <c r="D23" s="286">
        <f>IF(ISERROR(VLOOKUP("Celkem",CaseMix!A:M,5,0)),0,VLOOKUP("Celkem",CaseMix!A:M,5,0))</f>
        <v>1.062792545538414</v>
      </c>
      <c r="E23" s="282">
        <f t="shared" si="1"/>
        <v>1.062792545538414</v>
      </c>
    </row>
    <row r="24" spans="1:5" ht="14.4" customHeight="1" x14ac:dyDescent="0.3">
      <c r="A24" s="305" t="str">
        <f>HYPERLINK("#'CaseMix'!A1","DRG mimo vyjmenované baze")</f>
        <v>DRG mimo vyjmenované baze</v>
      </c>
      <c r="B24" s="284" t="s">
        <v>64</v>
      </c>
      <c r="C24" s="286">
        <v>1</v>
      </c>
      <c r="D24" s="286">
        <f>IF(ISERROR(CaseMix!E26),"",CaseMix!E26)</f>
        <v>1.4170935792349728</v>
      </c>
      <c r="E24" s="282">
        <f t="shared" si="1"/>
        <v>1.4170935792349728</v>
      </c>
    </row>
    <row r="25" spans="1:5" ht="14.4" customHeight="1" x14ac:dyDescent="0.3">
      <c r="A25" s="305" t="str">
        <f>HYPERLINK("#'CaseMix'!A1","Vyjmenované baze DRG")</f>
        <v>Vyjmenované baze DRG</v>
      </c>
      <c r="B25" s="284" t="s">
        <v>64</v>
      </c>
      <c r="C25" s="286">
        <v>1</v>
      </c>
      <c r="D25" s="286">
        <f>IF(ISERROR(CaseMix!E39),"",CaseMix!E39)</f>
        <v>0</v>
      </c>
      <c r="E25" s="282">
        <f t="shared" si="1"/>
        <v>0</v>
      </c>
    </row>
    <row r="26" spans="1:5" ht="14.4" customHeight="1" x14ac:dyDescent="0.3">
      <c r="A26" s="303" t="str">
        <f>HYPERLINK("#'CaseMix'!A1","Počet hospitalizací ukončených na pracovišti (min. 95 %)")</f>
        <v>Počet hospitalizací ukončených na pracovišti (min. 95 %)</v>
      </c>
      <c r="B26" s="284" t="s">
        <v>64</v>
      </c>
      <c r="C26" s="286">
        <v>0.95</v>
      </c>
      <c r="D26" s="286">
        <f>IF(ISERROR(CaseMix!I13),"",CaseMix!I13)</f>
        <v>1</v>
      </c>
      <c r="E26" s="282">
        <f t="shared" si="1"/>
        <v>1.0526315789473684</v>
      </c>
    </row>
    <row r="27" spans="1:5" ht="14.4" customHeight="1" x14ac:dyDescent="0.3">
      <c r="A27" s="303" t="str">
        <f>HYPERLINK("#'ALOS'!A1","Průměrná délka hospitalizace (max. 100 % republikového průměru)")</f>
        <v>Průměrná délka hospitalizace (max. 100 % republikového průměru)</v>
      </c>
      <c r="B27" s="284" t="s">
        <v>79</v>
      </c>
      <c r="C27" s="286">
        <v>1</v>
      </c>
      <c r="D27" s="306">
        <f>IF(ISERROR(INDEX(ALOS!$E:$E,COUNT(ALOS!$E:$E)+32)),0,INDEX(ALOS!$E:$E,COUNT(ALOS!$E:$E)+32))</f>
        <v>0.95087548638132291</v>
      </c>
      <c r="E27" s="282">
        <f t="shared" si="1"/>
        <v>0.95087548638132291</v>
      </c>
    </row>
    <row r="28" spans="1:5" ht="27.6" x14ac:dyDescent="0.3">
      <c r="A28" s="30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84" t="s">
        <v>142</v>
      </c>
      <c r="C28" s="286">
        <f>IF(E23&gt;1,95%,95%-2*ABS(C23-D23))</f>
        <v>0.95</v>
      </c>
      <c r="D28" s="286">
        <f>IF(ISERROR(VLOOKUP("Celkem:",'ZV Vyžád.'!$A:$M,7,0)),"",VLOOKUP("Celkem:",'ZV Vyžád.'!$A:$M,7,0))</f>
        <v>1.5496202952228848</v>
      </c>
      <c r="E28" s="282">
        <f t="shared" si="1"/>
        <v>1.6311792581293525</v>
      </c>
    </row>
    <row r="29" spans="1:5" ht="14.4" customHeight="1" thickBot="1" x14ac:dyDescent="0.35">
      <c r="A29" s="308" t="s">
        <v>188</v>
      </c>
      <c r="B29" s="291"/>
      <c r="C29" s="292"/>
      <c r="D29" s="292"/>
      <c r="E29" s="293"/>
    </row>
    <row r="30" spans="1:5" ht="14.4" customHeight="1" thickBot="1" x14ac:dyDescent="0.35">
      <c r="A30" s="309"/>
      <c r="B30" s="310"/>
      <c r="C30" s="311"/>
      <c r="D30" s="311"/>
      <c r="E30" s="312"/>
    </row>
    <row r="31" spans="1:5" ht="14.4" customHeight="1" thickBot="1" x14ac:dyDescent="0.35">
      <c r="A31" s="313" t="s">
        <v>189</v>
      </c>
      <c r="B31" s="314"/>
      <c r="C31" s="315"/>
      <c r="D31" s="315"/>
      <c r="E31" s="31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3" priority="20" operator="lessThan">
      <formula>1</formula>
    </cfRule>
  </conditionalFormatting>
  <conditionalFormatting sqref="E9">
    <cfRule type="cellIs" dxfId="8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8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44" bestFit="1" customWidth="1"/>
    <col min="2" max="2" width="7.77734375" style="209" customWidth="1"/>
    <col min="3" max="3" width="5.44140625" style="244" hidden="1" customWidth="1"/>
    <col min="4" max="4" width="7.77734375" style="209" customWidth="1"/>
    <col min="5" max="5" width="5.44140625" style="244" hidden="1" customWidth="1"/>
    <col min="6" max="6" width="7.77734375" style="209" customWidth="1"/>
    <col min="7" max="7" width="7.77734375" style="329" customWidth="1"/>
    <col min="8" max="8" width="7.77734375" style="209" customWidth="1"/>
    <col min="9" max="9" width="5.44140625" style="244" hidden="1" customWidth="1"/>
    <col min="10" max="10" width="7.77734375" style="209" customWidth="1"/>
    <col min="11" max="11" width="5.44140625" style="244" hidden="1" customWidth="1"/>
    <col min="12" max="12" width="7.77734375" style="209" customWidth="1"/>
    <col min="13" max="13" width="7.77734375" style="329" customWidth="1"/>
    <col min="14" max="14" width="7.77734375" style="209" customWidth="1"/>
    <col min="15" max="15" width="5" style="244" hidden="1" customWidth="1"/>
    <col min="16" max="16" width="7.77734375" style="209" customWidth="1"/>
    <col min="17" max="17" width="5" style="244" hidden="1" customWidth="1"/>
    <col min="18" max="18" width="7.77734375" style="209" customWidth="1"/>
    <col min="19" max="19" width="7.77734375" style="329" customWidth="1"/>
    <col min="20" max="16384" width="8.88671875" style="244"/>
  </cols>
  <sheetData>
    <row r="1" spans="1:19" ht="18.600000000000001" customHeight="1" thickBot="1" x14ac:dyDescent="0.4">
      <c r="A1" s="526" t="s">
        <v>1895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</row>
    <row r="2" spans="1:19" ht="14.4" customHeight="1" thickBot="1" x14ac:dyDescent="0.35">
      <c r="A2" s="368" t="s">
        <v>301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1:19" ht="14.4" customHeight="1" thickBot="1" x14ac:dyDescent="0.35">
      <c r="A3" s="335" t="s">
        <v>151</v>
      </c>
      <c r="B3" s="336">
        <f>SUBTOTAL(9,B6:B1048576)/2</f>
        <v>0</v>
      </c>
      <c r="C3" s="337">
        <f t="shared" ref="C3:R3" si="0">SUBTOTAL(9,C6:C1048576)</f>
        <v>0</v>
      </c>
      <c r="D3" s="337">
        <f>SUBTOTAL(9,D6:D1048576)/2</f>
        <v>156523</v>
      </c>
      <c r="E3" s="337">
        <f t="shared" si="0"/>
        <v>0</v>
      </c>
      <c r="F3" s="337">
        <f>SUBTOTAL(9,F6:F1048576)/2</f>
        <v>376025</v>
      </c>
      <c r="G3" s="338" t="str">
        <f>IF(B3&lt;&gt;0,F3/B3,"")</f>
        <v/>
      </c>
      <c r="H3" s="339">
        <f t="shared" si="0"/>
        <v>0</v>
      </c>
      <c r="I3" s="337">
        <f t="shared" si="0"/>
        <v>0</v>
      </c>
      <c r="J3" s="337">
        <f t="shared" si="0"/>
        <v>0</v>
      </c>
      <c r="K3" s="337">
        <f t="shared" si="0"/>
        <v>0</v>
      </c>
      <c r="L3" s="337">
        <f t="shared" si="0"/>
        <v>9.3132257461547852E-10</v>
      </c>
      <c r="M3" s="340" t="str">
        <f>IF(H3&lt;&gt;0,L3/H3,"")</f>
        <v/>
      </c>
      <c r="N3" s="336">
        <f t="shared" si="0"/>
        <v>0</v>
      </c>
      <c r="O3" s="337">
        <f t="shared" si="0"/>
        <v>0</v>
      </c>
      <c r="P3" s="337">
        <f t="shared" si="0"/>
        <v>0</v>
      </c>
      <c r="Q3" s="337">
        <f t="shared" si="0"/>
        <v>0</v>
      </c>
      <c r="R3" s="337">
        <f t="shared" si="0"/>
        <v>8433443.2599999998</v>
      </c>
      <c r="S3" s="338" t="str">
        <f>IF(N3&lt;&gt;0,R3/N3,"")</f>
        <v/>
      </c>
    </row>
    <row r="4" spans="1:19" ht="14.4" customHeight="1" x14ac:dyDescent="0.3">
      <c r="A4" s="527" t="s">
        <v>265</v>
      </c>
      <c r="B4" s="528" t="s">
        <v>116</v>
      </c>
      <c r="C4" s="529"/>
      <c r="D4" s="529"/>
      <c r="E4" s="529"/>
      <c r="F4" s="529"/>
      <c r="G4" s="530"/>
      <c r="H4" s="528" t="s">
        <v>117</v>
      </c>
      <c r="I4" s="529"/>
      <c r="J4" s="529"/>
      <c r="K4" s="529"/>
      <c r="L4" s="529"/>
      <c r="M4" s="530"/>
      <c r="N4" s="528" t="s">
        <v>118</v>
      </c>
      <c r="O4" s="529"/>
      <c r="P4" s="529"/>
      <c r="Q4" s="529"/>
      <c r="R4" s="529"/>
      <c r="S4" s="530"/>
    </row>
    <row r="5" spans="1:19" ht="14.4" customHeight="1" thickBot="1" x14ac:dyDescent="0.35">
      <c r="A5" s="744"/>
      <c r="B5" s="745">
        <v>2014</v>
      </c>
      <c r="C5" s="746"/>
      <c r="D5" s="746">
        <v>2015</v>
      </c>
      <c r="E5" s="746"/>
      <c r="F5" s="746">
        <v>2016</v>
      </c>
      <c r="G5" s="747" t="s">
        <v>2</v>
      </c>
      <c r="H5" s="745">
        <v>2014</v>
      </c>
      <c r="I5" s="746"/>
      <c r="J5" s="746">
        <v>2015</v>
      </c>
      <c r="K5" s="746"/>
      <c r="L5" s="746">
        <v>2016</v>
      </c>
      <c r="M5" s="747" t="s">
        <v>2</v>
      </c>
      <c r="N5" s="745">
        <v>2014</v>
      </c>
      <c r="O5" s="746"/>
      <c r="P5" s="746">
        <v>2015</v>
      </c>
      <c r="Q5" s="746"/>
      <c r="R5" s="746">
        <v>2016</v>
      </c>
      <c r="S5" s="747" t="s">
        <v>2</v>
      </c>
    </row>
    <row r="6" spans="1:19" ht="14.4" customHeight="1" x14ac:dyDescent="0.3">
      <c r="A6" s="665" t="s">
        <v>1893</v>
      </c>
      <c r="B6" s="748"/>
      <c r="C6" s="633"/>
      <c r="D6" s="748"/>
      <c r="E6" s="633"/>
      <c r="F6" s="748">
        <v>0</v>
      </c>
      <c r="G6" s="655"/>
      <c r="H6" s="748"/>
      <c r="I6" s="633"/>
      <c r="J6" s="748"/>
      <c r="K6" s="633"/>
      <c r="L6" s="748"/>
      <c r="M6" s="655"/>
      <c r="N6" s="748"/>
      <c r="O6" s="633"/>
      <c r="P6" s="748"/>
      <c r="Q6" s="633"/>
      <c r="R6" s="748"/>
      <c r="S6" s="679"/>
    </row>
    <row r="7" spans="1:19" ht="14.4" customHeight="1" thickBot="1" x14ac:dyDescent="0.35">
      <c r="A7" s="750" t="s">
        <v>1894</v>
      </c>
      <c r="B7" s="749"/>
      <c r="C7" s="645"/>
      <c r="D7" s="749">
        <v>156523</v>
      </c>
      <c r="E7" s="645"/>
      <c r="F7" s="749">
        <v>376025</v>
      </c>
      <c r="G7" s="657"/>
      <c r="H7" s="749"/>
      <c r="I7" s="645"/>
      <c r="J7" s="749"/>
      <c r="K7" s="645"/>
      <c r="L7" s="749">
        <v>5.8207660913467407E-10</v>
      </c>
      <c r="M7" s="657"/>
      <c r="N7" s="749"/>
      <c r="O7" s="645"/>
      <c r="P7" s="749"/>
      <c r="Q7" s="645"/>
      <c r="R7" s="749">
        <v>4216721.63</v>
      </c>
      <c r="S7" s="681"/>
    </row>
    <row r="8" spans="1:19" ht="14.4" customHeight="1" thickBot="1" x14ac:dyDescent="0.35"/>
    <row r="9" spans="1:19" ht="14.4" customHeight="1" x14ac:dyDescent="0.3">
      <c r="A9" s="665" t="s">
        <v>1896</v>
      </c>
      <c r="B9" s="748"/>
      <c r="C9" s="633"/>
      <c r="D9" s="748"/>
      <c r="E9" s="633"/>
      <c r="F9" s="748"/>
      <c r="G9" s="655"/>
      <c r="H9" s="748"/>
      <c r="I9" s="633"/>
      <c r="J9" s="748"/>
      <c r="K9" s="633"/>
      <c r="L9" s="748">
        <v>-4216721.63</v>
      </c>
      <c r="M9" s="655"/>
      <c r="N9" s="748"/>
      <c r="O9" s="633"/>
      <c r="P9" s="748"/>
      <c r="Q9" s="633"/>
      <c r="R9" s="748">
        <v>4216721.63</v>
      </c>
      <c r="S9" s="679"/>
    </row>
    <row r="10" spans="1:19" ht="14.4" customHeight="1" x14ac:dyDescent="0.3">
      <c r="A10" s="666" t="s">
        <v>1340</v>
      </c>
      <c r="B10" s="751"/>
      <c r="C10" s="639"/>
      <c r="D10" s="751">
        <v>156523</v>
      </c>
      <c r="E10" s="639"/>
      <c r="F10" s="751">
        <v>376025</v>
      </c>
      <c r="G10" s="656"/>
      <c r="H10" s="751"/>
      <c r="I10" s="639"/>
      <c r="J10" s="751"/>
      <c r="K10" s="639"/>
      <c r="L10" s="751">
        <v>4216721.63</v>
      </c>
      <c r="M10" s="656"/>
      <c r="N10" s="751"/>
      <c r="O10" s="639"/>
      <c r="P10" s="751"/>
      <c r="Q10" s="639"/>
      <c r="R10" s="751"/>
      <c r="S10" s="680"/>
    </row>
    <row r="11" spans="1:19" ht="14.4" customHeight="1" thickBot="1" x14ac:dyDescent="0.35">
      <c r="A11" s="750" t="s">
        <v>559</v>
      </c>
      <c r="B11" s="749"/>
      <c r="C11" s="645"/>
      <c r="D11" s="749"/>
      <c r="E11" s="645"/>
      <c r="F11" s="749">
        <v>0</v>
      </c>
      <c r="G11" s="657"/>
      <c r="H11" s="749"/>
      <c r="I11" s="645"/>
      <c r="J11" s="749"/>
      <c r="K11" s="645"/>
      <c r="L11" s="749">
        <v>0</v>
      </c>
      <c r="M11" s="657"/>
      <c r="N11" s="749"/>
      <c r="O11" s="645"/>
      <c r="P11" s="749"/>
      <c r="Q11" s="645"/>
      <c r="R11" s="749"/>
      <c r="S11" s="681"/>
    </row>
    <row r="12" spans="1:19" ht="14.4" customHeight="1" x14ac:dyDescent="0.3">
      <c r="A12" s="695" t="s">
        <v>1323</v>
      </c>
    </row>
    <row r="13" spans="1:19" ht="14.4" customHeight="1" x14ac:dyDescent="0.3">
      <c r="A13" s="696" t="s">
        <v>1324</v>
      </c>
    </row>
    <row r="14" spans="1:19" ht="14.4" customHeight="1" x14ac:dyDescent="0.3">
      <c r="A14" s="695" t="s">
        <v>1897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44" bestFit="1" customWidth="1"/>
    <col min="2" max="4" width="7.77734375" style="326" customWidth="1"/>
    <col min="5" max="7" width="7.77734375" style="209" customWidth="1"/>
    <col min="8" max="16384" width="8.88671875" style="244"/>
  </cols>
  <sheetData>
    <row r="1" spans="1:7" ht="18.600000000000001" customHeight="1" thickBot="1" x14ac:dyDescent="0.4">
      <c r="A1" s="526" t="s">
        <v>1908</v>
      </c>
      <c r="B1" s="464"/>
      <c r="C1" s="464"/>
      <c r="D1" s="464"/>
      <c r="E1" s="464"/>
      <c r="F1" s="464"/>
      <c r="G1" s="464"/>
    </row>
    <row r="2" spans="1:7" ht="14.4" customHeight="1" thickBot="1" x14ac:dyDescent="0.35">
      <c r="A2" s="368" t="s">
        <v>301</v>
      </c>
      <c r="B2" s="214"/>
      <c r="C2" s="214"/>
      <c r="D2" s="214"/>
      <c r="E2" s="214"/>
      <c r="F2" s="214"/>
      <c r="G2" s="214"/>
    </row>
    <row r="3" spans="1:7" ht="14.4" customHeight="1" thickBot="1" x14ac:dyDescent="0.35">
      <c r="A3" s="335" t="s">
        <v>151</v>
      </c>
      <c r="B3" s="453">
        <f t="shared" ref="B3:G3" si="0">SUBTOTAL(9,B6:B1048576)</f>
        <v>0</v>
      </c>
      <c r="C3" s="454">
        <f t="shared" si="0"/>
        <v>814</v>
      </c>
      <c r="D3" s="454">
        <f t="shared" si="0"/>
        <v>2753</v>
      </c>
      <c r="E3" s="339">
        <f t="shared" si="0"/>
        <v>0</v>
      </c>
      <c r="F3" s="337">
        <f t="shared" si="0"/>
        <v>156523</v>
      </c>
      <c r="G3" s="455">
        <f t="shared" si="0"/>
        <v>376025</v>
      </c>
    </row>
    <row r="4" spans="1:7" ht="14.4" customHeight="1" x14ac:dyDescent="0.3">
      <c r="A4" s="527" t="s">
        <v>159</v>
      </c>
      <c r="B4" s="528" t="s">
        <v>262</v>
      </c>
      <c r="C4" s="529"/>
      <c r="D4" s="529"/>
      <c r="E4" s="531" t="s">
        <v>116</v>
      </c>
      <c r="F4" s="532"/>
      <c r="G4" s="533"/>
    </row>
    <row r="5" spans="1:7" ht="14.4" customHeight="1" thickBot="1" x14ac:dyDescent="0.35">
      <c r="A5" s="744"/>
      <c r="B5" s="745">
        <v>2014</v>
      </c>
      <c r="C5" s="746">
        <v>2015</v>
      </c>
      <c r="D5" s="746">
        <v>2016</v>
      </c>
      <c r="E5" s="745">
        <v>2014</v>
      </c>
      <c r="F5" s="746">
        <v>2015</v>
      </c>
      <c r="G5" s="746">
        <v>2016</v>
      </c>
    </row>
    <row r="6" spans="1:7" ht="14.4" customHeight="1" x14ac:dyDescent="0.3">
      <c r="A6" s="665" t="s">
        <v>1898</v>
      </c>
      <c r="B6" s="636"/>
      <c r="C6" s="636">
        <v>49</v>
      </c>
      <c r="D6" s="636">
        <v>83</v>
      </c>
      <c r="E6" s="748"/>
      <c r="F6" s="748">
        <v>6662</v>
      </c>
      <c r="G6" s="752">
        <v>10134</v>
      </c>
    </row>
    <row r="7" spans="1:7" ht="14.4" customHeight="1" x14ac:dyDescent="0.3">
      <c r="A7" s="666" t="s">
        <v>1899</v>
      </c>
      <c r="B7" s="642"/>
      <c r="C7" s="642">
        <v>170</v>
      </c>
      <c r="D7" s="642">
        <v>252</v>
      </c>
      <c r="E7" s="751"/>
      <c r="F7" s="751">
        <v>23300</v>
      </c>
      <c r="G7" s="753">
        <v>21644</v>
      </c>
    </row>
    <row r="8" spans="1:7" ht="14.4" customHeight="1" x14ac:dyDescent="0.3">
      <c r="A8" s="666" t="s">
        <v>1900</v>
      </c>
      <c r="B8" s="642"/>
      <c r="C8" s="642"/>
      <c r="D8" s="642">
        <v>1</v>
      </c>
      <c r="E8" s="751"/>
      <c r="F8" s="751"/>
      <c r="G8" s="753">
        <v>37</v>
      </c>
    </row>
    <row r="9" spans="1:7" ht="14.4" customHeight="1" x14ac:dyDescent="0.3">
      <c r="A9" s="666" t="s">
        <v>1901</v>
      </c>
      <c r="B9" s="642"/>
      <c r="C9" s="642">
        <v>29</v>
      </c>
      <c r="D9" s="642">
        <v>161</v>
      </c>
      <c r="E9" s="751"/>
      <c r="F9" s="751">
        <v>2953</v>
      </c>
      <c r="G9" s="753">
        <v>13317</v>
      </c>
    </row>
    <row r="10" spans="1:7" ht="14.4" customHeight="1" x14ac:dyDescent="0.3">
      <c r="A10" s="666" t="s">
        <v>1326</v>
      </c>
      <c r="B10" s="642"/>
      <c r="C10" s="642">
        <v>227</v>
      </c>
      <c r="D10" s="642">
        <v>533</v>
      </c>
      <c r="E10" s="751"/>
      <c r="F10" s="751">
        <v>47157</v>
      </c>
      <c r="G10" s="753">
        <v>108661</v>
      </c>
    </row>
    <row r="11" spans="1:7" ht="14.4" customHeight="1" x14ac:dyDescent="0.3">
      <c r="A11" s="666" t="s">
        <v>1902</v>
      </c>
      <c r="B11" s="642"/>
      <c r="C11" s="642"/>
      <c r="D11" s="642">
        <v>59</v>
      </c>
      <c r="E11" s="751"/>
      <c r="F11" s="751"/>
      <c r="G11" s="753">
        <v>4926</v>
      </c>
    </row>
    <row r="12" spans="1:7" ht="14.4" customHeight="1" x14ac:dyDescent="0.3">
      <c r="A12" s="666" t="s">
        <v>1328</v>
      </c>
      <c r="B12" s="642"/>
      <c r="C12" s="642">
        <v>180</v>
      </c>
      <c r="D12" s="642">
        <v>1143</v>
      </c>
      <c r="E12" s="751"/>
      <c r="F12" s="751">
        <v>35417</v>
      </c>
      <c r="G12" s="753">
        <v>124633</v>
      </c>
    </row>
    <row r="13" spans="1:7" ht="14.4" customHeight="1" x14ac:dyDescent="0.3">
      <c r="A13" s="666" t="s">
        <v>1903</v>
      </c>
      <c r="B13" s="642"/>
      <c r="C13" s="642"/>
      <c r="D13" s="642">
        <v>1</v>
      </c>
      <c r="E13" s="751"/>
      <c r="F13" s="751"/>
      <c r="G13" s="753">
        <v>74</v>
      </c>
    </row>
    <row r="14" spans="1:7" ht="14.4" customHeight="1" x14ac:dyDescent="0.3">
      <c r="A14" s="666" t="s">
        <v>1904</v>
      </c>
      <c r="B14" s="642"/>
      <c r="C14" s="642"/>
      <c r="D14" s="642">
        <v>5</v>
      </c>
      <c r="E14" s="751"/>
      <c r="F14" s="751"/>
      <c r="G14" s="753">
        <v>1298</v>
      </c>
    </row>
    <row r="15" spans="1:7" ht="14.4" customHeight="1" x14ac:dyDescent="0.3">
      <c r="A15" s="666" t="s">
        <v>1329</v>
      </c>
      <c r="B15" s="642"/>
      <c r="C15" s="642"/>
      <c r="D15" s="642">
        <v>1</v>
      </c>
      <c r="E15" s="751"/>
      <c r="F15" s="751"/>
      <c r="G15" s="753">
        <v>177</v>
      </c>
    </row>
    <row r="16" spans="1:7" ht="14.4" customHeight="1" x14ac:dyDescent="0.3">
      <c r="A16" s="666" t="s">
        <v>1905</v>
      </c>
      <c r="B16" s="642"/>
      <c r="C16" s="642"/>
      <c r="D16" s="642">
        <v>11</v>
      </c>
      <c r="E16" s="751"/>
      <c r="F16" s="751"/>
      <c r="G16" s="753">
        <v>1151</v>
      </c>
    </row>
    <row r="17" spans="1:7" ht="14.4" customHeight="1" x14ac:dyDescent="0.3">
      <c r="A17" s="666" t="s">
        <v>1906</v>
      </c>
      <c r="B17" s="642"/>
      <c r="C17" s="642">
        <v>26</v>
      </c>
      <c r="D17" s="642">
        <v>63</v>
      </c>
      <c r="E17" s="751"/>
      <c r="F17" s="751">
        <v>12377</v>
      </c>
      <c r="G17" s="753">
        <v>24859</v>
      </c>
    </row>
    <row r="18" spans="1:7" ht="14.4" customHeight="1" x14ac:dyDescent="0.3">
      <c r="A18" s="666" t="s">
        <v>1331</v>
      </c>
      <c r="B18" s="642"/>
      <c r="C18" s="642"/>
      <c r="D18" s="642">
        <v>65</v>
      </c>
      <c r="E18" s="751"/>
      <c r="F18" s="751"/>
      <c r="G18" s="753">
        <v>10467</v>
      </c>
    </row>
    <row r="19" spans="1:7" ht="14.4" customHeight="1" thickBot="1" x14ac:dyDescent="0.35">
      <c r="A19" s="750" t="s">
        <v>1907</v>
      </c>
      <c r="B19" s="648"/>
      <c r="C19" s="648">
        <v>133</v>
      </c>
      <c r="D19" s="648">
        <v>375</v>
      </c>
      <c r="E19" s="749"/>
      <c r="F19" s="749">
        <v>28657</v>
      </c>
      <c r="G19" s="754">
        <v>54647</v>
      </c>
    </row>
    <row r="20" spans="1:7" ht="14.4" customHeight="1" x14ac:dyDescent="0.3">
      <c r="A20" s="695" t="s">
        <v>1323</v>
      </c>
    </row>
    <row r="21" spans="1:7" ht="14.4" customHeight="1" x14ac:dyDescent="0.3">
      <c r="A21" s="696" t="s">
        <v>1324</v>
      </c>
    </row>
    <row r="22" spans="1:7" ht="14.4" customHeight="1" x14ac:dyDescent="0.3">
      <c r="A22" s="695" t="s">
        <v>1897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0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44" bestFit="1" customWidth="1"/>
    <col min="2" max="2" width="6.109375" style="244" customWidth="1"/>
    <col min="3" max="3" width="2.109375" style="244" bestFit="1" customWidth="1"/>
    <col min="4" max="4" width="8" style="244" customWidth="1"/>
    <col min="5" max="5" width="50.88671875" style="244" bestFit="1" customWidth="1"/>
    <col min="6" max="7" width="11.109375" style="326" customWidth="1"/>
    <col min="8" max="9" width="9.33203125" style="244" hidden="1" customWidth="1"/>
    <col min="10" max="11" width="11.109375" style="326" customWidth="1"/>
    <col min="12" max="13" width="9.33203125" style="244" hidden="1" customWidth="1"/>
    <col min="14" max="15" width="11.109375" style="326" customWidth="1"/>
    <col min="16" max="16" width="11.109375" style="329" customWidth="1"/>
    <col min="17" max="17" width="11.109375" style="326" customWidth="1"/>
    <col min="18" max="16384" width="8.88671875" style="244"/>
  </cols>
  <sheetData>
    <row r="1" spans="1:17" ht="18.600000000000001" customHeight="1" thickBot="1" x14ac:dyDescent="0.4">
      <c r="A1" s="464" t="s">
        <v>1948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</row>
    <row r="2" spans="1:17" ht="14.4" customHeight="1" thickBot="1" x14ac:dyDescent="0.35">
      <c r="A2" s="368" t="s">
        <v>301</v>
      </c>
      <c r="B2" s="459"/>
      <c r="C2" s="245"/>
      <c r="D2" s="452"/>
      <c r="E2" s="245"/>
      <c r="F2" s="343"/>
      <c r="G2" s="343"/>
      <c r="H2" s="245"/>
      <c r="I2" s="245"/>
      <c r="J2" s="343"/>
      <c r="K2" s="343"/>
      <c r="L2" s="245"/>
      <c r="M2" s="245"/>
      <c r="N2" s="343"/>
      <c r="O2" s="343"/>
      <c r="P2" s="344"/>
      <c r="Q2" s="343"/>
    </row>
    <row r="3" spans="1:17" ht="14.4" customHeight="1" thickBot="1" x14ac:dyDescent="0.35">
      <c r="E3" s="102" t="s">
        <v>151</v>
      </c>
      <c r="F3" s="201">
        <f t="shared" ref="F3:O3" si="0">SUBTOTAL(9,F6:F1048576)</f>
        <v>0</v>
      </c>
      <c r="G3" s="202">
        <f t="shared" si="0"/>
        <v>0</v>
      </c>
      <c r="H3" s="70"/>
      <c r="I3" s="70"/>
      <c r="J3" s="202">
        <f t="shared" si="0"/>
        <v>814</v>
      </c>
      <c r="K3" s="202">
        <f t="shared" si="0"/>
        <v>156523</v>
      </c>
      <c r="L3" s="70"/>
      <c r="M3" s="70"/>
      <c r="N3" s="202">
        <f t="shared" si="0"/>
        <v>3017</v>
      </c>
      <c r="O3" s="202">
        <f t="shared" si="0"/>
        <v>4592746.6300000008</v>
      </c>
      <c r="P3" s="71">
        <f>IF(G3=0,0,O3/G3)</f>
        <v>0</v>
      </c>
      <c r="Q3" s="203">
        <f>IF(N3=0,0,O3/N3)</f>
        <v>1522.2892376532982</v>
      </c>
    </row>
    <row r="4" spans="1:17" ht="14.4" customHeight="1" x14ac:dyDescent="0.3">
      <c r="A4" s="535" t="s">
        <v>112</v>
      </c>
      <c r="B4" s="542" t="s">
        <v>0</v>
      </c>
      <c r="C4" s="536" t="s">
        <v>113</v>
      </c>
      <c r="D4" s="541" t="s">
        <v>83</v>
      </c>
      <c r="E4" s="537" t="s">
        <v>74</v>
      </c>
      <c r="F4" s="538">
        <v>2014</v>
      </c>
      <c r="G4" s="539"/>
      <c r="H4" s="200"/>
      <c r="I4" s="200"/>
      <c r="J4" s="538">
        <v>2015</v>
      </c>
      <c r="K4" s="539"/>
      <c r="L4" s="200"/>
      <c r="M4" s="200"/>
      <c r="N4" s="538">
        <v>2016</v>
      </c>
      <c r="O4" s="539"/>
      <c r="P4" s="540" t="s">
        <v>2</v>
      </c>
      <c r="Q4" s="534" t="s">
        <v>115</v>
      </c>
    </row>
    <row r="5" spans="1:17" ht="14.4" customHeight="1" thickBot="1" x14ac:dyDescent="0.35">
      <c r="A5" s="755"/>
      <c r="B5" s="756"/>
      <c r="C5" s="757"/>
      <c r="D5" s="758"/>
      <c r="E5" s="759"/>
      <c r="F5" s="760" t="s">
        <v>84</v>
      </c>
      <c r="G5" s="761" t="s">
        <v>14</v>
      </c>
      <c r="H5" s="762"/>
      <c r="I5" s="762"/>
      <c r="J5" s="760" t="s">
        <v>84</v>
      </c>
      <c r="K5" s="761" t="s">
        <v>14</v>
      </c>
      <c r="L5" s="762"/>
      <c r="M5" s="762"/>
      <c r="N5" s="760" t="s">
        <v>84</v>
      </c>
      <c r="O5" s="761" t="s">
        <v>14</v>
      </c>
      <c r="P5" s="763"/>
      <c r="Q5" s="764"/>
    </row>
    <row r="6" spans="1:17" ht="14.4" customHeight="1" x14ac:dyDescent="0.3">
      <c r="A6" s="632" t="s">
        <v>1909</v>
      </c>
      <c r="B6" s="633" t="s">
        <v>1340</v>
      </c>
      <c r="C6" s="633" t="s">
        <v>1910</v>
      </c>
      <c r="D6" s="633" t="s">
        <v>1911</v>
      </c>
      <c r="E6" s="633" t="s">
        <v>1912</v>
      </c>
      <c r="F6" s="636"/>
      <c r="G6" s="636"/>
      <c r="H6" s="633"/>
      <c r="I6" s="633"/>
      <c r="J6" s="636"/>
      <c r="K6" s="636"/>
      <c r="L6" s="633"/>
      <c r="M6" s="633"/>
      <c r="N6" s="636">
        <v>0</v>
      </c>
      <c r="O6" s="636">
        <v>0</v>
      </c>
      <c r="P6" s="655"/>
      <c r="Q6" s="637"/>
    </row>
    <row r="7" spans="1:17" ht="14.4" customHeight="1" x14ac:dyDescent="0.3">
      <c r="A7" s="638" t="s">
        <v>1909</v>
      </c>
      <c r="B7" s="639" t="s">
        <v>1340</v>
      </c>
      <c r="C7" s="639" t="s">
        <v>1910</v>
      </c>
      <c r="D7" s="639" t="s">
        <v>1913</v>
      </c>
      <c r="E7" s="639" t="s">
        <v>1914</v>
      </c>
      <c r="F7" s="642"/>
      <c r="G7" s="642"/>
      <c r="H7" s="639"/>
      <c r="I7" s="639"/>
      <c r="J7" s="642"/>
      <c r="K7" s="642"/>
      <c r="L7" s="639"/>
      <c r="M7" s="639"/>
      <c r="N7" s="642">
        <v>0</v>
      </c>
      <c r="O7" s="642">
        <v>0</v>
      </c>
      <c r="P7" s="656"/>
      <c r="Q7" s="643"/>
    </row>
    <row r="8" spans="1:17" ht="14.4" customHeight="1" x14ac:dyDescent="0.3">
      <c r="A8" s="638" t="s">
        <v>1915</v>
      </c>
      <c r="B8" s="639" t="s">
        <v>1896</v>
      </c>
      <c r="C8" s="639" t="s">
        <v>1916</v>
      </c>
      <c r="D8" s="639" t="s">
        <v>1917</v>
      </c>
      <c r="E8" s="639" t="s">
        <v>1918</v>
      </c>
      <c r="F8" s="642"/>
      <c r="G8" s="642"/>
      <c r="H8" s="639"/>
      <c r="I8" s="639"/>
      <c r="J8" s="642"/>
      <c r="K8" s="642"/>
      <c r="L8" s="639"/>
      <c r="M8" s="639"/>
      <c r="N8" s="642">
        <v>0</v>
      </c>
      <c r="O8" s="642">
        <v>-2.1827872842550278E-11</v>
      </c>
      <c r="P8" s="656"/>
      <c r="Q8" s="643"/>
    </row>
    <row r="9" spans="1:17" ht="14.4" customHeight="1" x14ac:dyDescent="0.3">
      <c r="A9" s="638" t="s">
        <v>1915</v>
      </c>
      <c r="B9" s="639" t="s">
        <v>1896</v>
      </c>
      <c r="C9" s="639" t="s">
        <v>1916</v>
      </c>
      <c r="D9" s="639" t="s">
        <v>1919</v>
      </c>
      <c r="E9" s="639" t="s">
        <v>1918</v>
      </c>
      <c r="F9" s="642"/>
      <c r="G9" s="642"/>
      <c r="H9" s="639"/>
      <c r="I9" s="639"/>
      <c r="J9" s="642"/>
      <c r="K9" s="642"/>
      <c r="L9" s="639"/>
      <c r="M9" s="639"/>
      <c r="N9" s="642">
        <v>0</v>
      </c>
      <c r="O9" s="642">
        <v>0</v>
      </c>
      <c r="P9" s="656"/>
      <c r="Q9" s="643"/>
    </row>
    <row r="10" spans="1:17" ht="14.4" customHeight="1" x14ac:dyDescent="0.3">
      <c r="A10" s="638" t="s">
        <v>1915</v>
      </c>
      <c r="B10" s="639" t="s">
        <v>1896</v>
      </c>
      <c r="C10" s="639" t="s">
        <v>1916</v>
      </c>
      <c r="D10" s="639" t="s">
        <v>1920</v>
      </c>
      <c r="E10" s="639" t="s">
        <v>1918</v>
      </c>
      <c r="F10" s="642"/>
      <c r="G10" s="642"/>
      <c r="H10" s="639"/>
      <c r="I10" s="639"/>
      <c r="J10" s="642"/>
      <c r="K10" s="642"/>
      <c r="L10" s="639"/>
      <c r="M10" s="639"/>
      <c r="N10" s="642">
        <v>0</v>
      </c>
      <c r="O10" s="642">
        <v>8.7311491370201111E-11</v>
      </c>
      <c r="P10" s="656"/>
      <c r="Q10" s="643"/>
    </row>
    <row r="11" spans="1:17" ht="14.4" customHeight="1" x14ac:dyDescent="0.3">
      <c r="A11" s="638" t="s">
        <v>1915</v>
      </c>
      <c r="B11" s="639" t="s">
        <v>1896</v>
      </c>
      <c r="C11" s="639" t="s">
        <v>1916</v>
      </c>
      <c r="D11" s="639" t="s">
        <v>1921</v>
      </c>
      <c r="E11" s="639" t="s">
        <v>1918</v>
      </c>
      <c r="F11" s="642"/>
      <c r="G11" s="642"/>
      <c r="H11" s="639"/>
      <c r="I11" s="639"/>
      <c r="J11" s="642"/>
      <c r="K11" s="642"/>
      <c r="L11" s="639"/>
      <c r="M11" s="639"/>
      <c r="N11" s="642">
        <v>0</v>
      </c>
      <c r="O11" s="642">
        <v>1.7462298274040222E-10</v>
      </c>
      <c r="P11" s="656"/>
      <c r="Q11" s="643"/>
    </row>
    <row r="12" spans="1:17" ht="14.4" customHeight="1" x14ac:dyDescent="0.3">
      <c r="A12" s="638" t="s">
        <v>1915</v>
      </c>
      <c r="B12" s="639" t="s">
        <v>1340</v>
      </c>
      <c r="C12" s="639" t="s">
        <v>1916</v>
      </c>
      <c r="D12" s="639" t="s">
        <v>1917</v>
      </c>
      <c r="E12" s="639" t="s">
        <v>1922</v>
      </c>
      <c r="F12" s="642"/>
      <c r="G12" s="642"/>
      <c r="H12" s="639"/>
      <c r="I12" s="639"/>
      <c r="J12" s="642"/>
      <c r="K12" s="642"/>
      <c r="L12" s="639"/>
      <c r="M12" s="639"/>
      <c r="N12" s="642">
        <v>16</v>
      </c>
      <c r="O12" s="642">
        <v>157233.91999999998</v>
      </c>
      <c r="P12" s="656"/>
      <c r="Q12" s="643">
        <v>9827.119999999999</v>
      </c>
    </row>
    <row r="13" spans="1:17" ht="14.4" customHeight="1" x14ac:dyDescent="0.3">
      <c r="A13" s="638" t="s">
        <v>1915</v>
      </c>
      <c r="B13" s="639" t="s">
        <v>1340</v>
      </c>
      <c r="C13" s="639" t="s">
        <v>1916</v>
      </c>
      <c r="D13" s="639" t="s">
        <v>1919</v>
      </c>
      <c r="E13" s="639" t="s">
        <v>1923</v>
      </c>
      <c r="F13" s="642"/>
      <c r="G13" s="642"/>
      <c r="H13" s="639"/>
      <c r="I13" s="639"/>
      <c r="J13" s="642"/>
      <c r="K13" s="642"/>
      <c r="L13" s="639"/>
      <c r="M13" s="639"/>
      <c r="N13" s="642">
        <v>18</v>
      </c>
      <c r="O13" s="642">
        <v>353776.5</v>
      </c>
      <c r="P13" s="656"/>
      <c r="Q13" s="643">
        <v>19654.25</v>
      </c>
    </row>
    <row r="14" spans="1:17" ht="14.4" customHeight="1" x14ac:dyDescent="0.3">
      <c r="A14" s="638" t="s">
        <v>1915</v>
      </c>
      <c r="B14" s="639" t="s">
        <v>1340</v>
      </c>
      <c r="C14" s="639" t="s">
        <v>1916</v>
      </c>
      <c r="D14" s="639" t="s">
        <v>1920</v>
      </c>
      <c r="E14" s="639" t="s">
        <v>1220</v>
      </c>
      <c r="F14" s="642"/>
      <c r="G14" s="642"/>
      <c r="H14" s="639"/>
      <c r="I14" s="639"/>
      <c r="J14" s="642"/>
      <c r="K14" s="642"/>
      <c r="L14" s="639"/>
      <c r="M14" s="639"/>
      <c r="N14" s="642">
        <v>148</v>
      </c>
      <c r="O14" s="642">
        <v>2899887.74</v>
      </c>
      <c r="P14" s="656"/>
      <c r="Q14" s="643">
        <v>19593.836081081081</v>
      </c>
    </row>
    <row r="15" spans="1:17" ht="14.4" customHeight="1" x14ac:dyDescent="0.3">
      <c r="A15" s="638" t="s">
        <v>1915</v>
      </c>
      <c r="B15" s="639" t="s">
        <v>1340</v>
      </c>
      <c r="C15" s="639" t="s">
        <v>1916</v>
      </c>
      <c r="D15" s="639" t="s">
        <v>1921</v>
      </c>
      <c r="E15" s="639" t="s">
        <v>1220</v>
      </c>
      <c r="F15" s="642"/>
      <c r="G15" s="642"/>
      <c r="H15" s="639"/>
      <c r="I15" s="639"/>
      <c r="J15" s="642"/>
      <c r="K15" s="642"/>
      <c r="L15" s="639"/>
      <c r="M15" s="639"/>
      <c r="N15" s="642">
        <v>82</v>
      </c>
      <c r="O15" s="642">
        <v>805823.46999999986</v>
      </c>
      <c r="P15" s="656"/>
      <c r="Q15" s="643">
        <v>9827.1154878048765</v>
      </c>
    </row>
    <row r="16" spans="1:17" ht="14.4" customHeight="1" x14ac:dyDescent="0.3">
      <c r="A16" s="638" t="s">
        <v>1915</v>
      </c>
      <c r="B16" s="639" t="s">
        <v>1340</v>
      </c>
      <c r="C16" s="639" t="s">
        <v>1910</v>
      </c>
      <c r="D16" s="639" t="s">
        <v>1924</v>
      </c>
      <c r="E16" s="639" t="s">
        <v>1925</v>
      </c>
      <c r="F16" s="642"/>
      <c r="G16" s="642"/>
      <c r="H16" s="639"/>
      <c r="I16" s="639"/>
      <c r="J16" s="642">
        <v>2</v>
      </c>
      <c r="K16" s="642">
        <v>58</v>
      </c>
      <c r="L16" s="639"/>
      <c r="M16" s="639">
        <v>29</v>
      </c>
      <c r="N16" s="642">
        <v>7</v>
      </c>
      <c r="O16" s="642">
        <v>210</v>
      </c>
      <c r="P16" s="656"/>
      <c r="Q16" s="643">
        <v>30</v>
      </c>
    </row>
    <row r="17" spans="1:17" ht="14.4" customHeight="1" x14ac:dyDescent="0.3">
      <c r="A17" s="638" t="s">
        <v>1915</v>
      </c>
      <c r="B17" s="639" t="s">
        <v>1340</v>
      </c>
      <c r="C17" s="639" t="s">
        <v>1910</v>
      </c>
      <c r="D17" s="639" t="s">
        <v>1926</v>
      </c>
      <c r="E17" s="639" t="s">
        <v>1927</v>
      </c>
      <c r="F17" s="642"/>
      <c r="G17" s="642"/>
      <c r="H17" s="639"/>
      <c r="I17" s="639"/>
      <c r="J17" s="642">
        <v>5</v>
      </c>
      <c r="K17" s="642">
        <v>320</v>
      </c>
      <c r="L17" s="639"/>
      <c r="M17" s="639">
        <v>64</v>
      </c>
      <c r="N17" s="642">
        <v>44</v>
      </c>
      <c r="O17" s="642">
        <v>2904</v>
      </c>
      <c r="P17" s="656"/>
      <c r="Q17" s="643">
        <v>66</v>
      </c>
    </row>
    <row r="18" spans="1:17" ht="14.4" customHeight="1" x14ac:dyDescent="0.3">
      <c r="A18" s="638" t="s">
        <v>1915</v>
      </c>
      <c r="B18" s="639" t="s">
        <v>1340</v>
      </c>
      <c r="C18" s="639" t="s">
        <v>1910</v>
      </c>
      <c r="D18" s="639" t="s">
        <v>1928</v>
      </c>
      <c r="E18" s="639" t="s">
        <v>1929</v>
      </c>
      <c r="F18" s="642"/>
      <c r="G18" s="642"/>
      <c r="H18" s="639"/>
      <c r="I18" s="639"/>
      <c r="J18" s="642">
        <v>97</v>
      </c>
      <c r="K18" s="642">
        <v>3395</v>
      </c>
      <c r="L18" s="639"/>
      <c r="M18" s="639">
        <v>35</v>
      </c>
      <c r="N18" s="642">
        <v>513</v>
      </c>
      <c r="O18" s="642">
        <v>18981</v>
      </c>
      <c r="P18" s="656"/>
      <c r="Q18" s="643">
        <v>37</v>
      </c>
    </row>
    <row r="19" spans="1:17" ht="14.4" customHeight="1" x14ac:dyDescent="0.3">
      <c r="A19" s="638" t="s">
        <v>1915</v>
      </c>
      <c r="B19" s="639" t="s">
        <v>1340</v>
      </c>
      <c r="C19" s="639" t="s">
        <v>1910</v>
      </c>
      <c r="D19" s="639" t="s">
        <v>1930</v>
      </c>
      <c r="E19" s="639" t="s">
        <v>1931</v>
      </c>
      <c r="F19" s="642"/>
      <c r="G19" s="642"/>
      <c r="H19" s="639"/>
      <c r="I19" s="639"/>
      <c r="J19" s="642">
        <v>66</v>
      </c>
      <c r="K19" s="642">
        <v>10890</v>
      </c>
      <c r="L19" s="639"/>
      <c r="M19" s="639">
        <v>165</v>
      </c>
      <c r="N19" s="642">
        <v>616</v>
      </c>
      <c r="O19" s="642">
        <v>109032</v>
      </c>
      <c r="P19" s="656"/>
      <c r="Q19" s="643">
        <v>177</v>
      </c>
    </row>
    <row r="20" spans="1:17" ht="14.4" customHeight="1" x14ac:dyDescent="0.3">
      <c r="A20" s="638" t="s">
        <v>1915</v>
      </c>
      <c r="B20" s="639" t="s">
        <v>1340</v>
      </c>
      <c r="C20" s="639" t="s">
        <v>1910</v>
      </c>
      <c r="D20" s="639" t="s">
        <v>1932</v>
      </c>
      <c r="E20" s="639" t="s">
        <v>1933</v>
      </c>
      <c r="F20" s="642"/>
      <c r="G20" s="642"/>
      <c r="H20" s="639"/>
      <c r="I20" s="639"/>
      <c r="J20" s="642"/>
      <c r="K20" s="642"/>
      <c r="L20" s="639"/>
      <c r="M20" s="639"/>
      <c r="N20" s="642">
        <v>194</v>
      </c>
      <c r="O20" s="642">
        <v>0</v>
      </c>
      <c r="P20" s="656"/>
      <c r="Q20" s="643">
        <v>0</v>
      </c>
    </row>
    <row r="21" spans="1:17" ht="14.4" customHeight="1" x14ac:dyDescent="0.3">
      <c r="A21" s="638" t="s">
        <v>1915</v>
      </c>
      <c r="B21" s="639" t="s">
        <v>1340</v>
      </c>
      <c r="C21" s="639" t="s">
        <v>1910</v>
      </c>
      <c r="D21" s="639" t="s">
        <v>1934</v>
      </c>
      <c r="E21" s="639" t="s">
        <v>1935</v>
      </c>
      <c r="F21" s="642"/>
      <c r="G21" s="642"/>
      <c r="H21" s="639"/>
      <c r="I21" s="639"/>
      <c r="J21" s="642">
        <v>346</v>
      </c>
      <c r="K21" s="642">
        <v>37368</v>
      </c>
      <c r="L21" s="639"/>
      <c r="M21" s="639">
        <v>108</v>
      </c>
      <c r="N21" s="642">
        <v>944</v>
      </c>
      <c r="O21" s="642">
        <v>109504</v>
      </c>
      <c r="P21" s="656"/>
      <c r="Q21" s="643">
        <v>116</v>
      </c>
    </row>
    <row r="22" spans="1:17" ht="14.4" customHeight="1" x14ac:dyDescent="0.3">
      <c r="A22" s="638" t="s">
        <v>1915</v>
      </c>
      <c r="B22" s="639" t="s">
        <v>1340</v>
      </c>
      <c r="C22" s="639" t="s">
        <v>1910</v>
      </c>
      <c r="D22" s="639" t="s">
        <v>1936</v>
      </c>
      <c r="E22" s="639" t="s">
        <v>1937</v>
      </c>
      <c r="F22" s="642"/>
      <c r="G22" s="642"/>
      <c r="H22" s="639"/>
      <c r="I22" s="639"/>
      <c r="J22" s="642">
        <v>1</v>
      </c>
      <c r="K22" s="642">
        <v>57</v>
      </c>
      <c r="L22" s="639"/>
      <c r="M22" s="639">
        <v>57</v>
      </c>
      <c r="N22" s="642"/>
      <c r="O22" s="642"/>
      <c r="P22" s="656"/>
      <c r="Q22" s="643"/>
    </row>
    <row r="23" spans="1:17" ht="14.4" customHeight="1" x14ac:dyDescent="0.3">
      <c r="A23" s="638" t="s">
        <v>1915</v>
      </c>
      <c r="B23" s="639" t="s">
        <v>1340</v>
      </c>
      <c r="C23" s="639" t="s">
        <v>1910</v>
      </c>
      <c r="D23" s="639" t="s">
        <v>1938</v>
      </c>
      <c r="E23" s="639" t="s">
        <v>1939</v>
      </c>
      <c r="F23" s="642"/>
      <c r="G23" s="642"/>
      <c r="H23" s="639"/>
      <c r="I23" s="639"/>
      <c r="J23" s="642"/>
      <c r="K23" s="642"/>
      <c r="L23" s="639"/>
      <c r="M23" s="639"/>
      <c r="N23" s="642">
        <v>71</v>
      </c>
      <c r="O23" s="642">
        <v>2272</v>
      </c>
      <c r="P23" s="656"/>
      <c r="Q23" s="643">
        <v>32</v>
      </c>
    </row>
    <row r="24" spans="1:17" ht="14.4" customHeight="1" x14ac:dyDescent="0.3">
      <c r="A24" s="638" t="s">
        <v>1915</v>
      </c>
      <c r="B24" s="639" t="s">
        <v>1340</v>
      </c>
      <c r="C24" s="639" t="s">
        <v>1910</v>
      </c>
      <c r="D24" s="639" t="s">
        <v>1911</v>
      </c>
      <c r="E24" s="639" t="s">
        <v>1912</v>
      </c>
      <c r="F24" s="642"/>
      <c r="G24" s="642"/>
      <c r="H24" s="639"/>
      <c r="I24" s="639"/>
      <c r="J24" s="642">
        <v>249</v>
      </c>
      <c r="K24" s="642">
        <v>82419</v>
      </c>
      <c r="L24" s="639"/>
      <c r="M24" s="639">
        <v>331</v>
      </c>
      <c r="N24" s="642">
        <v>283</v>
      </c>
      <c r="O24" s="642">
        <v>100182</v>
      </c>
      <c r="P24" s="656"/>
      <c r="Q24" s="643">
        <v>354</v>
      </c>
    </row>
    <row r="25" spans="1:17" ht="14.4" customHeight="1" x14ac:dyDescent="0.3">
      <c r="A25" s="638" t="s">
        <v>1915</v>
      </c>
      <c r="B25" s="639" t="s">
        <v>1340</v>
      </c>
      <c r="C25" s="639" t="s">
        <v>1910</v>
      </c>
      <c r="D25" s="639" t="s">
        <v>1940</v>
      </c>
      <c r="E25" s="639" t="s">
        <v>1941</v>
      </c>
      <c r="F25" s="642"/>
      <c r="G25" s="642"/>
      <c r="H25" s="639"/>
      <c r="I25" s="639"/>
      <c r="J25" s="642">
        <v>16</v>
      </c>
      <c r="K25" s="642">
        <v>1120</v>
      </c>
      <c r="L25" s="639"/>
      <c r="M25" s="639">
        <v>70</v>
      </c>
      <c r="N25" s="642">
        <v>37</v>
      </c>
      <c r="O25" s="642">
        <v>2738</v>
      </c>
      <c r="P25" s="656"/>
      <c r="Q25" s="643">
        <v>74</v>
      </c>
    </row>
    <row r="26" spans="1:17" ht="14.4" customHeight="1" x14ac:dyDescent="0.3">
      <c r="A26" s="638" t="s">
        <v>1915</v>
      </c>
      <c r="B26" s="639" t="s">
        <v>1340</v>
      </c>
      <c r="C26" s="639" t="s">
        <v>1910</v>
      </c>
      <c r="D26" s="639" t="s">
        <v>1942</v>
      </c>
      <c r="E26" s="639" t="s">
        <v>1943</v>
      </c>
      <c r="F26" s="642"/>
      <c r="G26" s="642"/>
      <c r="H26" s="639"/>
      <c r="I26" s="639"/>
      <c r="J26" s="642">
        <v>32</v>
      </c>
      <c r="K26" s="642">
        <v>20896</v>
      </c>
      <c r="L26" s="639"/>
      <c r="M26" s="639">
        <v>653</v>
      </c>
      <c r="N26" s="642">
        <v>43</v>
      </c>
      <c r="O26" s="642">
        <v>30143</v>
      </c>
      <c r="P26" s="656"/>
      <c r="Q26" s="643">
        <v>701</v>
      </c>
    </row>
    <row r="27" spans="1:17" ht="14.4" customHeight="1" x14ac:dyDescent="0.3">
      <c r="A27" s="638" t="s">
        <v>1915</v>
      </c>
      <c r="B27" s="639" t="s">
        <v>1340</v>
      </c>
      <c r="C27" s="639" t="s">
        <v>1910</v>
      </c>
      <c r="D27" s="639" t="s">
        <v>1944</v>
      </c>
      <c r="E27" s="639" t="s">
        <v>1945</v>
      </c>
      <c r="F27" s="642"/>
      <c r="G27" s="642"/>
      <c r="H27" s="639"/>
      <c r="I27" s="639"/>
      <c r="J27" s="642"/>
      <c r="K27" s="642"/>
      <c r="L27" s="639"/>
      <c r="M27" s="639"/>
      <c r="N27" s="642">
        <v>1</v>
      </c>
      <c r="O27" s="642">
        <v>59</v>
      </c>
      <c r="P27" s="656"/>
      <c r="Q27" s="643">
        <v>59</v>
      </c>
    </row>
    <row r="28" spans="1:17" ht="14.4" customHeight="1" x14ac:dyDescent="0.3">
      <c r="A28" s="638" t="s">
        <v>1915</v>
      </c>
      <c r="B28" s="639" t="s">
        <v>559</v>
      </c>
      <c r="C28" s="639" t="s">
        <v>1916</v>
      </c>
      <c r="D28" s="639" t="s">
        <v>1921</v>
      </c>
      <c r="E28" s="639" t="s">
        <v>1220</v>
      </c>
      <c r="F28" s="642"/>
      <c r="G28" s="642"/>
      <c r="H28" s="639"/>
      <c r="I28" s="639"/>
      <c r="J28" s="642"/>
      <c r="K28" s="642"/>
      <c r="L28" s="639"/>
      <c r="M28" s="639"/>
      <c r="N28" s="642">
        <v>0</v>
      </c>
      <c r="O28" s="642">
        <v>0</v>
      </c>
      <c r="P28" s="656"/>
      <c r="Q28" s="643"/>
    </row>
    <row r="29" spans="1:17" ht="14.4" customHeight="1" x14ac:dyDescent="0.3">
      <c r="A29" s="638" t="s">
        <v>1915</v>
      </c>
      <c r="B29" s="639" t="s">
        <v>559</v>
      </c>
      <c r="C29" s="639" t="s">
        <v>1910</v>
      </c>
      <c r="D29" s="639" t="s">
        <v>1932</v>
      </c>
      <c r="E29" s="639" t="s">
        <v>1933</v>
      </c>
      <c r="F29" s="642"/>
      <c r="G29" s="642"/>
      <c r="H29" s="639"/>
      <c r="I29" s="639"/>
      <c r="J29" s="642"/>
      <c r="K29" s="642"/>
      <c r="L29" s="639"/>
      <c r="M29" s="639"/>
      <c r="N29" s="642">
        <v>0</v>
      </c>
      <c r="O29" s="642">
        <v>0</v>
      </c>
      <c r="P29" s="656"/>
      <c r="Q29" s="643"/>
    </row>
    <row r="30" spans="1:17" ht="14.4" customHeight="1" thickBot="1" x14ac:dyDescent="0.35">
      <c r="A30" s="644" t="s">
        <v>1915</v>
      </c>
      <c r="B30" s="645" t="s">
        <v>559</v>
      </c>
      <c r="C30" s="645" t="s">
        <v>1910</v>
      </c>
      <c r="D30" s="645" t="s">
        <v>1946</v>
      </c>
      <c r="E30" s="645" t="s">
        <v>1947</v>
      </c>
      <c r="F30" s="648"/>
      <c r="G30" s="648"/>
      <c r="H30" s="645"/>
      <c r="I30" s="645"/>
      <c r="J30" s="648"/>
      <c r="K30" s="648"/>
      <c r="L30" s="645"/>
      <c r="M30" s="645"/>
      <c r="N30" s="648">
        <v>0</v>
      </c>
      <c r="O30" s="648">
        <v>0</v>
      </c>
      <c r="P30" s="657"/>
      <c r="Q30" s="649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44" bestFit="1" customWidth="1"/>
    <col min="2" max="2" width="7.77734375" style="209" customWidth="1"/>
    <col min="3" max="3" width="0.109375" style="244" hidden="1" customWidth="1"/>
    <col min="4" max="4" width="7.77734375" style="209" customWidth="1"/>
    <col min="5" max="5" width="5.44140625" style="244" hidden="1" customWidth="1"/>
    <col min="6" max="6" width="7.77734375" style="209" customWidth="1"/>
    <col min="7" max="7" width="7.77734375" style="329" customWidth="1"/>
    <col min="8" max="8" width="7.77734375" style="209" customWidth="1"/>
    <col min="9" max="9" width="5.44140625" style="244" hidden="1" customWidth="1"/>
    <col min="10" max="10" width="7.77734375" style="209" customWidth="1"/>
    <col min="11" max="11" width="5.44140625" style="244" hidden="1" customWidth="1"/>
    <col min="12" max="12" width="7.77734375" style="209" customWidth="1"/>
    <col min="13" max="13" width="7.77734375" style="329" customWidth="1"/>
    <col min="14" max="14" width="7.77734375" style="209" customWidth="1"/>
    <col min="15" max="15" width="5" style="244" hidden="1" customWidth="1"/>
    <col min="16" max="16" width="7.77734375" style="209" customWidth="1"/>
    <col min="17" max="17" width="5" style="244" hidden="1" customWidth="1"/>
    <col min="18" max="18" width="7.77734375" style="209" customWidth="1"/>
    <col min="19" max="19" width="7.77734375" style="329" customWidth="1"/>
    <col min="20" max="16384" width="8.88671875" style="244"/>
  </cols>
  <sheetData>
    <row r="1" spans="1:19" ht="18.600000000000001" customHeight="1" thickBot="1" x14ac:dyDescent="0.4">
      <c r="A1" s="473" t="s">
        <v>149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</row>
    <row r="2" spans="1:19" ht="14.4" customHeight="1" thickBot="1" x14ac:dyDescent="0.35">
      <c r="A2" s="368" t="s">
        <v>301</v>
      </c>
      <c r="B2" s="341"/>
      <c r="C2" s="214"/>
      <c r="D2" s="341"/>
      <c r="E2" s="214"/>
      <c r="F2" s="341"/>
      <c r="G2" s="342"/>
      <c r="H2" s="341"/>
      <c r="I2" s="214"/>
      <c r="J2" s="341"/>
      <c r="K2" s="214"/>
      <c r="L2" s="341"/>
      <c r="M2" s="342"/>
      <c r="N2" s="341"/>
      <c r="O2" s="214"/>
      <c r="P2" s="341"/>
      <c r="Q2" s="214"/>
      <c r="R2" s="341"/>
      <c r="S2" s="342"/>
    </row>
    <row r="3" spans="1:19" ht="14.4" customHeight="1" thickBot="1" x14ac:dyDescent="0.35">
      <c r="A3" s="335" t="s">
        <v>151</v>
      </c>
      <c r="B3" s="336">
        <f>SUBTOTAL(9,B6:B1048576)</f>
        <v>69530012</v>
      </c>
      <c r="C3" s="337">
        <f t="shared" ref="C3:R3" si="0">SUBTOTAL(9,C6:C1048576)</f>
        <v>1</v>
      </c>
      <c r="D3" s="337">
        <f t="shared" si="0"/>
        <v>75604072</v>
      </c>
      <c r="E3" s="337">
        <f t="shared" si="0"/>
        <v>1.0873559463789535</v>
      </c>
      <c r="F3" s="337">
        <f t="shared" si="0"/>
        <v>78990074</v>
      </c>
      <c r="G3" s="340">
        <f>IF(B3&lt;&gt;0,F3/B3,"")</f>
        <v>1.1360572467612979</v>
      </c>
      <c r="H3" s="336">
        <f t="shared" si="0"/>
        <v>857985.71999999939</v>
      </c>
      <c r="I3" s="337">
        <f t="shared" si="0"/>
        <v>1</v>
      </c>
      <c r="J3" s="337">
        <f t="shared" si="0"/>
        <v>914665.46</v>
      </c>
      <c r="K3" s="337">
        <f t="shared" si="0"/>
        <v>1.0660614025137862</v>
      </c>
      <c r="L3" s="337">
        <f t="shared" si="0"/>
        <v>784826.37000000034</v>
      </c>
      <c r="M3" s="338">
        <f>IF(H3&lt;&gt;0,L3/H3,"")</f>
        <v>0.91473127314986191</v>
      </c>
      <c r="N3" s="339">
        <f t="shared" si="0"/>
        <v>0</v>
      </c>
      <c r="O3" s="337">
        <f t="shared" si="0"/>
        <v>0</v>
      </c>
      <c r="P3" s="337">
        <f t="shared" si="0"/>
        <v>0</v>
      </c>
      <c r="Q3" s="337">
        <f t="shared" si="0"/>
        <v>0</v>
      </c>
      <c r="R3" s="337">
        <f t="shared" si="0"/>
        <v>226023.72</v>
      </c>
      <c r="S3" s="338" t="str">
        <f>IF(N3&lt;&gt;0,R3/N3,"")</f>
        <v/>
      </c>
    </row>
    <row r="4" spans="1:19" ht="14.4" customHeight="1" x14ac:dyDescent="0.3">
      <c r="A4" s="527" t="s">
        <v>122</v>
      </c>
      <c r="B4" s="528" t="s">
        <v>116</v>
      </c>
      <c r="C4" s="529"/>
      <c r="D4" s="529"/>
      <c r="E4" s="529"/>
      <c r="F4" s="529"/>
      <c r="G4" s="530"/>
      <c r="H4" s="528" t="s">
        <v>117</v>
      </c>
      <c r="I4" s="529"/>
      <c r="J4" s="529"/>
      <c r="K4" s="529"/>
      <c r="L4" s="529"/>
      <c r="M4" s="530"/>
      <c r="N4" s="528" t="s">
        <v>118</v>
      </c>
      <c r="O4" s="529"/>
      <c r="P4" s="529"/>
      <c r="Q4" s="529"/>
      <c r="R4" s="529"/>
      <c r="S4" s="530"/>
    </row>
    <row r="5" spans="1:19" ht="14.4" customHeight="1" thickBot="1" x14ac:dyDescent="0.35">
      <c r="A5" s="744"/>
      <c r="B5" s="745">
        <v>2014</v>
      </c>
      <c r="C5" s="746"/>
      <c r="D5" s="746">
        <v>2015</v>
      </c>
      <c r="E5" s="746"/>
      <c r="F5" s="746">
        <v>2016</v>
      </c>
      <c r="G5" s="747" t="s">
        <v>2</v>
      </c>
      <c r="H5" s="745">
        <v>2014</v>
      </c>
      <c r="I5" s="746"/>
      <c r="J5" s="746">
        <v>2015</v>
      </c>
      <c r="K5" s="746"/>
      <c r="L5" s="746">
        <v>2016</v>
      </c>
      <c r="M5" s="747" t="s">
        <v>2</v>
      </c>
      <c r="N5" s="745">
        <v>2014</v>
      </c>
      <c r="O5" s="746"/>
      <c r="P5" s="746">
        <v>2015</v>
      </c>
      <c r="Q5" s="746"/>
      <c r="R5" s="746">
        <v>2016</v>
      </c>
      <c r="S5" s="747" t="s">
        <v>2</v>
      </c>
    </row>
    <row r="6" spans="1:19" ht="14.4" customHeight="1" x14ac:dyDescent="0.3">
      <c r="A6" s="665" t="s">
        <v>1949</v>
      </c>
      <c r="B6" s="748"/>
      <c r="C6" s="633"/>
      <c r="D6" s="748"/>
      <c r="E6" s="633"/>
      <c r="F6" s="748">
        <v>354</v>
      </c>
      <c r="G6" s="655"/>
      <c r="H6" s="748"/>
      <c r="I6" s="633"/>
      <c r="J6" s="748"/>
      <c r="K6" s="633"/>
      <c r="L6" s="748"/>
      <c r="M6" s="655"/>
      <c r="N6" s="748"/>
      <c r="O6" s="633"/>
      <c r="P6" s="748"/>
      <c r="Q6" s="633"/>
      <c r="R6" s="748"/>
      <c r="S6" s="679"/>
    </row>
    <row r="7" spans="1:19" ht="14.4" customHeight="1" x14ac:dyDescent="0.3">
      <c r="A7" s="666" t="s">
        <v>1313</v>
      </c>
      <c r="B7" s="751">
        <v>69530012</v>
      </c>
      <c r="C7" s="639">
        <v>1</v>
      </c>
      <c r="D7" s="751">
        <v>75603872</v>
      </c>
      <c r="E7" s="639">
        <v>1.0873559463789535</v>
      </c>
      <c r="F7" s="751">
        <v>78989189</v>
      </c>
      <c r="G7" s="656">
        <v>1.1360445184447832</v>
      </c>
      <c r="H7" s="751">
        <v>857985.71999999939</v>
      </c>
      <c r="I7" s="639">
        <v>1</v>
      </c>
      <c r="J7" s="751">
        <v>914665.46</v>
      </c>
      <c r="K7" s="639">
        <v>1.0660614025137862</v>
      </c>
      <c r="L7" s="751">
        <v>833961.96000000031</v>
      </c>
      <c r="M7" s="656">
        <v>0.9719998137031941</v>
      </c>
      <c r="N7" s="751"/>
      <c r="O7" s="639"/>
      <c r="P7" s="751"/>
      <c r="Q7" s="639"/>
      <c r="R7" s="751">
        <v>108098.26000000001</v>
      </c>
      <c r="S7" s="680"/>
    </row>
    <row r="8" spans="1:19" ht="14.4" customHeight="1" thickBot="1" x14ac:dyDescent="0.35">
      <c r="A8" s="750" t="s">
        <v>1950</v>
      </c>
      <c r="B8" s="749"/>
      <c r="C8" s="645"/>
      <c r="D8" s="749">
        <v>200</v>
      </c>
      <c r="E8" s="645"/>
      <c r="F8" s="749">
        <v>531</v>
      </c>
      <c r="G8" s="657"/>
      <c r="H8" s="749"/>
      <c r="I8" s="645"/>
      <c r="J8" s="749"/>
      <c r="K8" s="645"/>
      <c r="L8" s="749">
        <v>-49135.59</v>
      </c>
      <c r="M8" s="657"/>
      <c r="N8" s="749"/>
      <c r="O8" s="645"/>
      <c r="P8" s="749"/>
      <c r="Q8" s="645"/>
      <c r="R8" s="749">
        <v>117925.45999999999</v>
      </c>
      <c r="S8" s="68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6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44" bestFit="1" customWidth="1"/>
    <col min="2" max="2" width="8.6640625" style="244" bestFit="1" customWidth="1"/>
    <col min="3" max="3" width="2.109375" style="244" bestFit="1" customWidth="1"/>
    <col min="4" max="4" width="8" style="244" bestFit="1" customWidth="1"/>
    <col min="5" max="5" width="52.88671875" style="244" bestFit="1" customWidth="1"/>
    <col min="6" max="7" width="11.109375" style="326" customWidth="1"/>
    <col min="8" max="9" width="9.33203125" style="326" hidden="1" customWidth="1"/>
    <col min="10" max="11" width="11.109375" style="326" customWidth="1"/>
    <col min="12" max="13" width="9.33203125" style="326" hidden="1" customWidth="1"/>
    <col min="14" max="15" width="11.109375" style="326" customWidth="1"/>
    <col min="16" max="16" width="11.109375" style="329" customWidth="1"/>
    <col min="17" max="17" width="11.109375" style="326" customWidth="1"/>
    <col min="18" max="16384" width="8.88671875" style="244"/>
  </cols>
  <sheetData>
    <row r="1" spans="1:17" ht="18.600000000000001" customHeight="1" thickBot="1" x14ac:dyDescent="0.4">
      <c r="A1" s="464" t="s">
        <v>2148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</row>
    <row r="2" spans="1:17" ht="14.4" customHeight="1" thickBot="1" x14ac:dyDescent="0.35">
      <c r="A2" s="368" t="s">
        <v>301</v>
      </c>
      <c r="B2" s="245"/>
      <c r="C2" s="245"/>
      <c r="D2" s="245"/>
      <c r="E2" s="245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4"/>
      <c r="Q2" s="343"/>
    </row>
    <row r="3" spans="1:17" ht="14.4" customHeight="1" thickBot="1" x14ac:dyDescent="0.35">
      <c r="E3" s="102" t="s">
        <v>151</v>
      </c>
      <c r="F3" s="201">
        <f t="shared" ref="F3:O3" si="0">SUBTOTAL(9,F6:F1048576)</f>
        <v>31124.639999999996</v>
      </c>
      <c r="G3" s="202">
        <f t="shared" si="0"/>
        <v>70387997.719999999</v>
      </c>
      <c r="H3" s="202"/>
      <c r="I3" s="202"/>
      <c r="J3" s="202">
        <f t="shared" si="0"/>
        <v>33148.339999999997</v>
      </c>
      <c r="K3" s="202">
        <f t="shared" si="0"/>
        <v>76518737.460000008</v>
      </c>
      <c r="L3" s="202"/>
      <c r="M3" s="202"/>
      <c r="N3" s="202">
        <f t="shared" si="0"/>
        <v>35754.92</v>
      </c>
      <c r="O3" s="202">
        <f t="shared" si="0"/>
        <v>80000924.090000004</v>
      </c>
      <c r="P3" s="71">
        <f>IF(G3=0,0,O3/G3)</f>
        <v>1.1365705330650226</v>
      </c>
      <c r="Q3" s="203">
        <f>IF(N3=0,0,O3/N3)</f>
        <v>2237.4801590941893</v>
      </c>
    </row>
    <row r="4" spans="1:17" ht="14.4" customHeight="1" x14ac:dyDescent="0.3">
      <c r="A4" s="536" t="s">
        <v>67</v>
      </c>
      <c r="B4" s="535" t="s">
        <v>112</v>
      </c>
      <c r="C4" s="536" t="s">
        <v>113</v>
      </c>
      <c r="D4" s="545" t="s">
        <v>114</v>
      </c>
      <c r="E4" s="537" t="s">
        <v>74</v>
      </c>
      <c r="F4" s="543">
        <v>2014</v>
      </c>
      <c r="G4" s="544"/>
      <c r="H4" s="204"/>
      <c r="I4" s="204"/>
      <c r="J4" s="543">
        <v>2015</v>
      </c>
      <c r="K4" s="544"/>
      <c r="L4" s="204"/>
      <c r="M4" s="204"/>
      <c r="N4" s="543">
        <v>2016</v>
      </c>
      <c r="O4" s="544"/>
      <c r="P4" s="546" t="s">
        <v>2</v>
      </c>
      <c r="Q4" s="534" t="s">
        <v>115</v>
      </c>
    </row>
    <row r="5" spans="1:17" ht="14.4" customHeight="1" thickBot="1" x14ac:dyDescent="0.35">
      <c r="A5" s="757"/>
      <c r="B5" s="755"/>
      <c r="C5" s="757"/>
      <c r="D5" s="765"/>
      <c r="E5" s="759"/>
      <c r="F5" s="766" t="s">
        <v>84</v>
      </c>
      <c r="G5" s="767" t="s">
        <v>14</v>
      </c>
      <c r="H5" s="768"/>
      <c r="I5" s="768"/>
      <c r="J5" s="766" t="s">
        <v>84</v>
      </c>
      <c r="K5" s="767" t="s">
        <v>14</v>
      </c>
      <c r="L5" s="768"/>
      <c r="M5" s="768"/>
      <c r="N5" s="766" t="s">
        <v>84</v>
      </c>
      <c r="O5" s="767" t="s">
        <v>14</v>
      </c>
      <c r="P5" s="769"/>
      <c r="Q5" s="764"/>
    </row>
    <row r="6" spans="1:17" ht="14.4" customHeight="1" x14ac:dyDescent="0.3">
      <c r="A6" s="632" t="s">
        <v>1951</v>
      </c>
      <c r="B6" s="633" t="s">
        <v>1915</v>
      </c>
      <c r="C6" s="633" t="s">
        <v>1910</v>
      </c>
      <c r="D6" s="633" t="s">
        <v>1911</v>
      </c>
      <c r="E6" s="633" t="s">
        <v>1912</v>
      </c>
      <c r="F6" s="636"/>
      <c r="G6" s="636"/>
      <c r="H6" s="636"/>
      <c r="I6" s="636"/>
      <c r="J6" s="636"/>
      <c r="K6" s="636"/>
      <c r="L6" s="636"/>
      <c r="M6" s="636"/>
      <c r="N6" s="636">
        <v>1</v>
      </c>
      <c r="O6" s="636">
        <v>354</v>
      </c>
      <c r="P6" s="655"/>
      <c r="Q6" s="637">
        <v>354</v>
      </c>
    </row>
    <row r="7" spans="1:17" ht="14.4" customHeight="1" x14ac:dyDescent="0.3">
      <c r="A7" s="638" t="s">
        <v>543</v>
      </c>
      <c r="B7" s="639" t="s">
        <v>1915</v>
      </c>
      <c r="C7" s="639" t="s">
        <v>1916</v>
      </c>
      <c r="D7" s="639" t="s">
        <v>1917</v>
      </c>
      <c r="E7" s="639" t="s">
        <v>1918</v>
      </c>
      <c r="F7" s="642"/>
      <c r="G7" s="642"/>
      <c r="H7" s="642"/>
      <c r="I7" s="642"/>
      <c r="J7" s="642"/>
      <c r="K7" s="642"/>
      <c r="L7" s="642"/>
      <c r="M7" s="642"/>
      <c r="N7" s="642">
        <v>0</v>
      </c>
      <c r="O7" s="642">
        <v>0</v>
      </c>
      <c r="P7" s="656"/>
      <c r="Q7" s="643"/>
    </row>
    <row r="8" spans="1:17" ht="14.4" customHeight="1" x14ac:dyDescent="0.3">
      <c r="A8" s="638" t="s">
        <v>543</v>
      </c>
      <c r="B8" s="639" t="s">
        <v>1915</v>
      </c>
      <c r="C8" s="639" t="s">
        <v>1916</v>
      </c>
      <c r="D8" s="639" t="s">
        <v>1917</v>
      </c>
      <c r="E8" s="639" t="s">
        <v>1922</v>
      </c>
      <c r="F8" s="642"/>
      <c r="G8" s="642"/>
      <c r="H8" s="642"/>
      <c r="I8" s="642"/>
      <c r="J8" s="642"/>
      <c r="K8" s="642"/>
      <c r="L8" s="642"/>
      <c r="M8" s="642"/>
      <c r="N8" s="642">
        <v>3</v>
      </c>
      <c r="O8" s="642">
        <v>29481.33</v>
      </c>
      <c r="P8" s="656"/>
      <c r="Q8" s="643">
        <v>9827.11</v>
      </c>
    </row>
    <row r="9" spans="1:17" ht="14.4" customHeight="1" x14ac:dyDescent="0.3">
      <c r="A9" s="638" t="s">
        <v>543</v>
      </c>
      <c r="B9" s="639" t="s">
        <v>1915</v>
      </c>
      <c r="C9" s="639" t="s">
        <v>1916</v>
      </c>
      <c r="D9" s="639" t="s">
        <v>1920</v>
      </c>
      <c r="E9" s="639" t="s">
        <v>1220</v>
      </c>
      <c r="F9" s="642"/>
      <c r="G9" s="642"/>
      <c r="H9" s="642"/>
      <c r="I9" s="642"/>
      <c r="J9" s="642"/>
      <c r="K9" s="642"/>
      <c r="L9" s="642"/>
      <c r="M9" s="642"/>
      <c r="N9" s="642">
        <v>1</v>
      </c>
      <c r="O9" s="642">
        <v>19654.25</v>
      </c>
      <c r="P9" s="656"/>
      <c r="Q9" s="643">
        <v>19654.25</v>
      </c>
    </row>
    <row r="10" spans="1:17" ht="14.4" customHeight="1" x14ac:dyDescent="0.3">
      <c r="A10" s="638" t="s">
        <v>543</v>
      </c>
      <c r="B10" s="639" t="s">
        <v>1915</v>
      </c>
      <c r="C10" s="639" t="s">
        <v>1916</v>
      </c>
      <c r="D10" s="639" t="s">
        <v>1921</v>
      </c>
      <c r="E10" s="639" t="s">
        <v>1918</v>
      </c>
      <c r="F10" s="642"/>
      <c r="G10" s="642"/>
      <c r="H10" s="642"/>
      <c r="I10" s="642"/>
      <c r="J10" s="642"/>
      <c r="K10" s="642"/>
      <c r="L10" s="642"/>
      <c r="M10" s="642"/>
      <c r="N10" s="642">
        <v>0</v>
      </c>
      <c r="O10" s="642">
        <v>7.2759576141834259E-12</v>
      </c>
      <c r="P10" s="656"/>
      <c r="Q10" s="643"/>
    </row>
    <row r="11" spans="1:17" ht="14.4" customHeight="1" x14ac:dyDescent="0.3">
      <c r="A11" s="638" t="s">
        <v>543</v>
      </c>
      <c r="B11" s="639" t="s">
        <v>1915</v>
      </c>
      <c r="C11" s="639" t="s">
        <v>1916</v>
      </c>
      <c r="D11" s="639" t="s">
        <v>1921</v>
      </c>
      <c r="E11" s="639" t="s">
        <v>1220</v>
      </c>
      <c r="F11" s="642"/>
      <c r="G11" s="642"/>
      <c r="H11" s="642"/>
      <c r="I11" s="642"/>
      <c r="J11" s="642"/>
      <c r="K11" s="642"/>
      <c r="L11" s="642"/>
      <c r="M11" s="642"/>
      <c r="N11" s="642">
        <v>11</v>
      </c>
      <c r="O11" s="642">
        <v>108098.27</v>
      </c>
      <c r="P11" s="656"/>
      <c r="Q11" s="643">
        <v>9827.1154545454556</v>
      </c>
    </row>
    <row r="12" spans="1:17" ht="14.4" customHeight="1" x14ac:dyDescent="0.3">
      <c r="A12" s="638" t="s">
        <v>543</v>
      </c>
      <c r="B12" s="639" t="s">
        <v>1915</v>
      </c>
      <c r="C12" s="639" t="s">
        <v>1910</v>
      </c>
      <c r="D12" s="639" t="s">
        <v>1928</v>
      </c>
      <c r="E12" s="639" t="s">
        <v>1929</v>
      </c>
      <c r="F12" s="642"/>
      <c r="G12" s="642"/>
      <c r="H12" s="642"/>
      <c r="I12" s="642"/>
      <c r="J12" s="642">
        <v>3</v>
      </c>
      <c r="K12" s="642">
        <v>105</v>
      </c>
      <c r="L12" s="642"/>
      <c r="M12" s="642">
        <v>35</v>
      </c>
      <c r="N12" s="642">
        <v>9</v>
      </c>
      <c r="O12" s="642">
        <v>333</v>
      </c>
      <c r="P12" s="656"/>
      <c r="Q12" s="643">
        <v>37</v>
      </c>
    </row>
    <row r="13" spans="1:17" ht="14.4" customHeight="1" x14ac:dyDescent="0.3">
      <c r="A13" s="638" t="s">
        <v>543</v>
      </c>
      <c r="B13" s="639" t="s">
        <v>1915</v>
      </c>
      <c r="C13" s="639" t="s">
        <v>1910</v>
      </c>
      <c r="D13" s="639" t="s">
        <v>1930</v>
      </c>
      <c r="E13" s="639" t="s">
        <v>1931</v>
      </c>
      <c r="F13" s="642"/>
      <c r="G13" s="642"/>
      <c r="H13" s="642"/>
      <c r="I13" s="642"/>
      <c r="J13" s="642"/>
      <c r="K13" s="642"/>
      <c r="L13" s="642"/>
      <c r="M13" s="642"/>
      <c r="N13" s="642">
        <v>2</v>
      </c>
      <c r="O13" s="642">
        <v>354</v>
      </c>
      <c r="P13" s="656"/>
      <c r="Q13" s="643">
        <v>177</v>
      </c>
    </row>
    <row r="14" spans="1:17" ht="14.4" customHeight="1" x14ac:dyDescent="0.3">
      <c r="A14" s="638" t="s">
        <v>543</v>
      </c>
      <c r="B14" s="639" t="s">
        <v>1915</v>
      </c>
      <c r="C14" s="639" t="s">
        <v>1910</v>
      </c>
      <c r="D14" s="639" t="s">
        <v>1932</v>
      </c>
      <c r="E14" s="639" t="s">
        <v>1933</v>
      </c>
      <c r="F14" s="642"/>
      <c r="G14" s="642"/>
      <c r="H14" s="642"/>
      <c r="I14" s="642"/>
      <c r="J14" s="642"/>
      <c r="K14" s="642"/>
      <c r="L14" s="642"/>
      <c r="M14" s="642"/>
      <c r="N14" s="642">
        <v>15</v>
      </c>
      <c r="O14" s="642">
        <v>0</v>
      </c>
      <c r="P14" s="656"/>
      <c r="Q14" s="643">
        <v>0</v>
      </c>
    </row>
    <row r="15" spans="1:17" ht="14.4" customHeight="1" x14ac:dyDescent="0.3">
      <c r="A15" s="638" t="s">
        <v>543</v>
      </c>
      <c r="B15" s="639" t="s">
        <v>1915</v>
      </c>
      <c r="C15" s="639" t="s">
        <v>1910</v>
      </c>
      <c r="D15" s="639" t="s">
        <v>1911</v>
      </c>
      <c r="E15" s="639" t="s">
        <v>1912</v>
      </c>
      <c r="F15" s="642"/>
      <c r="G15" s="642"/>
      <c r="H15" s="642"/>
      <c r="I15" s="642"/>
      <c r="J15" s="642">
        <v>4</v>
      </c>
      <c r="K15" s="642">
        <v>1324</v>
      </c>
      <c r="L15" s="642"/>
      <c r="M15" s="642">
        <v>331</v>
      </c>
      <c r="N15" s="642">
        <v>9</v>
      </c>
      <c r="O15" s="642">
        <v>3186</v>
      </c>
      <c r="P15" s="656"/>
      <c r="Q15" s="643">
        <v>354</v>
      </c>
    </row>
    <row r="16" spans="1:17" ht="14.4" customHeight="1" x14ac:dyDescent="0.3">
      <c r="A16" s="638" t="s">
        <v>543</v>
      </c>
      <c r="B16" s="639" t="s">
        <v>1952</v>
      </c>
      <c r="C16" s="639" t="s">
        <v>1916</v>
      </c>
      <c r="D16" s="639" t="s">
        <v>1953</v>
      </c>
      <c r="E16" s="639" t="s">
        <v>1954</v>
      </c>
      <c r="F16" s="642"/>
      <c r="G16" s="642"/>
      <c r="H16" s="642"/>
      <c r="I16" s="642"/>
      <c r="J16" s="642">
        <v>8</v>
      </c>
      <c r="K16" s="642">
        <v>3478.96</v>
      </c>
      <c r="L16" s="642"/>
      <c r="M16" s="642">
        <v>434.87</v>
      </c>
      <c r="N16" s="642">
        <v>4</v>
      </c>
      <c r="O16" s="642">
        <v>1739.48</v>
      </c>
      <c r="P16" s="656"/>
      <c r="Q16" s="643">
        <v>434.87</v>
      </c>
    </row>
    <row r="17" spans="1:17" ht="14.4" customHeight="1" x14ac:dyDescent="0.3">
      <c r="A17" s="638" t="s">
        <v>543</v>
      </c>
      <c r="B17" s="639" t="s">
        <v>1952</v>
      </c>
      <c r="C17" s="639" t="s">
        <v>1916</v>
      </c>
      <c r="D17" s="639" t="s">
        <v>1955</v>
      </c>
      <c r="E17" s="639" t="s">
        <v>1956</v>
      </c>
      <c r="F17" s="642"/>
      <c r="G17" s="642"/>
      <c r="H17" s="642"/>
      <c r="I17" s="642"/>
      <c r="J17" s="642">
        <v>3</v>
      </c>
      <c r="K17" s="642">
        <v>529.23</v>
      </c>
      <c r="L17" s="642"/>
      <c r="M17" s="642">
        <v>176.41</v>
      </c>
      <c r="N17" s="642"/>
      <c r="O17" s="642"/>
      <c r="P17" s="656"/>
      <c r="Q17" s="643"/>
    </row>
    <row r="18" spans="1:17" ht="14.4" customHeight="1" x14ac:dyDescent="0.3">
      <c r="A18" s="638" t="s">
        <v>543</v>
      </c>
      <c r="B18" s="639" t="s">
        <v>1952</v>
      </c>
      <c r="C18" s="639" t="s">
        <v>1916</v>
      </c>
      <c r="D18" s="639" t="s">
        <v>1957</v>
      </c>
      <c r="E18" s="639" t="s">
        <v>1958</v>
      </c>
      <c r="F18" s="642"/>
      <c r="G18" s="642"/>
      <c r="H18" s="642"/>
      <c r="I18" s="642"/>
      <c r="J18" s="642">
        <v>1</v>
      </c>
      <c r="K18" s="642">
        <v>1237.74</v>
      </c>
      <c r="L18" s="642"/>
      <c r="M18" s="642">
        <v>1237.74</v>
      </c>
      <c r="N18" s="642"/>
      <c r="O18" s="642"/>
      <c r="P18" s="656"/>
      <c r="Q18" s="643"/>
    </row>
    <row r="19" spans="1:17" ht="14.4" customHeight="1" x14ac:dyDescent="0.3">
      <c r="A19" s="638" t="s">
        <v>543</v>
      </c>
      <c r="B19" s="639" t="s">
        <v>1952</v>
      </c>
      <c r="C19" s="639" t="s">
        <v>1916</v>
      </c>
      <c r="D19" s="639" t="s">
        <v>1959</v>
      </c>
      <c r="E19" s="639" t="s">
        <v>1960</v>
      </c>
      <c r="F19" s="642"/>
      <c r="G19" s="642"/>
      <c r="H19" s="642"/>
      <c r="I19" s="642"/>
      <c r="J19" s="642">
        <v>1</v>
      </c>
      <c r="K19" s="642">
        <v>38.61</v>
      </c>
      <c r="L19" s="642"/>
      <c r="M19" s="642">
        <v>38.61</v>
      </c>
      <c r="N19" s="642"/>
      <c r="O19" s="642"/>
      <c r="P19" s="656"/>
      <c r="Q19" s="643"/>
    </row>
    <row r="20" spans="1:17" ht="14.4" customHeight="1" x14ac:dyDescent="0.3">
      <c r="A20" s="638" t="s">
        <v>543</v>
      </c>
      <c r="B20" s="639" t="s">
        <v>1952</v>
      </c>
      <c r="C20" s="639" t="s">
        <v>1916</v>
      </c>
      <c r="D20" s="639" t="s">
        <v>1961</v>
      </c>
      <c r="E20" s="639" t="s">
        <v>1962</v>
      </c>
      <c r="F20" s="642"/>
      <c r="G20" s="642"/>
      <c r="H20" s="642"/>
      <c r="I20" s="642"/>
      <c r="J20" s="642">
        <v>0.4</v>
      </c>
      <c r="K20" s="642">
        <v>18.16</v>
      </c>
      <c r="L20" s="642"/>
      <c r="M20" s="642">
        <v>45.4</v>
      </c>
      <c r="N20" s="642">
        <v>0.60000000000000009</v>
      </c>
      <c r="O20" s="642">
        <v>25.68</v>
      </c>
      <c r="P20" s="656"/>
      <c r="Q20" s="643">
        <v>42.79999999999999</v>
      </c>
    </row>
    <row r="21" spans="1:17" ht="14.4" customHeight="1" x14ac:dyDescent="0.3">
      <c r="A21" s="638" t="s">
        <v>543</v>
      </c>
      <c r="B21" s="639" t="s">
        <v>1952</v>
      </c>
      <c r="C21" s="639" t="s">
        <v>1916</v>
      </c>
      <c r="D21" s="639" t="s">
        <v>1963</v>
      </c>
      <c r="E21" s="639" t="s">
        <v>733</v>
      </c>
      <c r="F21" s="642"/>
      <c r="G21" s="642"/>
      <c r="H21" s="642"/>
      <c r="I21" s="642"/>
      <c r="J21" s="642">
        <v>0.1</v>
      </c>
      <c r="K21" s="642">
        <v>27.01</v>
      </c>
      <c r="L21" s="642"/>
      <c r="M21" s="642">
        <v>270.10000000000002</v>
      </c>
      <c r="N21" s="642"/>
      <c r="O21" s="642"/>
      <c r="P21" s="656"/>
      <c r="Q21" s="643"/>
    </row>
    <row r="22" spans="1:17" ht="14.4" customHeight="1" x14ac:dyDescent="0.3">
      <c r="A22" s="638" t="s">
        <v>543</v>
      </c>
      <c r="B22" s="639" t="s">
        <v>1952</v>
      </c>
      <c r="C22" s="639" t="s">
        <v>1916</v>
      </c>
      <c r="D22" s="639" t="s">
        <v>1964</v>
      </c>
      <c r="E22" s="639" t="s">
        <v>739</v>
      </c>
      <c r="F22" s="642">
        <v>3.8999999999999995</v>
      </c>
      <c r="G22" s="642">
        <v>550.68000000000006</v>
      </c>
      <c r="H22" s="642">
        <v>1</v>
      </c>
      <c r="I22" s="642">
        <v>141.20000000000005</v>
      </c>
      <c r="J22" s="642">
        <v>9</v>
      </c>
      <c r="K22" s="642">
        <v>1215.9000000000001</v>
      </c>
      <c r="L22" s="642">
        <v>2.2079973850512093</v>
      </c>
      <c r="M22" s="642">
        <v>135.10000000000002</v>
      </c>
      <c r="N22" s="642">
        <v>9.7000000000000011</v>
      </c>
      <c r="O22" s="642">
        <v>1310.4699999999998</v>
      </c>
      <c r="P22" s="656">
        <v>2.3797305149996362</v>
      </c>
      <c r="Q22" s="643">
        <v>135.09999999999997</v>
      </c>
    </row>
    <row r="23" spans="1:17" ht="14.4" customHeight="1" x14ac:dyDescent="0.3">
      <c r="A23" s="638" t="s">
        <v>543</v>
      </c>
      <c r="B23" s="639" t="s">
        <v>1952</v>
      </c>
      <c r="C23" s="639" t="s">
        <v>1916</v>
      </c>
      <c r="D23" s="639" t="s">
        <v>1965</v>
      </c>
      <c r="E23" s="639" t="s">
        <v>715</v>
      </c>
      <c r="F23" s="642">
        <v>0.4</v>
      </c>
      <c r="G23" s="642">
        <v>100.6</v>
      </c>
      <c r="H23" s="642">
        <v>1</v>
      </c>
      <c r="I23" s="642">
        <v>251.49999999999997</v>
      </c>
      <c r="J23" s="642">
        <v>0.7</v>
      </c>
      <c r="K23" s="642">
        <v>168.38</v>
      </c>
      <c r="L23" s="642">
        <v>1.6737574552683898</v>
      </c>
      <c r="M23" s="642">
        <v>240.54285714285714</v>
      </c>
      <c r="N23" s="642"/>
      <c r="O23" s="642"/>
      <c r="P23" s="656"/>
      <c r="Q23" s="643"/>
    </row>
    <row r="24" spans="1:17" ht="14.4" customHeight="1" x14ac:dyDescent="0.3">
      <c r="A24" s="638" t="s">
        <v>543</v>
      </c>
      <c r="B24" s="639" t="s">
        <v>1952</v>
      </c>
      <c r="C24" s="639" t="s">
        <v>1916</v>
      </c>
      <c r="D24" s="639" t="s">
        <v>1966</v>
      </c>
      <c r="E24" s="639" t="s">
        <v>1967</v>
      </c>
      <c r="F24" s="642">
        <v>2</v>
      </c>
      <c r="G24" s="642">
        <v>71.22</v>
      </c>
      <c r="H24" s="642">
        <v>1</v>
      </c>
      <c r="I24" s="642">
        <v>35.61</v>
      </c>
      <c r="J24" s="642"/>
      <c r="K24" s="642"/>
      <c r="L24" s="642"/>
      <c r="M24" s="642"/>
      <c r="N24" s="642"/>
      <c r="O24" s="642"/>
      <c r="P24" s="656"/>
      <c r="Q24" s="643"/>
    </row>
    <row r="25" spans="1:17" ht="14.4" customHeight="1" x14ac:dyDescent="0.3">
      <c r="A25" s="638" t="s">
        <v>543</v>
      </c>
      <c r="B25" s="639" t="s">
        <v>1952</v>
      </c>
      <c r="C25" s="639" t="s">
        <v>1916</v>
      </c>
      <c r="D25" s="639" t="s">
        <v>1968</v>
      </c>
      <c r="E25" s="639" t="s">
        <v>1969</v>
      </c>
      <c r="F25" s="642">
        <v>0.4</v>
      </c>
      <c r="G25" s="642">
        <v>177.28</v>
      </c>
      <c r="H25" s="642">
        <v>1</v>
      </c>
      <c r="I25" s="642">
        <v>443.2</v>
      </c>
      <c r="J25" s="642">
        <v>0.1</v>
      </c>
      <c r="K25" s="642">
        <v>42.39</v>
      </c>
      <c r="L25" s="642">
        <v>0.23911326714801445</v>
      </c>
      <c r="M25" s="642">
        <v>423.9</v>
      </c>
      <c r="N25" s="642">
        <v>0.8</v>
      </c>
      <c r="O25" s="642">
        <v>217.36</v>
      </c>
      <c r="P25" s="656">
        <v>1.2260830324909748</v>
      </c>
      <c r="Q25" s="643">
        <v>271.7</v>
      </c>
    </row>
    <row r="26" spans="1:17" ht="14.4" customHeight="1" x14ac:dyDescent="0.3">
      <c r="A26" s="638" t="s">
        <v>543</v>
      </c>
      <c r="B26" s="639" t="s">
        <v>1952</v>
      </c>
      <c r="C26" s="639" t="s">
        <v>1916</v>
      </c>
      <c r="D26" s="639" t="s">
        <v>1970</v>
      </c>
      <c r="E26" s="639" t="s">
        <v>1971</v>
      </c>
      <c r="F26" s="642"/>
      <c r="G26" s="642"/>
      <c r="H26" s="642"/>
      <c r="I26" s="642"/>
      <c r="J26" s="642">
        <v>3</v>
      </c>
      <c r="K26" s="642">
        <v>328.8</v>
      </c>
      <c r="L26" s="642"/>
      <c r="M26" s="642">
        <v>109.60000000000001</v>
      </c>
      <c r="N26" s="642"/>
      <c r="O26" s="642"/>
      <c r="P26" s="656"/>
      <c r="Q26" s="643"/>
    </row>
    <row r="27" spans="1:17" ht="14.4" customHeight="1" x14ac:dyDescent="0.3">
      <c r="A27" s="638" t="s">
        <v>543</v>
      </c>
      <c r="B27" s="639" t="s">
        <v>1952</v>
      </c>
      <c r="C27" s="639" t="s">
        <v>1916</v>
      </c>
      <c r="D27" s="639" t="s">
        <v>1972</v>
      </c>
      <c r="E27" s="639" t="s">
        <v>851</v>
      </c>
      <c r="F27" s="642"/>
      <c r="G27" s="642"/>
      <c r="H27" s="642"/>
      <c r="I27" s="642"/>
      <c r="J27" s="642">
        <v>5</v>
      </c>
      <c r="K27" s="642">
        <v>328.75</v>
      </c>
      <c r="L27" s="642"/>
      <c r="M27" s="642">
        <v>65.75</v>
      </c>
      <c r="N27" s="642"/>
      <c r="O27" s="642"/>
      <c r="P27" s="656"/>
      <c r="Q27" s="643"/>
    </row>
    <row r="28" spans="1:17" ht="14.4" customHeight="1" x14ac:dyDescent="0.3">
      <c r="A28" s="638" t="s">
        <v>543</v>
      </c>
      <c r="B28" s="639" t="s">
        <v>1952</v>
      </c>
      <c r="C28" s="639" t="s">
        <v>1916</v>
      </c>
      <c r="D28" s="639" t="s">
        <v>1973</v>
      </c>
      <c r="E28" s="639" t="s">
        <v>1262</v>
      </c>
      <c r="F28" s="642">
        <v>6.1000000000000005</v>
      </c>
      <c r="G28" s="642">
        <v>295.24</v>
      </c>
      <c r="H28" s="642">
        <v>1</v>
      </c>
      <c r="I28" s="642">
        <v>48.4</v>
      </c>
      <c r="J28" s="642">
        <v>9.7000000000000011</v>
      </c>
      <c r="K28" s="642">
        <v>449.10999999999996</v>
      </c>
      <c r="L28" s="642">
        <v>1.5211692182631078</v>
      </c>
      <c r="M28" s="642">
        <v>46.29999999999999</v>
      </c>
      <c r="N28" s="642">
        <v>10.9</v>
      </c>
      <c r="O28" s="642">
        <v>504.66999999999996</v>
      </c>
      <c r="P28" s="656">
        <v>1.7093551009348324</v>
      </c>
      <c r="Q28" s="643">
        <v>46.3</v>
      </c>
    </row>
    <row r="29" spans="1:17" ht="14.4" customHeight="1" x14ac:dyDescent="0.3">
      <c r="A29" s="638" t="s">
        <v>543</v>
      </c>
      <c r="B29" s="639" t="s">
        <v>1952</v>
      </c>
      <c r="C29" s="639" t="s">
        <v>1916</v>
      </c>
      <c r="D29" s="639" t="s">
        <v>1974</v>
      </c>
      <c r="E29" s="639" t="s">
        <v>1975</v>
      </c>
      <c r="F29" s="642"/>
      <c r="G29" s="642"/>
      <c r="H29" s="642"/>
      <c r="I29" s="642"/>
      <c r="J29" s="642">
        <v>0.1</v>
      </c>
      <c r="K29" s="642">
        <v>9.27</v>
      </c>
      <c r="L29" s="642"/>
      <c r="M29" s="642">
        <v>92.699999999999989</v>
      </c>
      <c r="N29" s="642"/>
      <c r="O29" s="642"/>
      <c r="P29" s="656"/>
      <c r="Q29" s="643"/>
    </row>
    <row r="30" spans="1:17" ht="14.4" customHeight="1" x14ac:dyDescent="0.3">
      <c r="A30" s="638" t="s">
        <v>543</v>
      </c>
      <c r="B30" s="639" t="s">
        <v>1952</v>
      </c>
      <c r="C30" s="639" t="s">
        <v>1916</v>
      </c>
      <c r="D30" s="639" t="s">
        <v>1976</v>
      </c>
      <c r="E30" s="639" t="s">
        <v>1178</v>
      </c>
      <c r="F30" s="642"/>
      <c r="G30" s="642"/>
      <c r="H30" s="642"/>
      <c r="I30" s="642"/>
      <c r="J30" s="642">
        <v>8</v>
      </c>
      <c r="K30" s="642">
        <v>739.92</v>
      </c>
      <c r="L30" s="642"/>
      <c r="M30" s="642">
        <v>92.49</v>
      </c>
      <c r="N30" s="642"/>
      <c r="O30" s="642"/>
      <c r="P30" s="656"/>
      <c r="Q30" s="643"/>
    </row>
    <row r="31" spans="1:17" ht="14.4" customHeight="1" x14ac:dyDescent="0.3">
      <c r="A31" s="638" t="s">
        <v>543</v>
      </c>
      <c r="B31" s="639" t="s">
        <v>1952</v>
      </c>
      <c r="C31" s="639" t="s">
        <v>1916</v>
      </c>
      <c r="D31" s="639" t="s">
        <v>1977</v>
      </c>
      <c r="E31" s="639" t="s">
        <v>845</v>
      </c>
      <c r="F31" s="642"/>
      <c r="G31" s="642"/>
      <c r="H31" s="642"/>
      <c r="I31" s="642"/>
      <c r="J31" s="642">
        <v>1</v>
      </c>
      <c r="K31" s="642">
        <v>2064.6999999999998</v>
      </c>
      <c r="L31" s="642"/>
      <c r="M31" s="642">
        <v>2064.6999999999998</v>
      </c>
      <c r="N31" s="642">
        <v>0.4</v>
      </c>
      <c r="O31" s="642">
        <v>652.72</v>
      </c>
      <c r="P31" s="656"/>
      <c r="Q31" s="643">
        <v>1631.8</v>
      </c>
    </row>
    <row r="32" spans="1:17" ht="14.4" customHeight="1" x14ac:dyDescent="0.3">
      <c r="A32" s="638" t="s">
        <v>543</v>
      </c>
      <c r="B32" s="639" t="s">
        <v>1952</v>
      </c>
      <c r="C32" s="639" t="s">
        <v>1916</v>
      </c>
      <c r="D32" s="639" t="s">
        <v>1978</v>
      </c>
      <c r="E32" s="639" t="s">
        <v>1023</v>
      </c>
      <c r="F32" s="642"/>
      <c r="G32" s="642"/>
      <c r="H32" s="642"/>
      <c r="I32" s="642"/>
      <c r="J32" s="642"/>
      <c r="K32" s="642"/>
      <c r="L32" s="642"/>
      <c r="M32" s="642"/>
      <c r="N32" s="642">
        <v>0.2</v>
      </c>
      <c r="O32" s="642">
        <v>153.12</v>
      </c>
      <c r="P32" s="656"/>
      <c r="Q32" s="643">
        <v>765.6</v>
      </c>
    </row>
    <row r="33" spans="1:17" ht="14.4" customHeight="1" x14ac:dyDescent="0.3">
      <c r="A33" s="638" t="s">
        <v>543</v>
      </c>
      <c r="B33" s="639" t="s">
        <v>1952</v>
      </c>
      <c r="C33" s="639" t="s">
        <v>1916</v>
      </c>
      <c r="D33" s="639" t="s">
        <v>1979</v>
      </c>
      <c r="E33" s="639" t="s">
        <v>1980</v>
      </c>
      <c r="F33" s="642"/>
      <c r="G33" s="642"/>
      <c r="H33" s="642"/>
      <c r="I33" s="642"/>
      <c r="J33" s="642">
        <v>0.08</v>
      </c>
      <c r="K33" s="642">
        <v>277.62</v>
      </c>
      <c r="L33" s="642"/>
      <c r="M33" s="642">
        <v>3470.25</v>
      </c>
      <c r="N33" s="642">
        <v>0.64</v>
      </c>
      <c r="O33" s="642">
        <v>1632.4</v>
      </c>
      <c r="P33" s="656"/>
      <c r="Q33" s="643">
        <v>2550.625</v>
      </c>
    </row>
    <row r="34" spans="1:17" ht="14.4" customHeight="1" x14ac:dyDescent="0.3">
      <c r="A34" s="638" t="s">
        <v>543</v>
      </c>
      <c r="B34" s="639" t="s">
        <v>1952</v>
      </c>
      <c r="C34" s="639" t="s">
        <v>1916</v>
      </c>
      <c r="D34" s="639" t="s">
        <v>1981</v>
      </c>
      <c r="E34" s="639" t="s">
        <v>651</v>
      </c>
      <c r="F34" s="642">
        <v>1</v>
      </c>
      <c r="G34" s="642">
        <v>2211.6999999999998</v>
      </c>
      <c r="H34" s="642">
        <v>1</v>
      </c>
      <c r="I34" s="642">
        <v>2211.6999999999998</v>
      </c>
      <c r="J34" s="642">
        <v>1</v>
      </c>
      <c r="K34" s="642">
        <v>2115.54</v>
      </c>
      <c r="L34" s="642">
        <v>0.95652213229642358</v>
      </c>
      <c r="M34" s="642">
        <v>2115.54</v>
      </c>
      <c r="N34" s="642"/>
      <c r="O34" s="642"/>
      <c r="P34" s="656"/>
      <c r="Q34" s="643"/>
    </row>
    <row r="35" spans="1:17" ht="14.4" customHeight="1" x14ac:dyDescent="0.3">
      <c r="A35" s="638" t="s">
        <v>543</v>
      </c>
      <c r="B35" s="639" t="s">
        <v>1952</v>
      </c>
      <c r="C35" s="639" t="s">
        <v>1982</v>
      </c>
      <c r="D35" s="639" t="s">
        <v>1983</v>
      </c>
      <c r="E35" s="639" t="s">
        <v>1984</v>
      </c>
      <c r="F35" s="642">
        <v>1</v>
      </c>
      <c r="G35" s="642">
        <v>1614.05</v>
      </c>
      <c r="H35" s="642">
        <v>1</v>
      </c>
      <c r="I35" s="642">
        <v>1614.05</v>
      </c>
      <c r="J35" s="642">
        <v>5</v>
      </c>
      <c r="K35" s="642">
        <v>7490.93</v>
      </c>
      <c r="L35" s="642">
        <v>4.6410767943991829</v>
      </c>
      <c r="M35" s="642">
        <v>1498.1860000000001</v>
      </c>
      <c r="N35" s="642"/>
      <c r="O35" s="642"/>
      <c r="P35" s="656"/>
      <c r="Q35" s="643"/>
    </row>
    <row r="36" spans="1:17" ht="14.4" customHeight="1" x14ac:dyDescent="0.3">
      <c r="A36" s="638" t="s">
        <v>543</v>
      </c>
      <c r="B36" s="639" t="s">
        <v>1952</v>
      </c>
      <c r="C36" s="639" t="s">
        <v>1982</v>
      </c>
      <c r="D36" s="639" t="s">
        <v>1983</v>
      </c>
      <c r="E36" s="639"/>
      <c r="F36" s="642">
        <v>4</v>
      </c>
      <c r="G36" s="642">
        <v>6456.2</v>
      </c>
      <c r="H36" s="642">
        <v>1</v>
      </c>
      <c r="I36" s="642">
        <v>1614.05</v>
      </c>
      <c r="J36" s="642">
        <v>8</v>
      </c>
      <c r="K36" s="642">
        <v>12912.4</v>
      </c>
      <c r="L36" s="642">
        <v>2</v>
      </c>
      <c r="M36" s="642">
        <v>1614.05</v>
      </c>
      <c r="N36" s="642">
        <v>4</v>
      </c>
      <c r="O36" s="642">
        <v>5886.52</v>
      </c>
      <c r="P36" s="656">
        <v>0.91176233697840847</v>
      </c>
      <c r="Q36" s="643">
        <v>1471.63</v>
      </c>
    </row>
    <row r="37" spans="1:17" ht="14.4" customHeight="1" x14ac:dyDescent="0.3">
      <c r="A37" s="638" t="s">
        <v>543</v>
      </c>
      <c r="B37" s="639" t="s">
        <v>1952</v>
      </c>
      <c r="C37" s="639" t="s">
        <v>1982</v>
      </c>
      <c r="D37" s="639" t="s">
        <v>1985</v>
      </c>
      <c r="E37" s="639"/>
      <c r="F37" s="642"/>
      <c r="G37" s="642"/>
      <c r="H37" s="642"/>
      <c r="I37" s="642"/>
      <c r="J37" s="642">
        <v>1</v>
      </c>
      <c r="K37" s="642">
        <v>3905.48</v>
      </c>
      <c r="L37" s="642"/>
      <c r="M37" s="642">
        <v>3905.48</v>
      </c>
      <c r="N37" s="642"/>
      <c r="O37" s="642"/>
      <c r="P37" s="656"/>
      <c r="Q37" s="643"/>
    </row>
    <row r="38" spans="1:17" ht="14.4" customHeight="1" x14ac:dyDescent="0.3">
      <c r="A38" s="638" t="s">
        <v>543</v>
      </c>
      <c r="B38" s="639" t="s">
        <v>1952</v>
      </c>
      <c r="C38" s="639" t="s">
        <v>1982</v>
      </c>
      <c r="D38" s="639" t="s">
        <v>1986</v>
      </c>
      <c r="E38" s="639"/>
      <c r="F38" s="642">
        <v>4</v>
      </c>
      <c r="G38" s="642">
        <v>954.72</v>
      </c>
      <c r="H38" s="642">
        <v>1</v>
      </c>
      <c r="I38" s="642">
        <v>238.68</v>
      </c>
      <c r="J38" s="642">
        <v>9</v>
      </c>
      <c r="K38" s="642">
        <v>2148.1200000000003</v>
      </c>
      <c r="L38" s="642">
        <v>2.2500000000000004</v>
      </c>
      <c r="M38" s="642">
        <v>238.68000000000004</v>
      </c>
      <c r="N38" s="642">
        <v>4</v>
      </c>
      <c r="O38" s="642">
        <v>967.24</v>
      </c>
      <c r="P38" s="656">
        <v>1.0131137925255571</v>
      </c>
      <c r="Q38" s="643">
        <v>241.81</v>
      </c>
    </row>
    <row r="39" spans="1:17" ht="14.4" customHeight="1" x14ac:dyDescent="0.3">
      <c r="A39" s="638" t="s">
        <v>543</v>
      </c>
      <c r="B39" s="639" t="s">
        <v>1952</v>
      </c>
      <c r="C39" s="639" t="s">
        <v>1982</v>
      </c>
      <c r="D39" s="639" t="s">
        <v>1986</v>
      </c>
      <c r="E39" s="639" t="s">
        <v>1987</v>
      </c>
      <c r="F39" s="642">
        <v>1</v>
      </c>
      <c r="G39" s="642">
        <v>238.68</v>
      </c>
      <c r="H39" s="642">
        <v>1</v>
      </c>
      <c r="I39" s="642">
        <v>238.68</v>
      </c>
      <c r="J39" s="642">
        <v>5</v>
      </c>
      <c r="K39" s="642">
        <v>1193.4000000000001</v>
      </c>
      <c r="L39" s="642">
        <v>5</v>
      </c>
      <c r="M39" s="642">
        <v>238.68</v>
      </c>
      <c r="N39" s="642"/>
      <c r="O39" s="642"/>
      <c r="P39" s="656"/>
      <c r="Q39" s="643"/>
    </row>
    <row r="40" spans="1:17" ht="14.4" customHeight="1" x14ac:dyDescent="0.3">
      <c r="A40" s="638" t="s">
        <v>543</v>
      </c>
      <c r="B40" s="639" t="s">
        <v>1952</v>
      </c>
      <c r="C40" s="639" t="s">
        <v>1910</v>
      </c>
      <c r="D40" s="639" t="s">
        <v>1988</v>
      </c>
      <c r="E40" s="639" t="s">
        <v>1989</v>
      </c>
      <c r="F40" s="642">
        <v>806</v>
      </c>
      <c r="G40" s="642">
        <v>141271</v>
      </c>
      <c r="H40" s="642">
        <v>1</v>
      </c>
      <c r="I40" s="642">
        <v>175.2741935483871</v>
      </c>
      <c r="J40" s="642">
        <v>727</v>
      </c>
      <c r="K40" s="642">
        <v>128679</v>
      </c>
      <c r="L40" s="642">
        <v>0.91086634907376607</v>
      </c>
      <c r="M40" s="642">
        <v>177</v>
      </c>
      <c r="N40" s="642">
        <v>985</v>
      </c>
      <c r="O40" s="642">
        <v>174345</v>
      </c>
      <c r="P40" s="656">
        <v>1.2341174055538646</v>
      </c>
      <c r="Q40" s="643">
        <v>177</v>
      </c>
    </row>
    <row r="41" spans="1:17" ht="14.4" customHeight="1" x14ac:dyDescent="0.3">
      <c r="A41" s="638" t="s">
        <v>543</v>
      </c>
      <c r="B41" s="639" t="s">
        <v>1952</v>
      </c>
      <c r="C41" s="639" t="s">
        <v>1910</v>
      </c>
      <c r="D41" s="639" t="s">
        <v>1990</v>
      </c>
      <c r="E41" s="639" t="s">
        <v>1991</v>
      </c>
      <c r="F41" s="642">
        <v>5</v>
      </c>
      <c r="G41" s="642">
        <v>940</v>
      </c>
      <c r="H41" s="642">
        <v>1</v>
      </c>
      <c r="I41" s="642">
        <v>188</v>
      </c>
      <c r="J41" s="642">
        <v>12</v>
      </c>
      <c r="K41" s="642">
        <v>2268</v>
      </c>
      <c r="L41" s="642">
        <v>2.4127659574468083</v>
      </c>
      <c r="M41" s="642">
        <v>189</v>
      </c>
      <c r="N41" s="642">
        <v>4</v>
      </c>
      <c r="O41" s="642">
        <v>780</v>
      </c>
      <c r="P41" s="656">
        <v>0.82978723404255317</v>
      </c>
      <c r="Q41" s="643">
        <v>195</v>
      </c>
    </row>
    <row r="42" spans="1:17" ht="14.4" customHeight="1" x14ac:dyDescent="0.3">
      <c r="A42" s="638" t="s">
        <v>543</v>
      </c>
      <c r="B42" s="639" t="s">
        <v>1952</v>
      </c>
      <c r="C42" s="639" t="s">
        <v>1910</v>
      </c>
      <c r="D42" s="639" t="s">
        <v>1992</v>
      </c>
      <c r="E42" s="639" t="s">
        <v>1993</v>
      </c>
      <c r="F42" s="642"/>
      <c r="G42" s="642"/>
      <c r="H42" s="642"/>
      <c r="I42" s="642"/>
      <c r="J42" s="642">
        <v>4</v>
      </c>
      <c r="K42" s="642">
        <v>3940</v>
      </c>
      <c r="L42" s="642"/>
      <c r="M42" s="642">
        <v>985</v>
      </c>
      <c r="N42" s="642">
        <v>10</v>
      </c>
      <c r="O42" s="642">
        <v>10080</v>
      </c>
      <c r="P42" s="656"/>
      <c r="Q42" s="643">
        <v>1008</v>
      </c>
    </row>
    <row r="43" spans="1:17" ht="14.4" customHeight="1" x14ac:dyDescent="0.3">
      <c r="A43" s="638" t="s">
        <v>543</v>
      </c>
      <c r="B43" s="639" t="s">
        <v>1952</v>
      </c>
      <c r="C43" s="639" t="s">
        <v>1910</v>
      </c>
      <c r="D43" s="639" t="s">
        <v>1994</v>
      </c>
      <c r="E43" s="639" t="s">
        <v>1995</v>
      </c>
      <c r="F43" s="642">
        <v>0</v>
      </c>
      <c r="G43" s="642">
        <v>0</v>
      </c>
      <c r="H43" s="642"/>
      <c r="I43" s="642"/>
      <c r="J43" s="642">
        <v>0</v>
      </c>
      <c r="K43" s="642">
        <v>0</v>
      </c>
      <c r="L43" s="642"/>
      <c r="M43" s="642"/>
      <c r="N43" s="642">
        <v>0</v>
      </c>
      <c r="O43" s="642">
        <v>0</v>
      </c>
      <c r="P43" s="656"/>
      <c r="Q43" s="643"/>
    </row>
    <row r="44" spans="1:17" ht="14.4" customHeight="1" x14ac:dyDescent="0.3">
      <c r="A44" s="638" t="s">
        <v>543</v>
      </c>
      <c r="B44" s="639" t="s">
        <v>1952</v>
      </c>
      <c r="C44" s="639" t="s">
        <v>1910</v>
      </c>
      <c r="D44" s="639" t="s">
        <v>1996</v>
      </c>
      <c r="E44" s="639" t="s">
        <v>1997</v>
      </c>
      <c r="F44" s="642">
        <v>3893</v>
      </c>
      <c r="G44" s="642">
        <v>0</v>
      </c>
      <c r="H44" s="642"/>
      <c r="I44" s="642">
        <v>0</v>
      </c>
      <c r="J44" s="642">
        <v>4506</v>
      </c>
      <c r="K44" s="642">
        <v>0</v>
      </c>
      <c r="L44" s="642"/>
      <c r="M44" s="642">
        <v>0</v>
      </c>
      <c r="N44" s="642">
        <v>4949</v>
      </c>
      <c r="O44" s="642">
        <v>0</v>
      </c>
      <c r="P44" s="656"/>
      <c r="Q44" s="643">
        <v>0</v>
      </c>
    </row>
    <row r="45" spans="1:17" ht="14.4" customHeight="1" x14ac:dyDescent="0.3">
      <c r="A45" s="638" t="s">
        <v>543</v>
      </c>
      <c r="B45" s="639" t="s">
        <v>1952</v>
      </c>
      <c r="C45" s="639" t="s">
        <v>1910</v>
      </c>
      <c r="D45" s="639" t="s">
        <v>1998</v>
      </c>
      <c r="E45" s="639" t="s">
        <v>1999</v>
      </c>
      <c r="F45" s="642">
        <v>92</v>
      </c>
      <c r="G45" s="642">
        <v>0</v>
      </c>
      <c r="H45" s="642"/>
      <c r="I45" s="642">
        <v>0</v>
      </c>
      <c r="J45" s="642">
        <v>115</v>
      </c>
      <c r="K45" s="642">
        <v>0</v>
      </c>
      <c r="L45" s="642"/>
      <c r="M45" s="642">
        <v>0</v>
      </c>
      <c r="N45" s="642">
        <v>137</v>
      </c>
      <c r="O45" s="642">
        <v>0</v>
      </c>
      <c r="P45" s="656"/>
      <c r="Q45" s="643">
        <v>0</v>
      </c>
    </row>
    <row r="46" spans="1:17" ht="14.4" customHeight="1" x14ac:dyDescent="0.3">
      <c r="A46" s="638" t="s">
        <v>543</v>
      </c>
      <c r="B46" s="639" t="s">
        <v>1952</v>
      </c>
      <c r="C46" s="639" t="s">
        <v>1910</v>
      </c>
      <c r="D46" s="639" t="s">
        <v>2000</v>
      </c>
      <c r="E46" s="639" t="s">
        <v>2001</v>
      </c>
      <c r="F46" s="642"/>
      <c r="G46" s="642"/>
      <c r="H46" s="642"/>
      <c r="I46" s="642"/>
      <c r="J46" s="642">
        <v>1</v>
      </c>
      <c r="K46" s="642">
        <v>0</v>
      </c>
      <c r="L46" s="642"/>
      <c r="M46" s="642">
        <v>0</v>
      </c>
      <c r="N46" s="642"/>
      <c r="O46" s="642"/>
      <c r="P46" s="656"/>
      <c r="Q46" s="643"/>
    </row>
    <row r="47" spans="1:17" ht="14.4" customHeight="1" x14ac:dyDescent="0.3">
      <c r="A47" s="638" t="s">
        <v>543</v>
      </c>
      <c r="B47" s="639" t="s">
        <v>1952</v>
      </c>
      <c r="C47" s="639" t="s">
        <v>1910</v>
      </c>
      <c r="D47" s="639" t="s">
        <v>2002</v>
      </c>
      <c r="E47" s="639" t="s">
        <v>2003</v>
      </c>
      <c r="F47" s="642">
        <v>2140</v>
      </c>
      <c r="G47" s="642">
        <v>0</v>
      </c>
      <c r="H47" s="642"/>
      <c r="I47" s="642">
        <v>0</v>
      </c>
      <c r="J47" s="642">
        <v>1986</v>
      </c>
      <c r="K47" s="642">
        <v>0</v>
      </c>
      <c r="L47" s="642"/>
      <c r="M47" s="642">
        <v>0</v>
      </c>
      <c r="N47" s="642">
        <v>2129</v>
      </c>
      <c r="O47" s="642">
        <v>0</v>
      </c>
      <c r="P47" s="656"/>
      <c r="Q47" s="643">
        <v>0</v>
      </c>
    </row>
    <row r="48" spans="1:17" ht="14.4" customHeight="1" x14ac:dyDescent="0.3">
      <c r="A48" s="638" t="s">
        <v>543</v>
      </c>
      <c r="B48" s="639" t="s">
        <v>1952</v>
      </c>
      <c r="C48" s="639" t="s">
        <v>1910</v>
      </c>
      <c r="D48" s="639" t="s">
        <v>2004</v>
      </c>
      <c r="E48" s="639" t="s">
        <v>2005</v>
      </c>
      <c r="F48" s="642"/>
      <c r="G48" s="642"/>
      <c r="H48" s="642"/>
      <c r="I48" s="642"/>
      <c r="J48" s="642">
        <v>2</v>
      </c>
      <c r="K48" s="642">
        <v>296</v>
      </c>
      <c r="L48" s="642"/>
      <c r="M48" s="642">
        <v>148</v>
      </c>
      <c r="N48" s="642"/>
      <c r="O48" s="642"/>
      <c r="P48" s="656"/>
      <c r="Q48" s="643"/>
    </row>
    <row r="49" spans="1:17" ht="14.4" customHeight="1" x14ac:dyDescent="0.3">
      <c r="A49" s="638" t="s">
        <v>543</v>
      </c>
      <c r="B49" s="639" t="s">
        <v>1952</v>
      </c>
      <c r="C49" s="639" t="s">
        <v>1910</v>
      </c>
      <c r="D49" s="639" t="s">
        <v>1911</v>
      </c>
      <c r="E49" s="639" t="s">
        <v>1912</v>
      </c>
      <c r="F49" s="642">
        <v>2390</v>
      </c>
      <c r="G49" s="642">
        <v>787266</v>
      </c>
      <c r="H49" s="642">
        <v>1</v>
      </c>
      <c r="I49" s="642">
        <v>329.4</v>
      </c>
      <c r="J49" s="642">
        <v>2293</v>
      </c>
      <c r="K49" s="642">
        <v>758983</v>
      </c>
      <c r="L49" s="642">
        <v>0.96407440433093772</v>
      </c>
      <c r="M49" s="642">
        <v>331</v>
      </c>
      <c r="N49" s="642">
        <v>2422</v>
      </c>
      <c r="O49" s="642">
        <v>857388</v>
      </c>
      <c r="P49" s="656">
        <v>1.0890702761201423</v>
      </c>
      <c r="Q49" s="643">
        <v>354</v>
      </c>
    </row>
    <row r="50" spans="1:17" ht="14.4" customHeight="1" x14ac:dyDescent="0.3">
      <c r="A50" s="638" t="s">
        <v>543</v>
      </c>
      <c r="B50" s="639" t="s">
        <v>1952</v>
      </c>
      <c r="C50" s="639" t="s">
        <v>1910</v>
      </c>
      <c r="D50" s="639" t="s">
        <v>1942</v>
      </c>
      <c r="E50" s="639" t="s">
        <v>1943</v>
      </c>
      <c r="F50" s="642">
        <v>2249</v>
      </c>
      <c r="G50" s="642">
        <v>1461423</v>
      </c>
      <c r="H50" s="642">
        <v>1</v>
      </c>
      <c r="I50" s="642">
        <v>649.81013783903961</v>
      </c>
      <c r="J50" s="642">
        <v>2136</v>
      </c>
      <c r="K50" s="642">
        <v>1394772</v>
      </c>
      <c r="L50" s="642">
        <v>0.95439308126394617</v>
      </c>
      <c r="M50" s="642">
        <v>652.98314606741576</v>
      </c>
      <c r="N50" s="642">
        <v>2266</v>
      </c>
      <c r="O50" s="642">
        <v>1587554</v>
      </c>
      <c r="P50" s="656">
        <v>1.0863069761458524</v>
      </c>
      <c r="Q50" s="643">
        <v>700.59752868490727</v>
      </c>
    </row>
    <row r="51" spans="1:17" ht="14.4" customHeight="1" x14ac:dyDescent="0.3">
      <c r="A51" s="638" t="s">
        <v>543</v>
      </c>
      <c r="B51" s="639" t="s">
        <v>1952</v>
      </c>
      <c r="C51" s="639" t="s">
        <v>1910</v>
      </c>
      <c r="D51" s="639" t="s">
        <v>1946</v>
      </c>
      <c r="E51" s="639" t="s">
        <v>1947</v>
      </c>
      <c r="F51" s="642"/>
      <c r="G51" s="642"/>
      <c r="H51" s="642"/>
      <c r="I51" s="642"/>
      <c r="J51" s="642"/>
      <c r="K51" s="642"/>
      <c r="L51" s="642"/>
      <c r="M51" s="642"/>
      <c r="N51" s="642">
        <v>3</v>
      </c>
      <c r="O51" s="642">
        <v>0</v>
      </c>
      <c r="P51" s="656"/>
      <c r="Q51" s="643">
        <v>0</v>
      </c>
    </row>
    <row r="52" spans="1:17" ht="14.4" customHeight="1" x14ac:dyDescent="0.3">
      <c r="A52" s="638" t="s">
        <v>543</v>
      </c>
      <c r="B52" s="639" t="s">
        <v>1952</v>
      </c>
      <c r="C52" s="639" t="s">
        <v>1910</v>
      </c>
      <c r="D52" s="639" t="s">
        <v>2006</v>
      </c>
      <c r="E52" s="639" t="s">
        <v>2007</v>
      </c>
      <c r="F52" s="642">
        <v>13</v>
      </c>
      <c r="G52" s="642">
        <v>0</v>
      </c>
      <c r="H52" s="642"/>
      <c r="I52" s="642">
        <v>0</v>
      </c>
      <c r="J52" s="642">
        <v>25</v>
      </c>
      <c r="K52" s="642">
        <v>0</v>
      </c>
      <c r="L52" s="642"/>
      <c r="M52" s="642">
        <v>0</v>
      </c>
      <c r="N52" s="642">
        <v>24</v>
      </c>
      <c r="O52" s="642">
        <v>0</v>
      </c>
      <c r="P52" s="656"/>
      <c r="Q52" s="643">
        <v>0</v>
      </c>
    </row>
    <row r="53" spans="1:17" ht="14.4" customHeight="1" x14ac:dyDescent="0.3">
      <c r="A53" s="638" t="s">
        <v>543</v>
      </c>
      <c r="B53" s="639" t="s">
        <v>1952</v>
      </c>
      <c r="C53" s="639" t="s">
        <v>1910</v>
      </c>
      <c r="D53" s="639" t="s">
        <v>2008</v>
      </c>
      <c r="E53" s="639" t="s">
        <v>2009</v>
      </c>
      <c r="F53" s="642">
        <v>394</v>
      </c>
      <c r="G53" s="642">
        <v>57732</v>
      </c>
      <c r="H53" s="642">
        <v>1</v>
      </c>
      <c r="I53" s="642">
        <v>146.5279187817259</v>
      </c>
      <c r="J53" s="642">
        <v>403</v>
      </c>
      <c r="K53" s="642">
        <v>59642</v>
      </c>
      <c r="L53" s="642">
        <v>1.033083904940068</v>
      </c>
      <c r="M53" s="642">
        <v>147.99503722084367</v>
      </c>
      <c r="N53" s="642">
        <v>464</v>
      </c>
      <c r="O53" s="642">
        <v>72384</v>
      </c>
      <c r="P53" s="656">
        <v>1.2537933901475784</v>
      </c>
      <c r="Q53" s="643">
        <v>156</v>
      </c>
    </row>
    <row r="54" spans="1:17" ht="14.4" customHeight="1" x14ac:dyDescent="0.3">
      <c r="A54" s="638" t="s">
        <v>543</v>
      </c>
      <c r="B54" s="639" t="s">
        <v>1952</v>
      </c>
      <c r="C54" s="639" t="s">
        <v>1910</v>
      </c>
      <c r="D54" s="639" t="s">
        <v>2010</v>
      </c>
      <c r="E54" s="639" t="s">
        <v>2011</v>
      </c>
      <c r="F54" s="642">
        <v>9786</v>
      </c>
      <c r="G54" s="642">
        <v>9286914</v>
      </c>
      <c r="H54" s="642">
        <v>1</v>
      </c>
      <c r="I54" s="642">
        <v>949</v>
      </c>
      <c r="J54" s="642">
        <v>10039</v>
      </c>
      <c r="K54" s="642">
        <v>9527011</v>
      </c>
      <c r="L54" s="642">
        <v>1.0258532597588392</v>
      </c>
      <c r="M54" s="642">
        <v>949</v>
      </c>
      <c r="N54" s="642">
        <v>10004</v>
      </c>
      <c r="O54" s="642">
        <v>9493796</v>
      </c>
      <c r="P54" s="656">
        <v>1.0222767218475373</v>
      </c>
      <c r="Q54" s="643">
        <v>949</v>
      </c>
    </row>
    <row r="55" spans="1:17" ht="14.4" customHeight="1" x14ac:dyDescent="0.3">
      <c r="A55" s="638" t="s">
        <v>543</v>
      </c>
      <c r="B55" s="639" t="s">
        <v>1952</v>
      </c>
      <c r="C55" s="639" t="s">
        <v>1910</v>
      </c>
      <c r="D55" s="639" t="s">
        <v>2012</v>
      </c>
      <c r="E55" s="639" t="s">
        <v>2013</v>
      </c>
      <c r="F55" s="642"/>
      <c r="G55" s="642"/>
      <c r="H55" s="642"/>
      <c r="I55" s="642"/>
      <c r="J55" s="642">
        <v>2</v>
      </c>
      <c r="K55" s="642">
        <v>0</v>
      </c>
      <c r="L55" s="642"/>
      <c r="M55" s="642">
        <v>0</v>
      </c>
      <c r="N55" s="642">
        <v>3</v>
      </c>
      <c r="O55" s="642">
        <v>0</v>
      </c>
      <c r="P55" s="656"/>
      <c r="Q55" s="643">
        <v>0</v>
      </c>
    </row>
    <row r="56" spans="1:17" ht="14.4" customHeight="1" x14ac:dyDescent="0.3">
      <c r="A56" s="638" t="s">
        <v>543</v>
      </c>
      <c r="B56" s="639" t="s">
        <v>1952</v>
      </c>
      <c r="C56" s="639" t="s">
        <v>1910</v>
      </c>
      <c r="D56" s="639" t="s">
        <v>2014</v>
      </c>
      <c r="E56" s="639" t="s">
        <v>2015</v>
      </c>
      <c r="F56" s="642"/>
      <c r="G56" s="642"/>
      <c r="H56" s="642"/>
      <c r="I56" s="642"/>
      <c r="J56" s="642">
        <v>1</v>
      </c>
      <c r="K56" s="642">
        <v>0</v>
      </c>
      <c r="L56" s="642"/>
      <c r="M56" s="642">
        <v>0</v>
      </c>
      <c r="N56" s="642">
        <v>2</v>
      </c>
      <c r="O56" s="642">
        <v>0</v>
      </c>
      <c r="P56" s="656"/>
      <c r="Q56" s="643">
        <v>0</v>
      </c>
    </row>
    <row r="57" spans="1:17" ht="14.4" customHeight="1" x14ac:dyDescent="0.3">
      <c r="A57" s="638" t="s">
        <v>543</v>
      </c>
      <c r="B57" s="639" t="s">
        <v>2016</v>
      </c>
      <c r="C57" s="639" t="s">
        <v>1916</v>
      </c>
      <c r="D57" s="639" t="s">
        <v>2017</v>
      </c>
      <c r="E57" s="639" t="s">
        <v>2018</v>
      </c>
      <c r="F57" s="642">
        <v>16</v>
      </c>
      <c r="G57" s="642">
        <v>1468.15</v>
      </c>
      <c r="H57" s="642">
        <v>1</v>
      </c>
      <c r="I57" s="642">
        <v>91.759375000000006</v>
      </c>
      <c r="J57" s="642"/>
      <c r="K57" s="642"/>
      <c r="L57" s="642"/>
      <c r="M57" s="642"/>
      <c r="N57" s="642"/>
      <c r="O57" s="642"/>
      <c r="P57" s="656"/>
      <c r="Q57" s="643"/>
    </row>
    <row r="58" spans="1:17" ht="14.4" customHeight="1" x14ac:dyDescent="0.3">
      <c r="A58" s="638" t="s">
        <v>543</v>
      </c>
      <c r="B58" s="639" t="s">
        <v>2016</v>
      </c>
      <c r="C58" s="639" t="s">
        <v>1916</v>
      </c>
      <c r="D58" s="639" t="s">
        <v>1953</v>
      </c>
      <c r="E58" s="639" t="s">
        <v>1954</v>
      </c>
      <c r="F58" s="642">
        <v>174.2</v>
      </c>
      <c r="G58" s="642">
        <v>92314.62000000001</v>
      </c>
      <c r="H58" s="642">
        <v>1</v>
      </c>
      <c r="I58" s="642">
        <v>529.93467278989681</v>
      </c>
      <c r="J58" s="642">
        <v>130.1</v>
      </c>
      <c r="K58" s="642">
        <v>56833.459999999992</v>
      </c>
      <c r="L58" s="642">
        <v>0.61564961216327363</v>
      </c>
      <c r="M58" s="642">
        <v>436.84442736356647</v>
      </c>
      <c r="N58" s="642">
        <v>120.2</v>
      </c>
      <c r="O58" s="642">
        <v>52271.360000000001</v>
      </c>
      <c r="P58" s="656">
        <v>0.56623057106230834</v>
      </c>
      <c r="Q58" s="643">
        <v>434.86988352745425</v>
      </c>
    </row>
    <row r="59" spans="1:17" ht="14.4" customHeight="1" x14ac:dyDescent="0.3">
      <c r="A59" s="638" t="s">
        <v>543</v>
      </c>
      <c r="B59" s="639" t="s">
        <v>2016</v>
      </c>
      <c r="C59" s="639" t="s">
        <v>1916</v>
      </c>
      <c r="D59" s="639" t="s">
        <v>2019</v>
      </c>
      <c r="E59" s="639" t="s">
        <v>2020</v>
      </c>
      <c r="F59" s="642">
        <v>1.6</v>
      </c>
      <c r="G59" s="642">
        <v>1002.97</v>
      </c>
      <c r="H59" s="642">
        <v>1</v>
      </c>
      <c r="I59" s="642">
        <v>626.85624999999993</v>
      </c>
      <c r="J59" s="642">
        <v>0.5</v>
      </c>
      <c r="K59" s="642">
        <v>296.39999999999998</v>
      </c>
      <c r="L59" s="642">
        <v>0.29552229877264519</v>
      </c>
      <c r="M59" s="642">
        <v>592.79999999999995</v>
      </c>
      <c r="N59" s="642">
        <v>1.7000000000000002</v>
      </c>
      <c r="O59" s="642">
        <v>750.04</v>
      </c>
      <c r="P59" s="656">
        <v>0.7478189776364198</v>
      </c>
      <c r="Q59" s="643">
        <v>441.19999999999993</v>
      </c>
    </row>
    <row r="60" spans="1:17" ht="14.4" customHeight="1" x14ac:dyDescent="0.3">
      <c r="A60" s="638" t="s">
        <v>543</v>
      </c>
      <c r="B60" s="639" t="s">
        <v>2016</v>
      </c>
      <c r="C60" s="639" t="s">
        <v>1916</v>
      </c>
      <c r="D60" s="639" t="s">
        <v>2021</v>
      </c>
      <c r="E60" s="639"/>
      <c r="F60" s="642">
        <v>25.3</v>
      </c>
      <c r="G60" s="642">
        <v>27306.29</v>
      </c>
      <c r="H60" s="642">
        <v>1</v>
      </c>
      <c r="I60" s="642">
        <v>1079.3</v>
      </c>
      <c r="J60" s="642"/>
      <c r="K60" s="642"/>
      <c r="L60" s="642"/>
      <c r="M60" s="642"/>
      <c r="N60" s="642"/>
      <c r="O60" s="642"/>
      <c r="P60" s="656"/>
      <c r="Q60" s="643"/>
    </row>
    <row r="61" spans="1:17" ht="14.4" customHeight="1" x14ac:dyDescent="0.3">
      <c r="A61" s="638" t="s">
        <v>543</v>
      </c>
      <c r="B61" s="639" t="s">
        <v>2016</v>
      </c>
      <c r="C61" s="639" t="s">
        <v>1916</v>
      </c>
      <c r="D61" s="639" t="s">
        <v>1955</v>
      </c>
      <c r="E61" s="639" t="s">
        <v>1956</v>
      </c>
      <c r="F61" s="642"/>
      <c r="G61" s="642"/>
      <c r="H61" s="642"/>
      <c r="I61" s="642"/>
      <c r="J61" s="642">
        <v>11</v>
      </c>
      <c r="K61" s="642">
        <v>1940.51</v>
      </c>
      <c r="L61" s="642"/>
      <c r="M61" s="642">
        <v>176.41</v>
      </c>
      <c r="N61" s="642"/>
      <c r="O61" s="642"/>
      <c r="P61" s="656"/>
      <c r="Q61" s="643"/>
    </row>
    <row r="62" spans="1:17" ht="14.4" customHeight="1" x14ac:dyDescent="0.3">
      <c r="A62" s="638" t="s">
        <v>543</v>
      </c>
      <c r="B62" s="639" t="s">
        <v>2016</v>
      </c>
      <c r="C62" s="639" t="s">
        <v>1916</v>
      </c>
      <c r="D62" s="639" t="s">
        <v>2022</v>
      </c>
      <c r="E62" s="639" t="s">
        <v>1160</v>
      </c>
      <c r="F62" s="642"/>
      <c r="G62" s="642"/>
      <c r="H62" s="642"/>
      <c r="I62" s="642"/>
      <c r="J62" s="642"/>
      <c r="K62" s="642"/>
      <c r="L62" s="642"/>
      <c r="M62" s="642"/>
      <c r="N62" s="642">
        <v>5</v>
      </c>
      <c r="O62" s="642">
        <v>292</v>
      </c>
      <c r="P62" s="656"/>
      <c r="Q62" s="643">
        <v>58.4</v>
      </c>
    </row>
    <row r="63" spans="1:17" ht="14.4" customHeight="1" x14ac:dyDescent="0.3">
      <c r="A63" s="638" t="s">
        <v>543</v>
      </c>
      <c r="B63" s="639" t="s">
        <v>2016</v>
      </c>
      <c r="C63" s="639" t="s">
        <v>1916</v>
      </c>
      <c r="D63" s="639" t="s">
        <v>2023</v>
      </c>
      <c r="E63" s="639" t="s">
        <v>2024</v>
      </c>
      <c r="F63" s="642"/>
      <c r="G63" s="642"/>
      <c r="H63" s="642"/>
      <c r="I63" s="642"/>
      <c r="J63" s="642"/>
      <c r="K63" s="642"/>
      <c r="L63" s="642"/>
      <c r="M63" s="642"/>
      <c r="N63" s="642">
        <v>1.3</v>
      </c>
      <c r="O63" s="642">
        <v>899.86</v>
      </c>
      <c r="P63" s="656"/>
      <c r="Q63" s="643">
        <v>692.19999999999993</v>
      </c>
    </row>
    <row r="64" spans="1:17" ht="14.4" customHeight="1" x14ac:dyDescent="0.3">
      <c r="A64" s="638" t="s">
        <v>543</v>
      </c>
      <c r="B64" s="639" t="s">
        <v>2016</v>
      </c>
      <c r="C64" s="639" t="s">
        <v>1916</v>
      </c>
      <c r="D64" s="639" t="s">
        <v>1957</v>
      </c>
      <c r="E64" s="639" t="s">
        <v>1958</v>
      </c>
      <c r="F64" s="642">
        <v>9.5</v>
      </c>
      <c r="G64" s="642">
        <v>12293</v>
      </c>
      <c r="H64" s="642">
        <v>1</v>
      </c>
      <c r="I64" s="642">
        <v>1294</v>
      </c>
      <c r="J64" s="642">
        <v>1</v>
      </c>
      <c r="K64" s="642">
        <v>1237.74</v>
      </c>
      <c r="L64" s="642">
        <v>0.10068656959245099</v>
      </c>
      <c r="M64" s="642">
        <v>1237.74</v>
      </c>
      <c r="N64" s="642"/>
      <c r="O64" s="642"/>
      <c r="P64" s="656"/>
      <c r="Q64" s="643"/>
    </row>
    <row r="65" spans="1:17" ht="14.4" customHeight="1" x14ac:dyDescent="0.3">
      <c r="A65" s="638" t="s">
        <v>543</v>
      </c>
      <c r="B65" s="639" t="s">
        <v>2016</v>
      </c>
      <c r="C65" s="639" t="s">
        <v>1916</v>
      </c>
      <c r="D65" s="639" t="s">
        <v>2025</v>
      </c>
      <c r="E65" s="639" t="s">
        <v>2026</v>
      </c>
      <c r="F65" s="642">
        <v>38</v>
      </c>
      <c r="G65" s="642">
        <v>5114.42</v>
      </c>
      <c r="H65" s="642">
        <v>1</v>
      </c>
      <c r="I65" s="642">
        <v>134.59</v>
      </c>
      <c r="J65" s="642">
        <v>58</v>
      </c>
      <c r="K65" s="642">
        <v>7472.77</v>
      </c>
      <c r="L65" s="642">
        <v>1.4611177807063167</v>
      </c>
      <c r="M65" s="642">
        <v>128.84086206896552</v>
      </c>
      <c r="N65" s="642">
        <v>91</v>
      </c>
      <c r="O65" s="642">
        <v>11715.34</v>
      </c>
      <c r="P65" s="656">
        <v>2.2906487930205186</v>
      </c>
      <c r="Q65" s="643">
        <v>128.74</v>
      </c>
    </row>
    <row r="66" spans="1:17" ht="14.4" customHeight="1" x14ac:dyDescent="0.3">
      <c r="A66" s="638" t="s">
        <v>543</v>
      </c>
      <c r="B66" s="639" t="s">
        <v>2016</v>
      </c>
      <c r="C66" s="639" t="s">
        <v>1916</v>
      </c>
      <c r="D66" s="639" t="s">
        <v>1959</v>
      </c>
      <c r="E66" s="639" t="s">
        <v>1960</v>
      </c>
      <c r="F66" s="642"/>
      <c r="G66" s="642"/>
      <c r="H66" s="642"/>
      <c r="I66" s="642"/>
      <c r="J66" s="642">
        <v>4</v>
      </c>
      <c r="K66" s="642">
        <v>154.44</v>
      </c>
      <c r="L66" s="642"/>
      <c r="M66" s="642">
        <v>38.61</v>
      </c>
      <c r="N66" s="642"/>
      <c r="O66" s="642"/>
      <c r="P66" s="656"/>
      <c r="Q66" s="643"/>
    </row>
    <row r="67" spans="1:17" ht="14.4" customHeight="1" x14ac:dyDescent="0.3">
      <c r="A67" s="638" t="s">
        <v>543</v>
      </c>
      <c r="B67" s="639" t="s">
        <v>2016</v>
      </c>
      <c r="C67" s="639" t="s">
        <v>1916</v>
      </c>
      <c r="D67" s="639" t="s">
        <v>1961</v>
      </c>
      <c r="E67" s="639" t="s">
        <v>1962</v>
      </c>
      <c r="F67" s="642">
        <v>3.3</v>
      </c>
      <c r="G67" s="642">
        <v>156.75</v>
      </c>
      <c r="H67" s="642">
        <v>1</v>
      </c>
      <c r="I67" s="642">
        <v>47.5</v>
      </c>
      <c r="J67" s="642">
        <v>6.5</v>
      </c>
      <c r="K67" s="642">
        <v>293.29999999999995</v>
      </c>
      <c r="L67" s="642">
        <v>1.8711323763955341</v>
      </c>
      <c r="M67" s="642">
        <v>45.123076923076916</v>
      </c>
      <c r="N67" s="642">
        <v>9.6</v>
      </c>
      <c r="O67" s="642">
        <v>410.87999999999994</v>
      </c>
      <c r="P67" s="656">
        <v>2.6212440191387554</v>
      </c>
      <c r="Q67" s="643">
        <v>42.8</v>
      </c>
    </row>
    <row r="68" spans="1:17" ht="14.4" customHeight="1" x14ac:dyDescent="0.3">
      <c r="A68" s="638" t="s">
        <v>543</v>
      </c>
      <c r="B68" s="639" t="s">
        <v>2016</v>
      </c>
      <c r="C68" s="639" t="s">
        <v>1916</v>
      </c>
      <c r="D68" s="639" t="s">
        <v>2027</v>
      </c>
      <c r="E68" s="639" t="s">
        <v>2028</v>
      </c>
      <c r="F68" s="642"/>
      <c r="G68" s="642"/>
      <c r="H68" s="642"/>
      <c r="I68" s="642"/>
      <c r="J68" s="642">
        <v>1</v>
      </c>
      <c r="K68" s="642">
        <v>271.7</v>
      </c>
      <c r="L68" s="642"/>
      <c r="M68" s="642">
        <v>271.7</v>
      </c>
      <c r="N68" s="642"/>
      <c r="O68" s="642"/>
      <c r="P68" s="656"/>
      <c r="Q68" s="643"/>
    </row>
    <row r="69" spans="1:17" ht="14.4" customHeight="1" x14ac:dyDescent="0.3">
      <c r="A69" s="638" t="s">
        <v>543</v>
      </c>
      <c r="B69" s="639" t="s">
        <v>2016</v>
      </c>
      <c r="C69" s="639" t="s">
        <v>1916</v>
      </c>
      <c r="D69" s="639" t="s">
        <v>1965</v>
      </c>
      <c r="E69" s="639" t="s">
        <v>715</v>
      </c>
      <c r="F69" s="642">
        <v>0.6</v>
      </c>
      <c r="G69" s="642">
        <v>150.9</v>
      </c>
      <c r="H69" s="642">
        <v>1</v>
      </c>
      <c r="I69" s="642">
        <v>251.50000000000003</v>
      </c>
      <c r="J69" s="642">
        <v>2.5</v>
      </c>
      <c r="K69" s="642">
        <v>580.46</v>
      </c>
      <c r="L69" s="642">
        <v>3.8466534128561962</v>
      </c>
      <c r="M69" s="642">
        <v>232.18400000000003</v>
      </c>
      <c r="N69" s="642">
        <v>2.4000000000000004</v>
      </c>
      <c r="O69" s="642">
        <v>326.04000000000002</v>
      </c>
      <c r="P69" s="656">
        <v>2.1606361829025844</v>
      </c>
      <c r="Q69" s="643">
        <v>135.85</v>
      </c>
    </row>
    <row r="70" spans="1:17" ht="14.4" customHeight="1" x14ac:dyDescent="0.3">
      <c r="A70" s="638" t="s">
        <v>543</v>
      </c>
      <c r="B70" s="639" t="s">
        <v>2016</v>
      </c>
      <c r="C70" s="639" t="s">
        <v>1916</v>
      </c>
      <c r="D70" s="639" t="s">
        <v>2029</v>
      </c>
      <c r="E70" s="639" t="s">
        <v>2030</v>
      </c>
      <c r="F70" s="642"/>
      <c r="G70" s="642"/>
      <c r="H70" s="642"/>
      <c r="I70" s="642"/>
      <c r="J70" s="642">
        <v>11</v>
      </c>
      <c r="K70" s="642">
        <v>575.68000000000006</v>
      </c>
      <c r="L70" s="642"/>
      <c r="M70" s="642">
        <v>52.334545454545463</v>
      </c>
      <c r="N70" s="642"/>
      <c r="O70" s="642"/>
      <c r="P70" s="656"/>
      <c r="Q70" s="643"/>
    </row>
    <row r="71" spans="1:17" ht="14.4" customHeight="1" x14ac:dyDescent="0.3">
      <c r="A71" s="638" t="s">
        <v>543</v>
      </c>
      <c r="B71" s="639" t="s">
        <v>2016</v>
      </c>
      <c r="C71" s="639" t="s">
        <v>1916</v>
      </c>
      <c r="D71" s="639" t="s">
        <v>1966</v>
      </c>
      <c r="E71" s="639" t="s">
        <v>1967</v>
      </c>
      <c r="F71" s="642">
        <v>14</v>
      </c>
      <c r="G71" s="642">
        <v>498.54</v>
      </c>
      <c r="H71" s="642">
        <v>1</v>
      </c>
      <c r="I71" s="642">
        <v>35.61</v>
      </c>
      <c r="J71" s="642"/>
      <c r="K71" s="642"/>
      <c r="L71" s="642"/>
      <c r="M71" s="642"/>
      <c r="N71" s="642">
        <v>1</v>
      </c>
      <c r="O71" s="642">
        <v>33.53</v>
      </c>
      <c r="P71" s="656">
        <v>6.7256388654872226E-2</v>
      </c>
      <c r="Q71" s="643">
        <v>33.53</v>
      </c>
    </row>
    <row r="72" spans="1:17" ht="14.4" customHeight="1" x14ac:dyDescent="0.3">
      <c r="A72" s="638" t="s">
        <v>543</v>
      </c>
      <c r="B72" s="639" t="s">
        <v>2016</v>
      </c>
      <c r="C72" s="639" t="s">
        <v>1916</v>
      </c>
      <c r="D72" s="639" t="s">
        <v>2031</v>
      </c>
      <c r="E72" s="639"/>
      <c r="F72" s="642">
        <v>9</v>
      </c>
      <c r="G72" s="642">
        <v>618.66</v>
      </c>
      <c r="H72" s="642">
        <v>1</v>
      </c>
      <c r="I72" s="642">
        <v>68.739999999999995</v>
      </c>
      <c r="J72" s="642"/>
      <c r="K72" s="642"/>
      <c r="L72" s="642"/>
      <c r="M72" s="642"/>
      <c r="N72" s="642"/>
      <c r="O72" s="642"/>
      <c r="P72" s="656"/>
      <c r="Q72" s="643"/>
    </row>
    <row r="73" spans="1:17" ht="14.4" customHeight="1" x14ac:dyDescent="0.3">
      <c r="A73" s="638" t="s">
        <v>543</v>
      </c>
      <c r="B73" s="639" t="s">
        <v>2016</v>
      </c>
      <c r="C73" s="639" t="s">
        <v>1916</v>
      </c>
      <c r="D73" s="639" t="s">
        <v>2032</v>
      </c>
      <c r="E73" s="639" t="s">
        <v>2033</v>
      </c>
      <c r="F73" s="642">
        <v>2.2000000000000002</v>
      </c>
      <c r="G73" s="642">
        <v>4846.82</v>
      </c>
      <c r="H73" s="642">
        <v>1</v>
      </c>
      <c r="I73" s="642">
        <v>2203.1</v>
      </c>
      <c r="J73" s="642">
        <v>2.92</v>
      </c>
      <c r="K73" s="642">
        <v>6011.01</v>
      </c>
      <c r="L73" s="642">
        <v>1.2401966650298548</v>
      </c>
      <c r="M73" s="642">
        <v>2058.5650684931506</v>
      </c>
      <c r="N73" s="642">
        <v>3.0999999999999996</v>
      </c>
      <c r="O73" s="642">
        <v>5058.58</v>
      </c>
      <c r="P73" s="656">
        <v>1.043690502226202</v>
      </c>
      <c r="Q73" s="643">
        <v>1631.8000000000002</v>
      </c>
    </row>
    <row r="74" spans="1:17" ht="14.4" customHeight="1" x14ac:dyDescent="0.3">
      <c r="A74" s="638" t="s">
        <v>543</v>
      </c>
      <c r="B74" s="639" t="s">
        <v>2016</v>
      </c>
      <c r="C74" s="639" t="s">
        <v>1916</v>
      </c>
      <c r="D74" s="639" t="s">
        <v>2034</v>
      </c>
      <c r="E74" s="639" t="s">
        <v>1050</v>
      </c>
      <c r="F74" s="642">
        <v>19.100000000000001</v>
      </c>
      <c r="G74" s="642">
        <v>311731.96999999997</v>
      </c>
      <c r="H74" s="642">
        <v>1</v>
      </c>
      <c r="I74" s="642">
        <v>16321.045549738217</v>
      </c>
      <c r="J74" s="642">
        <v>23.5</v>
      </c>
      <c r="K74" s="642">
        <v>367145.62</v>
      </c>
      <c r="L74" s="642">
        <v>1.1777605614207616</v>
      </c>
      <c r="M74" s="642">
        <v>15623.217872340425</v>
      </c>
      <c r="N74" s="642">
        <v>22.4</v>
      </c>
      <c r="O74" s="642">
        <v>349627.02</v>
      </c>
      <c r="P74" s="656">
        <v>1.1215629247138177</v>
      </c>
      <c r="Q74" s="643">
        <v>15608.34910714286</v>
      </c>
    </row>
    <row r="75" spans="1:17" ht="14.4" customHeight="1" x14ac:dyDescent="0.3">
      <c r="A75" s="638" t="s">
        <v>543</v>
      </c>
      <c r="B75" s="639" t="s">
        <v>2016</v>
      </c>
      <c r="C75" s="639" t="s">
        <v>1916</v>
      </c>
      <c r="D75" s="639" t="s">
        <v>1968</v>
      </c>
      <c r="E75" s="639" t="s">
        <v>1969</v>
      </c>
      <c r="F75" s="642">
        <v>2.2000000000000002</v>
      </c>
      <c r="G75" s="642">
        <v>975.04000000000008</v>
      </c>
      <c r="H75" s="642">
        <v>1</v>
      </c>
      <c r="I75" s="642">
        <v>443.2</v>
      </c>
      <c r="J75" s="642">
        <v>6.6</v>
      </c>
      <c r="K75" s="642">
        <v>2805.65</v>
      </c>
      <c r="L75" s="642">
        <v>2.8774716934689857</v>
      </c>
      <c r="M75" s="642">
        <v>425.09848484848487</v>
      </c>
      <c r="N75" s="642">
        <v>2.3999999999999995</v>
      </c>
      <c r="O75" s="642">
        <v>652.07999999999993</v>
      </c>
      <c r="P75" s="656">
        <v>0.66877256317689515</v>
      </c>
      <c r="Q75" s="643">
        <v>271.70000000000005</v>
      </c>
    </row>
    <row r="76" spans="1:17" ht="14.4" customHeight="1" x14ac:dyDescent="0.3">
      <c r="A76" s="638" t="s">
        <v>543</v>
      </c>
      <c r="B76" s="639" t="s">
        <v>2016</v>
      </c>
      <c r="C76" s="639" t="s">
        <v>1916</v>
      </c>
      <c r="D76" s="639" t="s">
        <v>1970</v>
      </c>
      <c r="E76" s="639" t="s">
        <v>1971</v>
      </c>
      <c r="F76" s="642">
        <v>25.18</v>
      </c>
      <c r="G76" s="642">
        <v>2885.11</v>
      </c>
      <c r="H76" s="642">
        <v>1</v>
      </c>
      <c r="I76" s="642">
        <v>114.57942811755362</v>
      </c>
      <c r="J76" s="642">
        <v>26</v>
      </c>
      <c r="K76" s="642">
        <v>2869.52</v>
      </c>
      <c r="L76" s="642">
        <v>0.99459639320511173</v>
      </c>
      <c r="M76" s="642">
        <v>110.36615384615385</v>
      </c>
      <c r="N76" s="642">
        <v>17</v>
      </c>
      <c r="O76" s="642">
        <v>1863.1999999999998</v>
      </c>
      <c r="P76" s="656">
        <v>0.64579860039998471</v>
      </c>
      <c r="Q76" s="643">
        <v>109.6</v>
      </c>
    </row>
    <row r="77" spans="1:17" ht="14.4" customHeight="1" x14ac:dyDescent="0.3">
      <c r="A77" s="638" t="s">
        <v>543</v>
      </c>
      <c r="B77" s="639" t="s">
        <v>2016</v>
      </c>
      <c r="C77" s="639" t="s">
        <v>1916</v>
      </c>
      <c r="D77" s="639" t="s">
        <v>1972</v>
      </c>
      <c r="E77" s="639" t="s">
        <v>851</v>
      </c>
      <c r="F77" s="642"/>
      <c r="G77" s="642"/>
      <c r="H77" s="642"/>
      <c r="I77" s="642"/>
      <c r="J77" s="642">
        <v>9</v>
      </c>
      <c r="K77" s="642">
        <v>591.75</v>
      </c>
      <c r="L77" s="642"/>
      <c r="M77" s="642">
        <v>65.75</v>
      </c>
      <c r="N77" s="642">
        <v>11</v>
      </c>
      <c r="O77" s="642">
        <v>677.19</v>
      </c>
      <c r="P77" s="656"/>
      <c r="Q77" s="643">
        <v>61.56272727272728</v>
      </c>
    </row>
    <row r="78" spans="1:17" ht="14.4" customHeight="1" x14ac:dyDescent="0.3">
      <c r="A78" s="638" t="s">
        <v>543</v>
      </c>
      <c r="B78" s="639" t="s">
        <v>2016</v>
      </c>
      <c r="C78" s="639" t="s">
        <v>1916</v>
      </c>
      <c r="D78" s="639" t="s">
        <v>1973</v>
      </c>
      <c r="E78" s="639" t="s">
        <v>1262</v>
      </c>
      <c r="F78" s="642">
        <v>37</v>
      </c>
      <c r="G78" s="642">
        <v>1790.89</v>
      </c>
      <c r="H78" s="642">
        <v>1</v>
      </c>
      <c r="I78" s="642">
        <v>48.402432432432434</v>
      </c>
      <c r="J78" s="642">
        <v>45.4</v>
      </c>
      <c r="K78" s="642">
        <v>2105.29</v>
      </c>
      <c r="L78" s="642">
        <v>1.1755551708926846</v>
      </c>
      <c r="M78" s="642">
        <v>46.372026431718062</v>
      </c>
      <c r="N78" s="642">
        <v>35</v>
      </c>
      <c r="O78" s="642">
        <v>1620.4999999999998</v>
      </c>
      <c r="P78" s="656">
        <v>0.90485736142364948</v>
      </c>
      <c r="Q78" s="643">
        <v>46.29999999999999</v>
      </c>
    </row>
    <row r="79" spans="1:17" ht="14.4" customHeight="1" x14ac:dyDescent="0.3">
      <c r="A79" s="638" t="s">
        <v>543</v>
      </c>
      <c r="B79" s="639" t="s">
        <v>2016</v>
      </c>
      <c r="C79" s="639" t="s">
        <v>1916</v>
      </c>
      <c r="D79" s="639" t="s">
        <v>2035</v>
      </c>
      <c r="E79" s="639" t="s">
        <v>2036</v>
      </c>
      <c r="F79" s="642">
        <v>0.7</v>
      </c>
      <c r="G79" s="642">
        <v>423.57</v>
      </c>
      <c r="H79" s="642">
        <v>1</v>
      </c>
      <c r="I79" s="642">
        <v>605.1</v>
      </c>
      <c r="J79" s="642">
        <v>0.7</v>
      </c>
      <c r="K79" s="642">
        <v>419.86</v>
      </c>
      <c r="L79" s="642">
        <v>0.99124111717071561</v>
      </c>
      <c r="M79" s="642">
        <v>599.80000000000007</v>
      </c>
      <c r="N79" s="642">
        <v>1</v>
      </c>
      <c r="O79" s="642">
        <v>599.79999999999995</v>
      </c>
      <c r="P79" s="656">
        <v>1.4160587388153079</v>
      </c>
      <c r="Q79" s="643">
        <v>599.79999999999995</v>
      </c>
    </row>
    <row r="80" spans="1:17" ht="14.4" customHeight="1" x14ac:dyDescent="0.3">
      <c r="A80" s="638" t="s">
        <v>543</v>
      </c>
      <c r="B80" s="639" t="s">
        <v>2016</v>
      </c>
      <c r="C80" s="639" t="s">
        <v>1916</v>
      </c>
      <c r="D80" s="639" t="s">
        <v>1976</v>
      </c>
      <c r="E80" s="639" t="s">
        <v>1178</v>
      </c>
      <c r="F80" s="642">
        <v>14</v>
      </c>
      <c r="G80" s="642">
        <v>1353.66</v>
      </c>
      <c r="H80" s="642">
        <v>1</v>
      </c>
      <c r="I80" s="642">
        <v>96.690000000000012</v>
      </c>
      <c r="J80" s="642">
        <v>56</v>
      </c>
      <c r="K80" s="642">
        <v>5179.4399999999987</v>
      </c>
      <c r="L80" s="642">
        <v>3.8262488364877432</v>
      </c>
      <c r="M80" s="642">
        <v>92.489999999999981</v>
      </c>
      <c r="N80" s="642">
        <v>68</v>
      </c>
      <c r="O80" s="642">
        <v>6289.32</v>
      </c>
      <c r="P80" s="656">
        <v>4.6461593014494031</v>
      </c>
      <c r="Q80" s="643">
        <v>92.49</v>
      </c>
    </row>
    <row r="81" spans="1:17" ht="14.4" customHeight="1" x14ac:dyDescent="0.3">
      <c r="A81" s="638" t="s">
        <v>543</v>
      </c>
      <c r="B81" s="639" t="s">
        <v>2016</v>
      </c>
      <c r="C81" s="639" t="s">
        <v>1916</v>
      </c>
      <c r="D81" s="639" t="s">
        <v>1977</v>
      </c>
      <c r="E81" s="639" t="s">
        <v>845</v>
      </c>
      <c r="F81" s="642">
        <v>5.6000000000000005</v>
      </c>
      <c r="G81" s="642">
        <v>10469.25</v>
      </c>
      <c r="H81" s="642">
        <v>1</v>
      </c>
      <c r="I81" s="642">
        <v>1869.5089285714284</v>
      </c>
      <c r="J81" s="642">
        <v>13.899999999999999</v>
      </c>
      <c r="K81" s="642">
        <v>27661.960000000003</v>
      </c>
      <c r="L81" s="642">
        <v>2.6422102824939708</v>
      </c>
      <c r="M81" s="642">
        <v>1990.0690647482018</v>
      </c>
      <c r="N81" s="642">
        <v>15.000000000000002</v>
      </c>
      <c r="O81" s="642">
        <v>24477</v>
      </c>
      <c r="P81" s="656">
        <v>2.3379898273515294</v>
      </c>
      <c r="Q81" s="643">
        <v>1631.7999999999997</v>
      </c>
    </row>
    <row r="82" spans="1:17" ht="14.4" customHeight="1" x14ac:dyDescent="0.3">
      <c r="A82" s="638" t="s">
        <v>543</v>
      </c>
      <c r="B82" s="639" t="s">
        <v>2016</v>
      </c>
      <c r="C82" s="639" t="s">
        <v>1916</v>
      </c>
      <c r="D82" s="639" t="s">
        <v>1978</v>
      </c>
      <c r="E82" s="639" t="s">
        <v>1023</v>
      </c>
      <c r="F82" s="642"/>
      <c r="G82" s="642"/>
      <c r="H82" s="642"/>
      <c r="I82" s="642"/>
      <c r="J82" s="642">
        <v>0.7</v>
      </c>
      <c r="K82" s="642">
        <v>693.14</v>
      </c>
      <c r="L82" s="642"/>
      <c r="M82" s="642">
        <v>990.2</v>
      </c>
      <c r="N82" s="642">
        <v>0.3</v>
      </c>
      <c r="O82" s="642">
        <v>229.68</v>
      </c>
      <c r="P82" s="656"/>
      <c r="Q82" s="643">
        <v>765.6</v>
      </c>
    </row>
    <row r="83" spans="1:17" ht="14.4" customHeight="1" x14ac:dyDescent="0.3">
      <c r="A83" s="638" t="s">
        <v>543</v>
      </c>
      <c r="B83" s="639" t="s">
        <v>2016</v>
      </c>
      <c r="C83" s="639" t="s">
        <v>1916</v>
      </c>
      <c r="D83" s="639" t="s">
        <v>2037</v>
      </c>
      <c r="E83" s="639" t="s">
        <v>2038</v>
      </c>
      <c r="F83" s="642"/>
      <c r="G83" s="642"/>
      <c r="H83" s="642"/>
      <c r="I83" s="642"/>
      <c r="J83" s="642"/>
      <c r="K83" s="642"/>
      <c r="L83" s="642"/>
      <c r="M83" s="642"/>
      <c r="N83" s="642">
        <v>12.1</v>
      </c>
      <c r="O83" s="642">
        <v>1326.16</v>
      </c>
      <c r="P83" s="656"/>
      <c r="Q83" s="643">
        <v>109.60000000000001</v>
      </c>
    </row>
    <row r="84" spans="1:17" ht="14.4" customHeight="1" x14ac:dyDescent="0.3">
      <c r="A84" s="638" t="s">
        <v>543</v>
      </c>
      <c r="B84" s="639" t="s">
        <v>2016</v>
      </c>
      <c r="C84" s="639" t="s">
        <v>1916</v>
      </c>
      <c r="D84" s="639" t="s">
        <v>2039</v>
      </c>
      <c r="E84" s="639" t="s">
        <v>1180</v>
      </c>
      <c r="F84" s="642"/>
      <c r="G84" s="642"/>
      <c r="H84" s="642"/>
      <c r="I84" s="642"/>
      <c r="J84" s="642"/>
      <c r="K84" s="642"/>
      <c r="L84" s="642"/>
      <c r="M84" s="642"/>
      <c r="N84" s="642">
        <v>0.8</v>
      </c>
      <c r="O84" s="642">
        <v>308.8</v>
      </c>
      <c r="P84" s="656"/>
      <c r="Q84" s="643">
        <v>386</v>
      </c>
    </row>
    <row r="85" spans="1:17" ht="14.4" customHeight="1" x14ac:dyDescent="0.3">
      <c r="A85" s="638" t="s">
        <v>543</v>
      </c>
      <c r="B85" s="639" t="s">
        <v>2016</v>
      </c>
      <c r="C85" s="639" t="s">
        <v>1916</v>
      </c>
      <c r="D85" s="639" t="s">
        <v>1979</v>
      </c>
      <c r="E85" s="639" t="s">
        <v>1980</v>
      </c>
      <c r="F85" s="642">
        <v>1.36</v>
      </c>
      <c r="G85" s="642">
        <v>4934.08</v>
      </c>
      <c r="H85" s="642">
        <v>1</v>
      </c>
      <c r="I85" s="642">
        <v>3627.9999999999995</v>
      </c>
      <c r="J85" s="642">
        <v>1.8399999999999999</v>
      </c>
      <c r="K85" s="642">
        <v>5748.37</v>
      </c>
      <c r="L85" s="642">
        <v>1.1650338056942733</v>
      </c>
      <c r="M85" s="642">
        <v>3124.114130434783</v>
      </c>
      <c r="N85" s="642">
        <v>2.2800000000000002</v>
      </c>
      <c r="O85" s="642">
        <v>7550.2999999999993</v>
      </c>
      <c r="P85" s="656">
        <v>1.5302346131396327</v>
      </c>
      <c r="Q85" s="643">
        <v>3311.5350877192977</v>
      </c>
    </row>
    <row r="86" spans="1:17" ht="14.4" customHeight="1" x14ac:dyDescent="0.3">
      <c r="A86" s="638" t="s">
        <v>543</v>
      </c>
      <c r="B86" s="639" t="s">
        <v>2016</v>
      </c>
      <c r="C86" s="639" t="s">
        <v>1916</v>
      </c>
      <c r="D86" s="639" t="s">
        <v>2040</v>
      </c>
      <c r="E86" s="639" t="s">
        <v>2041</v>
      </c>
      <c r="F86" s="642"/>
      <c r="G86" s="642"/>
      <c r="H86" s="642"/>
      <c r="I86" s="642"/>
      <c r="J86" s="642"/>
      <c r="K86" s="642"/>
      <c r="L86" s="642"/>
      <c r="M86" s="642"/>
      <c r="N86" s="642">
        <v>10.1</v>
      </c>
      <c r="O86" s="642">
        <v>2213.92</v>
      </c>
      <c r="P86" s="656"/>
      <c r="Q86" s="643">
        <v>219.20000000000002</v>
      </c>
    </row>
    <row r="87" spans="1:17" ht="14.4" customHeight="1" x14ac:dyDescent="0.3">
      <c r="A87" s="638" t="s">
        <v>543</v>
      </c>
      <c r="B87" s="639" t="s">
        <v>2016</v>
      </c>
      <c r="C87" s="639" t="s">
        <v>1916</v>
      </c>
      <c r="D87" s="639" t="s">
        <v>1199</v>
      </c>
      <c r="E87" s="639" t="s">
        <v>2042</v>
      </c>
      <c r="F87" s="642">
        <v>1</v>
      </c>
      <c r="G87" s="642">
        <v>3503.39</v>
      </c>
      <c r="H87" s="642">
        <v>1</v>
      </c>
      <c r="I87" s="642">
        <v>3503.39</v>
      </c>
      <c r="J87" s="642"/>
      <c r="K87" s="642"/>
      <c r="L87" s="642"/>
      <c r="M87" s="642"/>
      <c r="N87" s="642">
        <v>5</v>
      </c>
      <c r="O87" s="642">
        <v>15863.900000000001</v>
      </c>
      <c r="P87" s="656">
        <v>4.528157013635365</v>
      </c>
      <c r="Q87" s="643">
        <v>3172.78</v>
      </c>
    </row>
    <row r="88" spans="1:17" ht="14.4" customHeight="1" x14ac:dyDescent="0.3">
      <c r="A88" s="638" t="s">
        <v>543</v>
      </c>
      <c r="B88" s="639" t="s">
        <v>2016</v>
      </c>
      <c r="C88" s="639" t="s">
        <v>1916</v>
      </c>
      <c r="D88" s="639" t="s">
        <v>2043</v>
      </c>
      <c r="E88" s="639" t="s">
        <v>2044</v>
      </c>
      <c r="F88" s="642"/>
      <c r="G88" s="642"/>
      <c r="H88" s="642"/>
      <c r="I88" s="642"/>
      <c r="J88" s="642"/>
      <c r="K88" s="642"/>
      <c r="L88" s="642"/>
      <c r="M88" s="642"/>
      <c r="N88" s="642">
        <v>1</v>
      </c>
      <c r="O88" s="642">
        <v>65.75</v>
      </c>
      <c r="P88" s="656"/>
      <c r="Q88" s="643">
        <v>65.75</v>
      </c>
    </row>
    <row r="89" spans="1:17" ht="14.4" customHeight="1" x14ac:dyDescent="0.3">
      <c r="A89" s="638" t="s">
        <v>543</v>
      </c>
      <c r="B89" s="639" t="s">
        <v>2016</v>
      </c>
      <c r="C89" s="639" t="s">
        <v>1916</v>
      </c>
      <c r="D89" s="639" t="s">
        <v>2045</v>
      </c>
      <c r="E89" s="639" t="s">
        <v>854</v>
      </c>
      <c r="F89" s="642"/>
      <c r="G89" s="642"/>
      <c r="H89" s="642"/>
      <c r="I89" s="642"/>
      <c r="J89" s="642"/>
      <c r="K89" s="642"/>
      <c r="L89" s="642"/>
      <c r="M89" s="642"/>
      <c r="N89" s="642">
        <v>17</v>
      </c>
      <c r="O89" s="642">
        <v>1863.1999999999998</v>
      </c>
      <c r="P89" s="656"/>
      <c r="Q89" s="643">
        <v>109.6</v>
      </c>
    </row>
    <row r="90" spans="1:17" ht="14.4" customHeight="1" x14ac:dyDescent="0.3">
      <c r="A90" s="638" t="s">
        <v>543</v>
      </c>
      <c r="B90" s="639" t="s">
        <v>2016</v>
      </c>
      <c r="C90" s="639" t="s">
        <v>1916</v>
      </c>
      <c r="D90" s="639" t="s">
        <v>2046</v>
      </c>
      <c r="E90" s="639" t="s">
        <v>2047</v>
      </c>
      <c r="F90" s="642"/>
      <c r="G90" s="642"/>
      <c r="H90" s="642"/>
      <c r="I90" s="642"/>
      <c r="J90" s="642"/>
      <c r="K90" s="642"/>
      <c r="L90" s="642"/>
      <c r="M90" s="642"/>
      <c r="N90" s="642">
        <v>2</v>
      </c>
      <c r="O90" s="642">
        <v>140.30000000000001</v>
      </c>
      <c r="P90" s="656"/>
      <c r="Q90" s="643">
        <v>70.150000000000006</v>
      </c>
    </row>
    <row r="91" spans="1:17" ht="14.4" customHeight="1" x14ac:dyDescent="0.3">
      <c r="A91" s="638" t="s">
        <v>543</v>
      </c>
      <c r="B91" s="639" t="s">
        <v>2016</v>
      </c>
      <c r="C91" s="639" t="s">
        <v>1916</v>
      </c>
      <c r="D91" s="639" t="s">
        <v>2048</v>
      </c>
      <c r="E91" s="639" t="s">
        <v>2049</v>
      </c>
      <c r="F91" s="642"/>
      <c r="G91" s="642"/>
      <c r="H91" s="642"/>
      <c r="I91" s="642"/>
      <c r="J91" s="642">
        <v>14</v>
      </c>
      <c r="K91" s="642">
        <v>431.38</v>
      </c>
      <c r="L91" s="642"/>
      <c r="M91" s="642">
        <v>30.812857142857144</v>
      </c>
      <c r="N91" s="642"/>
      <c r="O91" s="642"/>
      <c r="P91" s="656"/>
      <c r="Q91" s="643"/>
    </row>
    <row r="92" spans="1:17" ht="14.4" customHeight="1" x14ac:dyDescent="0.3">
      <c r="A92" s="638" t="s">
        <v>543</v>
      </c>
      <c r="B92" s="639" t="s">
        <v>2016</v>
      </c>
      <c r="C92" s="639" t="s">
        <v>1982</v>
      </c>
      <c r="D92" s="639" t="s">
        <v>2050</v>
      </c>
      <c r="E92" s="639" t="s">
        <v>1984</v>
      </c>
      <c r="F92" s="642"/>
      <c r="G92" s="642"/>
      <c r="H92" s="642"/>
      <c r="I92" s="642"/>
      <c r="J92" s="642">
        <v>1</v>
      </c>
      <c r="K92" s="642">
        <v>2728.71</v>
      </c>
      <c r="L92" s="642"/>
      <c r="M92" s="642">
        <v>2728.71</v>
      </c>
      <c r="N92" s="642">
        <v>1</v>
      </c>
      <c r="O92" s="642">
        <v>2465.62</v>
      </c>
      <c r="P92" s="656"/>
      <c r="Q92" s="643">
        <v>2465.62</v>
      </c>
    </row>
    <row r="93" spans="1:17" ht="14.4" customHeight="1" x14ac:dyDescent="0.3">
      <c r="A93" s="638" t="s">
        <v>543</v>
      </c>
      <c r="B93" s="639" t="s">
        <v>2016</v>
      </c>
      <c r="C93" s="639" t="s">
        <v>1982</v>
      </c>
      <c r="D93" s="639" t="s">
        <v>2050</v>
      </c>
      <c r="E93" s="639"/>
      <c r="F93" s="642"/>
      <c r="G93" s="642"/>
      <c r="H93" s="642"/>
      <c r="I93" s="642"/>
      <c r="J93" s="642">
        <v>6</v>
      </c>
      <c r="K93" s="642">
        <v>16104.44</v>
      </c>
      <c r="L93" s="642"/>
      <c r="M93" s="642">
        <v>2684.0733333333333</v>
      </c>
      <c r="N93" s="642">
        <v>5</v>
      </c>
      <c r="O93" s="642">
        <v>12328.099999999999</v>
      </c>
      <c r="P93" s="656"/>
      <c r="Q93" s="643">
        <v>2465.62</v>
      </c>
    </row>
    <row r="94" spans="1:17" ht="14.4" customHeight="1" x14ac:dyDescent="0.3">
      <c r="A94" s="638" t="s">
        <v>543</v>
      </c>
      <c r="B94" s="639" t="s">
        <v>2016</v>
      </c>
      <c r="C94" s="639" t="s">
        <v>1982</v>
      </c>
      <c r="D94" s="639" t="s">
        <v>1983</v>
      </c>
      <c r="E94" s="639" t="s">
        <v>1984</v>
      </c>
      <c r="F94" s="642">
        <v>10</v>
      </c>
      <c r="G94" s="642">
        <v>16140.5</v>
      </c>
      <c r="H94" s="642">
        <v>1</v>
      </c>
      <c r="I94" s="642">
        <v>1614.05</v>
      </c>
      <c r="J94" s="642">
        <v>32</v>
      </c>
      <c r="K94" s="642">
        <v>49766.81</v>
      </c>
      <c r="L94" s="642">
        <v>3.0833499581797339</v>
      </c>
      <c r="M94" s="642">
        <v>1555.2128124999999</v>
      </c>
      <c r="N94" s="642">
        <v>40</v>
      </c>
      <c r="O94" s="642">
        <v>58865.2</v>
      </c>
      <c r="P94" s="656">
        <v>3.6470493479136334</v>
      </c>
      <c r="Q94" s="643">
        <v>1471.6299999999999</v>
      </c>
    </row>
    <row r="95" spans="1:17" ht="14.4" customHeight="1" x14ac:dyDescent="0.3">
      <c r="A95" s="638" t="s">
        <v>543</v>
      </c>
      <c r="B95" s="639" t="s">
        <v>2016</v>
      </c>
      <c r="C95" s="639" t="s">
        <v>1982</v>
      </c>
      <c r="D95" s="639" t="s">
        <v>1983</v>
      </c>
      <c r="E95" s="639"/>
      <c r="F95" s="642">
        <v>80</v>
      </c>
      <c r="G95" s="642">
        <v>129124.00000000001</v>
      </c>
      <c r="H95" s="642">
        <v>1</v>
      </c>
      <c r="I95" s="642">
        <v>1614.0500000000002</v>
      </c>
      <c r="J95" s="642">
        <v>83</v>
      </c>
      <c r="K95" s="642">
        <v>132083.35999999999</v>
      </c>
      <c r="L95" s="642">
        <v>1.0229187447724666</v>
      </c>
      <c r="M95" s="642">
        <v>1591.3657831325299</v>
      </c>
      <c r="N95" s="642">
        <v>73</v>
      </c>
      <c r="O95" s="642">
        <v>107400.07</v>
      </c>
      <c r="P95" s="656">
        <v>0.83175916173600561</v>
      </c>
      <c r="Q95" s="643">
        <v>1471.2338356164385</v>
      </c>
    </row>
    <row r="96" spans="1:17" ht="14.4" customHeight="1" x14ac:dyDescent="0.3">
      <c r="A96" s="638" t="s">
        <v>543</v>
      </c>
      <c r="B96" s="639" t="s">
        <v>2016</v>
      </c>
      <c r="C96" s="639" t="s">
        <v>1982</v>
      </c>
      <c r="D96" s="639" t="s">
        <v>1985</v>
      </c>
      <c r="E96" s="639" t="s">
        <v>2051</v>
      </c>
      <c r="F96" s="642"/>
      <c r="G96" s="642"/>
      <c r="H96" s="642"/>
      <c r="I96" s="642"/>
      <c r="J96" s="642">
        <v>5</v>
      </c>
      <c r="K96" s="642">
        <v>19527.400000000001</v>
      </c>
      <c r="L96" s="642"/>
      <c r="M96" s="642">
        <v>3905.4800000000005</v>
      </c>
      <c r="N96" s="642">
        <v>4</v>
      </c>
      <c r="O96" s="642">
        <v>15962.72</v>
      </c>
      <c r="P96" s="656"/>
      <c r="Q96" s="643">
        <v>3990.68</v>
      </c>
    </row>
    <row r="97" spans="1:17" ht="14.4" customHeight="1" x14ac:dyDescent="0.3">
      <c r="A97" s="638" t="s">
        <v>543</v>
      </c>
      <c r="B97" s="639" t="s">
        <v>2016</v>
      </c>
      <c r="C97" s="639" t="s">
        <v>1982</v>
      </c>
      <c r="D97" s="639" t="s">
        <v>1985</v>
      </c>
      <c r="E97" s="639"/>
      <c r="F97" s="642">
        <v>22</v>
      </c>
      <c r="G97" s="642">
        <v>85920.56</v>
      </c>
      <c r="H97" s="642">
        <v>1</v>
      </c>
      <c r="I97" s="642">
        <v>3905.48</v>
      </c>
      <c r="J97" s="642">
        <v>6</v>
      </c>
      <c r="K97" s="642">
        <v>23432.880000000001</v>
      </c>
      <c r="L97" s="642">
        <v>0.27272727272727276</v>
      </c>
      <c r="M97" s="642">
        <v>3905.48</v>
      </c>
      <c r="N97" s="642">
        <v>6</v>
      </c>
      <c r="O97" s="642">
        <v>23944.079999999998</v>
      </c>
      <c r="P97" s="656">
        <v>0.27867695461947639</v>
      </c>
      <c r="Q97" s="643">
        <v>3990.68</v>
      </c>
    </row>
    <row r="98" spans="1:17" ht="14.4" customHeight="1" x14ac:dyDescent="0.3">
      <c r="A98" s="638" t="s">
        <v>543</v>
      </c>
      <c r="B98" s="639" t="s">
        <v>2016</v>
      </c>
      <c r="C98" s="639" t="s">
        <v>1982</v>
      </c>
      <c r="D98" s="639" t="s">
        <v>2052</v>
      </c>
      <c r="E98" s="639"/>
      <c r="F98" s="642">
        <v>29</v>
      </c>
      <c r="G98" s="642">
        <v>26841.53</v>
      </c>
      <c r="H98" s="642">
        <v>1</v>
      </c>
      <c r="I98" s="642">
        <v>925.56999999999994</v>
      </c>
      <c r="J98" s="642">
        <v>11</v>
      </c>
      <c r="K98" s="642">
        <v>10181.27</v>
      </c>
      <c r="L98" s="642">
        <v>0.37931034482758624</v>
      </c>
      <c r="M98" s="642">
        <v>925.57</v>
      </c>
      <c r="N98" s="642">
        <v>17</v>
      </c>
      <c r="O98" s="642">
        <v>18068.72</v>
      </c>
      <c r="P98" s="656">
        <v>0.67316281896002206</v>
      </c>
      <c r="Q98" s="643">
        <v>1062.8658823529413</v>
      </c>
    </row>
    <row r="99" spans="1:17" ht="14.4" customHeight="1" x14ac:dyDescent="0.3">
      <c r="A99" s="638" t="s">
        <v>543</v>
      </c>
      <c r="B99" s="639" t="s">
        <v>2016</v>
      </c>
      <c r="C99" s="639" t="s">
        <v>1982</v>
      </c>
      <c r="D99" s="639" t="s">
        <v>2052</v>
      </c>
      <c r="E99" s="639" t="s">
        <v>2053</v>
      </c>
      <c r="F99" s="642">
        <v>1</v>
      </c>
      <c r="G99" s="642">
        <v>925.57</v>
      </c>
      <c r="H99" s="642">
        <v>1</v>
      </c>
      <c r="I99" s="642">
        <v>925.57</v>
      </c>
      <c r="J99" s="642">
        <v>4</v>
      </c>
      <c r="K99" s="642">
        <v>3702.28</v>
      </c>
      <c r="L99" s="642">
        <v>4</v>
      </c>
      <c r="M99" s="642">
        <v>925.57</v>
      </c>
      <c r="N99" s="642">
        <v>14</v>
      </c>
      <c r="O99" s="642">
        <v>14882.419999999998</v>
      </c>
      <c r="P99" s="656">
        <v>16.079194442343635</v>
      </c>
      <c r="Q99" s="643">
        <v>1063.03</v>
      </c>
    </row>
    <row r="100" spans="1:17" ht="14.4" customHeight="1" x14ac:dyDescent="0.3">
      <c r="A100" s="638" t="s">
        <v>543</v>
      </c>
      <c r="B100" s="639" t="s">
        <v>2016</v>
      </c>
      <c r="C100" s="639" t="s">
        <v>1982</v>
      </c>
      <c r="D100" s="639" t="s">
        <v>1986</v>
      </c>
      <c r="E100" s="639"/>
      <c r="F100" s="642">
        <v>80</v>
      </c>
      <c r="G100" s="642">
        <v>19094.400000000001</v>
      </c>
      <c r="H100" s="642">
        <v>1</v>
      </c>
      <c r="I100" s="642">
        <v>238.68</v>
      </c>
      <c r="J100" s="642">
        <v>97</v>
      </c>
      <c r="K100" s="642">
        <v>23151.960000000006</v>
      </c>
      <c r="L100" s="642">
        <v>1.2125000000000001</v>
      </c>
      <c r="M100" s="642">
        <v>238.68000000000006</v>
      </c>
      <c r="N100" s="642">
        <v>83</v>
      </c>
      <c r="O100" s="642">
        <v>20054.39</v>
      </c>
      <c r="P100" s="656">
        <v>1.050275997150997</v>
      </c>
      <c r="Q100" s="643">
        <v>241.61915662650603</v>
      </c>
    </row>
    <row r="101" spans="1:17" ht="14.4" customHeight="1" x14ac:dyDescent="0.3">
      <c r="A101" s="638" t="s">
        <v>543</v>
      </c>
      <c r="B101" s="639" t="s">
        <v>2016</v>
      </c>
      <c r="C101" s="639" t="s">
        <v>1982</v>
      </c>
      <c r="D101" s="639" t="s">
        <v>1986</v>
      </c>
      <c r="E101" s="639" t="s">
        <v>1987</v>
      </c>
      <c r="F101" s="642">
        <v>10</v>
      </c>
      <c r="G101" s="642">
        <v>2386.8000000000002</v>
      </c>
      <c r="H101" s="642">
        <v>1</v>
      </c>
      <c r="I101" s="642">
        <v>238.68</v>
      </c>
      <c r="J101" s="642">
        <v>36</v>
      </c>
      <c r="K101" s="642">
        <v>8592.48</v>
      </c>
      <c r="L101" s="642">
        <v>3.5999999999999996</v>
      </c>
      <c r="M101" s="642">
        <v>238.67999999999998</v>
      </c>
      <c r="N101" s="642">
        <v>44</v>
      </c>
      <c r="O101" s="642">
        <v>10639.640000000001</v>
      </c>
      <c r="P101" s="656">
        <v>4.4577006871124523</v>
      </c>
      <c r="Q101" s="643">
        <v>241.81000000000003</v>
      </c>
    </row>
    <row r="102" spans="1:17" ht="14.4" customHeight="1" x14ac:dyDescent="0.3">
      <c r="A102" s="638" t="s">
        <v>543</v>
      </c>
      <c r="B102" s="639" t="s">
        <v>2016</v>
      </c>
      <c r="C102" s="639" t="s">
        <v>2054</v>
      </c>
      <c r="D102" s="639" t="s">
        <v>2055</v>
      </c>
      <c r="E102" s="639" t="s">
        <v>2056</v>
      </c>
      <c r="F102" s="642">
        <v>1</v>
      </c>
      <c r="G102" s="642">
        <v>5440.91</v>
      </c>
      <c r="H102" s="642">
        <v>1</v>
      </c>
      <c r="I102" s="642">
        <v>5440.91</v>
      </c>
      <c r="J102" s="642"/>
      <c r="K102" s="642"/>
      <c r="L102" s="642"/>
      <c r="M102" s="642"/>
      <c r="N102" s="642"/>
      <c r="O102" s="642"/>
      <c r="P102" s="656"/>
      <c r="Q102" s="643"/>
    </row>
    <row r="103" spans="1:17" ht="14.4" customHeight="1" x14ac:dyDescent="0.3">
      <c r="A103" s="638" t="s">
        <v>543</v>
      </c>
      <c r="B103" s="639" t="s">
        <v>2016</v>
      </c>
      <c r="C103" s="639" t="s">
        <v>2054</v>
      </c>
      <c r="D103" s="639" t="s">
        <v>2057</v>
      </c>
      <c r="E103" s="639" t="s">
        <v>2058</v>
      </c>
      <c r="F103" s="642"/>
      <c r="G103" s="642"/>
      <c r="H103" s="642"/>
      <c r="I103" s="642"/>
      <c r="J103" s="642">
        <v>3</v>
      </c>
      <c r="K103" s="642">
        <v>31434</v>
      </c>
      <c r="L103" s="642"/>
      <c r="M103" s="642">
        <v>10478</v>
      </c>
      <c r="N103" s="642"/>
      <c r="O103" s="642"/>
      <c r="P103" s="656"/>
      <c r="Q103" s="643"/>
    </row>
    <row r="104" spans="1:17" ht="14.4" customHeight="1" x14ac:dyDescent="0.3">
      <c r="A104" s="638" t="s">
        <v>543</v>
      </c>
      <c r="B104" s="639" t="s">
        <v>2016</v>
      </c>
      <c r="C104" s="639" t="s">
        <v>2054</v>
      </c>
      <c r="D104" s="639" t="s">
        <v>2059</v>
      </c>
      <c r="E104" s="639" t="s">
        <v>2060</v>
      </c>
      <c r="F104" s="642">
        <v>1</v>
      </c>
      <c r="G104" s="642">
        <v>61920</v>
      </c>
      <c r="H104" s="642">
        <v>1</v>
      </c>
      <c r="I104" s="642">
        <v>61920</v>
      </c>
      <c r="J104" s="642">
        <v>1</v>
      </c>
      <c r="K104" s="642">
        <v>61920</v>
      </c>
      <c r="L104" s="642">
        <v>1</v>
      </c>
      <c r="M104" s="642">
        <v>61920</v>
      </c>
      <c r="N104" s="642"/>
      <c r="O104" s="642"/>
      <c r="P104" s="656"/>
      <c r="Q104" s="643"/>
    </row>
    <row r="105" spans="1:17" ht="14.4" customHeight="1" x14ac:dyDescent="0.3">
      <c r="A105" s="638" t="s">
        <v>543</v>
      </c>
      <c r="B105" s="639" t="s">
        <v>2016</v>
      </c>
      <c r="C105" s="639" t="s">
        <v>2054</v>
      </c>
      <c r="D105" s="639" t="s">
        <v>2061</v>
      </c>
      <c r="E105" s="639" t="s">
        <v>2062</v>
      </c>
      <c r="F105" s="642">
        <v>1</v>
      </c>
      <c r="G105" s="642">
        <v>8073</v>
      </c>
      <c r="H105" s="642">
        <v>1</v>
      </c>
      <c r="I105" s="642">
        <v>8073</v>
      </c>
      <c r="J105" s="642"/>
      <c r="K105" s="642"/>
      <c r="L105" s="642"/>
      <c r="M105" s="642"/>
      <c r="N105" s="642"/>
      <c r="O105" s="642"/>
      <c r="P105" s="656"/>
      <c r="Q105" s="643"/>
    </row>
    <row r="106" spans="1:17" ht="14.4" customHeight="1" x14ac:dyDescent="0.3">
      <c r="A106" s="638" t="s">
        <v>543</v>
      </c>
      <c r="B106" s="639" t="s">
        <v>2016</v>
      </c>
      <c r="C106" s="639" t="s">
        <v>2054</v>
      </c>
      <c r="D106" s="639" t="s">
        <v>2063</v>
      </c>
      <c r="E106" s="639" t="s">
        <v>2064</v>
      </c>
      <c r="F106" s="642">
        <v>1</v>
      </c>
      <c r="G106" s="642">
        <v>5610</v>
      </c>
      <c r="H106" s="642">
        <v>1</v>
      </c>
      <c r="I106" s="642">
        <v>5610</v>
      </c>
      <c r="J106" s="642"/>
      <c r="K106" s="642"/>
      <c r="L106" s="642"/>
      <c r="M106" s="642"/>
      <c r="N106" s="642"/>
      <c r="O106" s="642"/>
      <c r="P106" s="656"/>
      <c r="Q106" s="643"/>
    </row>
    <row r="107" spans="1:17" ht="14.4" customHeight="1" x14ac:dyDescent="0.3">
      <c r="A107" s="638" t="s">
        <v>543</v>
      </c>
      <c r="B107" s="639" t="s">
        <v>2016</v>
      </c>
      <c r="C107" s="639" t="s">
        <v>1910</v>
      </c>
      <c r="D107" s="639" t="s">
        <v>2065</v>
      </c>
      <c r="E107" s="639" t="s">
        <v>2066</v>
      </c>
      <c r="F107" s="642">
        <v>235</v>
      </c>
      <c r="G107" s="642">
        <v>6806775</v>
      </c>
      <c r="H107" s="642">
        <v>1</v>
      </c>
      <c r="I107" s="642">
        <v>28965</v>
      </c>
      <c r="J107" s="642">
        <v>392</v>
      </c>
      <c r="K107" s="642">
        <v>11354280</v>
      </c>
      <c r="L107" s="642">
        <v>1.6680851063829787</v>
      </c>
      <c r="M107" s="642">
        <v>28965</v>
      </c>
      <c r="N107" s="642">
        <v>369</v>
      </c>
      <c r="O107" s="642">
        <v>10688085</v>
      </c>
      <c r="P107" s="656">
        <v>1.5702127659574467</v>
      </c>
      <c r="Q107" s="643">
        <v>28965</v>
      </c>
    </row>
    <row r="108" spans="1:17" ht="14.4" customHeight="1" x14ac:dyDescent="0.3">
      <c r="A108" s="638" t="s">
        <v>543</v>
      </c>
      <c r="B108" s="639" t="s">
        <v>2016</v>
      </c>
      <c r="C108" s="639" t="s">
        <v>1910</v>
      </c>
      <c r="D108" s="639" t="s">
        <v>2067</v>
      </c>
      <c r="E108" s="639" t="s">
        <v>2068</v>
      </c>
      <c r="F108" s="642">
        <v>609</v>
      </c>
      <c r="G108" s="642">
        <v>8326248</v>
      </c>
      <c r="H108" s="642">
        <v>1</v>
      </c>
      <c r="I108" s="642">
        <v>13672</v>
      </c>
      <c r="J108" s="642">
        <v>534</v>
      </c>
      <c r="K108" s="642">
        <v>7300848</v>
      </c>
      <c r="L108" s="642">
        <v>0.87684729064039413</v>
      </c>
      <c r="M108" s="642">
        <v>13672</v>
      </c>
      <c r="N108" s="642">
        <v>624</v>
      </c>
      <c r="O108" s="642">
        <v>8531328</v>
      </c>
      <c r="P108" s="656">
        <v>1.0246305418719213</v>
      </c>
      <c r="Q108" s="643">
        <v>13672</v>
      </c>
    </row>
    <row r="109" spans="1:17" ht="14.4" customHeight="1" x14ac:dyDescent="0.3">
      <c r="A109" s="638" t="s">
        <v>543</v>
      </c>
      <c r="B109" s="639" t="s">
        <v>2016</v>
      </c>
      <c r="C109" s="639" t="s">
        <v>1910</v>
      </c>
      <c r="D109" s="639" t="s">
        <v>1994</v>
      </c>
      <c r="E109" s="639" t="s">
        <v>1995</v>
      </c>
      <c r="F109" s="642">
        <v>0</v>
      </c>
      <c r="G109" s="642">
        <v>0</v>
      </c>
      <c r="H109" s="642"/>
      <c r="I109" s="642"/>
      <c r="J109" s="642">
        <v>0</v>
      </c>
      <c r="K109" s="642">
        <v>0</v>
      </c>
      <c r="L109" s="642"/>
      <c r="M109" s="642"/>
      <c r="N109" s="642">
        <v>0</v>
      </c>
      <c r="O109" s="642">
        <v>0</v>
      </c>
      <c r="P109" s="656"/>
      <c r="Q109" s="643"/>
    </row>
    <row r="110" spans="1:17" ht="14.4" customHeight="1" x14ac:dyDescent="0.3">
      <c r="A110" s="638" t="s">
        <v>543</v>
      </c>
      <c r="B110" s="639" t="s">
        <v>2016</v>
      </c>
      <c r="C110" s="639" t="s">
        <v>1910</v>
      </c>
      <c r="D110" s="639" t="s">
        <v>1996</v>
      </c>
      <c r="E110" s="639" t="s">
        <v>1997</v>
      </c>
      <c r="F110" s="642">
        <v>1635</v>
      </c>
      <c r="G110" s="642">
        <v>0</v>
      </c>
      <c r="H110" s="642"/>
      <c r="I110" s="642">
        <v>0</v>
      </c>
      <c r="J110" s="642">
        <v>1565</v>
      </c>
      <c r="K110" s="642">
        <v>0</v>
      </c>
      <c r="L110" s="642"/>
      <c r="M110" s="642">
        <v>0</v>
      </c>
      <c r="N110" s="642">
        <v>2622</v>
      </c>
      <c r="O110" s="642">
        <v>0</v>
      </c>
      <c r="P110" s="656"/>
      <c r="Q110" s="643">
        <v>0</v>
      </c>
    </row>
    <row r="111" spans="1:17" ht="14.4" customHeight="1" x14ac:dyDescent="0.3">
      <c r="A111" s="638" t="s">
        <v>543</v>
      </c>
      <c r="B111" s="639" t="s">
        <v>2016</v>
      </c>
      <c r="C111" s="639" t="s">
        <v>1910</v>
      </c>
      <c r="D111" s="639" t="s">
        <v>2069</v>
      </c>
      <c r="E111" s="639" t="s">
        <v>2070</v>
      </c>
      <c r="F111" s="642">
        <v>3</v>
      </c>
      <c r="G111" s="642">
        <v>0</v>
      </c>
      <c r="H111" s="642"/>
      <c r="I111" s="642">
        <v>0</v>
      </c>
      <c r="J111" s="642"/>
      <c r="K111" s="642"/>
      <c r="L111" s="642"/>
      <c r="M111" s="642"/>
      <c r="N111" s="642"/>
      <c r="O111" s="642"/>
      <c r="P111" s="656"/>
      <c r="Q111" s="643"/>
    </row>
    <row r="112" spans="1:17" ht="14.4" customHeight="1" x14ac:dyDescent="0.3">
      <c r="A112" s="638" t="s">
        <v>543</v>
      </c>
      <c r="B112" s="639" t="s">
        <v>2016</v>
      </c>
      <c r="C112" s="639" t="s">
        <v>1910</v>
      </c>
      <c r="D112" s="639" t="s">
        <v>2071</v>
      </c>
      <c r="E112" s="639" t="s">
        <v>2072</v>
      </c>
      <c r="F112" s="642">
        <v>11</v>
      </c>
      <c r="G112" s="642">
        <v>0</v>
      </c>
      <c r="H112" s="642"/>
      <c r="I112" s="642">
        <v>0</v>
      </c>
      <c r="J112" s="642"/>
      <c r="K112" s="642"/>
      <c r="L112" s="642"/>
      <c r="M112" s="642"/>
      <c r="N112" s="642"/>
      <c r="O112" s="642"/>
      <c r="P112" s="656"/>
      <c r="Q112" s="643"/>
    </row>
    <row r="113" spans="1:17" ht="14.4" customHeight="1" x14ac:dyDescent="0.3">
      <c r="A113" s="638" t="s">
        <v>543</v>
      </c>
      <c r="B113" s="639" t="s">
        <v>2016</v>
      </c>
      <c r="C113" s="639" t="s">
        <v>1910</v>
      </c>
      <c r="D113" s="639" t="s">
        <v>1998</v>
      </c>
      <c r="E113" s="639" t="s">
        <v>1999</v>
      </c>
      <c r="F113" s="642">
        <v>48</v>
      </c>
      <c r="G113" s="642">
        <v>0</v>
      </c>
      <c r="H113" s="642"/>
      <c r="I113" s="642">
        <v>0</v>
      </c>
      <c r="J113" s="642">
        <v>40</v>
      </c>
      <c r="K113" s="642">
        <v>0</v>
      </c>
      <c r="L113" s="642"/>
      <c r="M113" s="642">
        <v>0</v>
      </c>
      <c r="N113" s="642">
        <v>44</v>
      </c>
      <c r="O113" s="642">
        <v>0</v>
      </c>
      <c r="P113" s="656"/>
      <c r="Q113" s="643">
        <v>0</v>
      </c>
    </row>
    <row r="114" spans="1:17" ht="14.4" customHeight="1" x14ac:dyDescent="0.3">
      <c r="A114" s="638" t="s">
        <v>543</v>
      </c>
      <c r="B114" s="639" t="s">
        <v>2016</v>
      </c>
      <c r="C114" s="639" t="s">
        <v>1910</v>
      </c>
      <c r="D114" s="639" t="s">
        <v>2000</v>
      </c>
      <c r="E114" s="639" t="s">
        <v>2001</v>
      </c>
      <c r="F114" s="642">
        <v>11</v>
      </c>
      <c r="G114" s="642">
        <v>0</v>
      </c>
      <c r="H114" s="642"/>
      <c r="I114" s="642">
        <v>0</v>
      </c>
      <c r="J114" s="642">
        <v>10</v>
      </c>
      <c r="K114" s="642">
        <v>0</v>
      </c>
      <c r="L114" s="642"/>
      <c r="M114" s="642">
        <v>0</v>
      </c>
      <c r="N114" s="642">
        <v>8</v>
      </c>
      <c r="O114" s="642">
        <v>0</v>
      </c>
      <c r="P114" s="656"/>
      <c r="Q114" s="643">
        <v>0</v>
      </c>
    </row>
    <row r="115" spans="1:17" ht="14.4" customHeight="1" x14ac:dyDescent="0.3">
      <c r="A115" s="638" t="s">
        <v>543</v>
      </c>
      <c r="B115" s="639" t="s">
        <v>2016</v>
      </c>
      <c r="C115" s="639" t="s">
        <v>1910</v>
      </c>
      <c r="D115" s="639" t="s">
        <v>2002</v>
      </c>
      <c r="E115" s="639" t="s">
        <v>2003</v>
      </c>
      <c r="F115" s="642">
        <v>58</v>
      </c>
      <c r="G115" s="642">
        <v>0</v>
      </c>
      <c r="H115" s="642"/>
      <c r="I115" s="642">
        <v>0</v>
      </c>
      <c r="J115" s="642">
        <v>71</v>
      </c>
      <c r="K115" s="642">
        <v>0</v>
      </c>
      <c r="L115" s="642"/>
      <c r="M115" s="642">
        <v>0</v>
      </c>
      <c r="N115" s="642">
        <v>64</v>
      </c>
      <c r="O115" s="642">
        <v>0</v>
      </c>
      <c r="P115" s="656"/>
      <c r="Q115" s="643">
        <v>0</v>
      </c>
    </row>
    <row r="116" spans="1:17" ht="14.4" customHeight="1" x14ac:dyDescent="0.3">
      <c r="A116" s="638" t="s">
        <v>543</v>
      </c>
      <c r="B116" s="639" t="s">
        <v>2016</v>
      </c>
      <c r="C116" s="639" t="s">
        <v>1910</v>
      </c>
      <c r="D116" s="639" t="s">
        <v>2073</v>
      </c>
      <c r="E116" s="639" t="s">
        <v>2072</v>
      </c>
      <c r="F116" s="642">
        <v>4</v>
      </c>
      <c r="G116" s="642">
        <v>0</v>
      </c>
      <c r="H116" s="642"/>
      <c r="I116" s="642">
        <v>0</v>
      </c>
      <c r="J116" s="642"/>
      <c r="K116" s="642"/>
      <c r="L116" s="642"/>
      <c r="M116" s="642"/>
      <c r="N116" s="642"/>
      <c r="O116" s="642"/>
      <c r="P116" s="656"/>
      <c r="Q116" s="643"/>
    </row>
    <row r="117" spans="1:17" ht="14.4" customHeight="1" x14ac:dyDescent="0.3">
      <c r="A117" s="638" t="s">
        <v>543</v>
      </c>
      <c r="B117" s="639" t="s">
        <v>2016</v>
      </c>
      <c r="C117" s="639" t="s">
        <v>1910</v>
      </c>
      <c r="D117" s="639" t="s">
        <v>2074</v>
      </c>
      <c r="E117" s="639" t="s">
        <v>2072</v>
      </c>
      <c r="F117" s="642">
        <v>2</v>
      </c>
      <c r="G117" s="642">
        <v>0</v>
      </c>
      <c r="H117" s="642"/>
      <c r="I117" s="642">
        <v>0</v>
      </c>
      <c r="J117" s="642"/>
      <c r="K117" s="642"/>
      <c r="L117" s="642"/>
      <c r="M117" s="642"/>
      <c r="N117" s="642"/>
      <c r="O117" s="642"/>
      <c r="P117" s="656"/>
      <c r="Q117" s="643"/>
    </row>
    <row r="118" spans="1:17" ht="14.4" customHeight="1" x14ac:dyDescent="0.3">
      <c r="A118" s="638" t="s">
        <v>543</v>
      </c>
      <c r="B118" s="639" t="s">
        <v>2016</v>
      </c>
      <c r="C118" s="639" t="s">
        <v>1910</v>
      </c>
      <c r="D118" s="639" t="s">
        <v>1911</v>
      </c>
      <c r="E118" s="639" t="s">
        <v>1912</v>
      </c>
      <c r="F118" s="642">
        <v>60</v>
      </c>
      <c r="G118" s="642">
        <v>19749</v>
      </c>
      <c r="H118" s="642">
        <v>1</v>
      </c>
      <c r="I118" s="642">
        <v>329.15</v>
      </c>
      <c r="J118" s="642">
        <v>77</v>
      </c>
      <c r="K118" s="642">
        <v>25486</v>
      </c>
      <c r="L118" s="642">
        <v>1.2904957213023445</v>
      </c>
      <c r="M118" s="642">
        <v>330.98701298701297</v>
      </c>
      <c r="N118" s="642">
        <v>51</v>
      </c>
      <c r="O118" s="642">
        <v>18031</v>
      </c>
      <c r="P118" s="656">
        <v>0.91300825358245985</v>
      </c>
      <c r="Q118" s="643">
        <v>353.54901960784315</v>
      </c>
    </row>
    <row r="119" spans="1:17" ht="14.4" customHeight="1" x14ac:dyDescent="0.3">
      <c r="A119" s="638" t="s">
        <v>543</v>
      </c>
      <c r="B119" s="639" t="s">
        <v>2016</v>
      </c>
      <c r="C119" s="639" t="s">
        <v>1910</v>
      </c>
      <c r="D119" s="639" t="s">
        <v>2075</v>
      </c>
      <c r="E119" s="639" t="s">
        <v>2072</v>
      </c>
      <c r="F119" s="642">
        <v>10</v>
      </c>
      <c r="G119" s="642">
        <v>0</v>
      </c>
      <c r="H119" s="642"/>
      <c r="I119" s="642">
        <v>0</v>
      </c>
      <c r="J119" s="642"/>
      <c r="K119" s="642"/>
      <c r="L119" s="642"/>
      <c r="M119" s="642"/>
      <c r="N119" s="642"/>
      <c r="O119" s="642"/>
      <c r="P119" s="656"/>
      <c r="Q119" s="643"/>
    </row>
    <row r="120" spans="1:17" ht="14.4" customHeight="1" x14ac:dyDescent="0.3">
      <c r="A120" s="638" t="s">
        <v>543</v>
      </c>
      <c r="B120" s="639" t="s">
        <v>2016</v>
      </c>
      <c r="C120" s="639" t="s">
        <v>1910</v>
      </c>
      <c r="D120" s="639" t="s">
        <v>1942</v>
      </c>
      <c r="E120" s="639" t="s">
        <v>1943</v>
      </c>
      <c r="F120" s="642">
        <v>206</v>
      </c>
      <c r="G120" s="642">
        <v>133842</v>
      </c>
      <c r="H120" s="642">
        <v>1</v>
      </c>
      <c r="I120" s="642">
        <v>649.71844660194176</v>
      </c>
      <c r="J120" s="642">
        <v>231</v>
      </c>
      <c r="K120" s="642">
        <v>150829</v>
      </c>
      <c r="L120" s="642">
        <v>1.1269183066600919</v>
      </c>
      <c r="M120" s="642">
        <v>652.93939393939399</v>
      </c>
      <c r="N120" s="642">
        <v>213</v>
      </c>
      <c r="O120" s="642">
        <v>148977</v>
      </c>
      <c r="P120" s="656">
        <v>1.1130810956202088</v>
      </c>
      <c r="Q120" s="643">
        <v>699.42253521126759</v>
      </c>
    </row>
    <row r="121" spans="1:17" ht="14.4" customHeight="1" x14ac:dyDescent="0.3">
      <c r="A121" s="638" t="s">
        <v>543</v>
      </c>
      <c r="B121" s="639" t="s">
        <v>2016</v>
      </c>
      <c r="C121" s="639" t="s">
        <v>1910</v>
      </c>
      <c r="D121" s="639" t="s">
        <v>2076</v>
      </c>
      <c r="E121" s="639" t="s">
        <v>2072</v>
      </c>
      <c r="F121" s="642">
        <v>6</v>
      </c>
      <c r="G121" s="642">
        <v>0</v>
      </c>
      <c r="H121" s="642"/>
      <c r="I121" s="642">
        <v>0</v>
      </c>
      <c r="J121" s="642"/>
      <c r="K121" s="642"/>
      <c r="L121" s="642"/>
      <c r="M121" s="642"/>
      <c r="N121" s="642"/>
      <c r="O121" s="642"/>
      <c r="P121" s="656"/>
      <c r="Q121" s="643"/>
    </row>
    <row r="122" spans="1:17" ht="14.4" customHeight="1" x14ac:dyDescent="0.3">
      <c r="A122" s="638" t="s">
        <v>543</v>
      </c>
      <c r="B122" s="639" t="s">
        <v>2016</v>
      </c>
      <c r="C122" s="639" t="s">
        <v>1910</v>
      </c>
      <c r="D122" s="639" t="s">
        <v>2077</v>
      </c>
      <c r="E122" s="639" t="s">
        <v>2078</v>
      </c>
      <c r="F122" s="642">
        <v>2531</v>
      </c>
      <c r="G122" s="642">
        <v>15975672</v>
      </c>
      <c r="H122" s="642">
        <v>1</v>
      </c>
      <c r="I122" s="642">
        <v>6312</v>
      </c>
      <c r="J122" s="642">
        <v>2772</v>
      </c>
      <c r="K122" s="642">
        <v>17496864</v>
      </c>
      <c r="L122" s="642">
        <v>1.0952192809166337</v>
      </c>
      <c r="M122" s="642">
        <v>6312</v>
      </c>
      <c r="N122" s="642">
        <v>2798</v>
      </c>
      <c r="O122" s="642">
        <v>17660976</v>
      </c>
      <c r="P122" s="656">
        <v>1.1054919004346109</v>
      </c>
      <c r="Q122" s="643">
        <v>6312</v>
      </c>
    </row>
    <row r="123" spans="1:17" ht="14.4" customHeight="1" x14ac:dyDescent="0.3">
      <c r="A123" s="638" t="s">
        <v>543</v>
      </c>
      <c r="B123" s="639" t="s">
        <v>2016</v>
      </c>
      <c r="C123" s="639" t="s">
        <v>1910</v>
      </c>
      <c r="D123" s="639" t="s">
        <v>2006</v>
      </c>
      <c r="E123" s="639" t="s">
        <v>2007</v>
      </c>
      <c r="F123" s="642">
        <v>43</v>
      </c>
      <c r="G123" s="642">
        <v>0</v>
      </c>
      <c r="H123" s="642"/>
      <c r="I123" s="642">
        <v>0</v>
      </c>
      <c r="J123" s="642">
        <v>65</v>
      </c>
      <c r="K123" s="642">
        <v>0</v>
      </c>
      <c r="L123" s="642"/>
      <c r="M123" s="642">
        <v>0</v>
      </c>
      <c r="N123" s="642">
        <v>60</v>
      </c>
      <c r="O123" s="642">
        <v>0</v>
      </c>
      <c r="P123" s="656"/>
      <c r="Q123" s="643">
        <v>0</v>
      </c>
    </row>
    <row r="124" spans="1:17" ht="14.4" customHeight="1" x14ac:dyDescent="0.3">
      <c r="A124" s="638" t="s">
        <v>543</v>
      </c>
      <c r="B124" s="639" t="s">
        <v>2016</v>
      </c>
      <c r="C124" s="639" t="s">
        <v>1910</v>
      </c>
      <c r="D124" s="639" t="s">
        <v>2079</v>
      </c>
      <c r="E124" s="639" t="s">
        <v>2080</v>
      </c>
      <c r="F124" s="642">
        <v>1055</v>
      </c>
      <c r="G124" s="642">
        <v>26095425</v>
      </c>
      <c r="H124" s="642">
        <v>1</v>
      </c>
      <c r="I124" s="642">
        <v>24735</v>
      </c>
      <c r="J124" s="642">
        <v>1089</v>
      </c>
      <c r="K124" s="642">
        <v>26936415</v>
      </c>
      <c r="L124" s="642">
        <v>1.0322274881516589</v>
      </c>
      <c r="M124" s="642">
        <v>24735</v>
      </c>
      <c r="N124" s="642">
        <v>1182</v>
      </c>
      <c r="O124" s="642">
        <v>29236770</v>
      </c>
      <c r="P124" s="656">
        <v>1.1203791469194313</v>
      </c>
      <c r="Q124" s="643">
        <v>24735</v>
      </c>
    </row>
    <row r="125" spans="1:17" ht="14.4" customHeight="1" x14ac:dyDescent="0.3">
      <c r="A125" s="638" t="s">
        <v>543</v>
      </c>
      <c r="B125" s="639" t="s">
        <v>2016</v>
      </c>
      <c r="C125" s="639" t="s">
        <v>1910</v>
      </c>
      <c r="D125" s="639" t="s">
        <v>2012</v>
      </c>
      <c r="E125" s="639" t="s">
        <v>2013</v>
      </c>
      <c r="F125" s="642">
        <v>44</v>
      </c>
      <c r="G125" s="642">
        <v>0</v>
      </c>
      <c r="H125" s="642"/>
      <c r="I125" s="642">
        <v>0</v>
      </c>
      <c r="J125" s="642">
        <v>58</v>
      </c>
      <c r="K125" s="642">
        <v>0</v>
      </c>
      <c r="L125" s="642"/>
      <c r="M125" s="642">
        <v>0</v>
      </c>
      <c r="N125" s="642">
        <v>47</v>
      </c>
      <c r="O125" s="642">
        <v>0</v>
      </c>
      <c r="P125" s="656"/>
      <c r="Q125" s="643">
        <v>0</v>
      </c>
    </row>
    <row r="126" spans="1:17" ht="14.4" customHeight="1" x14ac:dyDescent="0.3">
      <c r="A126" s="638" t="s">
        <v>543</v>
      </c>
      <c r="B126" s="639" t="s">
        <v>2016</v>
      </c>
      <c r="C126" s="639" t="s">
        <v>1910</v>
      </c>
      <c r="D126" s="639" t="s">
        <v>2081</v>
      </c>
      <c r="E126" s="639" t="s">
        <v>2082</v>
      </c>
      <c r="F126" s="642"/>
      <c r="G126" s="642"/>
      <c r="H126" s="642"/>
      <c r="I126" s="642"/>
      <c r="J126" s="642"/>
      <c r="K126" s="642"/>
      <c r="L126" s="642"/>
      <c r="M126" s="642"/>
      <c r="N126" s="642">
        <v>1</v>
      </c>
      <c r="O126" s="642">
        <v>623</v>
      </c>
      <c r="P126" s="656"/>
      <c r="Q126" s="643">
        <v>623</v>
      </c>
    </row>
    <row r="127" spans="1:17" ht="14.4" customHeight="1" x14ac:dyDescent="0.3">
      <c r="A127" s="638" t="s">
        <v>543</v>
      </c>
      <c r="B127" s="639" t="s">
        <v>2016</v>
      </c>
      <c r="C127" s="639" t="s">
        <v>1910</v>
      </c>
      <c r="D127" s="639" t="s">
        <v>2083</v>
      </c>
      <c r="E127" s="639" t="s">
        <v>2082</v>
      </c>
      <c r="F127" s="642">
        <v>2</v>
      </c>
      <c r="G127" s="642">
        <v>1048</v>
      </c>
      <c r="H127" s="642">
        <v>1</v>
      </c>
      <c r="I127" s="642">
        <v>524</v>
      </c>
      <c r="J127" s="642"/>
      <c r="K127" s="642"/>
      <c r="L127" s="642"/>
      <c r="M127" s="642"/>
      <c r="N127" s="642"/>
      <c r="O127" s="642"/>
      <c r="P127" s="656"/>
      <c r="Q127" s="643"/>
    </row>
    <row r="128" spans="1:17" ht="14.4" customHeight="1" x14ac:dyDescent="0.3">
      <c r="A128" s="638" t="s">
        <v>543</v>
      </c>
      <c r="B128" s="639" t="s">
        <v>2016</v>
      </c>
      <c r="C128" s="639" t="s">
        <v>1910</v>
      </c>
      <c r="D128" s="639" t="s">
        <v>2084</v>
      </c>
      <c r="E128" s="639" t="s">
        <v>2072</v>
      </c>
      <c r="F128" s="642">
        <v>12</v>
      </c>
      <c r="G128" s="642">
        <v>0</v>
      </c>
      <c r="H128" s="642"/>
      <c r="I128" s="642">
        <v>0</v>
      </c>
      <c r="J128" s="642"/>
      <c r="K128" s="642"/>
      <c r="L128" s="642"/>
      <c r="M128" s="642"/>
      <c r="N128" s="642"/>
      <c r="O128" s="642"/>
      <c r="P128" s="656"/>
      <c r="Q128" s="643"/>
    </row>
    <row r="129" spans="1:17" ht="14.4" customHeight="1" x14ac:dyDescent="0.3">
      <c r="A129" s="638" t="s">
        <v>543</v>
      </c>
      <c r="B129" s="639" t="s">
        <v>2016</v>
      </c>
      <c r="C129" s="639" t="s">
        <v>1910</v>
      </c>
      <c r="D129" s="639" t="s">
        <v>2014</v>
      </c>
      <c r="E129" s="639" t="s">
        <v>2015</v>
      </c>
      <c r="F129" s="642">
        <v>21</v>
      </c>
      <c r="G129" s="642">
        <v>0</v>
      </c>
      <c r="H129" s="642"/>
      <c r="I129" s="642">
        <v>0</v>
      </c>
      <c r="J129" s="642">
        <v>17</v>
      </c>
      <c r="K129" s="642">
        <v>0</v>
      </c>
      <c r="L129" s="642"/>
      <c r="M129" s="642">
        <v>0</v>
      </c>
      <c r="N129" s="642">
        <v>20</v>
      </c>
      <c r="O129" s="642">
        <v>0</v>
      </c>
      <c r="P129" s="656"/>
      <c r="Q129" s="643">
        <v>0</v>
      </c>
    </row>
    <row r="130" spans="1:17" ht="14.4" customHeight="1" x14ac:dyDescent="0.3">
      <c r="A130" s="638" t="s">
        <v>543</v>
      </c>
      <c r="B130" s="639" t="s">
        <v>2016</v>
      </c>
      <c r="C130" s="639" t="s">
        <v>1910</v>
      </c>
      <c r="D130" s="639" t="s">
        <v>2085</v>
      </c>
      <c r="E130" s="639" t="s">
        <v>2086</v>
      </c>
      <c r="F130" s="642">
        <v>302</v>
      </c>
      <c r="G130" s="642">
        <v>0</v>
      </c>
      <c r="H130" s="642"/>
      <c r="I130" s="642">
        <v>0</v>
      </c>
      <c r="J130" s="642">
        <v>1462</v>
      </c>
      <c r="K130" s="642">
        <v>0</v>
      </c>
      <c r="L130" s="642"/>
      <c r="M130" s="642">
        <v>0</v>
      </c>
      <c r="N130" s="642">
        <v>1549</v>
      </c>
      <c r="O130" s="642">
        <v>0</v>
      </c>
      <c r="P130" s="656"/>
      <c r="Q130" s="643">
        <v>0</v>
      </c>
    </row>
    <row r="131" spans="1:17" ht="14.4" customHeight="1" x14ac:dyDescent="0.3">
      <c r="A131" s="638" t="s">
        <v>543</v>
      </c>
      <c r="B131" s="639" t="s">
        <v>2016</v>
      </c>
      <c r="C131" s="639" t="s">
        <v>1910</v>
      </c>
      <c r="D131" s="639" t="s">
        <v>2087</v>
      </c>
      <c r="E131" s="639" t="s">
        <v>2088</v>
      </c>
      <c r="F131" s="642"/>
      <c r="G131" s="642"/>
      <c r="H131" s="642"/>
      <c r="I131" s="642"/>
      <c r="J131" s="642">
        <v>5</v>
      </c>
      <c r="K131" s="642">
        <v>7900</v>
      </c>
      <c r="L131" s="642"/>
      <c r="M131" s="642">
        <v>1580</v>
      </c>
      <c r="N131" s="642">
        <v>2</v>
      </c>
      <c r="O131" s="642">
        <v>3162</v>
      </c>
      <c r="P131" s="656"/>
      <c r="Q131" s="643">
        <v>1581</v>
      </c>
    </row>
    <row r="132" spans="1:17" ht="14.4" customHeight="1" x14ac:dyDescent="0.3">
      <c r="A132" s="638" t="s">
        <v>543</v>
      </c>
      <c r="B132" s="639" t="s">
        <v>2089</v>
      </c>
      <c r="C132" s="639" t="s">
        <v>1910</v>
      </c>
      <c r="D132" s="639" t="s">
        <v>2090</v>
      </c>
      <c r="E132" s="639" t="s">
        <v>2091</v>
      </c>
      <c r="F132" s="642"/>
      <c r="G132" s="642"/>
      <c r="H132" s="642"/>
      <c r="I132" s="642"/>
      <c r="J132" s="642"/>
      <c r="K132" s="642"/>
      <c r="L132" s="642"/>
      <c r="M132" s="642"/>
      <c r="N132" s="642">
        <v>1</v>
      </c>
      <c r="O132" s="642">
        <v>688</v>
      </c>
      <c r="P132" s="656"/>
      <c r="Q132" s="643">
        <v>688</v>
      </c>
    </row>
    <row r="133" spans="1:17" ht="14.4" customHeight="1" x14ac:dyDescent="0.3">
      <c r="A133" s="638" t="s">
        <v>543</v>
      </c>
      <c r="B133" s="639" t="s">
        <v>2092</v>
      </c>
      <c r="C133" s="639" t="s">
        <v>1910</v>
      </c>
      <c r="D133" s="639" t="s">
        <v>2093</v>
      </c>
      <c r="E133" s="639" t="s">
        <v>2094</v>
      </c>
      <c r="F133" s="642"/>
      <c r="G133" s="642"/>
      <c r="H133" s="642"/>
      <c r="I133" s="642"/>
      <c r="J133" s="642"/>
      <c r="K133" s="642"/>
      <c r="L133" s="642"/>
      <c r="M133" s="642"/>
      <c r="N133" s="642">
        <v>1</v>
      </c>
      <c r="O133" s="642">
        <v>2522</v>
      </c>
      <c r="P133" s="656"/>
      <c r="Q133" s="643">
        <v>2522</v>
      </c>
    </row>
    <row r="134" spans="1:17" ht="14.4" customHeight="1" x14ac:dyDescent="0.3">
      <c r="A134" s="638" t="s">
        <v>543</v>
      </c>
      <c r="B134" s="639" t="s">
        <v>2092</v>
      </c>
      <c r="C134" s="639" t="s">
        <v>1910</v>
      </c>
      <c r="D134" s="639" t="s">
        <v>2095</v>
      </c>
      <c r="E134" s="639" t="s">
        <v>2096</v>
      </c>
      <c r="F134" s="642">
        <v>3</v>
      </c>
      <c r="G134" s="642">
        <v>8048</v>
      </c>
      <c r="H134" s="642">
        <v>1</v>
      </c>
      <c r="I134" s="642">
        <v>2682.6666666666665</v>
      </c>
      <c r="J134" s="642">
        <v>5</v>
      </c>
      <c r="K134" s="642">
        <v>13478</v>
      </c>
      <c r="L134" s="642">
        <v>1.6747017892644136</v>
      </c>
      <c r="M134" s="642">
        <v>2695.6</v>
      </c>
      <c r="N134" s="642">
        <v>3</v>
      </c>
      <c r="O134" s="642">
        <v>8310</v>
      </c>
      <c r="P134" s="656">
        <v>1.0325546719681908</v>
      </c>
      <c r="Q134" s="643">
        <v>2770</v>
      </c>
    </row>
    <row r="135" spans="1:17" ht="14.4" customHeight="1" x14ac:dyDescent="0.3">
      <c r="A135" s="638" t="s">
        <v>543</v>
      </c>
      <c r="B135" s="639" t="s">
        <v>2092</v>
      </c>
      <c r="C135" s="639" t="s">
        <v>1910</v>
      </c>
      <c r="D135" s="639" t="s">
        <v>2097</v>
      </c>
      <c r="E135" s="639" t="s">
        <v>2098</v>
      </c>
      <c r="F135" s="642">
        <v>1</v>
      </c>
      <c r="G135" s="642">
        <v>5940</v>
      </c>
      <c r="H135" s="642">
        <v>1</v>
      </c>
      <c r="I135" s="642">
        <v>5940</v>
      </c>
      <c r="J135" s="642">
        <v>3</v>
      </c>
      <c r="K135" s="642">
        <v>17952</v>
      </c>
      <c r="L135" s="642">
        <v>3.0222222222222221</v>
      </c>
      <c r="M135" s="642">
        <v>5984</v>
      </c>
      <c r="N135" s="642"/>
      <c r="O135" s="642"/>
      <c r="P135" s="656"/>
      <c r="Q135" s="643"/>
    </row>
    <row r="136" spans="1:17" ht="14.4" customHeight="1" x14ac:dyDescent="0.3">
      <c r="A136" s="638" t="s">
        <v>543</v>
      </c>
      <c r="B136" s="639" t="s">
        <v>2092</v>
      </c>
      <c r="C136" s="639" t="s">
        <v>1910</v>
      </c>
      <c r="D136" s="639" t="s">
        <v>2099</v>
      </c>
      <c r="E136" s="639" t="s">
        <v>2100</v>
      </c>
      <c r="F136" s="642">
        <v>1</v>
      </c>
      <c r="G136" s="642">
        <v>2384</v>
      </c>
      <c r="H136" s="642">
        <v>1</v>
      </c>
      <c r="I136" s="642">
        <v>2384</v>
      </c>
      <c r="J136" s="642"/>
      <c r="K136" s="642"/>
      <c r="L136" s="642"/>
      <c r="M136" s="642"/>
      <c r="N136" s="642">
        <v>1</v>
      </c>
      <c r="O136" s="642">
        <v>2462</v>
      </c>
      <c r="P136" s="656">
        <v>1.0327181208053691</v>
      </c>
      <c r="Q136" s="643">
        <v>2462</v>
      </c>
    </row>
    <row r="137" spans="1:17" ht="14.4" customHeight="1" x14ac:dyDescent="0.3">
      <c r="A137" s="638" t="s">
        <v>543</v>
      </c>
      <c r="B137" s="639" t="s">
        <v>2092</v>
      </c>
      <c r="C137" s="639" t="s">
        <v>1910</v>
      </c>
      <c r="D137" s="639" t="s">
        <v>2101</v>
      </c>
      <c r="E137" s="639" t="s">
        <v>2102</v>
      </c>
      <c r="F137" s="642">
        <v>1</v>
      </c>
      <c r="G137" s="642">
        <v>9851</v>
      </c>
      <c r="H137" s="642">
        <v>1</v>
      </c>
      <c r="I137" s="642">
        <v>9851</v>
      </c>
      <c r="J137" s="642"/>
      <c r="K137" s="642"/>
      <c r="L137" s="642"/>
      <c r="M137" s="642"/>
      <c r="N137" s="642"/>
      <c r="O137" s="642"/>
      <c r="P137" s="656"/>
      <c r="Q137" s="643"/>
    </row>
    <row r="138" spans="1:17" ht="14.4" customHeight="1" x14ac:dyDescent="0.3">
      <c r="A138" s="638" t="s">
        <v>543</v>
      </c>
      <c r="B138" s="639" t="s">
        <v>2092</v>
      </c>
      <c r="C138" s="639" t="s">
        <v>1910</v>
      </c>
      <c r="D138" s="639" t="s">
        <v>2103</v>
      </c>
      <c r="E138" s="639" t="s">
        <v>2104</v>
      </c>
      <c r="F138" s="642">
        <v>1</v>
      </c>
      <c r="G138" s="642">
        <v>3361</v>
      </c>
      <c r="H138" s="642">
        <v>1</v>
      </c>
      <c r="I138" s="642">
        <v>3361</v>
      </c>
      <c r="J138" s="642"/>
      <c r="K138" s="642"/>
      <c r="L138" s="642"/>
      <c r="M138" s="642"/>
      <c r="N138" s="642">
        <v>1</v>
      </c>
      <c r="O138" s="642">
        <v>3479</v>
      </c>
      <c r="P138" s="656">
        <v>1.0351085986313597</v>
      </c>
      <c r="Q138" s="643">
        <v>3479</v>
      </c>
    </row>
    <row r="139" spans="1:17" ht="14.4" customHeight="1" x14ac:dyDescent="0.3">
      <c r="A139" s="638" t="s">
        <v>543</v>
      </c>
      <c r="B139" s="639" t="s">
        <v>2092</v>
      </c>
      <c r="C139" s="639" t="s">
        <v>1910</v>
      </c>
      <c r="D139" s="639" t="s">
        <v>2105</v>
      </c>
      <c r="E139" s="639" t="s">
        <v>2106</v>
      </c>
      <c r="F139" s="642"/>
      <c r="G139" s="642"/>
      <c r="H139" s="642"/>
      <c r="I139" s="642"/>
      <c r="J139" s="642">
        <v>1</v>
      </c>
      <c r="K139" s="642">
        <v>2073</v>
      </c>
      <c r="L139" s="642"/>
      <c r="M139" s="642">
        <v>2073</v>
      </c>
      <c r="N139" s="642">
        <v>1</v>
      </c>
      <c r="O139" s="642">
        <v>2145</v>
      </c>
      <c r="P139" s="656"/>
      <c r="Q139" s="643">
        <v>2145</v>
      </c>
    </row>
    <row r="140" spans="1:17" ht="14.4" customHeight="1" x14ac:dyDescent="0.3">
      <c r="A140" s="638" t="s">
        <v>543</v>
      </c>
      <c r="B140" s="639" t="s">
        <v>2092</v>
      </c>
      <c r="C140" s="639" t="s">
        <v>1910</v>
      </c>
      <c r="D140" s="639" t="s">
        <v>2107</v>
      </c>
      <c r="E140" s="639" t="s">
        <v>2108</v>
      </c>
      <c r="F140" s="642"/>
      <c r="G140" s="642"/>
      <c r="H140" s="642"/>
      <c r="I140" s="642"/>
      <c r="J140" s="642"/>
      <c r="K140" s="642"/>
      <c r="L140" s="642"/>
      <c r="M140" s="642"/>
      <c r="N140" s="642">
        <v>2</v>
      </c>
      <c r="O140" s="642">
        <v>10296</v>
      </c>
      <c r="P140" s="656"/>
      <c r="Q140" s="643">
        <v>5148</v>
      </c>
    </row>
    <row r="141" spans="1:17" ht="14.4" customHeight="1" x14ac:dyDescent="0.3">
      <c r="A141" s="638" t="s">
        <v>543</v>
      </c>
      <c r="B141" s="639" t="s">
        <v>2092</v>
      </c>
      <c r="C141" s="639" t="s">
        <v>1910</v>
      </c>
      <c r="D141" s="639" t="s">
        <v>2109</v>
      </c>
      <c r="E141" s="639" t="s">
        <v>2110</v>
      </c>
      <c r="F141" s="642"/>
      <c r="G141" s="642"/>
      <c r="H141" s="642"/>
      <c r="I141" s="642"/>
      <c r="J141" s="642">
        <v>3</v>
      </c>
      <c r="K141" s="642">
        <v>17322</v>
      </c>
      <c r="L141" s="642"/>
      <c r="M141" s="642">
        <v>5774</v>
      </c>
      <c r="N141" s="642">
        <v>2</v>
      </c>
      <c r="O141" s="642">
        <v>11912</v>
      </c>
      <c r="P141" s="656"/>
      <c r="Q141" s="643">
        <v>5956</v>
      </c>
    </row>
    <row r="142" spans="1:17" ht="14.4" customHeight="1" x14ac:dyDescent="0.3">
      <c r="A142" s="638" t="s">
        <v>543</v>
      </c>
      <c r="B142" s="639" t="s">
        <v>2092</v>
      </c>
      <c r="C142" s="639" t="s">
        <v>1910</v>
      </c>
      <c r="D142" s="639" t="s">
        <v>2111</v>
      </c>
      <c r="E142" s="639" t="s">
        <v>2112</v>
      </c>
      <c r="F142" s="642"/>
      <c r="G142" s="642"/>
      <c r="H142" s="642"/>
      <c r="I142" s="642"/>
      <c r="J142" s="642">
        <v>1</v>
      </c>
      <c r="K142" s="642">
        <v>1048</v>
      </c>
      <c r="L142" s="642"/>
      <c r="M142" s="642">
        <v>1048</v>
      </c>
      <c r="N142" s="642"/>
      <c r="O142" s="642"/>
      <c r="P142" s="656"/>
      <c r="Q142" s="643"/>
    </row>
    <row r="143" spans="1:17" ht="14.4" customHeight="1" x14ac:dyDescent="0.3">
      <c r="A143" s="638" t="s">
        <v>543</v>
      </c>
      <c r="B143" s="639" t="s">
        <v>2092</v>
      </c>
      <c r="C143" s="639" t="s">
        <v>1910</v>
      </c>
      <c r="D143" s="639" t="s">
        <v>2113</v>
      </c>
      <c r="E143" s="639" t="s">
        <v>2114</v>
      </c>
      <c r="F143" s="642">
        <v>3</v>
      </c>
      <c r="G143" s="642">
        <v>10423</v>
      </c>
      <c r="H143" s="642">
        <v>1</v>
      </c>
      <c r="I143" s="642">
        <v>3474.3333333333335</v>
      </c>
      <c r="J143" s="642">
        <v>3</v>
      </c>
      <c r="K143" s="642">
        <v>10476</v>
      </c>
      <c r="L143" s="642">
        <v>1.0050849083757076</v>
      </c>
      <c r="M143" s="642">
        <v>3492</v>
      </c>
      <c r="N143" s="642">
        <v>2</v>
      </c>
      <c r="O143" s="642">
        <v>7224</v>
      </c>
      <c r="P143" s="656">
        <v>0.69308260577568837</v>
      </c>
      <c r="Q143" s="643">
        <v>3612</v>
      </c>
    </row>
    <row r="144" spans="1:17" ht="14.4" customHeight="1" x14ac:dyDescent="0.3">
      <c r="A144" s="638" t="s">
        <v>543</v>
      </c>
      <c r="B144" s="639" t="s">
        <v>2092</v>
      </c>
      <c r="C144" s="639" t="s">
        <v>1910</v>
      </c>
      <c r="D144" s="639" t="s">
        <v>883</v>
      </c>
      <c r="E144" s="639" t="s">
        <v>2115</v>
      </c>
      <c r="F144" s="642">
        <v>3</v>
      </c>
      <c r="G144" s="642">
        <v>5704</v>
      </c>
      <c r="H144" s="642">
        <v>1</v>
      </c>
      <c r="I144" s="642">
        <v>1901.3333333333333</v>
      </c>
      <c r="J144" s="642">
        <v>3</v>
      </c>
      <c r="K144" s="642">
        <v>5736</v>
      </c>
      <c r="L144" s="642">
        <v>1.0056100981767182</v>
      </c>
      <c r="M144" s="642">
        <v>1912</v>
      </c>
      <c r="N144" s="642">
        <v>3</v>
      </c>
      <c r="O144" s="642">
        <v>5952</v>
      </c>
      <c r="P144" s="656">
        <v>1.0434782608695652</v>
      </c>
      <c r="Q144" s="643">
        <v>1984</v>
      </c>
    </row>
    <row r="145" spans="1:17" ht="14.4" customHeight="1" x14ac:dyDescent="0.3">
      <c r="A145" s="638" t="s">
        <v>543</v>
      </c>
      <c r="B145" s="639" t="s">
        <v>2092</v>
      </c>
      <c r="C145" s="639" t="s">
        <v>1910</v>
      </c>
      <c r="D145" s="639" t="s">
        <v>2116</v>
      </c>
      <c r="E145" s="639" t="s">
        <v>2117</v>
      </c>
      <c r="F145" s="642"/>
      <c r="G145" s="642"/>
      <c r="H145" s="642"/>
      <c r="I145" s="642"/>
      <c r="J145" s="642">
        <v>1</v>
      </c>
      <c r="K145" s="642">
        <v>635</v>
      </c>
      <c r="L145" s="642"/>
      <c r="M145" s="642">
        <v>635</v>
      </c>
      <c r="N145" s="642"/>
      <c r="O145" s="642"/>
      <c r="P145" s="656"/>
      <c r="Q145" s="643"/>
    </row>
    <row r="146" spans="1:17" ht="14.4" customHeight="1" x14ac:dyDescent="0.3">
      <c r="A146" s="638" t="s">
        <v>543</v>
      </c>
      <c r="B146" s="639" t="s">
        <v>2092</v>
      </c>
      <c r="C146" s="639" t="s">
        <v>1910</v>
      </c>
      <c r="D146" s="639" t="s">
        <v>2118</v>
      </c>
      <c r="E146" s="639" t="s">
        <v>2119</v>
      </c>
      <c r="F146" s="642"/>
      <c r="G146" s="642"/>
      <c r="H146" s="642"/>
      <c r="I146" s="642"/>
      <c r="J146" s="642">
        <v>1</v>
      </c>
      <c r="K146" s="642">
        <v>3225</v>
      </c>
      <c r="L146" s="642"/>
      <c r="M146" s="642">
        <v>3225</v>
      </c>
      <c r="N146" s="642">
        <v>1</v>
      </c>
      <c r="O146" s="642">
        <v>3297</v>
      </c>
      <c r="P146" s="656"/>
      <c r="Q146" s="643">
        <v>3297</v>
      </c>
    </row>
    <row r="147" spans="1:17" ht="14.4" customHeight="1" x14ac:dyDescent="0.3">
      <c r="A147" s="638" t="s">
        <v>543</v>
      </c>
      <c r="B147" s="639" t="s">
        <v>2092</v>
      </c>
      <c r="C147" s="639" t="s">
        <v>1910</v>
      </c>
      <c r="D147" s="639" t="s">
        <v>2120</v>
      </c>
      <c r="E147" s="639" t="s">
        <v>2121</v>
      </c>
      <c r="F147" s="642"/>
      <c r="G147" s="642"/>
      <c r="H147" s="642"/>
      <c r="I147" s="642"/>
      <c r="J147" s="642">
        <v>4</v>
      </c>
      <c r="K147" s="642">
        <v>4940</v>
      </c>
      <c r="L147" s="642"/>
      <c r="M147" s="642">
        <v>1235</v>
      </c>
      <c r="N147" s="642"/>
      <c r="O147" s="642"/>
      <c r="P147" s="656"/>
      <c r="Q147" s="643"/>
    </row>
    <row r="148" spans="1:17" ht="14.4" customHeight="1" x14ac:dyDescent="0.3">
      <c r="A148" s="638" t="s">
        <v>543</v>
      </c>
      <c r="B148" s="639" t="s">
        <v>2092</v>
      </c>
      <c r="C148" s="639" t="s">
        <v>1910</v>
      </c>
      <c r="D148" s="639" t="s">
        <v>2122</v>
      </c>
      <c r="E148" s="639" t="s">
        <v>2123</v>
      </c>
      <c r="F148" s="642">
        <v>1</v>
      </c>
      <c r="G148" s="642">
        <v>5125</v>
      </c>
      <c r="H148" s="642">
        <v>1</v>
      </c>
      <c r="I148" s="642">
        <v>5125</v>
      </c>
      <c r="J148" s="642"/>
      <c r="K148" s="642"/>
      <c r="L148" s="642"/>
      <c r="M148" s="642"/>
      <c r="N148" s="642">
        <v>3</v>
      </c>
      <c r="O148" s="642">
        <v>15846</v>
      </c>
      <c r="P148" s="656">
        <v>3.0919024390243903</v>
      </c>
      <c r="Q148" s="643">
        <v>5282</v>
      </c>
    </row>
    <row r="149" spans="1:17" ht="14.4" customHeight="1" x14ac:dyDescent="0.3">
      <c r="A149" s="638" t="s">
        <v>543</v>
      </c>
      <c r="B149" s="639" t="s">
        <v>2092</v>
      </c>
      <c r="C149" s="639" t="s">
        <v>1910</v>
      </c>
      <c r="D149" s="639" t="s">
        <v>2124</v>
      </c>
      <c r="E149" s="639" t="s">
        <v>2125</v>
      </c>
      <c r="F149" s="642">
        <v>4</v>
      </c>
      <c r="G149" s="642">
        <v>21746</v>
      </c>
      <c r="H149" s="642">
        <v>1</v>
      </c>
      <c r="I149" s="642">
        <v>5436.5</v>
      </c>
      <c r="J149" s="642">
        <v>4</v>
      </c>
      <c r="K149" s="642">
        <v>21862</v>
      </c>
      <c r="L149" s="642">
        <v>1.0053343143566633</v>
      </c>
      <c r="M149" s="642">
        <v>5465.5</v>
      </c>
      <c r="N149" s="642">
        <v>2</v>
      </c>
      <c r="O149" s="642">
        <v>11394</v>
      </c>
      <c r="P149" s="656">
        <v>0.5239584291363929</v>
      </c>
      <c r="Q149" s="643">
        <v>5697</v>
      </c>
    </row>
    <row r="150" spans="1:17" ht="14.4" customHeight="1" x14ac:dyDescent="0.3">
      <c r="A150" s="638" t="s">
        <v>543</v>
      </c>
      <c r="B150" s="639" t="s">
        <v>2092</v>
      </c>
      <c r="C150" s="639" t="s">
        <v>1910</v>
      </c>
      <c r="D150" s="639" t="s">
        <v>2126</v>
      </c>
      <c r="E150" s="639" t="s">
        <v>2127</v>
      </c>
      <c r="F150" s="642"/>
      <c r="G150" s="642"/>
      <c r="H150" s="642"/>
      <c r="I150" s="642"/>
      <c r="J150" s="642"/>
      <c r="K150" s="642"/>
      <c r="L150" s="642"/>
      <c r="M150" s="642"/>
      <c r="N150" s="642">
        <v>1</v>
      </c>
      <c r="O150" s="642">
        <v>8444</v>
      </c>
      <c r="P150" s="656"/>
      <c r="Q150" s="643">
        <v>8444</v>
      </c>
    </row>
    <row r="151" spans="1:17" ht="14.4" customHeight="1" x14ac:dyDescent="0.3">
      <c r="A151" s="638" t="s">
        <v>543</v>
      </c>
      <c r="B151" s="639" t="s">
        <v>2092</v>
      </c>
      <c r="C151" s="639" t="s">
        <v>1910</v>
      </c>
      <c r="D151" s="639" t="s">
        <v>2128</v>
      </c>
      <c r="E151" s="639" t="s">
        <v>2129</v>
      </c>
      <c r="F151" s="642">
        <v>1</v>
      </c>
      <c r="G151" s="642">
        <v>6568</v>
      </c>
      <c r="H151" s="642">
        <v>1</v>
      </c>
      <c r="I151" s="642">
        <v>6568</v>
      </c>
      <c r="J151" s="642"/>
      <c r="K151" s="642"/>
      <c r="L151" s="642"/>
      <c r="M151" s="642"/>
      <c r="N151" s="642">
        <v>1</v>
      </c>
      <c r="O151" s="642">
        <v>6813</v>
      </c>
      <c r="P151" s="656">
        <v>1.0373020706455542</v>
      </c>
      <c r="Q151" s="643">
        <v>6813</v>
      </c>
    </row>
    <row r="152" spans="1:17" ht="14.4" customHeight="1" x14ac:dyDescent="0.3">
      <c r="A152" s="638" t="s">
        <v>543</v>
      </c>
      <c r="B152" s="639" t="s">
        <v>2092</v>
      </c>
      <c r="C152" s="639" t="s">
        <v>1910</v>
      </c>
      <c r="D152" s="639" t="s">
        <v>2130</v>
      </c>
      <c r="E152" s="639" t="s">
        <v>2131</v>
      </c>
      <c r="F152" s="642"/>
      <c r="G152" s="642"/>
      <c r="H152" s="642"/>
      <c r="I152" s="642"/>
      <c r="J152" s="642">
        <v>1</v>
      </c>
      <c r="K152" s="642">
        <v>9482</v>
      </c>
      <c r="L152" s="642"/>
      <c r="M152" s="642">
        <v>9482</v>
      </c>
      <c r="N152" s="642">
        <v>1</v>
      </c>
      <c r="O152" s="642">
        <v>9773</v>
      </c>
      <c r="P152" s="656"/>
      <c r="Q152" s="643">
        <v>9773</v>
      </c>
    </row>
    <row r="153" spans="1:17" ht="14.4" customHeight="1" x14ac:dyDescent="0.3">
      <c r="A153" s="638" t="s">
        <v>543</v>
      </c>
      <c r="B153" s="639" t="s">
        <v>2092</v>
      </c>
      <c r="C153" s="639" t="s">
        <v>1910</v>
      </c>
      <c r="D153" s="639" t="s">
        <v>2132</v>
      </c>
      <c r="E153" s="639" t="s">
        <v>2133</v>
      </c>
      <c r="F153" s="642"/>
      <c r="G153" s="642"/>
      <c r="H153" s="642"/>
      <c r="I153" s="642"/>
      <c r="J153" s="642"/>
      <c r="K153" s="642"/>
      <c r="L153" s="642"/>
      <c r="M153" s="642"/>
      <c r="N153" s="642">
        <v>1</v>
      </c>
      <c r="O153" s="642">
        <v>16800</v>
      </c>
      <c r="P153" s="656"/>
      <c r="Q153" s="643">
        <v>16800</v>
      </c>
    </row>
    <row r="154" spans="1:17" ht="14.4" customHeight="1" x14ac:dyDescent="0.3">
      <c r="A154" s="638" t="s">
        <v>543</v>
      </c>
      <c r="B154" s="639" t="s">
        <v>2134</v>
      </c>
      <c r="C154" s="639" t="s">
        <v>1910</v>
      </c>
      <c r="D154" s="639" t="s">
        <v>2135</v>
      </c>
      <c r="E154" s="639" t="s">
        <v>2136</v>
      </c>
      <c r="F154" s="642">
        <v>2</v>
      </c>
      <c r="G154" s="642">
        <v>4416</v>
      </c>
      <c r="H154" s="642">
        <v>1</v>
      </c>
      <c r="I154" s="642">
        <v>2208</v>
      </c>
      <c r="J154" s="642">
        <v>3</v>
      </c>
      <c r="K154" s="642">
        <v>6714</v>
      </c>
      <c r="L154" s="642">
        <v>1.5203804347826086</v>
      </c>
      <c r="M154" s="642">
        <v>2238</v>
      </c>
      <c r="N154" s="642"/>
      <c r="O154" s="642"/>
      <c r="P154" s="656"/>
      <c r="Q154" s="643"/>
    </row>
    <row r="155" spans="1:17" ht="14.4" customHeight="1" x14ac:dyDescent="0.3">
      <c r="A155" s="638" t="s">
        <v>543</v>
      </c>
      <c r="B155" s="639" t="s">
        <v>2134</v>
      </c>
      <c r="C155" s="639" t="s">
        <v>1910</v>
      </c>
      <c r="D155" s="639" t="s">
        <v>2137</v>
      </c>
      <c r="E155" s="639" t="s">
        <v>2138</v>
      </c>
      <c r="F155" s="642">
        <v>1</v>
      </c>
      <c r="G155" s="642">
        <v>4421</v>
      </c>
      <c r="H155" s="642">
        <v>1</v>
      </c>
      <c r="I155" s="642">
        <v>4421</v>
      </c>
      <c r="J155" s="642">
        <v>1</v>
      </c>
      <c r="K155" s="642">
        <v>4479</v>
      </c>
      <c r="L155" s="642">
        <v>1.0131192038000452</v>
      </c>
      <c r="M155" s="642">
        <v>4479</v>
      </c>
      <c r="N155" s="642"/>
      <c r="O155" s="642"/>
      <c r="P155" s="656"/>
      <c r="Q155" s="643"/>
    </row>
    <row r="156" spans="1:17" ht="14.4" customHeight="1" x14ac:dyDescent="0.3">
      <c r="A156" s="638" t="s">
        <v>543</v>
      </c>
      <c r="B156" s="639" t="s">
        <v>2139</v>
      </c>
      <c r="C156" s="639" t="s">
        <v>1910</v>
      </c>
      <c r="D156" s="639" t="s">
        <v>2140</v>
      </c>
      <c r="E156" s="639" t="s">
        <v>2141</v>
      </c>
      <c r="F156" s="642">
        <v>1767</v>
      </c>
      <c r="G156" s="642">
        <v>347720</v>
      </c>
      <c r="H156" s="642">
        <v>1</v>
      </c>
      <c r="I156" s="642">
        <v>196.78551216751558</v>
      </c>
      <c r="J156" s="642">
        <v>1673</v>
      </c>
      <c r="K156" s="642">
        <v>331251</v>
      </c>
      <c r="L156" s="642">
        <v>0.9526371793396986</v>
      </c>
      <c r="M156" s="642">
        <v>197.9982068141064</v>
      </c>
      <c r="N156" s="642">
        <v>1832</v>
      </c>
      <c r="O156" s="642">
        <v>373680</v>
      </c>
      <c r="P156" s="656">
        <v>1.0746577706200391</v>
      </c>
      <c r="Q156" s="643">
        <v>203.97379912663754</v>
      </c>
    </row>
    <row r="157" spans="1:17" ht="14.4" customHeight="1" x14ac:dyDescent="0.3">
      <c r="A157" s="638" t="s">
        <v>543</v>
      </c>
      <c r="B157" s="639" t="s">
        <v>2142</v>
      </c>
      <c r="C157" s="639" t="s">
        <v>1910</v>
      </c>
      <c r="D157" s="639" t="s">
        <v>2143</v>
      </c>
      <c r="E157" s="639" t="s">
        <v>2144</v>
      </c>
      <c r="F157" s="642"/>
      <c r="G157" s="642"/>
      <c r="H157" s="642"/>
      <c r="I157" s="642"/>
      <c r="J157" s="642">
        <v>1</v>
      </c>
      <c r="K157" s="642">
        <v>525</v>
      </c>
      <c r="L157" s="642"/>
      <c r="M157" s="642">
        <v>525</v>
      </c>
      <c r="N157" s="642"/>
      <c r="O157" s="642"/>
      <c r="P157" s="656"/>
      <c r="Q157" s="643"/>
    </row>
    <row r="158" spans="1:17" ht="14.4" customHeight="1" x14ac:dyDescent="0.3">
      <c r="A158" s="638" t="s">
        <v>543</v>
      </c>
      <c r="B158" s="639" t="s">
        <v>2142</v>
      </c>
      <c r="C158" s="639" t="s">
        <v>1910</v>
      </c>
      <c r="D158" s="639" t="s">
        <v>2145</v>
      </c>
      <c r="E158" s="639" t="s">
        <v>2146</v>
      </c>
      <c r="F158" s="642"/>
      <c r="G158" s="642"/>
      <c r="H158" s="642"/>
      <c r="I158" s="642"/>
      <c r="J158" s="642">
        <v>1</v>
      </c>
      <c r="K158" s="642">
        <v>3032</v>
      </c>
      <c r="L158" s="642"/>
      <c r="M158" s="642">
        <v>3032</v>
      </c>
      <c r="N158" s="642"/>
      <c r="O158" s="642"/>
      <c r="P158" s="656"/>
      <c r="Q158" s="643"/>
    </row>
    <row r="159" spans="1:17" ht="14.4" customHeight="1" x14ac:dyDescent="0.3">
      <c r="A159" s="638" t="s">
        <v>2147</v>
      </c>
      <c r="B159" s="639" t="s">
        <v>1915</v>
      </c>
      <c r="C159" s="639" t="s">
        <v>1916</v>
      </c>
      <c r="D159" s="639" t="s">
        <v>1920</v>
      </c>
      <c r="E159" s="639" t="s">
        <v>1918</v>
      </c>
      <c r="F159" s="642"/>
      <c r="G159" s="642"/>
      <c r="H159" s="642"/>
      <c r="I159" s="642"/>
      <c r="J159" s="642"/>
      <c r="K159" s="642"/>
      <c r="L159" s="642"/>
      <c r="M159" s="642"/>
      <c r="N159" s="642">
        <v>0</v>
      </c>
      <c r="O159" s="642">
        <v>0</v>
      </c>
      <c r="P159" s="656"/>
      <c r="Q159" s="643"/>
    </row>
    <row r="160" spans="1:17" ht="14.4" customHeight="1" x14ac:dyDescent="0.3">
      <c r="A160" s="638" t="s">
        <v>2147</v>
      </c>
      <c r="B160" s="639" t="s">
        <v>1915</v>
      </c>
      <c r="C160" s="639" t="s">
        <v>1916</v>
      </c>
      <c r="D160" s="639" t="s">
        <v>1920</v>
      </c>
      <c r="E160" s="639" t="s">
        <v>1220</v>
      </c>
      <c r="F160" s="642"/>
      <c r="G160" s="642"/>
      <c r="H160" s="642"/>
      <c r="I160" s="642"/>
      <c r="J160" s="642"/>
      <c r="K160" s="642"/>
      <c r="L160" s="642"/>
      <c r="M160" s="642"/>
      <c r="N160" s="642">
        <v>3</v>
      </c>
      <c r="O160" s="642">
        <v>58962.75</v>
      </c>
      <c r="P160" s="656"/>
      <c r="Q160" s="643">
        <v>19654.25</v>
      </c>
    </row>
    <row r="161" spans="1:17" ht="14.4" customHeight="1" x14ac:dyDescent="0.3">
      <c r="A161" s="638" t="s">
        <v>2147</v>
      </c>
      <c r="B161" s="639" t="s">
        <v>1915</v>
      </c>
      <c r="C161" s="639" t="s">
        <v>1916</v>
      </c>
      <c r="D161" s="639" t="s">
        <v>1921</v>
      </c>
      <c r="E161" s="639" t="s">
        <v>1918</v>
      </c>
      <c r="F161" s="642"/>
      <c r="G161" s="642"/>
      <c r="H161" s="642"/>
      <c r="I161" s="642"/>
      <c r="J161" s="642"/>
      <c r="K161" s="642"/>
      <c r="L161" s="642"/>
      <c r="M161" s="642"/>
      <c r="N161" s="642">
        <v>0</v>
      </c>
      <c r="O161" s="642">
        <v>0</v>
      </c>
      <c r="P161" s="656"/>
      <c r="Q161" s="643"/>
    </row>
    <row r="162" spans="1:17" ht="14.4" customHeight="1" x14ac:dyDescent="0.3">
      <c r="A162" s="638" t="s">
        <v>2147</v>
      </c>
      <c r="B162" s="639" t="s">
        <v>1915</v>
      </c>
      <c r="C162" s="639" t="s">
        <v>1916</v>
      </c>
      <c r="D162" s="639" t="s">
        <v>1921</v>
      </c>
      <c r="E162" s="639" t="s">
        <v>1220</v>
      </c>
      <c r="F162" s="642"/>
      <c r="G162" s="642"/>
      <c r="H162" s="642"/>
      <c r="I162" s="642"/>
      <c r="J162" s="642"/>
      <c r="K162" s="642"/>
      <c r="L162" s="642"/>
      <c r="M162" s="642"/>
      <c r="N162" s="642">
        <v>1</v>
      </c>
      <c r="O162" s="642">
        <v>9827.1200000000008</v>
      </c>
      <c r="P162" s="656"/>
      <c r="Q162" s="643">
        <v>9827.1200000000008</v>
      </c>
    </row>
    <row r="163" spans="1:17" ht="14.4" customHeight="1" x14ac:dyDescent="0.3">
      <c r="A163" s="638" t="s">
        <v>2147</v>
      </c>
      <c r="B163" s="639" t="s">
        <v>1915</v>
      </c>
      <c r="C163" s="639" t="s">
        <v>1910</v>
      </c>
      <c r="D163" s="639" t="s">
        <v>1928</v>
      </c>
      <c r="E163" s="639" t="s">
        <v>1929</v>
      </c>
      <c r="F163" s="642"/>
      <c r="G163" s="642"/>
      <c r="H163" s="642"/>
      <c r="I163" s="642"/>
      <c r="J163" s="642">
        <v>1</v>
      </c>
      <c r="K163" s="642">
        <v>35</v>
      </c>
      <c r="L163" s="642"/>
      <c r="M163" s="642">
        <v>35</v>
      </c>
      <c r="N163" s="642"/>
      <c r="O163" s="642"/>
      <c r="P163" s="656"/>
      <c r="Q163" s="643"/>
    </row>
    <row r="164" spans="1:17" ht="14.4" customHeight="1" x14ac:dyDescent="0.3">
      <c r="A164" s="638" t="s">
        <v>2147</v>
      </c>
      <c r="B164" s="639" t="s">
        <v>1915</v>
      </c>
      <c r="C164" s="639" t="s">
        <v>1910</v>
      </c>
      <c r="D164" s="639" t="s">
        <v>1930</v>
      </c>
      <c r="E164" s="639" t="s">
        <v>1931</v>
      </c>
      <c r="F164" s="642"/>
      <c r="G164" s="642"/>
      <c r="H164" s="642"/>
      <c r="I164" s="642"/>
      <c r="J164" s="642">
        <v>1</v>
      </c>
      <c r="K164" s="642">
        <v>165</v>
      </c>
      <c r="L164" s="642"/>
      <c r="M164" s="642">
        <v>165</v>
      </c>
      <c r="N164" s="642">
        <v>1</v>
      </c>
      <c r="O164" s="642">
        <v>177</v>
      </c>
      <c r="P164" s="656"/>
      <c r="Q164" s="643">
        <v>177</v>
      </c>
    </row>
    <row r="165" spans="1:17" ht="14.4" customHeight="1" x14ac:dyDescent="0.3">
      <c r="A165" s="638" t="s">
        <v>2147</v>
      </c>
      <c r="B165" s="639" t="s">
        <v>1915</v>
      </c>
      <c r="C165" s="639" t="s">
        <v>1910</v>
      </c>
      <c r="D165" s="639" t="s">
        <v>1932</v>
      </c>
      <c r="E165" s="639" t="s">
        <v>1933</v>
      </c>
      <c r="F165" s="642"/>
      <c r="G165" s="642"/>
      <c r="H165" s="642"/>
      <c r="I165" s="642"/>
      <c r="J165" s="642"/>
      <c r="K165" s="642"/>
      <c r="L165" s="642"/>
      <c r="M165" s="642"/>
      <c r="N165" s="642">
        <v>3</v>
      </c>
      <c r="O165" s="642">
        <v>0</v>
      </c>
      <c r="P165" s="656"/>
      <c r="Q165" s="643">
        <v>0</v>
      </c>
    </row>
    <row r="166" spans="1:17" ht="14.4" customHeight="1" thickBot="1" x14ac:dyDescent="0.35">
      <c r="A166" s="644" t="s">
        <v>2147</v>
      </c>
      <c r="B166" s="645" t="s">
        <v>1915</v>
      </c>
      <c r="C166" s="645" t="s">
        <v>1910</v>
      </c>
      <c r="D166" s="645" t="s">
        <v>1911</v>
      </c>
      <c r="E166" s="645" t="s">
        <v>1912</v>
      </c>
      <c r="F166" s="648"/>
      <c r="G166" s="648"/>
      <c r="H166" s="648"/>
      <c r="I166" s="648"/>
      <c r="J166" s="648"/>
      <c r="K166" s="648"/>
      <c r="L166" s="648"/>
      <c r="M166" s="648"/>
      <c r="N166" s="648">
        <v>1</v>
      </c>
      <c r="O166" s="648">
        <v>354</v>
      </c>
      <c r="P166" s="657"/>
      <c r="Q166" s="649">
        <v>354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46" customWidth="1"/>
    <col min="2" max="4" width="7.88671875" style="346" customWidth="1"/>
    <col min="5" max="5" width="7.88671875" style="355" customWidth="1"/>
    <col min="6" max="8" width="7.88671875" style="346" customWidth="1"/>
    <col min="9" max="9" width="7.88671875" style="356" customWidth="1"/>
    <col min="10" max="13" width="7.88671875" style="346" customWidth="1"/>
    <col min="14" max="16384" width="9.33203125" style="346"/>
  </cols>
  <sheetData>
    <row r="1" spans="1:13" ht="18.600000000000001" customHeight="1" thickBot="1" x14ac:dyDescent="0.4">
      <c r="A1" s="565" t="s">
        <v>128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</row>
    <row r="2" spans="1:13" ht="14.4" customHeight="1" thickBot="1" x14ac:dyDescent="0.35">
      <c r="A2" s="368" t="s">
        <v>301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</row>
    <row r="3" spans="1:13" ht="14.4" customHeight="1" thickBot="1" x14ac:dyDescent="0.35">
      <c r="A3" s="566" t="s">
        <v>63</v>
      </c>
      <c r="B3" s="528" t="s">
        <v>64</v>
      </c>
      <c r="C3" s="529"/>
      <c r="D3" s="529"/>
      <c r="E3" s="530"/>
      <c r="F3" s="528" t="s">
        <v>248</v>
      </c>
      <c r="G3" s="529"/>
      <c r="H3" s="529"/>
      <c r="I3" s="530"/>
      <c r="J3" s="113"/>
      <c r="K3" s="114"/>
      <c r="L3" s="113"/>
      <c r="M3" s="115"/>
    </row>
    <row r="4" spans="1:13" ht="14.4" customHeight="1" thickBot="1" x14ac:dyDescent="0.35">
      <c r="A4" s="567"/>
      <c r="B4" s="116">
        <v>2014</v>
      </c>
      <c r="C4" s="117">
        <v>2015</v>
      </c>
      <c r="D4" s="117">
        <v>2016</v>
      </c>
      <c r="E4" s="118" t="s">
        <v>2</v>
      </c>
      <c r="F4" s="116">
        <v>2014</v>
      </c>
      <c r="G4" s="117">
        <v>2015</v>
      </c>
      <c r="H4" s="117">
        <v>2016</v>
      </c>
      <c r="I4" s="118" t="s">
        <v>2</v>
      </c>
      <c r="J4" s="113"/>
      <c r="K4" s="113"/>
      <c r="L4" s="119" t="s">
        <v>65</v>
      </c>
      <c r="M4" s="120" t="s">
        <v>66</v>
      </c>
    </row>
    <row r="5" spans="1:13" ht="14.4" hidden="1" customHeight="1" outlineLevel="1" x14ac:dyDescent="0.3">
      <c r="A5" s="108" t="s">
        <v>160</v>
      </c>
      <c r="B5" s="111">
        <v>784.69500000000005</v>
      </c>
      <c r="C5" s="104">
        <v>843.37300000000005</v>
      </c>
      <c r="D5" s="104">
        <v>946.28700000000003</v>
      </c>
      <c r="E5" s="121">
        <v>1.1220266714727647</v>
      </c>
      <c r="F5" s="122">
        <v>580</v>
      </c>
      <c r="G5" s="104">
        <v>646</v>
      </c>
      <c r="H5" s="104">
        <v>689</v>
      </c>
      <c r="I5" s="123">
        <v>1.0665634674922602</v>
      </c>
      <c r="J5" s="113"/>
      <c r="K5" s="113"/>
      <c r="L5" s="7">
        <f>D5-B5</f>
        <v>161.59199999999998</v>
      </c>
      <c r="M5" s="8">
        <f>H5-F5</f>
        <v>109</v>
      </c>
    </row>
    <row r="6" spans="1:13" ht="14.4" hidden="1" customHeight="1" outlineLevel="1" x14ac:dyDescent="0.3">
      <c r="A6" s="109" t="s">
        <v>161</v>
      </c>
      <c r="B6" s="112">
        <v>249.77500000000001</v>
      </c>
      <c r="C6" s="103">
        <v>326.62900000000002</v>
      </c>
      <c r="D6" s="103">
        <v>303.66899999999998</v>
      </c>
      <c r="E6" s="124">
        <v>0.9297061804065162</v>
      </c>
      <c r="F6" s="125">
        <v>272</v>
      </c>
      <c r="G6" s="103">
        <v>283</v>
      </c>
      <c r="H6" s="103">
        <v>261</v>
      </c>
      <c r="I6" s="126">
        <v>0.92226148409893993</v>
      </c>
      <c r="J6" s="113"/>
      <c r="K6" s="113"/>
      <c r="L6" s="5">
        <f t="shared" ref="L6:L11" si="0">D6-B6</f>
        <v>53.893999999999977</v>
      </c>
      <c r="M6" s="6">
        <f t="shared" ref="M6:M13" si="1">H6-F6</f>
        <v>-11</v>
      </c>
    </row>
    <row r="7" spans="1:13" ht="14.4" hidden="1" customHeight="1" outlineLevel="1" x14ac:dyDescent="0.3">
      <c r="A7" s="109" t="s">
        <v>162</v>
      </c>
      <c r="B7" s="112">
        <v>958.16300000000001</v>
      </c>
      <c r="C7" s="103">
        <v>1398.4670000000001</v>
      </c>
      <c r="D7" s="103">
        <v>1259.423</v>
      </c>
      <c r="E7" s="124">
        <v>0.90057398565715163</v>
      </c>
      <c r="F7" s="125">
        <v>1112</v>
      </c>
      <c r="G7" s="103">
        <v>991</v>
      </c>
      <c r="H7" s="103">
        <v>1058</v>
      </c>
      <c r="I7" s="126">
        <v>1.0676084762865792</v>
      </c>
      <c r="J7" s="113"/>
      <c r="K7" s="113"/>
      <c r="L7" s="5">
        <f t="shared" si="0"/>
        <v>301.26</v>
      </c>
      <c r="M7" s="6">
        <f t="shared" si="1"/>
        <v>-54</v>
      </c>
    </row>
    <row r="8" spans="1:13" ht="14.4" hidden="1" customHeight="1" outlineLevel="1" x14ac:dyDescent="0.3">
      <c r="A8" s="109" t="s">
        <v>163</v>
      </c>
      <c r="B8" s="112">
        <v>134.78200000000001</v>
      </c>
      <c r="C8" s="103">
        <v>195.52500000000001</v>
      </c>
      <c r="D8" s="103">
        <v>95.167000000000002</v>
      </c>
      <c r="E8" s="124">
        <v>0.48672548267484977</v>
      </c>
      <c r="F8" s="125">
        <v>93</v>
      </c>
      <c r="G8" s="103">
        <v>101</v>
      </c>
      <c r="H8" s="103">
        <v>85</v>
      </c>
      <c r="I8" s="126">
        <v>0.84158415841584155</v>
      </c>
      <c r="J8" s="113"/>
      <c r="K8" s="113"/>
      <c r="L8" s="5">
        <f t="shared" si="0"/>
        <v>-39.615000000000009</v>
      </c>
      <c r="M8" s="6">
        <f t="shared" si="1"/>
        <v>-8</v>
      </c>
    </row>
    <row r="9" spans="1:13" ht="14.4" hidden="1" customHeight="1" outlineLevel="1" x14ac:dyDescent="0.3">
      <c r="A9" s="109" t="s">
        <v>164</v>
      </c>
      <c r="B9" s="112">
        <v>45.085000000000001</v>
      </c>
      <c r="C9" s="103">
        <v>0</v>
      </c>
      <c r="D9" s="103">
        <v>0</v>
      </c>
      <c r="E9" s="124" t="s">
        <v>545</v>
      </c>
      <c r="F9" s="125">
        <v>2</v>
      </c>
      <c r="G9" s="103">
        <v>0</v>
      </c>
      <c r="H9" s="103">
        <v>0</v>
      </c>
      <c r="I9" s="126" t="s">
        <v>545</v>
      </c>
      <c r="J9" s="113"/>
      <c r="K9" s="113"/>
      <c r="L9" s="5">
        <f t="shared" si="0"/>
        <v>-45.085000000000001</v>
      </c>
      <c r="M9" s="6">
        <f t="shared" si="1"/>
        <v>-2</v>
      </c>
    </row>
    <row r="10" spans="1:13" ht="14.4" hidden="1" customHeight="1" outlineLevel="1" x14ac:dyDescent="0.3">
      <c r="A10" s="109" t="s">
        <v>165</v>
      </c>
      <c r="B10" s="112">
        <v>386.32900000000001</v>
      </c>
      <c r="C10" s="103">
        <v>390.11799999999999</v>
      </c>
      <c r="D10" s="103">
        <v>273.58999999999997</v>
      </c>
      <c r="E10" s="124">
        <v>0.70130063211643656</v>
      </c>
      <c r="F10" s="125">
        <v>367</v>
      </c>
      <c r="G10" s="103">
        <v>321</v>
      </c>
      <c r="H10" s="103">
        <v>333</v>
      </c>
      <c r="I10" s="126">
        <v>1.0373831775700935</v>
      </c>
      <c r="J10" s="113"/>
      <c r="K10" s="113"/>
      <c r="L10" s="5">
        <f t="shared" si="0"/>
        <v>-112.73900000000003</v>
      </c>
      <c r="M10" s="6">
        <f t="shared" si="1"/>
        <v>-34</v>
      </c>
    </row>
    <row r="11" spans="1:13" ht="14.4" hidden="1" customHeight="1" outlineLevel="1" x14ac:dyDescent="0.3">
      <c r="A11" s="109" t="s">
        <v>166</v>
      </c>
      <c r="B11" s="112">
        <v>184.803</v>
      </c>
      <c r="C11" s="103">
        <v>148.33500000000001</v>
      </c>
      <c r="D11" s="103">
        <v>60.171999999999997</v>
      </c>
      <c r="E11" s="124">
        <v>0.40564937472612661</v>
      </c>
      <c r="F11" s="125">
        <v>61</v>
      </c>
      <c r="G11" s="103">
        <v>58</v>
      </c>
      <c r="H11" s="103">
        <v>67</v>
      </c>
      <c r="I11" s="126">
        <v>1.1551724137931034</v>
      </c>
      <c r="J11" s="113"/>
      <c r="K11" s="113"/>
      <c r="L11" s="5">
        <f t="shared" si="0"/>
        <v>-124.631</v>
      </c>
      <c r="M11" s="6">
        <f t="shared" si="1"/>
        <v>6</v>
      </c>
    </row>
    <row r="12" spans="1:13" ht="14.4" hidden="1" customHeight="1" outlineLevel="1" thickBot="1" x14ac:dyDescent="0.35">
      <c r="A12" s="234" t="s">
        <v>202</v>
      </c>
      <c r="B12" s="235">
        <v>22.603999999999999</v>
      </c>
      <c r="C12" s="236">
        <v>4.8540000000000001</v>
      </c>
      <c r="D12" s="236">
        <v>1.627</v>
      </c>
      <c r="E12" s="237">
        <v>0.33518747424804285</v>
      </c>
      <c r="F12" s="238">
        <v>10</v>
      </c>
      <c r="G12" s="236">
        <v>13</v>
      </c>
      <c r="H12" s="236">
        <v>4</v>
      </c>
      <c r="I12" s="239">
        <v>0.30769230769230771</v>
      </c>
      <c r="J12" s="113"/>
      <c r="K12" s="113"/>
      <c r="L12" s="240">
        <f>D12-B12</f>
        <v>-20.977</v>
      </c>
      <c r="M12" s="241">
        <f>H12-F12</f>
        <v>-6</v>
      </c>
    </row>
    <row r="13" spans="1:13" ht="14.4" customHeight="1" collapsed="1" thickBot="1" x14ac:dyDescent="0.35">
      <c r="A13" s="110" t="s">
        <v>3</v>
      </c>
      <c r="B13" s="105">
        <f>SUM(B5:B12)</f>
        <v>2766.2359999999999</v>
      </c>
      <c r="C13" s="106">
        <f>SUM(C5:C12)</f>
        <v>3307.3009999999999</v>
      </c>
      <c r="D13" s="106">
        <f>SUM(D5:D12)</f>
        <v>2939.9349999999999</v>
      </c>
      <c r="E13" s="127">
        <f>IF(OR(D13=0,B13=0),0,D13/B13)</f>
        <v>1.062792545538414</v>
      </c>
      <c r="F13" s="128">
        <f>SUM(F5:F12)</f>
        <v>2497</v>
      </c>
      <c r="G13" s="106">
        <f>SUM(G5:G12)</f>
        <v>2413</v>
      </c>
      <c r="H13" s="106">
        <f>SUM(H5:H12)</f>
        <v>2497</v>
      </c>
      <c r="I13" s="129">
        <f>IF(OR(H13=0,F13=0),0,H13/F13)</f>
        <v>1</v>
      </c>
      <c r="J13" s="113"/>
      <c r="K13" s="113"/>
      <c r="L13" s="119">
        <f>D13-B13</f>
        <v>173.69900000000007</v>
      </c>
      <c r="M13" s="130">
        <f t="shared" si="1"/>
        <v>0</v>
      </c>
    </row>
    <row r="14" spans="1:13" ht="14.4" customHeight="1" x14ac:dyDescent="0.3">
      <c r="A14" s="131"/>
      <c r="B14" s="559"/>
      <c r="C14" s="559"/>
      <c r="D14" s="559"/>
      <c r="E14" s="559"/>
      <c r="F14" s="559"/>
      <c r="G14" s="559"/>
      <c r="H14" s="559"/>
      <c r="I14" s="559"/>
      <c r="J14" s="113"/>
      <c r="K14" s="113"/>
      <c r="L14" s="113"/>
      <c r="M14" s="115"/>
    </row>
    <row r="15" spans="1:13" ht="14.4" customHeight="1" thickBot="1" x14ac:dyDescent="0.35">
      <c r="A15" s="131"/>
      <c r="B15" s="348"/>
      <c r="C15" s="349"/>
      <c r="D15" s="349"/>
      <c r="E15" s="349"/>
      <c r="F15" s="348"/>
      <c r="G15" s="349"/>
      <c r="H15" s="349"/>
      <c r="I15" s="349"/>
      <c r="J15" s="113"/>
      <c r="K15" s="113"/>
      <c r="L15" s="113"/>
      <c r="M15" s="115"/>
    </row>
    <row r="16" spans="1:13" ht="14.4" customHeight="1" thickBot="1" x14ac:dyDescent="0.35">
      <c r="A16" s="554" t="s">
        <v>198</v>
      </c>
      <c r="B16" s="556" t="s">
        <v>64</v>
      </c>
      <c r="C16" s="557"/>
      <c r="D16" s="557"/>
      <c r="E16" s="558"/>
      <c r="F16" s="556" t="s">
        <v>248</v>
      </c>
      <c r="G16" s="557"/>
      <c r="H16" s="557"/>
      <c r="I16" s="558"/>
      <c r="J16" s="561" t="s">
        <v>171</v>
      </c>
      <c r="K16" s="562"/>
      <c r="L16" s="148"/>
      <c r="M16" s="148"/>
    </row>
    <row r="17" spans="1:13" ht="14.4" customHeight="1" thickBot="1" x14ac:dyDescent="0.35">
      <c r="A17" s="555"/>
      <c r="B17" s="132">
        <v>2014</v>
      </c>
      <c r="C17" s="133">
        <v>2015</v>
      </c>
      <c r="D17" s="133">
        <v>2016</v>
      </c>
      <c r="E17" s="134" t="s">
        <v>2</v>
      </c>
      <c r="F17" s="132">
        <v>2014</v>
      </c>
      <c r="G17" s="133">
        <v>2015</v>
      </c>
      <c r="H17" s="133">
        <v>2016</v>
      </c>
      <c r="I17" s="134" t="s">
        <v>2</v>
      </c>
      <c r="J17" s="563" t="s">
        <v>172</v>
      </c>
      <c r="K17" s="564"/>
      <c r="L17" s="135" t="s">
        <v>65</v>
      </c>
      <c r="M17" s="136" t="s">
        <v>66</v>
      </c>
    </row>
    <row r="18" spans="1:13" ht="14.4" hidden="1" customHeight="1" outlineLevel="1" x14ac:dyDescent="0.3">
      <c r="A18" s="108" t="s">
        <v>160</v>
      </c>
      <c r="B18" s="111">
        <v>2.5760000000000001</v>
      </c>
      <c r="C18" s="104">
        <v>5.508</v>
      </c>
      <c r="D18" s="104">
        <v>3.2029999999999998</v>
      </c>
      <c r="E18" s="121">
        <v>0.58151779230210598</v>
      </c>
      <c r="F18" s="111">
        <v>8</v>
      </c>
      <c r="G18" s="104">
        <v>17</v>
      </c>
      <c r="H18" s="104">
        <v>8</v>
      </c>
      <c r="I18" s="123">
        <v>0.47058823529411764</v>
      </c>
      <c r="J18" s="547">
        <v>0.91871999999999998</v>
      </c>
      <c r="K18" s="548"/>
      <c r="L18" s="137">
        <f>D18-B18</f>
        <v>0.62699999999999978</v>
      </c>
      <c r="M18" s="138">
        <f>H18-F18</f>
        <v>0</v>
      </c>
    </row>
    <row r="19" spans="1:13" ht="14.4" hidden="1" customHeight="1" outlineLevel="1" x14ac:dyDescent="0.3">
      <c r="A19" s="109" t="s">
        <v>161</v>
      </c>
      <c r="B19" s="112">
        <v>0.51400000000000001</v>
      </c>
      <c r="C19" s="103">
        <v>0.89700000000000002</v>
      </c>
      <c r="D19" s="103">
        <v>0</v>
      </c>
      <c r="E19" s="124" t="s">
        <v>545</v>
      </c>
      <c r="F19" s="112">
        <v>2</v>
      </c>
      <c r="G19" s="103">
        <v>4</v>
      </c>
      <c r="H19" s="103">
        <v>0</v>
      </c>
      <c r="I19" s="126" t="s">
        <v>545</v>
      </c>
      <c r="J19" s="547">
        <v>0.99456</v>
      </c>
      <c r="K19" s="548"/>
      <c r="L19" s="139">
        <f t="shared" ref="L19:L26" si="2">D19-B19</f>
        <v>-0.51400000000000001</v>
      </c>
      <c r="M19" s="140">
        <f t="shared" ref="M19:M26" si="3">H19-F19</f>
        <v>-2</v>
      </c>
    </row>
    <row r="20" spans="1:13" ht="14.4" hidden="1" customHeight="1" outlineLevel="1" x14ac:dyDescent="0.3">
      <c r="A20" s="109" t="s">
        <v>162</v>
      </c>
      <c r="B20" s="112">
        <v>4.2530000000000001</v>
      </c>
      <c r="C20" s="103">
        <v>11.605</v>
      </c>
      <c r="D20" s="103">
        <v>10.489000000000001</v>
      </c>
      <c r="E20" s="124">
        <v>0.90383455407152091</v>
      </c>
      <c r="F20" s="112">
        <v>11</v>
      </c>
      <c r="G20" s="103">
        <v>21</v>
      </c>
      <c r="H20" s="103">
        <v>22</v>
      </c>
      <c r="I20" s="126">
        <v>1.0476190476190477</v>
      </c>
      <c r="J20" s="547">
        <v>0.96671999999999991</v>
      </c>
      <c r="K20" s="548"/>
      <c r="L20" s="139">
        <f t="shared" si="2"/>
        <v>6.2360000000000007</v>
      </c>
      <c r="M20" s="140">
        <f t="shared" si="3"/>
        <v>11</v>
      </c>
    </row>
    <row r="21" spans="1:13" ht="14.4" hidden="1" customHeight="1" outlineLevel="1" x14ac:dyDescent="0.3">
      <c r="A21" s="109" t="s">
        <v>163</v>
      </c>
      <c r="B21" s="112">
        <v>0.25700000000000001</v>
      </c>
      <c r="C21" s="103">
        <v>0.434</v>
      </c>
      <c r="D21" s="103">
        <v>0.17699999999999999</v>
      </c>
      <c r="E21" s="124">
        <v>0.40783410138248843</v>
      </c>
      <c r="F21" s="112">
        <v>1</v>
      </c>
      <c r="G21" s="103">
        <v>2</v>
      </c>
      <c r="H21" s="103">
        <v>1</v>
      </c>
      <c r="I21" s="126">
        <v>0.5</v>
      </c>
      <c r="J21" s="547">
        <v>1.11744</v>
      </c>
      <c r="K21" s="548"/>
      <c r="L21" s="139">
        <f t="shared" si="2"/>
        <v>-8.0000000000000016E-2</v>
      </c>
      <c r="M21" s="140">
        <f t="shared" si="3"/>
        <v>0</v>
      </c>
    </row>
    <row r="22" spans="1:13" ht="14.4" hidden="1" customHeight="1" outlineLevel="1" x14ac:dyDescent="0.3">
      <c r="A22" s="109" t="s">
        <v>164</v>
      </c>
      <c r="B22" s="112">
        <v>0</v>
      </c>
      <c r="C22" s="103">
        <v>0</v>
      </c>
      <c r="D22" s="103">
        <v>0</v>
      </c>
      <c r="E22" s="124" t="s">
        <v>545</v>
      </c>
      <c r="F22" s="112">
        <v>0</v>
      </c>
      <c r="G22" s="103">
        <v>0</v>
      </c>
      <c r="H22" s="103">
        <v>0</v>
      </c>
      <c r="I22" s="126" t="s">
        <v>545</v>
      </c>
      <c r="J22" s="547">
        <v>0.96</v>
      </c>
      <c r="K22" s="548"/>
      <c r="L22" s="139">
        <f t="shared" si="2"/>
        <v>0</v>
      </c>
      <c r="M22" s="140">
        <f t="shared" si="3"/>
        <v>0</v>
      </c>
    </row>
    <row r="23" spans="1:13" ht="14.4" hidden="1" customHeight="1" outlineLevel="1" x14ac:dyDescent="0.3">
      <c r="A23" s="109" t="s">
        <v>165</v>
      </c>
      <c r="B23" s="112">
        <v>3.762</v>
      </c>
      <c r="C23" s="103">
        <v>1.3839999999999999</v>
      </c>
      <c r="D23" s="103">
        <v>0.94799999999999995</v>
      </c>
      <c r="E23" s="124">
        <v>0.68497109826589597</v>
      </c>
      <c r="F23" s="112">
        <v>5</v>
      </c>
      <c r="G23" s="103">
        <v>3</v>
      </c>
      <c r="H23" s="103">
        <v>4</v>
      </c>
      <c r="I23" s="126">
        <v>1.3333333333333333</v>
      </c>
      <c r="J23" s="547">
        <v>0.98495999999999995</v>
      </c>
      <c r="K23" s="548"/>
      <c r="L23" s="139">
        <f t="shared" si="2"/>
        <v>-2.8140000000000001</v>
      </c>
      <c r="M23" s="140">
        <f t="shared" si="3"/>
        <v>-1</v>
      </c>
    </row>
    <row r="24" spans="1:13" ht="14.4" hidden="1" customHeight="1" outlineLevel="1" x14ac:dyDescent="0.3">
      <c r="A24" s="109" t="s">
        <v>166</v>
      </c>
      <c r="B24" s="112">
        <v>0</v>
      </c>
      <c r="C24" s="103">
        <v>0</v>
      </c>
      <c r="D24" s="103">
        <v>0.82</v>
      </c>
      <c r="E24" s="124" t="s">
        <v>545</v>
      </c>
      <c r="F24" s="112">
        <v>0</v>
      </c>
      <c r="G24" s="103">
        <v>0</v>
      </c>
      <c r="H24" s="103">
        <v>1</v>
      </c>
      <c r="I24" s="126" t="s">
        <v>545</v>
      </c>
      <c r="J24" s="547">
        <v>1.0147199999999998</v>
      </c>
      <c r="K24" s="548"/>
      <c r="L24" s="139">
        <f t="shared" si="2"/>
        <v>0.82</v>
      </c>
      <c r="M24" s="140">
        <f t="shared" si="3"/>
        <v>1</v>
      </c>
    </row>
    <row r="25" spans="1:13" ht="14.4" hidden="1" customHeight="1" outlineLevel="1" thickBot="1" x14ac:dyDescent="0.35">
      <c r="A25" s="234" t="s">
        <v>202</v>
      </c>
      <c r="B25" s="235">
        <v>0.35</v>
      </c>
      <c r="C25" s="236">
        <v>0.33</v>
      </c>
      <c r="D25" s="236">
        <v>0.96</v>
      </c>
      <c r="E25" s="237">
        <v>2.9090909090909087</v>
      </c>
      <c r="F25" s="235">
        <v>3</v>
      </c>
      <c r="G25" s="236">
        <v>3</v>
      </c>
      <c r="H25" s="236">
        <v>2</v>
      </c>
      <c r="I25" s="239">
        <v>0.66666666666666663</v>
      </c>
      <c r="J25" s="350"/>
      <c r="K25" s="351"/>
      <c r="L25" s="242">
        <f>D25-B25</f>
        <v>0.61</v>
      </c>
      <c r="M25" s="243">
        <f>H25-F25</f>
        <v>-1</v>
      </c>
    </row>
    <row r="26" spans="1:13" ht="14.4" customHeight="1" collapsed="1" thickBot="1" x14ac:dyDescent="0.35">
      <c r="A26" s="141" t="s">
        <v>3</v>
      </c>
      <c r="B26" s="142">
        <f>SUM(B18:B25)</f>
        <v>11.712</v>
      </c>
      <c r="C26" s="143">
        <f>SUM(C18:C25)</f>
        <v>20.158000000000001</v>
      </c>
      <c r="D26" s="143">
        <f>SUM(D18:D25)</f>
        <v>16.597000000000001</v>
      </c>
      <c r="E26" s="144">
        <f>IF(OR(D26=0,B26=0),0,D26/B26)</f>
        <v>1.4170935792349728</v>
      </c>
      <c r="F26" s="142">
        <f>SUM(F18:F25)</f>
        <v>30</v>
      </c>
      <c r="G26" s="143">
        <f>SUM(G18:G25)</f>
        <v>50</v>
      </c>
      <c r="H26" s="143">
        <f>SUM(H18:H25)</f>
        <v>38</v>
      </c>
      <c r="I26" s="145">
        <f>IF(OR(H26=0,F26=0),0,H26/F26)</f>
        <v>1.2666666666666666</v>
      </c>
      <c r="J26" s="113"/>
      <c r="K26" s="113"/>
      <c r="L26" s="135">
        <f t="shared" si="2"/>
        <v>4.8850000000000016</v>
      </c>
      <c r="M26" s="146">
        <f t="shared" si="3"/>
        <v>8</v>
      </c>
    </row>
    <row r="27" spans="1:13" ht="14.4" customHeight="1" x14ac:dyDescent="0.3">
      <c r="A27" s="147"/>
      <c r="B27" s="559" t="s">
        <v>200</v>
      </c>
      <c r="C27" s="560"/>
      <c r="D27" s="560"/>
      <c r="E27" s="560"/>
      <c r="F27" s="559" t="s">
        <v>201</v>
      </c>
      <c r="G27" s="560"/>
      <c r="H27" s="560"/>
      <c r="I27" s="560"/>
      <c r="J27" s="148"/>
      <c r="K27" s="148"/>
      <c r="L27" s="148"/>
      <c r="M27" s="149"/>
    </row>
    <row r="28" spans="1:13" ht="14.4" customHeight="1" thickBot="1" x14ac:dyDescent="0.35">
      <c r="A28" s="147"/>
      <c r="B28" s="348"/>
      <c r="C28" s="349"/>
      <c r="D28" s="349"/>
      <c r="E28" s="349"/>
      <c r="F28" s="348"/>
      <c r="G28" s="349"/>
      <c r="H28" s="349"/>
      <c r="I28" s="349"/>
      <c r="J28" s="148"/>
      <c r="K28" s="148"/>
      <c r="L28" s="148"/>
      <c r="M28" s="149"/>
    </row>
    <row r="29" spans="1:13" ht="14.4" customHeight="1" thickBot="1" x14ac:dyDescent="0.35">
      <c r="A29" s="549" t="s">
        <v>199</v>
      </c>
      <c r="B29" s="551" t="s">
        <v>64</v>
      </c>
      <c r="C29" s="552"/>
      <c r="D29" s="552"/>
      <c r="E29" s="553"/>
      <c r="F29" s="552" t="s">
        <v>248</v>
      </c>
      <c r="G29" s="552"/>
      <c r="H29" s="552"/>
      <c r="I29" s="553"/>
      <c r="J29" s="148"/>
      <c r="K29" s="148"/>
      <c r="L29" s="148"/>
      <c r="M29" s="149"/>
    </row>
    <row r="30" spans="1:13" ht="14.4" customHeight="1" thickBot="1" x14ac:dyDescent="0.35">
      <c r="A30" s="550"/>
      <c r="B30" s="150">
        <v>2014</v>
      </c>
      <c r="C30" s="151">
        <v>2015</v>
      </c>
      <c r="D30" s="151">
        <v>2016</v>
      </c>
      <c r="E30" s="152" t="s">
        <v>2</v>
      </c>
      <c r="F30" s="151">
        <v>2014</v>
      </c>
      <c r="G30" s="151">
        <v>2015</v>
      </c>
      <c r="H30" s="151">
        <v>2016</v>
      </c>
      <c r="I30" s="152" t="s">
        <v>2</v>
      </c>
      <c r="J30" s="148"/>
      <c r="K30" s="148"/>
      <c r="L30" s="153" t="s">
        <v>65</v>
      </c>
      <c r="M30" s="154" t="s">
        <v>66</v>
      </c>
    </row>
    <row r="31" spans="1:13" ht="14.4" hidden="1" customHeight="1" outlineLevel="1" x14ac:dyDescent="0.3">
      <c r="A31" s="108" t="s">
        <v>160</v>
      </c>
      <c r="B31" s="111">
        <v>0</v>
      </c>
      <c r="C31" s="104">
        <v>0</v>
      </c>
      <c r="D31" s="104">
        <v>0</v>
      </c>
      <c r="E31" s="121" t="s">
        <v>545</v>
      </c>
      <c r="F31" s="122">
        <v>0</v>
      </c>
      <c r="G31" s="104">
        <v>0</v>
      </c>
      <c r="H31" s="104">
        <v>0</v>
      </c>
      <c r="I31" s="123" t="s">
        <v>545</v>
      </c>
      <c r="J31" s="148"/>
      <c r="K31" s="148"/>
      <c r="L31" s="137">
        <f t="shared" ref="L31:L39" si="4">D31-B31</f>
        <v>0</v>
      </c>
      <c r="M31" s="138">
        <f t="shared" ref="M31:M39" si="5">H31-F31</f>
        <v>0</v>
      </c>
    </row>
    <row r="32" spans="1:13" ht="14.4" hidden="1" customHeight="1" outlineLevel="1" x14ac:dyDescent="0.3">
      <c r="A32" s="109" t="s">
        <v>161</v>
      </c>
      <c r="B32" s="112">
        <v>0</v>
      </c>
      <c r="C32" s="103">
        <v>0</v>
      </c>
      <c r="D32" s="103">
        <v>0</v>
      </c>
      <c r="E32" s="124" t="s">
        <v>545</v>
      </c>
      <c r="F32" s="125">
        <v>0</v>
      </c>
      <c r="G32" s="103">
        <v>0</v>
      </c>
      <c r="H32" s="103">
        <v>0</v>
      </c>
      <c r="I32" s="126" t="s">
        <v>545</v>
      </c>
      <c r="J32" s="148"/>
      <c r="K32" s="148"/>
      <c r="L32" s="139">
        <f t="shared" si="4"/>
        <v>0</v>
      </c>
      <c r="M32" s="140">
        <f t="shared" si="5"/>
        <v>0</v>
      </c>
    </row>
    <row r="33" spans="1:13" ht="14.4" hidden="1" customHeight="1" outlineLevel="1" x14ac:dyDescent="0.3">
      <c r="A33" s="109" t="s">
        <v>162</v>
      </c>
      <c r="B33" s="112">
        <v>0</v>
      </c>
      <c r="C33" s="103">
        <v>0</v>
      </c>
      <c r="D33" s="103">
        <v>0</v>
      </c>
      <c r="E33" s="124" t="s">
        <v>545</v>
      </c>
      <c r="F33" s="125">
        <v>0</v>
      </c>
      <c r="G33" s="103">
        <v>0</v>
      </c>
      <c r="H33" s="103">
        <v>0</v>
      </c>
      <c r="I33" s="126" t="s">
        <v>545</v>
      </c>
      <c r="J33" s="148"/>
      <c r="K33" s="148"/>
      <c r="L33" s="139">
        <f t="shared" si="4"/>
        <v>0</v>
      </c>
      <c r="M33" s="140">
        <f t="shared" si="5"/>
        <v>0</v>
      </c>
    </row>
    <row r="34" spans="1:13" ht="14.4" hidden="1" customHeight="1" outlineLevel="1" x14ac:dyDescent="0.3">
      <c r="A34" s="109" t="s">
        <v>163</v>
      </c>
      <c r="B34" s="112">
        <v>0</v>
      </c>
      <c r="C34" s="103">
        <v>0</v>
      </c>
      <c r="D34" s="103">
        <v>0</v>
      </c>
      <c r="E34" s="124" t="s">
        <v>545</v>
      </c>
      <c r="F34" s="125">
        <v>0</v>
      </c>
      <c r="G34" s="103">
        <v>0</v>
      </c>
      <c r="H34" s="103">
        <v>0</v>
      </c>
      <c r="I34" s="126" t="s">
        <v>545</v>
      </c>
      <c r="J34" s="148"/>
      <c r="K34" s="148"/>
      <c r="L34" s="139">
        <f t="shared" si="4"/>
        <v>0</v>
      </c>
      <c r="M34" s="140">
        <f t="shared" si="5"/>
        <v>0</v>
      </c>
    </row>
    <row r="35" spans="1:13" ht="14.4" hidden="1" customHeight="1" outlineLevel="1" x14ac:dyDescent="0.3">
      <c r="A35" s="109" t="s">
        <v>164</v>
      </c>
      <c r="B35" s="112">
        <v>0</v>
      </c>
      <c r="C35" s="103">
        <v>0</v>
      </c>
      <c r="D35" s="103">
        <v>0</v>
      </c>
      <c r="E35" s="124" t="s">
        <v>545</v>
      </c>
      <c r="F35" s="125">
        <v>0</v>
      </c>
      <c r="G35" s="103">
        <v>0</v>
      </c>
      <c r="H35" s="103">
        <v>0</v>
      </c>
      <c r="I35" s="126" t="s">
        <v>545</v>
      </c>
      <c r="J35" s="148"/>
      <c r="K35" s="148"/>
      <c r="L35" s="139">
        <f t="shared" si="4"/>
        <v>0</v>
      </c>
      <c r="M35" s="140">
        <f t="shared" si="5"/>
        <v>0</v>
      </c>
    </row>
    <row r="36" spans="1:13" ht="14.4" hidden="1" customHeight="1" outlineLevel="1" x14ac:dyDescent="0.3">
      <c r="A36" s="109" t="s">
        <v>165</v>
      </c>
      <c r="B36" s="112">
        <v>0</v>
      </c>
      <c r="C36" s="103">
        <v>0</v>
      </c>
      <c r="D36" s="103">
        <v>0</v>
      </c>
      <c r="E36" s="124" t="s">
        <v>545</v>
      </c>
      <c r="F36" s="125">
        <v>0</v>
      </c>
      <c r="G36" s="103">
        <v>0</v>
      </c>
      <c r="H36" s="103">
        <v>0</v>
      </c>
      <c r="I36" s="126" t="s">
        <v>545</v>
      </c>
      <c r="J36" s="148"/>
      <c r="K36" s="148"/>
      <c r="L36" s="139">
        <f t="shared" si="4"/>
        <v>0</v>
      </c>
      <c r="M36" s="140">
        <f t="shared" si="5"/>
        <v>0</v>
      </c>
    </row>
    <row r="37" spans="1:13" ht="14.4" hidden="1" customHeight="1" outlineLevel="1" x14ac:dyDescent="0.3">
      <c r="A37" s="109" t="s">
        <v>166</v>
      </c>
      <c r="B37" s="112">
        <v>0</v>
      </c>
      <c r="C37" s="103">
        <v>0</v>
      </c>
      <c r="D37" s="103">
        <v>0</v>
      </c>
      <c r="E37" s="124" t="s">
        <v>545</v>
      </c>
      <c r="F37" s="125">
        <v>0</v>
      </c>
      <c r="G37" s="103">
        <v>0</v>
      </c>
      <c r="H37" s="103">
        <v>0</v>
      </c>
      <c r="I37" s="126" t="s">
        <v>545</v>
      </c>
      <c r="J37" s="148"/>
      <c r="K37" s="148"/>
      <c r="L37" s="139">
        <f t="shared" si="4"/>
        <v>0</v>
      </c>
      <c r="M37" s="140">
        <f t="shared" si="5"/>
        <v>0</v>
      </c>
    </row>
    <row r="38" spans="1:13" ht="14.4" hidden="1" customHeight="1" outlineLevel="1" thickBot="1" x14ac:dyDescent="0.35">
      <c r="A38" s="234" t="s">
        <v>202</v>
      </c>
      <c r="B38" s="235">
        <v>0</v>
      </c>
      <c r="C38" s="236">
        <v>0</v>
      </c>
      <c r="D38" s="236">
        <v>0</v>
      </c>
      <c r="E38" s="237" t="s">
        <v>545</v>
      </c>
      <c r="F38" s="238">
        <v>0</v>
      </c>
      <c r="G38" s="236">
        <v>0</v>
      </c>
      <c r="H38" s="236">
        <v>0</v>
      </c>
      <c r="I38" s="239" t="s">
        <v>545</v>
      </c>
      <c r="J38" s="148"/>
      <c r="K38" s="148"/>
      <c r="L38" s="242">
        <f>D38-B38</f>
        <v>0</v>
      </c>
      <c r="M38" s="243">
        <f>H38-F38</f>
        <v>0</v>
      </c>
    </row>
    <row r="39" spans="1:13" ht="14.4" customHeight="1" collapsed="1" thickBot="1" x14ac:dyDescent="0.35">
      <c r="A39" s="155" t="s">
        <v>3</v>
      </c>
      <c r="B39" s="107">
        <f>SUM(B31:B38)</f>
        <v>0</v>
      </c>
      <c r="C39" s="156">
        <f>SUM(C31:C38)</f>
        <v>0</v>
      </c>
      <c r="D39" s="156">
        <f>SUM(D31:D38)</f>
        <v>0</v>
      </c>
      <c r="E39" s="157">
        <f>IF(OR(D39=0,B39=0),0,D39/B39)</f>
        <v>0</v>
      </c>
      <c r="F39" s="158">
        <f>SUM(F31:F38)</f>
        <v>0</v>
      </c>
      <c r="G39" s="156">
        <f>SUM(G31:G38)</f>
        <v>0</v>
      </c>
      <c r="H39" s="156">
        <f>SUM(H31:H38)</f>
        <v>0</v>
      </c>
      <c r="I39" s="159">
        <f>IF(OR(H39=0,F39=0),0,H39/F39)</f>
        <v>0</v>
      </c>
      <c r="J39" s="148"/>
      <c r="K39" s="148"/>
      <c r="L39" s="153">
        <f t="shared" si="4"/>
        <v>0</v>
      </c>
      <c r="M39" s="160">
        <f t="shared" si="5"/>
        <v>0</v>
      </c>
    </row>
    <row r="40" spans="1:13" ht="14.4" customHeight="1" x14ac:dyDescent="0.25">
      <c r="A40" s="352"/>
      <c r="B40" s="352"/>
      <c r="C40" s="352"/>
      <c r="D40" s="352"/>
      <c r="E40" s="353"/>
      <c r="F40" s="352"/>
      <c r="G40" s="352"/>
      <c r="H40" s="352"/>
      <c r="I40" s="354"/>
      <c r="J40" s="352"/>
      <c r="K40" s="352"/>
      <c r="L40" s="352"/>
      <c r="M40" s="352"/>
    </row>
    <row r="41" spans="1:13" ht="14.4" customHeight="1" x14ac:dyDescent="0.3">
      <c r="A41" s="252" t="s">
        <v>249</v>
      </c>
      <c r="B41" s="352"/>
      <c r="C41" s="352"/>
      <c r="D41" s="352"/>
      <c r="E41" s="353"/>
      <c r="F41" s="352"/>
      <c r="G41" s="352"/>
      <c r="H41" s="352"/>
      <c r="I41" s="354"/>
      <c r="J41" s="352"/>
      <c r="K41" s="352"/>
      <c r="L41" s="352"/>
      <c r="M41" s="352"/>
    </row>
    <row r="42" spans="1:13" ht="14.4" customHeight="1" x14ac:dyDescent="0.25">
      <c r="A42" s="434" t="s">
        <v>296</v>
      </c>
    </row>
    <row r="43" spans="1:13" ht="14.4" customHeight="1" x14ac:dyDescent="0.25">
      <c r="A43" s="435" t="s">
        <v>297</v>
      </c>
    </row>
    <row r="44" spans="1:13" ht="14.4" customHeight="1" x14ac:dyDescent="0.25">
      <c r="A44" s="434" t="s">
        <v>298</v>
      </c>
    </row>
    <row r="45" spans="1:13" ht="14.4" customHeight="1" x14ac:dyDescent="0.25">
      <c r="A45" s="435" t="s">
        <v>299</v>
      </c>
    </row>
    <row r="46" spans="1:13" ht="14.4" customHeight="1" x14ac:dyDescent="0.3">
      <c r="A46" s="233" t="s">
        <v>266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3" bestFit="1" customWidth="1"/>
    <col min="2" max="3" width="7.77734375" style="196" customWidth="1"/>
    <col min="4" max="5" width="7.77734375" style="73" customWidth="1"/>
    <col min="6" max="6" width="14.88671875" style="73" bestFit="1" customWidth="1"/>
    <col min="7" max="7" width="2" style="73" bestFit="1" customWidth="1"/>
    <col min="8" max="8" width="5.33203125" style="73" bestFit="1" customWidth="1"/>
    <col min="9" max="9" width="7.6640625" style="73" bestFit="1" customWidth="1"/>
    <col min="10" max="10" width="6.88671875" style="73" bestFit="1" customWidth="1"/>
    <col min="11" max="11" width="17.33203125" style="73" bestFit="1" customWidth="1"/>
    <col min="12" max="13" width="19.6640625" style="73" bestFit="1" customWidth="1"/>
    <col min="14" max="16384" width="8.88671875" style="73"/>
  </cols>
  <sheetData>
    <row r="1" spans="1:13" ht="18.600000000000001" customHeight="1" thickBot="1" x14ac:dyDescent="0.4">
      <c r="A1" s="494" t="s">
        <v>108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</row>
    <row r="2" spans="1:13" ht="14.4" customHeight="1" x14ac:dyDescent="0.3">
      <c r="A2" s="368" t="s">
        <v>301</v>
      </c>
      <c r="B2" s="192"/>
      <c r="C2" s="192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14.4" customHeight="1" x14ac:dyDescent="0.3">
      <c r="A3" s="72"/>
      <c r="B3" s="357"/>
      <c r="C3" s="357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4.4" customHeight="1" x14ac:dyDescent="0.3">
      <c r="A4" s="72"/>
      <c r="B4" s="357"/>
      <c r="C4" s="357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4.4" customHeight="1" x14ac:dyDescent="0.3">
      <c r="A5" s="72"/>
      <c r="B5" s="357"/>
      <c r="C5" s="357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14.4" customHeight="1" x14ac:dyDescent="0.3">
      <c r="A6" s="72"/>
      <c r="B6" s="357"/>
      <c r="C6" s="357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14.4" customHeight="1" x14ac:dyDescent="0.3">
      <c r="A7" s="72"/>
      <c r="B7" s="357"/>
      <c r="C7" s="357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14.4" customHeight="1" x14ac:dyDescent="0.3">
      <c r="A8" s="72"/>
      <c r="B8" s="357"/>
      <c r="C8" s="357"/>
      <c r="D8" s="72"/>
      <c r="E8" s="72"/>
      <c r="F8" s="72"/>
      <c r="G8" s="72"/>
      <c r="H8" s="72"/>
      <c r="I8" s="72"/>
      <c r="J8" s="72"/>
      <c r="K8" s="72"/>
      <c r="L8" s="72"/>
      <c r="M8" s="72"/>
    </row>
    <row r="9" spans="1:13" ht="14.4" customHeight="1" x14ac:dyDescent="0.3">
      <c r="A9" s="72"/>
      <c r="B9" s="357"/>
      <c r="C9" s="357"/>
      <c r="D9" s="72"/>
      <c r="E9" s="72"/>
      <c r="F9" s="72"/>
      <c r="G9" s="72"/>
      <c r="H9" s="72"/>
      <c r="I9" s="72"/>
      <c r="J9" s="72"/>
      <c r="K9" s="72"/>
      <c r="L9" s="72"/>
      <c r="M9" s="72"/>
    </row>
    <row r="10" spans="1:13" ht="14.4" customHeight="1" x14ac:dyDescent="0.3">
      <c r="A10" s="72"/>
      <c r="B10" s="357"/>
      <c r="C10" s="357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1:13" ht="14.4" customHeight="1" x14ac:dyDescent="0.3">
      <c r="A11" s="72"/>
      <c r="B11" s="357"/>
      <c r="C11" s="357"/>
      <c r="D11" s="72"/>
      <c r="E11" s="72"/>
      <c r="F11" s="72"/>
      <c r="G11" s="72"/>
      <c r="H11" s="72"/>
      <c r="I11" s="72"/>
      <c r="J11" s="72"/>
      <c r="K11" s="72"/>
      <c r="L11" s="72"/>
      <c r="M11" s="72"/>
    </row>
    <row r="12" spans="1:13" ht="14.4" customHeight="1" x14ac:dyDescent="0.3">
      <c r="A12" s="72"/>
      <c r="B12" s="357"/>
      <c r="C12" s="357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1:13" ht="14.4" customHeight="1" x14ac:dyDescent="0.3">
      <c r="A13" s="72"/>
      <c r="B13" s="357"/>
      <c r="C13" s="357"/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13" ht="14.4" customHeight="1" x14ac:dyDescent="0.3">
      <c r="A14" s="72"/>
      <c r="B14" s="357"/>
      <c r="C14" s="357"/>
      <c r="D14" s="72"/>
      <c r="E14" s="72"/>
      <c r="F14" s="72"/>
      <c r="G14" s="72"/>
      <c r="H14" s="72"/>
      <c r="I14" s="72"/>
      <c r="J14" s="72"/>
      <c r="K14" s="72"/>
      <c r="L14" s="72"/>
      <c r="M14" s="72"/>
    </row>
    <row r="15" spans="1:13" ht="14.4" customHeight="1" x14ac:dyDescent="0.3">
      <c r="A15" s="72"/>
      <c r="B15" s="357"/>
      <c r="C15" s="357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13" ht="14.4" customHeight="1" x14ac:dyDescent="0.3">
      <c r="A16" s="72"/>
      <c r="B16" s="357"/>
      <c r="C16" s="357"/>
      <c r="D16" s="72"/>
      <c r="E16" s="72"/>
      <c r="F16" s="72"/>
      <c r="G16" s="72"/>
      <c r="H16" s="72"/>
      <c r="I16" s="72"/>
      <c r="J16" s="72"/>
      <c r="K16" s="72"/>
      <c r="L16" s="72"/>
      <c r="M16" s="72"/>
    </row>
    <row r="17" spans="1:13" ht="14.4" customHeight="1" x14ac:dyDescent="0.3">
      <c r="A17" s="72"/>
      <c r="B17" s="357"/>
      <c r="C17" s="357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14.4" customHeight="1" x14ac:dyDescent="0.3">
      <c r="A18" s="72"/>
      <c r="B18" s="357"/>
      <c r="C18" s="357"/>
      <c r="D18" s="72"/>
      <c r="E18" s="72"/>
      <c r="F18" s="72"/>
      <c r="G18" s="72"/>
      <c r="H18" s="72"/>
      <c r="I18" s="72"/>
      <c r="J18" s="72"/>
      <c r="K18" s="72"/>
      <c r="L18" s="72"/>
      <c r="M18" s="72"/>
    </row>
    <row r="19" spans="1:13" ht="14.4" customHeight="1" x14ac:dyDescent="0.3">
      <c r="A19" s="72"/>
      <c r="B19" s="357"/>
      <c r="C19" s="357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ht="14.4" customHeight="1" x14ac:dyDescent="0.3">
      <c r="A20" s="72"/>
      <c r="B20" s="357"/>
      <c r="C20" s="357"/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pans="1:13" ht="14.4" customHeight="1" x14ac:dyDescent="0.3">
      <c r="A21" s="72"/>
      <c r="B21" s="357"/>
      <c r="C21" s="357"/>
      <c r="D21" s="72"/>
      <c r="E21" s="72"/>
      <c r="F21" s="72"/>
      <c r="G21" s="72"/>
      <c r="H21" s="72"/>
      <c r="I21" s="72"/>
      <c r="J21" s="72"/>
      <c r="K21" s="72"/>
      <c r="L21" s="72"/>
      <c r="M21" s="72"/>
    </row>
    <row r="22" spans="1:13" ht="14.4" customHeight="1" x14ac:dyDescent="0.3">
      <c r="A22" s="72"/>
      <c r="B22" s="357"/>
      <c r="C22" s="357"/>
      <c r="D22" s="72"/>
      <c r="E22" s="72"/>
      <c r="F22" s="72"/>
      <c r="G22" s="72"/>
      <c r="H22" s="72"/>
      <c r="I22" s="72"/>
      <c r="J22" s="72"/>
      <c r="K22" s="72"/>
      <c r="L22" s="72"/>
      <c r="M22" s="72"/>
    </row>
    <row r="23" spans="1:13" ht="14.4" customHeight="1" x14ac:dyDescent="0.3">
      <c r="A23" s="72"/>
      <c r="B23" s="357"/>
      <c r="C23" s="357"/>
      <c r="D23" s="72"/>
      <c r="E23" s="72"/>
      <c r="F23" s="72"/>
      <c r="G23" s="72"/>
      <c r="H23" s="72"/>
      <c r="I23" s="72"/>
      <c r="J23" s="72"/>
      <c r="K23" s="72"/>
      <c r="L23" s="72"/>
      <c r="M23" s="72"/>
    </row>
    <row r="24" spans="1:13" ht="14.4" customHeight="1" x14ac:dyDescent="0.3">
      <c r="A24" s="72"/>
      <c r="B24" s="357"/>
      <c r="C24" s="357"/>
      <c r="D24" s="72"/>
      <c r="E24" s="72"/>
      <c r="F24" s="72"/>
      <c r="G24" s="72"/>
      <c r="H24" s="72"/>
      <c r="I24" s="72"/>
      <c r="J24" s="72"/>
      <c r="K24" s="72"/>
      <c r="L24" s="72"/>
      <c r="M24" s="72"/>
    </row>
    <row r="25" spans="1:13" ht="14.4" customHeight="1" x14ac:dyDescent="0.3">
      <c r="A25" s="72"/>
      <c r="B25" s="357"/>
      <c r="C25" s="357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3" ht="14.4" customHeight="1" x14ac:dyDescent="0.3">
      <c r="A26" s="72"/>
      <c r="B26" s="357"/>
      <c r="C26" s="357"/>
      <c r="D26" s="72"/>
      <c r="E26" s="72"/>
      <c r="F26" s="72"/>
      <c r="G26" s="72"/>
      <c r="H26" s="72"/>
      <c r="I26" s="72"/>
      <c r="J26" s="72"/>
      <c r="K26" s="72"/>
      <c r="L26" s="72"/>
      <c r="M26" s="72"/>
    </row>
    <row r="27" spans="1:13" ht="14.4" customHeight="1" x14ac:dyDescent="0.3">
      <c r="A27" s="72"/>
      <c r="B27" s="357"/>
      <c r="C27" s="357"/>
      <c r="D27" s="72"/>
      <c r="E27" s="72"/>
      <c r="F27" s="72"/>
      <c r="G27" s="72"/>
      <c r="H27" s="72"/>
      <c r="I27" s="72"/>
      <c r="J27" s="72"/>
      <c r="K27" s="72"/>
      <c r="L27" s="72"/>
      <c r="M27" s="72"/>
    </row>
    <row r="28" spans="1:13" ht="14.4" customHeight="1" x14ac:dyDescent="0.3">
      <c r="A28" s="72"/>
      <c r="B28" s="357"/>
      <c r="C28" s="357"/>
      <c r="D28" s="72"/>
      <c r="E28" s="72"/>
      <c r="F28" s="72"/>
      <c r="G28" s="72"/>
      <c r="H28" s="72"/>
      <c r="I28" s="72"/>
      <c r="J28" s="72"/>
      <c r="K28" s="72"/>
      <c r="L28" s="72"/>
      <c r="M28" s="72"/>
    </row>
    <row r="29" spans="1:13" ht="14.4" customHeight="1" x14ac:dyDescent="0.3">
      <c r="A29" s="72"/>
      <c r="B29" s="357"/>
      <c r="C29" s="357"/>
      <c r="D29" s="72"/>
      <c r="E29" s="72"/>
      <c r="F29" s="72"/>
      <c r="G29" s="72"/>
      <c r="H29" s="72"/>
      <c r="I29" s="72"/>
      <c r="J29" s="72"/>
      <c r="K29" s="72"/>
      <c r="L29" s="72"/>
      <c r="M29" s="72"/>
    </row>
    <row r="30" spans="1:13" ht="14.4" customHeight="1" thickBot="1" x14ac:dyDescent="0.35">
      <c r="A30" s="72"/>
      <c r="B30" s="357"/>
      <c r="C30" s="357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13" ht="14.4" customHeight="1" x14ac:dyDescent="0.3">
      <c r="A31" s="169"/>
      <c r="B31" s="568" t="s">
        <v>76</v>
      </c>
      <c r="C31" s="569"/>
      <c r="D31" s="569"/>
      <c r="E31" s="570"/>
      <c r="F31" s="161" t="s">
        <v>76</v>
      </c>
      <c r="G31" s="75"/>
      <c r="H31" s="75"/>
      <c r="I31" s="72"/>
      <c r="J31" s="72"/>
      <c r="K31" s="72"/>
      <c r="L31" s="72"/>
      <c r="M31" s="72"/>
    </row>
    <row r="32" spans="1:13" ht="14.4" customHeight="1" thickBot="1" x14ac:dyDescent="0.35">
      <c r="A32" s="170" t="s">
        <v>60</v>
      </c>
      <c r="B32" s="162" t="s">
        <v>79</v>
      </c>
      <c r="C32" s="163" t="s">
        <v>80</v>
      </c>
      <c r="D32" s="163" t="s">
        <v>81</v>
      </c>
      <c r="E32" s="164" t="s">
        <v>2</v>
      </c>
      <c r="F32" s="165" t="s">
        <v>82</v>
      </c>
      <c r="G32" s="358"/>
      <c r="H32" s="358" t="s">
        <v>109</v>
      </c>
      <c r="I32" s="72"/>
      <c r="J32" s="72"/>
      <c r="K32" s="72"/>
      <c r="L32" s="72"/>
      <c r="M32" s="72"/>
    </row>
    <row r="33" spans="1:13" ht="14.4" customHeight="1" x14ac:dyDescent="0.3">
      <c r="A33" s="166" t="s">
        <v>96</v>
      </c>
      <c r="B33" s="193">
        <v>1235</v>
      </c>
      <c r="C33" s="193">
        <v>1161</v>
      </c>
      <c r="D33" s="76">
        <f>IF(C33="","",C33-B33)</f>
        <v>-74</v>
      </c>
      <c r="E33" s="77">
        <f>IF(C33="","",C33/B33)</f>
        <v>0.940080971659919</v>
      </c>
      <c r="F33" s="78">
        <v>87</v>
      </c>
      <c r="G33" s="358">
        <v>0</v>
      </c>
      <c r="H33" s="359">
        <v>1</v>
      </c>
      <c r="I33" s="72"/>
      <c r="J33" s="72"/>
      <c r="K33" s="72"/>
      <c r="L33" s="72"/>
      <c r="M33" s="72"/>
    </row>
    <row r="34" spans="1:13" ht="14.4" customHeight="1" x14ac:dyDescent="0.3">
      <c r="A34" s="167" t="s">
        <v>97</v>
      </c>
      <c r="B34" s="194">
        <v>2432</v>
      </c>
      <c r="C34" s="194">
        <v>2311</v>
      </c>
      <c r="D34" s="79">
        <f t="shared" ref="D34:D45" si="0">IF(C34="","",C34-B34)</f>
        <v>-121</v>
      </c>
      <c r="E34" s="80">
        <f t="shared" ref="E34:E45" si="1">IF(C34="","",C34/B34)</f>
        <v>0.95024671052631582</v>
      </c>
      <c r="F34" s="81">
        <v>221</v>
      </c>
      <c r="G34" s="358">
        <v>1</v>
      </c>
      <c r="H34" s="359">
        <v>1</v>
      </c>
      <c r="I34" s="72"/>
      <c r="J34" s="72"/>
      <c r="K34" s="72"/>
      <c r="L34" s="72"/>
      <c r="M34" s="72"/>
    </row>
    <row r="35" spans="1:13" ht="14.4" customHeight="1" x14ac:dyDescent="0.3">
      <c r="A35" s="167" t="s">
        <v>98</v>
      </c>
      <c r="B35" s="194">
        <v>4264</v>
      </c>
      <c r="C35" s="194">
        <v>4170</v>
      </c>
      <c r="D35" s="79">
        <f t="shared" si="0"/>
        <v>-94</v>
      </c>
      <c r="E35" s="80">
        <f t="shared" si="1"/>
        <v>0.97795497185741087</v>
      </c>
      <c r="F35" s="81">
        <v>506</v>
      </c>
      <c r="G35" s="360"/>
      <c r="H35" s="360"/>
      <c r="I35" s="72"/>
      <c r="J35" s="72"/>
      <c r="K35" s="72"/>
      <c r="L35" s="72"/>
      <c r="M35" s="72"/>
    </row>
    <row r="36" spans="1:13" ht="14.4" customHeight="1" x14ac:dyDescent="0.3">
      <c r="A36" s="167" t="s">
        <v>99</v>
      </c>
      <c r="B36" s="194">
        <v>5595</v>
      </c>
      <c r="C36" s="194">
        <v>5446</v>
      </c>
      <c r="D36" s="79">
        <f t="shared" si="0"/>
        <v>-149</v>
      </c>
      <c r="E36" s="80">
        <f t="shared" si="1"/>
        <v>0.97336907953529939</v>
      </c>
      <c r="F36" s="81">
        <v>652</v>
      </c>
      <c r="G36" s="360"/>
      <c r="H36" s="360"/>
      <c r="I36" s="72"/>
      <c r="J36" s="72"/>
      <c r="K36" s="72"/>
      <c r="L36" s="72"/>
      <c r="M36" s="72"/>
    </row>
    <row r="37" spans="1:13" ht="14.4" customHeight="1" x14ac:dyDescent="0.3">
      <c r="A37" s="167" t="s">
        <v>100</v>
      </c>
      <c r="B37" s="194">
        <v>7298</v>
      </c>
      <c r="C37" s="194">
        <v>7060</v>
      </c>
      <c r="D37" s="79">
        <f t="shared" si="0"/>
        <v>-238</v>
      </c>
      <c r="E37" s="80">
        <f t="shared" si="1"/>
        <v>0.96738832556864895</v>
      </c>
      <c r="F37" s="81">
        <v>809</v>
      </c>
      <c r="G37" s="360"/>
      <c r="H37" s="360"/>
      <c r="I37" s="72"/>
      <c r="J37" s="72"/>
      <c r="K37" s="72"/>
      <c r="L37" s="72"/>
      <c r="M37" s="72"/>
    </row>
    <row r="38" spans="1:13" ht="14.4" customHeight="1" x14ac:dyDescent="0.3">
      <c r="A38" s="167" t="s">
        <v>101</v>
      </c>
      <c r="B38" s="194">
        <v>8776</v>
      </c>
      <c r="C38" s="194">
        <v>8391</v>
      </c>
      <c r="D38" s="79">
        <f t="shared" si="0"/>
        <v>-385</v>
      </c>
      <c r="E38" s="80">
        <f t="shared" si="1"/>
        <v>0.956130355515041</v>
      </c>
      <c r="F38" s="81">
        <v>925</v>
      </c>
      <c r="G38" s="360"/>
      <c r="H38" s="360"/>
      <c r="I38" s="72"/>
      <c r="J38" s="72"/>
      <c r="K38" s="72"/>
      <c r="L38" s="72"/>
      <c r="M38" s="72"/>
    </row>
    <row r="39" spans="1:13" ht="14.4" customHeight="1" x14ac:dyDescent="0.3">
      <c r="A39" s="167" t="s">
        <v>102</v>
      </c>
      <c r="B39" s="194">
        <v>10405</v>
      </c>
      <c r="C39" s="194">
        <v>9904</v>
      </c>
      <c r="D39" s="79">
        <f t="shared" si="0"/>
        <v>-501</v>
      </c>
      <c r="E39" s="80">
        <f t="shared" si="1"/>
        <v>0.95185007208073047</v>
      </c>
      <c r="F39" s="81">
        <v>1062</v>
      </c>
      <c r="G39" s="360"/>
      <c r="H39" s="360"/>
      <c r="I39" s="72"/>
      <c r="J39" s="72"/>
      <c r="K39" s="72"/>
      <c r="L39" s="72"/>
      <c r="M39" s="72"/>
    </row>
    <row r="40" spans="1:13" ht="14.4" customHeight="1" x14ac:dyDescent="0.3">
      <c r="A40" s="167" t="s">
        <v>103</v>
      </c>
      <c r="B40" s="194">
        <v>12056</v>
      </c>
      <c r="C40" s="194">
        <v>11501</v>
      </c>
      <c r="D40" s="79">
        <f t="shared" si="0"/>
        <v>-555</v>
      </c>
      <c r="E40" s="80">
        <f t="shared" si="1"/>
        <v>0.95396483078964833</v>
      </c>
      <c r="F40" s="81">
        <v>1270</v>
      </c>
      <c r="G40" s="360"/>
      <c r="H40" s="360"/>
      <c r="I40" s="72"/>
      <c r="J40" s="72"/>
      <c r="K40" s="72"/>
      <c r="L40" s="72"/>
      <c r="M40" s="72"/>
    </row>
    <row r="41" spans="1:13" ht="14.4" customHeight="1" x14ac:dyDescent="0.3">
      <c r="A41" s="167" t="s">
        <v>104</v>
      </c>
      <c r="B41" s="194">
        <v>13973</v>
      </c>
      <c r="C41" s="194">
        <v>13261</v>
      </c>
      <c r="D41" s="79">
        <f t="shared" si="0"/>
        <v>-712</v>
      </c>
      <c r="E41" s="80">
        <f t="shared" si="1"/>
        <v>0.94904458598726116</v>
      </c>
      <c r="F41" s="81">
        <v>1424</v>
      </c>
      <c r="G41" s="360"/>
      <c r="H41" s="360"/>
      <c r="I41" s="72"/>
      <c r="J41" s="72"/>
      <c r="K41" s="72"/>
      <c r="L41" s="72"/>
      <c r="M41" s="72"/>
    </row>
    <row r="42" spans="1:13" ht="14.4" customHeight="1" x14ac:dyDescent="0.3">
      <c r="A42" s="167" t="s">
        <v>105</v>
      </c>
      <c r="B42" s="194">
        <v>15544</v>
      </c>
      <c r="C42" s="194">
        <v>14833</v>
      </c>
      <c r="D42" s="79">
        <f t="shared" si="0"/>
        <v>-711</v>
      </c>
      <c r="E42" s="80">
        <f t="shared" si="1"/>
        <v>0.95425887802367471</v>
      </c>
      <c r="F42" s="81">
        <v>1637</v>
      </c>
      <c r="G42" s="360"/>
      <c r="H42" s="360"/>
      <c r="I42" s="72"/>
      <c r="J42" s="72"/>
      <c r="K42" s="72"/>
      <c r="L42" s="72"/>
      <c r="M42" s="72"/>
    </row>
    <row r="43" spans="1:13" ht="14.4" customHeight="1" x14ac:dyDescent="0.3">
      <c r="A43" s="167" t="s">
        <v>106</v>
      </c>
      <c r="B43" s="194">
        <v>17211</v>
      </c>
      <c r="C43" s="194">
        <v>16482</v>
      </c>
      <c r="D43" s="79">
        <f t="shared" si="0"/>
        <v>-729</v>
      </c>
      <c r="E43" s="80">
        <f t="shared" si="1"/>
        <v>0.95764336761373536</v>
      </c>
      <c r="F43" s="81">
        <v>1842</v>
      </c>
      <c r="G43" s="360"/>
      <c r="H43" s="360"/>
      <c r="I43" s="72"/>
      <c r="J43" s="72"/>
      <c r="K43" s="72"/>
      <c r="L43" s="72"/>
      <c r="M43" s="72"/>
    </row>
    <row r="44" spans="1:13" ht="14.4" customHeight="1" x14ac:dyDescent="0.3">
      <c r="A44" s="167" t="s">
        <v>107</v>
      </c>
      <c r="B44" s="194">
        <v>18504</v>
      </c>
      <c r="C44" s="194">
        <v>17595</v>
      </c>
      <c r="D44" s="79">
        <f t="shared" si="0"/>
        <v>-909</v>
      </c>
      <c r="E44" s="80">
        <f t="shared" si="1"/>
        <v>0.95087548638132291</v>
      </c>
      <c r="F44" s="81">
        <v>1885</v>
      </c>
      <c r="G44" s="360"/>
      <c r="H44" s="360"/>
      <c r="I44" s="72"/>
      <c r="J44" s="72"/>
      <c r="K44" s="72"/>
      <c r="L44" s="72"/>
      <c r="M44" s="72"/>
    </row>
    <row r="45" spans="1:13" ht="14.4" customHeight="1" thickBot="1" x14ac:dyDescent="0.35">
      <c r="A45" s="168" t="s">
        <v>110</v>
      </c>
      <c r="B45" s="195"/>
      <c r="C45" s="195"/>
      <c r="D45" s="82" t="str">
        <f t="shared" si="0"/>
        <v/>
      </c>
      <c r="E45" s="83" t="str">
        <f t="shared" si="1"/>
        <v/>
      </c>
      <c r="F45" s="84"/>
      <c r="G45" s="360"/>
      <c r="H45" s="360"/>
      <c r="I45" s="72"/>
      <c r="J45" s="72"/>
      <c r="K45" s="72"/>
      <c r="L45" s="72"/>
      <c r="M45" s="72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45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8" customWidth="1"/>
    <col min="2" max="2" width="6.5546875" style="207" customWidth="1"/>
    <col min="3" max="3" width="5.88671875" style="207" customWidth="1"/>
    <col min="4" max="4" width="7.6640625" style="207" customWidth="1"/>
    <col min="5" max="5" width="6.5546875" style="91" customWidth="1"/>
    <col min="6" max="6" width="5.88671875" style="91" customWidth="1"/>
    <col min="7" max="7" width="7.6640625" style="91" customWidth="1"/>
    <col min="8" max="8" width="6.6640625" style="91" bestFit="1" customWidth="1"/>
    <col min="9" max="9" width="6" style="91" bestFit="1" customWidth="1"/>
    <col min="10" max="10" width="7.77734375" style="91" bestFit="1" customWidth="1"/>
    <col min="11" max="11" width="9.109375" style="91" bestFit="1" customWidth="1"/>
    <col min="12" max="12" width="3.88671875" style="91" bestFit="1" customWidth="1"/>
    <col min="13" max="13" width="4.33203125" style="91" bestFit="1" customWidth="1"/>
    <col min="14" max="14" width="5.44140625" style="91" bestFit="1" customWidth="1"/>
    <col min="15" max="15" width="4" style="91" bestFit="1" customWidth="1"/>
    <col min="16" max="16" width="55.44140625" style="85" customWidth="1"/>
    <col min="17" max="17" width="7.88671875" style="89" bestFit="1" customWidth="1"/>
    <col min="18" max="18" width="6" style="89" bestFit="1" customWidth="1"/>
    <col min="19" max="19" width="9.5546875" style="207" customWidth="1"/>
    <col min="20" max="20" width="9.6640625" style="207" customWidth="1"/>
    <col min="21" max="21" width="7.6640625" style="207" bestFit="1" customWidth="1"/>
    <col min="22" max="22" width="6.109375" style="92" bestFit="1" customWidth="1"/>
    <col min="23" max="23" width="17.21875" style="90" bestFit="1" customWidth="1"/>
    <col min="24" max="16384" width="8.88671875" style="85"/>
  </cols>
  <sheetData>
    <row r="1" spans="1:23" s="310" customFormat="1" ht="18.600000000000001" customHeight="1" thickBot="1" x14ac:dyDescent="0.4">
      <c r="A1" s="524" t="s">
        <v>2218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</row>
    <row r="2" spans="1:23" ht="14.4" customHeight="1" thickBot="1" x14ac:dyDescent="0.35">
      <c r="A2" s="368" t="s">
        <v>301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1"/>
      <c r="Q2" s="361"/>
      <c r="R2" s="361"/>
      <c r="S2" s="362"/>
      <c r="T2" s="362"/>
      <c r="U2" s="362"/>
      <c r="V2" s="361"/>
      <c r="W2" s="363"/>
    </row>
    <row r="3" spans="1:23" s="86" customFormat="1" ht="14.4" customHeight="1" x14ac:dyDescent="0.3">
      <c r="A3" s="577" t="s">
        <v>68</v>
      </c>
      <c r="B3" s="578">
        <v>2014</v>
      </c>
      <c r="C3" s="579"/>
      <c r="D3" s="580"/>
      <c r="E3" s="578">
        <v>2015</v>
      </c>
      <c r="F3" s="579"/>
      <c r="G3" s="580"/>
      <c r="H3" s="578">
        <v>2016</v>
      </c>
      <c r="I3" s="579"/>
      <c r="J3" s="580"/>
      <c r="K3" s="581" t="s">
        <v>69</v>
      </c>
      <c r="L3" s="573" t="s">
        <v>70</v>
      </c>
      <c r="M3" s="573" t="s">
        <v>71</v>
      </c>
      <c r="N3" s="573" t="s">
        <v>72</v>
      </c>
      <c r="O3" s="260" t="s">
        <v>73</v>
      </c>
      <c r="P3" s="574" t="s">
        <v>74</v>
      </c>
      <c r="Q3" s="575" t="s">
        <v>75</v>
      </c>
      <c r="R3" s="576"/>
      <c r="S3" s="571" t="s">
        <v>76</v>
      </c>
      <c r="T3" s="572"/>
      <c r="U3" s="572"/>
      <c r="V3" s="572"/>
      <c r="W3" s="208" t="s">
        <v>76</v>
      </c>
    </row>
    <row r="4" spans="1:23" s="87" customFormat="1" ht="14.4" customHeight="1" thickBot="1" x14ac:dyDescent="0.35">
      <c r="A4" s="796"/>
      <c r="B4" s="797" t="s">
        <v>77</v>
      </c>
      <c r="C4" s="798" t="s">
        <v>65</v>
      </c>
      <c r="D4" s="799" t="s">
        <v>78</v>
      </c>
      <c r="E4" s="797" t="s">
        <v>77</v>
      </c>
      <c r="F4" s="798" t="s">
        <v>65</v>
      </c>
      <c r="G4" s="799" t="s">
        <v>78</v>
      </c>
      <c r="H4" s="797" t="s">
        <v>77</v>
      </c>
      <c r="I4" s="798" t="s">
        <v>65</v>
      </c>
      <c r="J4" s="799" t="s">
        <v>78</v>
      </c>
      <c r="K4" s="800"/>
      <c r="L4" s="801"/>
      <c r="M4" s="801"/>
      <c r="N4" s="801"/>
      <c r="O4" s="802"/>
      <c r="P4" s="803"/>
      <c r="Q4" s="804" t="s">
        <v>66</v>
      </c>
      <c r="R4" s="805" t="s">
        <v>65</v>
      </c>
      <c r="S4" s="806" t="s">
        <v>79</v>
      </c>
      <c r="T4" s="807" t="s">
        <v>80</v>
      </c>
      <c r="U4" s="807" t="s">
        <v>81</v>
      </c>
      <c r="V4" s="808" t="s">
        <v>2</v>
      </c>
      <c r="W4" s="809" t="s">
        <v>82</v>
      </c>
    </row>
    <row r="5" spans="1:23" ht="14.4" customHeight="1" x14ac:dyDescent="0.3">
      <c r="A5" s="839" t="s">
        <v>2149</v>
      </c>
      <c r="B5" s="386"/>
      <c r="C5" s="810"/>
      <c r="D5" s="811"/>
      <c r="E5" s="812"/>
      <c r="F5" s="813"/>
      <c r="G5" s="814"/>
      <c r="H5" s="815">
        <v>1</v>
      </c>
      <c r="I5" s="816">
        <v>0.56000000000000005</v>
      </c>
      <c r="J5" s="817">
        <v>3</v>
      </c>
      <c r="K5" s="818">
        <v>0.56000000000000005</v>
      </c>
      <c r="L5" s="819">
        <v>2</v>
      </c>
      <c r="M5" s="819">
        <v>18</v>
      </c>
      <c r="N5" s="820">
        <v>6</v>
      </c>
      <c r="O5" s="819" t="s">
        <v>2150</v>
      </c>
      <c r="P5" s="821" t="s">
        <v>2151</v>
      </c>
      <c r="Q5" s="822">
        <f>H5-B5</f>
        <v>1</v>
      </c>
      <c r="R5" s="822">
        <f>I5-C5</f>
        <v>0.56000000000000005</v>
      </c>
      <c r="S5" s="386">
        <f>IF(H5=0,"",H5*N5)</f>
        <v>6</v>
      </c>
      <c r="T5" s="386">
        <f>IF(H5=0,"",H5*J5)</f>
        <v>3</v>
      </c>
      <c r="U5" s="386">
        <f>IF(H5=0,"",T5-S5)</f>
        <v>-3</v>
      </c>
      <c r="V5" s="823">
        <f>IF(H5=0,"",T5/S5)</f>
        <v>0.5</v>
      </c>
      <c r="W5" s="824"/>
    </row>
    <row r="6" spans="1:23" ht="14.4" customHeight="1" x14ac:dyDescent="0.3">
      <c r="A6" s="840" t="s">
        <v>2152</v>
      </c>
      <c r="B6" s="789"/>
      <c r="C6" s="790"/>
      <c r="D6" s="791"/>
      <c r="E6" s="792"/>
      <c r="F6" s="770"/>
      <c r="G6" s="771"/>
      <c r="H6" s="772">
        <v>1</v>
      </c>
      <c r="I6" s="773">
        <v>0.86</v>
      </c>
      <c r="J6" s="780">
        <v>23</v>
      </c>
      <c r="K6" s="775">
        <v>0.86</v>
      </c>
      <c r="L6" s="776">
        <v>3</v>
      </c>
      <c r="M6" s="776">
        <v>27</v>
      </c>
      <c r="N6" s="777">
        <v>9</v>
      </c>
      <c r="O6" s="776" t="s">
        <v>2150</v>
      </c>
      <c r="P6" s="793" t="s">
        <v>2153</v>
      </c>
      <c r="Q6" s="778">
        <f t="shared" ref="Q6:R45" si="0">H6-B6</f>
        <v>1</v>
      </c>
      <c r="R6" s="778">
        <f t="shared" si="0"/>
        <v>0.86</v>
      </c>
      <c r="S6" s="789">
        <f t="shared" ref="S6:S45" si="1">IF(H6=0,"",H6*N6)</f>
        <v>9</v>
      </c>
      <c r="T6" s="789">
        <f t="shared" ref="T6:T45" si="2">IF(H6=0,"",H6*J6)</f>
        <v>23</v>
      </c>
      <c r="U6" s="789">
        <f t="shared" ref="U6:U45" si="3">IF(H6=0,"",T6-S6)</f>
        <v>14</v>
      </c>
      <c r="V6" s="794">
        <f t="shared" ref="V6:V45" si="4">IF(H6=0,"",T6/S6)</f>
        <v>2.5555555555555554</v>
      </c>
      <c r="W6" s="779">
        <v>14</v>
      </c>
    </row>
    <row r="7" spans="1:23" ht="14.4" customHeight="1" x14ac:dyDescent="0.3">
      <c r="A7" s="840" t="s">
        <v>2154</v>
      </c>
      <c r="B7" s="781">
        <v>1</v>
      </c>
      <c r="C7" s="782">
        <v>0.53</v>
      </c>
      <c r="D7" s="783">
        <v>3</v>
      </c>
      <c r="E7" s="792"/>
      <c r="F7" s="770"/>
      <c r="G7" s="771"/>
      <c r="H7" s="776"/>
      <c r="I7" s="770"/>
      <c r="J7" s="771"/>
      <c r="K7" s="775">
        <v>0.53</v>
      </c>
      <c r="L7" s="776">
        <v>3</v>
      </c>
      <c r="M7" s="776">
        <v>24</v>
      </c>
      <c r="N7" s="777">
        <v>8</v>
      </c>
      <c r="O7" s="776" t="s">
        <v>2150</v>
      </c>
      <c r="P7" s="793" t="s">
        <v>2155</v>
      </c>
      <c r="Q7" s="778">
        <f t="shared" si="0"/>
        <v>-1</v>
      </c>
      <c r="R7" s="778">
        <f t="shared" si="0"/>
        <v>-0.53</v>
      </c>
      <c r="S7" s="789" t="str">
        <f t="shared" si="1"/>
        <v/>
      </c>
      <c r="T7" s="789" t="str">
        <f t="shared" si="2"/>
        <v/>
      </c>
      <c r="U7" s="789" t="str">
        <f t="shared" si="3"/>
        <v/>
      </c>
      <c r="V7" s="794" t="str">
        <f t="shared" si="4"/>
        <v/>
      </c>
      <c r="W7" s="779"/>
    </row>
    <row r="8" spans="1:23" ht="14.4" customHeight="1" x14ac:dyDescent="0.3">
      <c r="A8" s="840" t="s">
        <v>2156</v>
      </c>
      <c r="B8" s="789"/>
      <c r="C8" s="790"/>
      <c r="D8" s="791"/>
      <c r="E8" s="772">
        <v>10</v>
      </c>
      <c r="F8" s="773">
        <v>1.77</v>
      </c>
      <c r="G8" s="774">
        <v>2.2999999999999998</v>
      </c>
      <c r="H8" s="776">
        <v>3</v>
      </c>
      <c r="I8" s="770">
        <v>0.53</v>
      </c>
      <c r="J8" s="780">
        <v>3.3</v>
      </c>
      <c r="K8" s="775">
        <v>0.18</v>
      </c>
      <c r="L8" s="776">
        <v>1</v>
      </c>
      <c r="M8" s="776">
        <v>5</v>
      </c>
      <c r="N8" s="777">
        <v>2</v>
      </c>
      <c r="O8" s="776" t="s">
        <v>2150</v>
      </c>
      <c r="P8" s="793" t="s">
        <v>2157</v>
      </c>
      <c r="Q8" s="778">
        <f t="shared" si="0"/>
        <v>3</v>
      </c>
      <c r="R8" s="778">
        <f t="shared" si="0"/>
        <v>0.53</v>
      </c>
      <c r="S8" s="789">
        <f t="shared" si="1"/>
        <v>6</v>
      </c>
      <c r="T8" s="789">
        <f t="shared" si="2"/>
        <v>9.8999999999999986</v>
      </c>
      <c r="U8" s="789">
        <f t="shared" si="3"/>
        <v>3.8999999999999986</v>
      </c>
      <c r="V8" s="794">
        <f t="shared" si="4"/>
        <v>1.6499999999999997</v>
      </c>
      <c r="W8" s="779">
        <v>4</v>
      </c>
    </row>
    <row r="9" spans="1:23" ht="14.4" customHeight="1" x14ac:dyDescent="0.3">
      <c r="A9" s="841" t="s">
        <v>2158</v>
      </c>
      <c r="B9" s="825">
        <v>4</v>
      </c>
      <c r="C9" s="826">
        <v>1.1399999999999999</v>
      </c>
      <c r="D9" s="795">
        <v>2.2999999999999998</v>
      </c>
      <c r="E9" s="827">
        <v>10</v>
      </c>
      <c r="F9" s="828">
        <v>3.23</v>
      </c>
      <c r="G9" s="784">
        <v>3.3</v>
      </c>
      <c r="H9" s="829">
        <v>3</v>
      </c>
      <c r="I9" s="830">
        <v>0.88</v>
      </c>
      <c r="J9" s="785">
        <v>2</v>
      </c>
      <c r="K9" s="831">
        <v>0.28999999999999998</v>
      </c>
      <c r="L9" s="829">
        <v>1</v>
      </c>
      <c r="M9" s="829">
        <v>5</v>
      </c>
      <c r="N9" s="832">
        <v>2</v>
      </c>
      <c r="O9" s="829" t="s">
        <v>2150</v>
      </c>
      <c r="P9" s="833" t="s">
        <v>2159</v>
      </c>
      <c r="Q9" s="834">
        <f t="shared" si="0"/>
        <v>-1</v>
      </c>
      <c r="R9" s="834">
        <f t="shared" si="0"/>
        <v>-0.2599999999999999</v>
      </c>
      <c r="S9" s="825">
        <f t="shared" si="1"/>
        <v>6</v>
      </c>
      <c r="T9" s="825">
        <f t="shared" si="2"/>
        <v>6</v>
      </c>
      <c r="U9" s="825">
        <f t="shared" si="3"/>
        <v>0</v>
      </c>
      <c r="V9" s="835">
        <f t="shared" si="4"/>
        <v>1</v>
      </c>
      <c r="W9" s="786"/>
    </row>
    <row r="10" spans="1:23" ht="14.4" customHeight="1" x14ac:dyDescent="0.3">
      <c r="A10" s="841" t="s">
        <v>2160</v>
      </c>
      <c r="B10" s="825">
        <v>5</v>
      </c>
      <c r="C10" s="826">
        <v>3.43</v>
      </c>
      <c r="D10" s="795">
        <v>3</v>
      </c>
      <c r="E10" s="827">
        <v>10</v>
      </c>
      <c r="F10" s="828">
        <v>5.13</v>
      </c>
      <c r="G10" s="784">
        <v>1.9</v>
      </c>
      <c r="H10" s="829">
        <v>9</v>
      </c>
      <c r="I10" s="830">
        <v>6.05</v>
      </c>
      <c r="J10" s="787">
        <v>2.1</v>
      </c>
      <c r="K10" s="831">
        <v>0.49</v>
      </c>
      <c r="L10" s="829">
        <v>1</v>
      </c>
      <c r="M10" s="829">
        <v>5</v>
      </c>
      <c r="N10" s="832">
        <v>2</v>
      </c>
      <c r="O10" s="829" t="s">
        <v>2150</v>
      </c>
      <c r="P10" s="833" t="s">
        <v>2161</v>
      </c>
      <c r="Q10" s="834">
        <f t="shared" si="0"/>
        <v>4</v>
      </c>
      <c r="R10" s="834">
        <f t="shared" si="0"/>
        <v>2.6199999999999997</v>
      </c>
      <c r="S10" s="825">
        <f t="shared" si="1"/>
        <v>18</v>
      </c>
      <c r="T10" s="825">
        <f t="shared" si="2"/>
        <v>18.900000000000002</v>
      </c>
      <c r="U10" s="825">
        <f t="shared" si="3"/>
        <v>0.90000000000000213</v>
      </c>
      <c r="V10" s="835">
        <f t="shared" si="4"/>
        <v>1.05</v>
      </c>
      <c r="W10" s="786">
        <v>4</v>
      </c>
    </row>
    <row r="11" spans="1:23" ht="14.4" customHeight="1" x14ac:dyDescent="0.3">
      <c r="A11" s="840" t="s">
        <v>2162</v>
      </c>
      <c r="B11" s="789">
        <v>2</v>
      </c>
      <c r="C11" s="790">
        <v>100.16</v>
      </c>
      <c r="D11" s="791">
        <v>65.5</v>
      </c>
      <c r="E11" s="792">
        <v>2</v>
      </c>
      <c r="F11" s="770">
        <v>51.71</v>
      </c>
      <c r="G11" s="771">
        <v>14</v>
      </c>
      <c r="H11" s="772">
        <v>4</v>
      </c>
      <c r="I11" s="773">
        <v>143.22</v>
      </c>
      <c r="J11" s="774">
        <v>58.8</v>
      </c>
      <c r="K11" s="775">
        <v>50.08</v>
      </c>
      <c r="L11" s="776">
        <v>28</v>
      </c>
      <c r="M11" s="776">
        <v>252</v>
      </c>
      <c r="N11" s="777">
        <v>84</v>
      </c>
      <c r="O11" s="776" t="s">
        <v>2163</v>
      </c>
      <c r="P11" s="793" t="s">
        <v>2164</v>
      </c>
      <c r="Q11" s="778">
        <f t="shared" si="0"/>
        <v>2</v>
      </c>
      <c r="R11" s="778">
        <f t="shared" si="0"/>
        <v>43.06</v>
      </c>
      <c r="S11" s="789">
        <f t="shared" si="1"/>
        <v>336</v>
      </c>
      <c r="T11" s="789">
        <f t="shared" si="2"/>
        <v>235.2</v>
      </c>
      <c r="U11" s="789">
        <f t="shared" si="3"/>
        <v>-100.80000000000001</v>
      </c>
      <c r="V11" s="794">
        <f t="shared" si="4"/>
        <v>0.7</v>
      </c>
      <c r="W11" s="779">
        <v>44</v>
      </c>
    </row>
    <row r="12" spans="1:23" ht="14.4" customHeight="1" x14ac:dyDescent="0.3">
      <c r="A12" s="840" t="s">
        <v>2165</v>
      </c>
      <c r="B12" s="789">
        <v>21</v>
      </c>
      <c r="C12" s="790">
        <v>612.16999999999996</v>
      </c>
      <c r="D12" s="791">
        <v>60.1</v>
      </c>
      <c r="E12" s="772">
        <v>22</v>
      </c>
      <c r="F12" s="773">
        <v>646.42999999999995</v>
      </c>
      <c r="G12" s="774">
        <v>66.099999999999994</v>
      </c>
      <c r="H12" s="776">
        <v>15</v>
      </c>
      <c r="I12" s="770">
        <v>430.17</v>
      </c>
      <c r="J12" s="780">
        <v>74.900000000000006</v>
      </c>
      <c r="K12" s="775">
        <v>30.04</v>
      </c>
      <c r="L12" s="776">
        <v>22</v>
      </c>
      <c r="M12" s="776">
        <v>198</v>
      </c>
      <c r="N12" s="777">
        <v>66</v>
      </c>
      <c r="O12" s="776" t="s">
        <v>2163</v>
      </c>
      <c r="P12" s="793" t="s">
        <v>2166</v>
      </c>
      <c r="Q12" s="778">
        <f t="shared" si="0"/>
        <v>-6</v>
      </c>
      <c r="R12" s="778">
        <f t="shared" si="0"/>
        <v>-181.99999999999994</v>
      </c>
      <c r="S12" s="789">
        <f t="shared" si="1"/>
        <v>990</v>
      </c>
      <c r="T12" s="789">
        <f t="shared" si="2"/>
        <v>1123.5</v>
      </c>
      <c r="U12" s="789">
        <f t="shared" si="3"/>
        <v>133.5</v>
      </c>
      <c r="V12" s="794">
        <f t="shared" si="4"/>
        <v>1.1348484848484848</v>
      </c>
      <c r="W12" s="779">
        <v>206</v>
      </c>
    </row>
    <row r="13" spans="1:23" ht="14.4" customHeight="1" x14ac:dyDescent="0.3">
      <c r="A13" s="840" t="s">
        <v>2167</v>
      </c>
      <c r="B13" s="789">
        <v>1</v>
      </c>
      <c r="C13" s="790">
        <v>29.25</v>
      </c>
      <c r="D13" s="791">
        <v>17</v>
      </c>
      <c r="E13" s="792">
        <v>1</v>
      </c>
      <c r="F13" s="770">
        <v>29.25</v>
      </c>
      <c r="G13" s="771">
        <v>69</v>
      </c>
      <c r="H13" s="772">
        <v>1</v>
      </c>
      <c r="I13" s="773">
        <v>29.25</v>
      </c>
      <c r="J13" s="780">
        <v>71</v>
      </c>
      <c r="K13" s="775">
        <v>29.25</v>
      </c>
      <c r="L13" s="776">
        <v>10</v>
      </c>
      <c r="M13" s="776">
        <v>93</v>
      </c>
      <c r="N13" s="777">
        <v>31</v>
      </c>
      <c r="O13" s="776" t="s">
        <v>2163</v>
      </c>
      <c r="P13" s="793" t="s">
        <v>2168</v>
      </c>
      <c r="Q13" s="778">
        <f t="shared" si="0"/>
        <v>0</v>
      </c>
      <c r="R13" s="778">
        <f t="shared" si="0"/>
        <v>0</v>
      </c>
      <c r="S13" s="789">
        <f t="shared" si="1"/>
        <v>31</v>
      </c>
      <c r="T13" s="789">
        <f t="shared" si="2"/>
        <v>71</v>
      </c>
      <c r="U13" s="789">
        <f t="shared" si="3"/>
        <v>40</v>
      </c>
      <c r="V13" s="794">
        <f t="shared" si="4"/>
        <v>2.2903225806451615</v>
      </c>
      <c r="W13" s="779">
        <v>40</v>
      </c>
    </row>
    <row r="14" spans="1:23" ht="14.4" customHeight="1" x14ac:dyDescent="0.3">
      <c r="A14" s="841" t="s">
        <v>2169</v>
      </c>
      <c r="B14" s="825"/>
      <c r="C14" s="826"/>
      <c r="D14" s="795"/>
      <c r="E14" s="836">
        <v>1</v>
      </c>
      <c r="F14" s="830">
        <v>33.799999999999997</v>
      </c>
      <c r="G14" s="785">
        <v>79</v>
      </c>
      <c r="H14" s="827">
        <v>3</v>
      </c>
      <c r="I14" s="828">
        <v>101.4</v>
      </c>
      <c r="J14" s="784">
        <v>69</v>
      </c>
      <c r="K14" s="831">
        <v>33.799999999999997</v>
      </c>
      <c r="L14" s="829">
        <v>23</v>
      </c>
      <c r="M14" s="829">
        <v>207</v>
      </c>
      <c r="N14" s="832">
        <v>69</v>
      </c>
      <c r="O14" s="829" t="s">
        <v>2163</v>
      </c>
      <c r="P14" s="833" t="s">
        <v>2168</v>
      </c>
      <c r="Q14" s="834">
        <f t="shared" si="0"/>
        <v>3</v>
      </c>
      <c r="R14" s="834">
        <f t="shared" si="0"/>
        <v>101.4</v>
      </c>
      <c r="S14" s="825">
        <f t="shared" si="1"/>
        <v>207</v>
      </c>
      <c r="T14" s="825">
        <f t="shared" si="2"/>
        <v>207</v>
      </c>
      <c r="U14" s="825">
        <f t="shared" si="3"/>
        <v>0</v>
      </c>
      <c r="V14" s="835">
        <f t="shared" si="4"/>
        <v>1</v>
      </c>
      <c r="W14" s="786">
        <v>23</v>
      </c>
    </row>
    <row r="15" spans="1:23" ht="14.4" customHeight="1" x14ac:dyDescent="0.3">
      <c r="A15" s="840" t="s">
        <v>2170</v>
      </c>
      <c r="B15" s="789"/>
      <c r="C15" s="790"/>
      <c r="D15" s="791"/>
      <c r="E15" s="772">
        <v>1</v>
      </c>
      <c r="F15" s="773">
        <v>7.19</v>
      </c>
      <c r="G15" s="774">
        <v>33</v>
      </c>
      <c r="H15" s="776">
        <v>2</v>
      </c>
      <c r="I15" s="770">
        <v>14.38</v>
      </c>
      <c r="J15" s="771">
        <v>20</v>
      </c>
      <c r="K15" s="775">
        <v>7.19</v>
      </c>
      <c r="L15" s="776">
        <v>9</v>
      </c>
      <c r="M15" s="776">
        <v>81</v>
      </c>
      <c r="N15" s="777">
        <v>27</v>
      </c>
      <c r="O15" s="776" t="s">
        <v>2163</v>
      </c>
      <c r="P15" s="793" t="s">
        <v>2171</v>
      </c>
      <c r="Q15" s="778">
        <f t="shared" si="0"/>
        <v>2</v>
      </c>
      <c r="R15" s="778">
        <f t="shared" si="0"/>
        <v>14.38</v>
      </c>
      <c r="S15" s="789">
        <f t="shared" si="1"/>
        <v>54</v>
      </c>
      <c r="T15" s="789">
        <f t="shared" si="2"/>
        <v>40</v>
      </c>
      <c r="U15" s="789">
        <f t="shared" si="3"/>
        <v>-14</v>
      </c>
      <c r="V15" s="794">
        <f t="shared" si="4"/>
        <v>0.7407407407407407</v>
      </c>
      <c r="W15" s="779"/>
    </row>
    <row r="16" spans="1:23" ht="14.4" customHeight="1" x14ac:dyDescent="0.3">
      <c r="A16" s="841" t="s">
        <v>2172</v>
      </c>
      <c r="B16" s="825">
        <v>8</v>
      </c>
      <c r="C16" s="826">
        <v>67.48</v>
      </c>
      <c r="D16" s="795">
        <v>30.4</v>
      </c>
      <c r="E16" s="827">
        <v>7</v>
      </c>
      <c r="F16" s="828">
        <v>53.43</v>
      </c>
      <c r="G16" s="784">
        <v>20.7</v>
      </c>
      <c r="H16" s="829">
        <v>5</v>
      </c>
      <c r="I16" s="830">
        <v>38.43</v>
      </c>
      <c r="J16" s="787">
        <v>27.4</v>
      </c>
      <c r="K16" s="831">
        <v>8.43</v>
      </c>
      <c r="L16" s="829">
        <v>9</v>
      </c>
      <c r="M16" s="829">
        <v>81</v>
      </c>
      <c r="N16" s="832">
        <v>27</v>
      </c>
      <c r="O16" s="829" t="s">
        <v>2163</v>
      </c>
      <c r="P16" s="833" t="s">
        <v>2171</v>
      </c>
      <c r="Q16" s="834">
        <f t="shared" si="0"/>
        <v>-3</v>
      </c>
      <c r="R16" s="834">
        <f t="shared" si="0"/>
        <v>-29.050000000000004</v>
      </c>
      <c r="S16" s="825">
        <f t="shared" si="1"/>
        <v>135</v>
      </c>
      <c r="T16" s="825">
        <f t="shared" si="2"/>
        <v>137</v>
      </c>
      <c r="U16" s="825">
        <f t="shared" si="3"/>
        <v>2</v>
      </c>
      <c r="V16" s="835">
        <f t="shared" si="4"/>
        <v>1.0148148148148148</v>
      </c>
      <c r="W16" s="786">
        <v>26</v>
      </c>
    </row>
    <row r="17" spans="1:23" ht="14.4" customHeight="1" x14ac:dyDescent="0.3">
      <c r="A17" s="841" t="s">
        <v>2173</v>
      </c>
      <c r="B17" s="825">
        <v>36</v>
      </c>
      <c r="C17" s="826">
        <v>526.09</v>
      </c>
      <c r="D17" s="795">
        <v>41.4</v>
      </c>
      <c r="E17" s="827">
        <v>50</v>
      </c>
      <c r="F17" s="828">
        <v>737.56</v>
      </c>
      <c r="G17" s="784">
        <v>39.200000000000003</v>
      </c>
      <c r="H17" s="829">
        <v>36</v>
      </c>
      <c r="I17" s="830">
        <v>541.51</v>
      </c>
      <c r="J17" s="785">
        <v>38.200000000000003</v>
      </c>
      <c r="K17" s="831">
        <v>15.04</v>
      </c>
      <c r="L17" s="829">
        <v>14</v>
      </c>
      <c r="M17" s="829">
        <v>123</v>
      </c>
      <c r="N17" s="832">
        <v>41</v>
      </c>
      <c r="O17" s="829" t="s">
        <v>2163</v>
      </c>
      <c r="P17" s="833" t="s">
        <v>2171</v>
      </c>
      <c r="Q17" s="834">
        <f t="shared" si="0"/>
        <v>0</v>
      </c>
      <c r="R17" s="834">
        <f t="shared" si="0"/>
        <v>15.419999999999959</v>
      </c>
      <c r="S17" s="825">
        <f t="shared" si="1"/>
        <v>1476</v>
      </c>
      <c r="T17" s="825">
        <f t="shared" si="2"/>
        <v>1375.2</v>
      </c>
      <c r="U17" s="825">
        <f t="shared" si="3"/>
        <v>-100.79999999999995</v>
      </c>
      <c r="V17" s="835">
        <f t="shared" si="4"/>
        <v>0.93170731707317078</v>
      </c>
      <c r="W17" s="786">
        <v>101</v>
      </c>
    </row>
    <row r="18" spans="1:23" ht="14.4" customHeight="1" x14ac:dyDescent="0.3">
      <c r="A18" s="840" t="s">
        <v>2174</v>
      </c>
      <c r="B18" s="789"/>
      <c r="C18" s="790"/>
      <c r="D18" s="791"/>
      <c r="E18" s="772">
        <v>2</v>
      </c>
      <c r="F18" s="773">
        <v>33.33</v>
      </c>
      <c r="G18" s="774">
        <v>39</v>
      </c>
      <c r="H18" s="776"/>
      <c r="I18" s="770"/>
      <c r="J18" s="771"/>
      <c r="K18" s="775">
        <v>16.670000000000002</v>
      </c>
      <c r="L18" s="776">
        <v>14</v>
      </c>
      <c r="M18" s="776">
        <v>126</v>
      </c>
      <c r="N18" s="777">
        <v>42</v>
      </c>
      <c r="O18" s="776" t="s">
        <v>2163</v>
      </c>
      <c r="P18" s="793" t="s">
        <v>2175</v>
      </c>
      <c r="Q18" s="778">
        <f t="shared" si="0"/>
        <v>0</v>
      </c>
      <c r="R18" s="778">
        <f t="shared" si="0"/>
        <v>0</v>
      </c>
      <c r="S18" s="789" t="str">
        <f t="shared" si="1"/>
        <v/>
      </c>
      <c r="T18" s="789" t="str">
        <f t="shared" si="2"/>
        <v/>
      </c>
      <c r="U18" s="789" t="str">
        <f t="shared" si="3"/>
        <v/>
      </c>
      <c r="V18" s="794" t="str">
        <f t="shared" si="4"/>
        <v/>
      </c>
      <c r="W18" s="779"/>
    </row>
    <row r="19" spans="1:23" ht="14.4" customHeight="1" x14ac:dyDescent="0.3">
      <c r="A19" s="841" t="s">
        <v>2176</v>
      </c>
      <c r="B19" s="825">
        <v>1</v>
      </c>
      <c r="C19" s="826">
        <v>16.670000000000002</v>
      </c>
      <c r="D19" s="795">
        <v>49</v>
      </c>
      <c r="E19" s="827">
        <v>1</v>
      </c>
      <c r="F19" s="828">
        <v>16.670000000000002</v>
      </c>
      <c r="G19" s="784">
        <v>41</v>
      </c>
      <c r="H19" s="829"/>
      <c r="I19" s="830"/>
      <c r="J19" s="785"/>
      <c r="K19" s="831">
        <v>16.670000000000002</v>
      </c>
      <c r="L19" s="829">
        <v>14</v>
      </c>
      <c r="M19" s="829">
        <v>126</v>
      </c>
      <c r="N19" s="832">
        <v>42</v>
      </c>
      <c r="O19" s="829" t="s">
        <v>2163</v>
      </c>
      <c r="P19" s="833" t="s">
        <v>2175</v>
      </c>
      <c r="Q19" s="834">
        <f t="shared" si="0"/>
        <v>-1</v>
      </c>
      <c r="R19" s="834">
        <f t="shared" si="0"/>
        <v>-16.670000000000002</v>
      </c>
      <c r="S19" s="825" t="str">
        <f t="shared" si="1"/>
        <v/>
      </c>
      <c r="T19" s="825" t="str">
        <f t="shared" si="2"/>
        <v/>
      </c>
      <c r="U19" s="825" t="str">
        <f t="shared" si="3"/>
        <v/>
      </c>
      <c r="V19" s="835" t="str">
        <f t="shared" si="4"/>
        <v/>
      </c>
      <c r="W19" s="786"/>
    </row>
    <row r="20" spans="1:23" ht="14.4" customHeight="1" x14ac:dyDescent="0.3">
      <c r="A20" s="840" t="s">
        <v>2177</v>
      </c>
      <c r="B20" s="789">
        <v>6</v>
      </c>
      <c r="C20" s="790">
        <v>18.38</v>
      </c>
      <c r="D20" s="791">
        <v>10</v>
      </c>
      <c r="E20" s="772">
        <v>6</v>
      </c>
      <c r="F20" s="773">
        <v>17.760000000000002</v>
      </c>
      <c r="G20" s="774">
        <v>10.3</v>
      </c>
      <c r="H20" s="776">
        <v>5</v>
      </c>
      <c r="I20" s="770">
        <v>15.31</v>
      </c>
      <c r="J20" s="771">
        <v>11.2</v>
      </c>
      <c r="K20" s="775">
        <v>3.06</v>
      </c>
      <c r="L20" s="776">
        <v>5</v>
      </c>
      <c r="M20" s="776">
        <v>48</v>
      </c>
      <c r="N20" s="777">
        <v>16</v>
      </c>
      <c r="O20" s="776" t="s">
        <v>2163</v>
      </c>
      <c r="P20" s="793" t="s">
        <v>2178</v>
      </c>
      <c r="Q20" s="778">
        <f t="shared" si="0"/>
        <v>-1</v>
      </c>
      <c r="R20" s="778">
        <f t="shared" si="0"/>
        <v>-3.0699999999999985</v>
      </c>
      <c r="S20" s="789">
        <f t="shared" si="1"/>
        <v>80</v>
      </c>
      <c r="T20" s="789">
        <f t="shared" si="2"/>
        <v>56</v>
      </c>
      <c r="U20" s="789">
        <f t="shared" si="3"/>
        <v>-24</v>
      </c>
      <c r="V20" s="794">
        <f t="shared" si="4"/>
        <v>0.7</v>
      </c>
      <c r="W20" s="779">
        <v>4</v>
      </c>
    </row>
    <row r="21" spans="1:23" ht="14.4" customHeight="1" x14ac:dyDescent="0.3">
      <c r="A21" s="841" t="s">
        <v>2179</v>
      </c>
      <c r="B21" s="825">
        <v>29</v>
      </c>
      <c r="C21" s="826">
        <v>127.61</v>
      </c>
      <c r="D21" s="795">
        <v>18.3</v>
      </c>
      <c r="E21" s="827">
        <v>44</v>
      </c>
      <c r="F21" s="828">
        <v>193.63</v>
      </c>
      <c r="G21" s="784">
        <v>16.399999999999999</v>
      </c>
      <c r="H21" s="829">
        <v>46</v>
      </c>
      <c r="I21" s="830">
        <v>199.99</v>
      </c>
      <c r="J21" s="785">
        <v>16.100000000000001</v>
      </c>
      <c r="K21" s="831">
        <v>4.4400000000000004</v>
      </c>
      <c r="L21" s="829">
        <v>7</v>
      </c>
      <c r="M21" s="829">
        <v>60</v>
      </c>
      <c r="N21" s="832">
        <v>20</v>
      </c>
      <c r="O21" s="829" t="s">
        <v>2163</v>
      </c>
      <c r="P21" s="833" t="s">
        <v>2178</v>
      </c>
      <c r="Q21" s="834">
        <f t="shared" si="0"/>
        <v>17</v>
      </c>
      <c r="R21" s="834">
        <f t="shared" si="0"/>
        <v>72.38000000000001</v>
      </c>
      <c r="S21" s="825">
        <f t="shared" si="1"/>
        <v>920</v>
      </c>
      <c r="T21" s="825">
        <f t="shared" si="2"/>
        <v>740.6</v>
      </c>
      <c r="U21" s="825">
        <f t="shared" si="3"/>
        <v>-179.39999999999998</v>
      </c>
      <c r="V21" s="835">
        <f t="shared" si="4"/>
        <v>0.80500000000000005</v>
      </c>
      <c r="W21" s="786">
        <v>56</v>
      </c>
    </row>
    <row r="22" spans="1:23" ht="14.4" customHeight="1" x14ac:dyDescent="0.3">
      <c r="A22" s="841" t="s">
        <v>2180</v>
      </c>
      <c r="B22" s="825">
        <v>22</v>
      </c>
      <c r="C22" s="826">
        <v>170.99</v>
      </c>
      <c r="D22" s="795">
        <v>30.1</v>
      </c>
      <c r="E22" s="827">
        <v>37</v>
      </c>
      <c r="F22" s="828">
        <v>280.38</v>
      </c>
      <c r="G22" s="784">
        <v>28</v>
      </c>
      <c r="H22" s="829">
        <v>32</v>
      </c>
      <c r="I22" s="830">
        <v>240.4</v>
      </c>
      <c r="J22" s="787">
        <v>30.7</v>
      </c>
      <c r="K22" s="831">
        <v>7.64</v>
      </c>
      <c r="L22" s="829">
        <v>9</v>
      </c>
      <c r="M22" s="829">
        <v>81</v>
      </c>
      <c r="N22" s="832">
        <v>27</v>
      </c>
      <c r="O22" s="829" t="s">
        <v>2163</v>
      </c>
      <c r="P22" s="833" t="s">
        <v>2178</v>
      </c>
      <c r="Q22" s="834">
        <f t="shared" si="0"/>
        <v>10</v>
      </c>
      <c r="R22" s="834">
        <f t="shared" si="0"/>
        <v>69.41</v>
      </c>
      <c r="S22" s="825">
        <f t="shared" si="1"/>
        <v>864</v>
      </c>
      <c r="T22" s="825">
        <f t="shared" si="2"/>
        <v>982.4</v>
      </c>
      <c r="U22" s="825">
        <f t="shared" si="3"/>
        <v>118.39999999999998</v>
      </c>
      <c r="V22" s="835">
        <f t="shared" si="4"/>
        <v>1.1370370370370371</v>
      </c>
      <c r="W22" s="786">
        <v>199</v>
      </c>
    </row>
    <row r="23" spans="1:23" ht="14.4" customHeight="1" x14ac:dyDescent="0.3">
      <c r="A23" s="840" t="s">
        <v>2181</v>
      </c>
      <c r="B23" s="789">
        <v>46</v>
      </c>
      <c r="C23" s="790">
        <v>26.61</v>
      </c>
      <c r="D23" s="791">
        <v>5.7</v>
      </c>
      <c r="E23" s="792">
        <v>42</v>
      </c>
      <c r="F23" s="770">
        <v>24.3</v>
      </c>
      <c r="G23" s="771">
        <v>6.4</v>
      </c>
      <c r="H23" s="772">
        <v>73</v>
      </c>
      <c r="I23" s="773">
        <v>42.23</v>
      </c>
      <c r="J23" s="774">
        <v>6.1</v>
      </c>
      <c r="K23" s="775">
        <v>0.57999999999999996</v>
      </c>
      <c r="L23" s="776">
        <v>2</v>
      </c>
      <c r="M23" s="776">
        <v>21</v>
      </c>
      <c r="N23" s="777">
        <v>7</v>
      </c>
      <c r="O23" s="776" t="s">
        <v>2163</v>
      </c>
      <c r="P23" s="793" t="s">
        <v>2182</v>
      </c>
      <c r="Q23" s="778">
        <f t="shared" si="0"/>
        <v>27</v>
      </c>
      <c r="R23" s="778">
        <f t="shared" si="0"/>
        <v>15.619999999999997</v>
      </c>
      <c r="S23" s="789">
        <f t="shared" si="1"/>
        <v>511</v>
      </c>
      <c r="T23" s="789">
        <f t="shared" si="2"/>
        <v>445.29999999999995</v>
      </c>
      <c r="U23" s="789">
        <f t="shared" si="3"/>
        <v>-65.700000000000045</v>
      </c>
      <c r="V23" s="794">
        <f t="shared" si="4"/>
        <v>0.87142857142857133</v>
      </c>
      <c r="W23" s="779">
        <v>53</v>
      </c>
    </row>
    <row r="24" spans="1:23" ht="14.4" customHeight="1" x14ac:dyDescent="0.3">
      <c r="A24" s="841" t="s">
        <v>2183</v>
      </c>
      <c r="B24" s="825">
        <v>74</v>
      </c>
      <c r="C24" s="826">
        <v>112.43</v>
      </c>
      <c r="D24" s="795">
        <v>11.1</v>
      </c>
      <c r="E24" s="836">
        <v>90</v>
      </c>
      <c r="F24" s="830">
        <v>136.77000000000001</v>
      </c>
      <c r="G24" s="785">
        <v>9.8000000000000007</v>
      </c>
      <c r="H24" s="827">
        <v>78</v>
      </c>
      <c r="I24" s="828">
        <v>118.67</v>
      </c>
      <c r="J24" s="784">
        <v>9.8000000000000007</v>
      </c>
      <c r="K24" s="831">
        <v>1.52</v>
      </c>
      <c r="L24" s="829">
        <v>4</v>
      </c>
      <c r="M24" s="829">
        <v>33</v>
      </c>
      <c r="N24" s="832">
        <v>11</v>
      </c>
      <c r="O24" s="829" t="s">
        <v>2163</v>
      </c>
      <c r="P24" s="833" t="s">
        <v>2182</v>
      </c>
      <c r="Q24" s="834">
        <f t="shared" si="0"/>
        <v>4</v>
      </c>
      <c r="R24" s="834">
        <f t="shared" si="0"/>
        <v>6.2399999999999949</v>
      </c>
      <c r="S24" s="825">
        <f t="shared" si="1"/>
        <v>858</v>
      </c>
      <c r="T24" s="825">
        <f t="shared" si="2"/>
        <v>764.40000000000009</v>
      </c>
      <c r="U24" s="825">
        <f t="shared" si="3"/>
        <v>-93.599999999999909</v>
      </c>
      <c r="V24" s="835">
        <f t="shared" si="4"/>
        <v>0.89090909090909098</v>
      </c>
      <c r="W24" s="786">
        <v>105</v>
      </c>
    </row>
    <row r="25" spans="1:23" ht="14.4" customHeight="1" x14ac:dyDescent="0.3">
      <c r="A25" s="841" t="s">
        <v>2184</v>
      </c>
      <c r="B25" s="825">
        <v>23</v>
      </c>
      <c r="C25" s="826">
        <v>87.55</v>
      </c>
      <c r="D25" s="795">
        <v>17.100000000000001</v>
      </c>
      <c r="E25" s="836">
        <v>21</v>
      </c>
      <c r="F25" s="830">
        <v>77.3</v>
      </c>
      <c r="G25" s="785">
        <v>16.8</v>
      </c>
      <c r="H25" s="827">
        <v>29</v>
      </c>
      <c r="I25" s="828">
        <v>118.23</v>
      </c>
      <c r="J25" s="787">
        <v>22.3</v>
      </c>
      <c r="K25" s="831">
        <v>3.78</v>
      </c>
      <c r="L25" s="829">
        <v>6</v>
      </c>
      <c r="M25" s="829">
        <v>51</v>
      </c>
      <c r="N25" s="832">
        <v>17</v>
      </c>
      <c r="O25" s="829" t="s">
        <v>2163</v>
      </c>
      <c r="P25" s="833" t="s">
        <v>2182</v>
      </c>
      <c r="Q25" s="834">
        <f t="shared" si="0"/>
        <v>6</v>
      </c>
      <c r="R25" s="834">
        <f t="shared" si="0"/>
        <v>30.680000000000007</v>
      </c>
      <c r="S25" s="825">
        <f t="shared" si="1"/>
        <v>493</v>
      </c>
      <c r="T25" s="825">
        <f t="shared" si="2"/>
        <v>646.70000000000005</v>
      </c>
      <c r="U25" s="825">
        <f t="shared" si="3"/>
        <v>153.70000000000005</v>
      </c>
      <c r="V25" s="835">
        <f t="shared" si="4"/>
        <v>1.3117647058823529</v>
      </c>
      <c r="W25" s="786">
        <v>219</v>
      </c>
    </row>
    <row r="26" spans="1:23" ht="14.4" customHeight="1" x14ac:dyDescent="0.3">
      <c r="A26" s="840" t="s">
        <v>2185</v>
      </c>
      <c r="B26" s="789">
        <v>2</v>
      </c>
      <c r="C26" s="790">
        <v>10.49</v>
      </c>
      <c r="D26" s="791">
        <v>25</v>
      </c>
      <c r="E26" s="792"/>
      <c r="F26" s="770"/>
      <c r="G26" s="771"/>
      <c r="H26" s="772">
        <v>3</v>
      </c>
      <c r="I26" s="773">
        <v>21.51</v>
      </c>
      <c r="J26" s="780">
        <v>36</v>
      </c>
      <c r="K26" s="775">
        <v>5.24</v>
      </c>
      <c r="L26" s="776">
        <v>5</v>
      </c>
      <c r="M26" s="776">
        <v>45</v>
      </c>
      <c r="N26" s="777">
        <v>15</v>
      </c>
      <c r="O26" s="776" t="s">
        <v>2163</v>
      </c>
      <c r="P26" s="793" t="s">
        <v>2186</v>
      </c>
      <c r="Q26" s="778">
        <f t="shared" si="0"/>
        <v>1</v>
      </c>
      <c r="R26" s="778">
        <f t="shared" si="0"/>
        <v>11.020000000000001</v>
      </c>
      <c r="S26" s="789">
        <f t="shared" si="1"/>
        <v>45</v>
      </c>
      <c r="T26" s="789">
        <f t="shared" si="2"/>
        <v>108</v>
      </c>
      <c r="U26" s="789">
        <f t="shared" si="3"/>
        <v>63</v>
      </c>
      <c r="V26" s="794">
        <f t="shared" si="4"/>
        <v>2.4</v>
      </c>
      <c r="W26" s="779">
        <v>67</v>
      </c>
    </row>
    <row r="27" spans="1:23" ht="14.4" customHeight="1" x14ac:dyDescent="0.3">
      <c r="A27" s="841" t="s">
        <v>2187</v>
      </c>
      <c r="B27" s="825"/>
      <c r="C27" s="826"/>
      <c r="D27" s="795"/>
      <c r="E27" s="836">
        <v>3</v>
      </c>
      <c r="F27" s="830">
        <v>42.67</v>
      </c>
      <c r="G27" s="785">
        <v>29.3</v>
      </c>
      <c r="H27" s="827">
        <v>1</v>
      </c>
      <c r="I27" s="828">
        <v>9.3800000000000008</v>
      </c>
      <c r="J27" s="784">
        <v>7</v>
      </c>
      <c r="K27" s="831">
        <v>14.22</v>
      </c>
      <c r="L27" s="829">
        <v>11</v>
      </c>
      <c r="M27" s="829">
        <v>99</v>
      </c>
      <c r="N27" s="832">
        <v>33</v>
      </c>
      <c r="O27" s="829" t="s">
        <v>2163</v>
      </c>
      <c r="P27" s="833" t="s">
        <v>2186</v>
      </c>
      <c r="Q27" s="834">
        <f t="shared" si="0"/>
        <v>1</v>
      </c>
      <c r="R27" s="834">
        <f t="shared" si="0"/>
        <v>9.3800000000000008</v>
      </c>
      <c r="S27" s="825">
        <f t="shared" si="1"/>
        <v>33</v>
      </c>
      <c r="T27" s="825">
        <f t="shared" si="2"/>
        <v>7</v>
      </c>
      <c r="U27" s="825">
        <f t="shared" si="3"/>
        <v>-26</v>
      </c>
      <c r="V27" s="835">
        <f t="shared" si="4"/>
        <v>0.21212121212121213</v>
      </c>
      <c r="W27" s="786"/>
    </row>
    <row r="28" spans="1:23" ht="14.4" customHeight="1" x14ac:dyDescent="0.3">
      <c r="A28" s="840" t="s">
        <v>2188</v>
      </c>
      <c r="B28" s="789">
        <v>12</v>
      </c>
      <c r="C28" s="790">
        <v>4.6500000000000004</v>
      </c>
      <c r="D28" s="791">
        <v>4.8</v>
      </c>
      <c r="E28" s="772">
        <v>9</v>
      </c>
      <c r="F28" s="773">
        <v>3.49</v>
      </c>
      <c r="G28" s="774">
        <v>6.1</v>
      </c>
      <c r="H28" s="776">
        <v>14</v>
      </c>
      <c r="I28" s="770">
        <v>5.67</v>
      </c>
      <c r="J28" s="780">
        <v>6.2</v>
      </c>
      <c r="K28" s="775">
        <v>0.39</v>
      </c>
      <c r="L28" s="776">
        <v>2</v>
      </c>
      <c r="M28" s="776">
        <v>15</v>
      </c>
      <c r="N28" s="777">
        <v>5</v>
      </c>
      <c r="O28" s="776" t="s">
        <v>2163</v>
      </c>
      <c r="P28" s="793" t="s">
        <v>2189</v>
      </c>
      <c r="Q28" s="778">
        <f t="shared" si="0"/>
        <v>2</v>
      </c>
      <c r="R28" s="778">
        <f t="shared" si="0"/>
        <v>1.0199999999999996</v>
      </c>
      <c r="S28" s="789">
        <f t="shared" si="1"/>
        <v>70</v>
      </c>
      <c r="T28" s="789">
        <f t="shared" si="2"/>
        <v>86.8</v>
      </c>
      <c r="U28" s="789">
        <f t="shared" si="3"/>
        <v>16.799999999999997</v>
      </c>
      <c r="V28" s="794">
        <f t="shared" si="4"/>
        <v>1.24</v>
      </c>
      <c r="W28" s="779">
        <v>23</v>
      </c>
    </row>
    <row r="29" spans="1:23" ht="14.4" customHeight="1" x14ac:dyDescent="0.3">
      <c r="A29" s="841" t="s">
        <v>2190</v>
      </c>
      <c r="B29" s="825">
        <v>14</v>
      </c>
      <c r="C29" s="826">
        <v>12.88</v>
      </c>
      <c r="D29" s="795">
        <v>9.6999999999999993</v>
      </c>
      <c r="E29" s="827">
        <v>17</v>
      </c>
      <c r="F29" s="828">
        <v>14.83</v>
      </c>
      <c r="G29" s="784">
        <v>10.1</v>
      </c>
      <c r="H29" s="829">
        <v>10</v>
      </c>
      <c r="I29" s="830">
        <v>9.89</v>
      </c>
      <c r="J29" s="787">
        <v>12.4</v>
      </c>
      <c r="K29" s="831">
        <v>0.84</v>
      </c>
      <c r="L29" s="829">
        <v>2</v>
      </c>
      <c r="M29" s="829">
        <v>21</v>
      </c>
      <c r="N29" s="832">
        <v>7</v>
      </c>
      <c r="O29" s="829" t="s">
        <v>2163</v>
      </c>
      <c r="P29" s="833" t="s">
        <v>2189</v>
      </c>
      <c r="Q29" s="834">
        <f t="shared" si="0"/>
        <v>-4</v>
      </c>
      <c r="R29" s="834">
        <f t="shared" si="0"/>
        <v>-2.99</v>
      </c>
      <c r="S29" s="825">
        <f t="shared" si="1"/>
        <v>70</v>
      </c>
      <c r="T29" s="825">
        <f t="shared" si="2"/>
        <v>124</v>
      </c>
      <c r="U29" s="825">
        <f t="shared" si="3"/>
        <v>54</v>
      </c>
      <c r="V29" s="835">
        <f t="shared" si="4"/>
        <v>1.7714285714285714</v>
      </c>
      <c r="W29" s="786">
        <v>61</v>
      </c>
    </row>
    <row r="30" spans="1:23" ht="14.4" customHeight="1" x14ac:dyDescent="0.3">
      <c r="A30" s="841" t="s">
        <v>2191</v>
      </c>
      <c r="B30" s="825">
        <v>2</v>
      </c>
      <c r="C30" s="826">
        <v>6.94</v>
      </c>
      <c r="D30" s="795">
        <v>9.5</v>
      </c>
      <c r="E30" s="827">
        <v>2</v>
      </c>
      <c r="F30" s="828">
        <v>6.94</v>
      </c>
      <c r="G30" s="784">
        <v>5</v>
      </c>
      <c r="H30" s="829">
        <v>2</v>
      </c>
      <c r="I30" s="830">
        <v>6.94</v>
      </c>
      <c r="J30" s="785">
        <v>10.5</v>
      </c>
      <c r="K30" s="831">
        <v>3.47</v>
      </c>
      <c r="L30" s="829">
        <v>5</v>
      </c>
      <c r="M30" s="829">
        <v>42</v>
      </c>
      <c r="N30" s="832">
        <v>14</v>
      </c>
      <c r="O30" s="829" t="s">
        <v>2163</v>
      </c>
      <c r="P30" s="833" t="s">
        <v>2189</v>
      </c>
      <c r="Q30" s="834">
        <f t="shared" si="0"/>
        <v>0</v>
      </c>
      <c r="R30" s="834">
        <f t="shared" si="0"/>
        <v>0</v>
      </c>
      <c r="S30" s="825">
        <f t="shared" si="1"/>
        <v>28</v>
      </c>
      <c r="T30" s="825">
        <f t="shared" si="2"/>
        <v>21</v>
      </c>
      <c r="U30" s="825">
        <f t="shared" si="3"/>
        <v>-7</v>
      </c>
      <c r="V30" s="835">
        <f t="shared" si="4"/>
        <v>0.75</v>
      </c>
      <c r="W30" s="786"/>
    </row>
    <row r="31" spans="1:23" ht="14.4" customHeight="1" x14ac:dyDescent="0.3">
      <c r="A31" s="840" t="s">
        <v>2192</v>
      </c>
      <c r="B31" s="789">
        <v>17</v>
      </c>
      <c r="C31" s="790">
        <v>126.59</v>
      </c>
      <c r="D31" s="791">
        <v>11.6</v>
      </c>
      <c r="E31" s="772">
        <v>21</v>
      </c>
      <c r="F31" s="773">
        <v>161.51</v>
      </c>
      <c r="G31" s="774">
        <v>15.5</v>
      </c>
      <c r="H31" s="776">
        <v>17</v>
      </c>
      <c r="I31" s="770">
        <v>142.1</v>
      </c>
      <c r="J31" s="780">
        <v>17.100000000000001</v>
      </c>
      <c r="K31" s="775">
        <v>7.45</v>
      </c>
      <c r="L31" s="776">
        <v>4</v>
      </c>
      <c r="M31" s="776">
        <v>36</v>
      </c>
      <c r="N31" s="777">
        <v>12</v>
      </c>
      <c r="O31" s="776" t="s">
        <v>2163</v>
      </c>
      <c r="P31" s="793" t="s">
        <v>2193</v>
      </c>
      <c r="Q31" s="778">
        <f t="shared" si="0"/>
        <v>0</v>
      </c>
      <c r="R31" s="778">
        <f t="shared" si="0"/>
        <v>15.509999999999991</v>
      </c>
      <c r="S31" s="789">
        <f t="shared" si="1"/>
        <v>204</v>
      </c>
      <c r="T31" s="789">
        <f t="shared" si="2"/>
        <v>290.70000000000005</v>
      </c>
      <c r="U31" s="789">
        <f t="shared" si="3"/>
        <v>86.700000000000045</v>
      </c>
      <c r="V31" s="794">
        <f t="shared" si="4"/>
        <v>1.4250000000000003</v>
      </c>
      <c r="W31" s="779">
        <v>121</v>
      </c>
    </row>
    <row r="32" spans="1:23" ht="14.4" customHeight="1" x14ac:dyDescent="0.3">
      <c r="A32" s="840" t="s">
        <v>2194</v>
      </c>
      <c r="B32" s="789"/>
      <c r="C32" s="790"/>
      <c r="D32" s="791"/>
      <c r="E32" s="792"/>
      <c r="F32" s="770"/>
      <c r="G32" s="771"/>
      <c r="H32" s="772">
        <v>1</v>
      </c>
      <c r="I32" s="773">
        <v>3.26</v>
      </c>
      <c r="J32" s="774">
        <v>10</v>
      </c>
      <c r="K32" s="775">
        <v>3.26</v>
      </c>
      <c r="L32" s="776">
        <v>5</v>
      </c>
      <c r="M32" s="776">
        <v>42</v>
      </c>
      <c r="N32" s="777">
        <v>14</v>
      </c>
      <c r="O32" s="776" t="s">
        <v>2163</v>
      </c>
      <c r="P32" s="793" t="s">
        <v>2195</v>
      </c>
      <c r="Q32" s="778">
        <f t="shared" si="0"/>
        <v>1</v>
      </c>
      <c r="R32" s="778">
        <f t="shared" si="0"/>
        <v>3.26</v>
      </c>
      <c r="S32" s="789">
        <f t="shared" si="1"/>
        <v>14</v>
      </c>
      <c r="T32" s="789">
        <f t="shared" si="2"/>
        <v>10</v>
      </c>
      <c r="U32" s="789">
        <f t="shared" si="3"/>
        <v>-4</v>
      </c>
      <c r="V32" s="794">
        <f t="shared" si="4"/>
        <v>0.7142857142857143</v>
      </c>
      <c r="W32" s="779"/>
    </row>
    <row r="33" spans="1:23" ht="14.4" customHeight="1" x14ac:dyDescent="0.3">
      <c r="A33" s="840" t="s">
        <v>2196</v>
      </c>
      <c r="B33" s="789"/>
      <c r="C33" s="790"/>
      <c r="D33" s="791"/>
      <c r="E33" s="792"/>
      <c r="F33" s="770"/>
      <c r="G33" s="771"/>
      <c r="H33" s="772">
        <v>2</v>
      </c>
      <c r="I33" s="773">
        <v>1.82</v>
      </c>
      <c r="J33" s="774">
        <v>7</v>
      </c>
      <c r="K33" s="775">
        <v>0.91</v>
      </c>
      <c r="L33" s="776">
        <v>3</v>
      </c>
      <c r="M33" s="776">
        <v>27</v>
      </c>
      <c r="N33" s="777">
        <v>9</v>
      </c>
      <c r="O33" s="776" t="s">
        <v>2163</v>
      </c>
      <c r="P33" s="793" t="s">
        <v>2197</v>
      </c>
      <c r="Q33" s="778">
        <f t="shared" si="0"/>
        <v>2</v>
      </c>
      <c r="R33" s="778">
        <f t="shared" si="0"/>
        <v>1.82</v>
      </c>
      <c r="S33" s="789">
        <f t="shared" si="1"/>
        <v>18</v>
      </c>
      <c r="T33" s="789">
        <f t="shared" si="2"/>
        <v>14</v>
      </c>
      <c r="U33" s="789">
        <f t="shared" si="3"/>
        <v>-4</v>
      </c>
      <c r="V33" s="794">
        <f t="shared" si="4"/>
        <v>0.77777777777777779</v>
      </c>
      <c r="W33" s="779"/>
    </row>
    <row r="34" spans="1:23" ht="14.4" customHeight="1" x14ac:dyDescent="0.3">
      <c r="A34" s="841" t="s">
        <v>2198</v>
      </c>
      <c r="B34" s="825">
        <v>31</v>
      </c>
      <c r="C34" s="826">
        <v>30.5</v>
      </c>
      <c r="D34" s="795">
        <v>11.2</v>
      </c>
      <c r="E34" s="836">
        <v>25</v>
      </c>
      <c r="F34" s="830">
        <v>24.08</v>
      </c>
      <c r="G34" s="785">
        <v>9.6999999999999993</v>
      </c>
      <c r="H34" s="827">
        <v>29</v>
      </c>
      <c r="I34" s="828">
        <v>28.03</v>
      </c>
      <c r="J34" s="787">
        <v>9.5</v>
      </c>
      <c r="K34" s="831">
        <v>0.95</v>
      </c>
      <c r="L34" s="829">
        <v>3</v>
      </c>
      <c r="M34" s="829">
        <v>27</v>
      </c>
      <c r="N34" s="832">
        <v>9</v>
      </c>
      <c r="O34" s="829" t="s">
        <v>2163</v>
      </c>
      <c r="P34" s="833" t="s">
        <v>2197</v>
      </c>
      <c r="Q34" s="834">
        <f t="shared" si="0"/>
        <v>-2</v>
      </c>
      <c r="R34" s="834">
        <f t="shared" si="0"/>
        <v>-2.4699999999999989</v>
      </c>
      <c r="S34" s="825">
        <f t="shared" si="1"/>
        <v>261</v>
      </c>
      <c r="T34" s="825">
        <f t="shared" si="2"/>
        <v>275.5</v>
      </c>
      <c r="U34" s="825">
        <f t="shared" si="3"/>
        <v>14.5</v>
      </c>
      <c r="V34" s="835">
        <f t="shared" si="4"/>
        <v>1.0555555555555556</v>
      </c>
      <c r="W34" s="786">
        <v>38</v>
      </c>
    </row>
    <row r="35" spans="1:23" ht="14.4" customHeight="1" x14ac:dyDescent="0.3">
      <c r="A35" s="841" t="s">
        <v>2199</v>
      </c>
      <c r="B35" s="825">
        <v>4</v>
      </c>
      <c r="C35" s="826">
        <v>11.81</v>
      </c>
      <c r="D35" s="795">
        <v>20.8</v>
      </c>
      <c r="E35" s="836">
        <v>12</v>
      </c>
      <c r="F35" s="830">
        <v>40.229999999999997</v>
      </c>
      <c r="G35" s="785">
        <v>16.600000000000001</v>
      </c>
      <c r="H35" s="827">
        <v>6</v>
      </c>
      <c r="I35" s="828">
        <v>17.59</v>
      </c>
      <c r="J35" s="787">
        <v>14</v>
      </c>
      <c r="K35" s="831">
        <v>2.93</v>
      </c>
      <c r="L35" s="829">
        <v>4</v>
      </c>
      <c r="M35" s="829">
        <v>33</v>
      </c>
      <c r="N35" s="832">
        <v>11</v>
      </c>
      <c r="O35" s="829" t="s">
        <v>2163</v>
      </c>
      <c r="P35" s="833" t="s">
        <v>2197</v>
      </c>
      <c r="Q35" s="834">
        <f t="shared" si="0"/>
        <v>2</v>
      </c>
      <c r="R35" s="834">
        <f t="shared" si="0"/>
        <v>5.7799999999999994</v>
      </c>
      <c r="S35" s="825">
        <f t="shared" si="1"/>
        <v>66</v>
      </c>
      <c r="T35" s="825">
        <f t="shared" si="2"/>
        <v>84</v>
      </c>
      <c r="U35" s="825">
        <f t="shared" si="3"/>
        <v>18</v>
      </c>
      <c r="V35" s="835">
        <f t="shared" si="4"/>
        <v>1.2727272727272727</v>
      </c>
      <c r="W35" s="786">
        <v>21</v>
      </c>
    </row>
    <row r="36" spans="1:23" ht="14.4" customHeight="1" x14ac:dyDescent="0.3">
      <c r="A36" s="840" t="s">
        <v>2200</v>
      </c>
      <c r="B36" s="781">
        <v>1735</v>
      </c>
      <c r="C36" s="782">
        <v>505.35</v>
      </c>
      <c r="D36" s="783">
        <v>4.5999999999999996</v>
      </c>
      <c r="E36" s="792">
        <v>1254</v>
      </c>
      <c r="F36" s="770">
        <v>364.65</v>
      </c>
      <c r="G36" s="771">
        <v>4.5</v>
      </c>
      <c r="H36" s="776">
        <v>1661</v>
      </c>
      <c r="I36" s="770">
        <v>483.41</v>
      </c>
      <c r="J36" s="771">
        <v>4.5</v>
      </c>
      <c r="K36" s="775">
        <v>0.28999999999999998</v>
      </c>
      <c r="L36" s="776">
        <v>2</v>
      </c>
      <c r="M36" s="776">
        <v>15</v>
      </c>
      <c r="N36" s="777">
        <v>5</v>
      </c>
      <c r="O36" s="776" t="s">
        <v>2163</v>
      </c>
      <c r="P36" s="793" t="s">
        <v>2201</v>
      </c>
      <c r="Q36" s="778">
        <f t="shared" si="0"/>
        <v>-74</v>
      </c>
      <c r="R36" s="778">
        <f t="shared" si="0"/>
        <v>-21.939999999999998</v>
      </c>
      <c r="S36" s="789">
        <f t="shared" si="1"/>
        <v>8305</v>
      </c>
      <c r="T36" s="789">
        <f t="shared" si="2"/>
        <v>7474.5</v>
      </c>
      <c r="U36" s="789">
        <f t="shared" si="3"/>
        <v>-830.5</v>
      </c>
      <c r="V36" s="794">
        <f t="shared" si="4"/>
        <v>0.9</v>
      </c>
      <c r="W36" s="779">
        <v>213</v>
      </c>
    </row>
    <row r="37" spans="1:23" ht="14.4" customHeight="1" x14ac:dyDescent="0.3">
      <c r="A37" s="841" t="s">
        <v>2202</v>
      </c>
      <c r="B37" s="837">
        <v>349</v>
      </c>
      <c r="C37" s="838">
        <v>131.4</v>
      </c>
      <c r="D37" s="788">
        <v>5.6</v>
      </c>
      <c r="E37" s="836">
        <v>567</v>
      </c>
      <c r="F37" s="830">
        <v>213.49</v>
      </c>
      <c r="G37" s="785">
        <v>5.2</v>
      </c>
      <c r="H37" s="829">
        <v>309</v>
      </c>
      <c r="I37" s="830">
        <v>116.48</v>
      </c>
      <c r="J37" s="785">
        <v>5.7</v>
      </c>
      <c r="K37" s="831">
        <v>0.38</v>
      </c>
      <c r="L37" s="829">
        <v>2</v>
      </c>
      <c r="M37" s="829">
        <v>18</v>
      </c>
      <c r="N37" s="832">
        <v>6</v>
      </c>
      <c r="O37" s="829" t="s">
        <v>2163</v>
      </c>
      <c r="P37" s="833" t="s">
        <v>2201</v>
      </c>
      <c r="Q37" s="834">
        <f t="shared" si="0"/>
        <v>-40</v>
      </c>
      <c r="R37" s="834">
        <f t="shared" si="0"/>
        <v>-14.920000000000002</v>
      </c>
      <c r="S37" s="825">
        <f t="shared" si="1"/>
        <v>1854</v>
      </c>
      <c r="T37" s="825">
        <f t="shared" si="2"/>
        <v>1761.3</v>
      </c>
      <c r="U37" s="825">
        <f t="shared" si="3"/>
        <v>-92.700000000000045</v>
      </c>
      <c r="V37" s="835">
        <f t="shared" si="4"/>
        <v>0.95</v>
      </c>
      <c r="W37" s="786">
        <v>169</v>
      </c>
    </row>
    <row r="38" spans="1:23" ht="14.4" customHeight="1" x14ac:dyDescent="0.3">
      <c r="A38" s="841" t="s">
        <v>2203</v>
      </c>
      <c r="B38" s="837">
        <v>32</v>
      </c>
      <c r="C38" s="838">
        <v>19.170000000000002</v>
      </c>
      <c r="D38" s="788">
        <v>6.4</v>
      </c>
      <c r="E38" s="836">
        <v>126</v>
      </c>
      <c r="F38" s="830">
        <v>76.31</v>
      </c>
      <c r="G38" s="785">
        <v>5.5</v>
      </c>
      <c r="H38" s="829">
        <v>75</v>
      </c>
      <c r="I38" s="830">
        <v>44.65</v>
      </c>
      <c r="J38" s="785">
        <v>5.7</v>
      </c>
      <c r="K38" s="831">
        <v>0.59</v>
      </c>
      <c r="L38" s="829">
        <v>2</v>
      </c>
      <c r="M38" s="829">
        <v>18</v>
      </c>
      <c r="N38" s="832">
        <v>6</v>
      </c>
      <c r="O38" s="829" t="s">
        <v>2163</v>
      </c>
      <c r="P38" s="833" t="s">
        <v>2201</v>
      </c>
      <c r="Q38" s="834">
        <f t="shared" si="0"/>
        <v>43</v>
      </c>
      <c r="R38" s="834">
        <f t="shared" si="0"/>
        <v>25.479999999999997</v>
      </c>
      <c r="S38" s="825">
        <f t="shared" si="1"/>
        <v>450</v>
      </c>
      <c r="T38" s="825">
        <f t="shared" si="2"/>
        <v>427.5</v>
      </c>
      <c r="U38" s="825">
        <f t="shared" si="3"/>
        <v>-22.5</v>
      </c>
      <c r="V38" s="835">
        <f t="shared" si="4"/>
        <v>0.95</v>
      </c>
      <c r="W38" s="786">
        <v>57</v>
      </c>
    </row>
    <row r="39" spans="1:23" ht="14.4" customHeight="1" x14ac:dyDescent="0.3">
      <c r="A39" s="840" t="s">
        <v>2204</v>
      </c>
      <c r="B39" s="789"/>
      <c r="C39" s="790"/>
      <c r="D39" s="791"/>
      <c r="E39" s="772">
        <v>1</v>
      </c>
      <c r="F39" s="773">
        <v>0.28000000000000003</v>
      </c>
      <c r="G39" s="774">
        <v>3</v>
      </c>
      <c r="H39" s="776"/>
      <c r="I39" s="770"/>
      <c r="J39" s="771"/>
      <c r="K39" s="775">
        <v>0.28000000000000003</v>
      </c>
      <c r="L39" s="776">
        <v>1</v>
      </c>
      <c r="M39" s="776">
        <v>9</v>
      </c>
      <c r="N39" s="777">
        <v>3</v>
      </c>
      <c r="O39" s="776" t="s">
        <v>2150</v>
      </c>
      <c r="P39" s="793" t="s">
        <v>2205</v>
      </c>
      <c r="Q39" s="778">
        <f t="shared" si="0"/>
        <v>0</v>
      </c>
      <c r="R39" s="778">
        <f t="shared" si="0"/>
        <v>0</v>
      </c>
      <c r="S39" s="789" t="str">
        <f t="shared" si="1"/>
        <v/>
      </c>
      <c r="T39" s="789" t="str">
        <f t="shared" si="2"/>
        <v/>
      </c>
      <c r="U39" s="789" t="str">
        <f t="shared" si="3"/>
        <v/>
      </c>
      <c r="V39" s="794" t="str">
        <f t="shared" si="4"/>
        <v/>
      </c>
      <c r="W39" s="779"/>
    </row>
    <row r="40" spans="1:23" ht="14.4" customHeight="1" x14ac:dyDescent="0.3">
      <c r="A40" s="840" t="s">
        <v>2206</v>
      </c>
      <c r="B40" s="789"/>
      <c r="C40" s="790"/>
      <c r="D40" s="791"/>
      <c r="E40" s="772">
        <v>1</v>
      </c>
      <c r="F40" s="773">
        <v>5.12</v>
      </c>
      <c r="G40" s="774">
        <v>70</v>
      </c>
      <c r="H40" s="776"/>
      <c r="I40" s="770"/>
      <c r="J40" s="771"/>
      <c r="K40" s="775">
        <v>2.17</v>
      </c>
      <c r="L40" s="776">
        <v>4</v>
      </c>
      <c r="M40" s="776">
        <v>39</v>
      </c>
      <c r="N40" s="777">
        <v>13</v>
      </c>
      <c r="O40" s="776" t="s">
        <v>2150</v>
      </c>
      <c r="P40" s="793" t="s">
        <v>2207</v>
      </c>
      <c r="Q40" s="778">
        <f t="shared" si="0"/>
        <v>0</v>
      </c>
      <c r="R40" s="778">
        <f t="shared" si="0"/>
        <v>0</v>
      </c>
      <c r="S40" s="789" t="str">
        <f t="shared" si="1"/>
        <v/>
      </c>
      <c r="T40" s="789" t="str">
        <f t="shared" si="2"/>
        <v/>
      </c>
      <c r="U40" s="789" t="str">
        <f t="shared" si="3"/>
        <v/>
      </c>
      <c r="V40" s="794" t="str">
        <f t="shared" si="4"/>
        <v/>
      </c>
      <c r="W40" s="779"/>
    </row>
    <row r="41" spans="1:23" ht="14.4" customHeight="1" x14ac:dyDescent="0.3">
      <c r="A41" s="840" t="s">
        <v>2208</v>
      </c>
      <c r="B41" s="789">
        <v>15</v>
      </c>
      <c r="C41" s="790">
        <v>3.85</v>
      </c>
      <c r="D41" s="791">
        <v>2.2000000000000002</v>
      </c>
      <c r="E41" s="792">
        <v>13</v>
      </c>
      <c r="F41" s="770">
        <v>3.34</v>
      </c>
      <c r="G41" s="771">
        <v>1.9</v>
      </c>
      <c r="H41" s="772">
        <v>15</v>
      </c>
      <c r="I41" s="773">
        <v>3.85</v>
      </c>
      <c r="J41" s="774">
        <v>2.1</v>
      </c>
      <c r="K41" s="775">
        <v>0.26</v>
      </c>
      <c r="L41" s="776">
        <v>1</v>
      </c>
      <c r="M41" s="776">
        <v>9</v>
      </c>
      <c r="N41" s="777">
        <v>3</v>
      </c>
      <c r="O41" s="776" t="s">
        <v>2150</v>
      </c>
      <c r="P41" s="793" t="s">
        <v>2209</v>
      </c>
      <c r="Q41" s="778">
        <f t="shared" si="0"/>
        <v>0</v>
      </c>
      <c r="R41" s="778">
        <f t="shared" si="0"/>
        <v>0</v>
      </c>
      <c r="S41" s="789">
        <f t="shared" si="1"/>
        <v>45</v>
      </c>
      <c r="T41" s="789">
        <f t="shared" si="2"/>
        <v>31.5</v>
      </c>
      <c r="U41" s="789">
        <f t="shared" si="3"/>
        <v>-13.5</v>
      </c>
      <c r="V41" s="794">
        <f t="shared" si="4"/>
        <v>0.7</v>
      </c>
      <c r="W41" s="779"/>
    </row>
    <row r="42" spans="1:23" ht="14.4" customHeight="1" x14ac:dyDescent="0.3">
      <c r="A42" s="841" t="s">
        <v>2210</v>
      </c>
      <c r="B42" s="825"/>
      <c r="C42" s="826"/>
      <c r="D42" s="795"/>
      <c r="E42" s="836"/>
      <c r="F42" s="830"/>
      <c r="G42" s="785"/>
      <c r="H42" s="827">
        <v>1</v>
      </c>
      <c r="I42" s="828">
        <v>0.36</v>
      </c>
      <c r="J42" s="787">
        <v>6</v>
      </c>
      <c r="K42" s="831">
        <v>0.36</v>
      </c>
      <c r="L42" s="829">
        <v>1</v>
      </c>
      <c r="M42" s="829">
        <v>12</v>
      </c>
      <c r="N42" s="832">
        <v>4</v>
      </c>
      <c r="O42" s="829" t="s">
        <v>2150</v>
      </c>
      <c r="P42" s="833" t="s">
        <v>2211</v>
      </c>
      <c r="Q42" s="834">
        <f t="shared" si="0"/>
        <v>1</v>
      </c>
      <c r="R42" s="834">
        <f t="shared" si="0"/>
        <v>0.36</v>
      </c>
      <c r="S42" s="825">
        <f t="shared" si="1"/>
        <v>4</v>
      </c>
      <c r="T42" s="825">
        <f t="shared" si="2"/>
        <v>6</v>
      </c>
      <c r="U42" s="825">
        <f t="shared" si="3"/>
        <v>2</v>
      </c>
      <c r="V42" s="835">
        <f t="shared" si="4"/>
        <v>1.5</v>
      </c>
      <c r="W42" s="786">
        <v>2</v>
      </c>
    </row>
    <row r="43" spans="1:23" ht="14.4" customHeight="1" x14ac:dyDescent="0.3">
      <c r="A43" s="841" t="s">
        <v>2212</v>
      </c>
      <c r="B43" s="825">
        <v>2</v>
      </c>
      <c r="C43" s="826">
        <v>2.41</v>
      </c>
      <c r="D43" s="795">
        <v>23.5</v>
      </c>
      <c r="E43" s="836">
        <v>1</v>
      </c>
      <c r="F43" s="830">
        <v>0.85</v>
      </c>
      <c r="G43" s="785">
        <v>7</v>
      </c>
      <c r="H43" s="827">
        <v>4</v>
      </c>
      <c r="I43" s="828">
        <v>3.4</v>
      </c>
      <c r="J43" s="787">
        <v>10.8</v>
      </c>
      <c r="K43" s="831">
        <v>0.85</v>
      </c>
      <c r="L43" s="829">
        <v>3</v>
      </c>
      <c r="M43" s="829">
        <v>24</v>
      </c>
      <c r="N43" s="832">
        <v>8</v>
      </c>
      <c r="O43" s="829" t="s">
        <v>2150</v>
      </c>
      <c r="P43" s="833" t="s">
        <v>2213</v>
      </c>
      <c r="Q43" s="834">
        <f t="shared" si="0"/>
        <v>2</v>
      </c>
      <c r="R43" s="834">
        <f t="shared" si="0"/>
        <v>0.98999999999999977</v>
      </c>
      <c r="S43" s="825">
        <f t="shared" si="1"/>
        <v>32</v>
      </c>
      <c r="T43" s="825">
        <f t="shared" si="2"/>
        <v>43.2</v>
      </c>
      <c r="U43" s="825">
        <f t="shared" si="3"/>
        <v>11.200000000000003</v>
      </c>
      <c r="V43" s="835">
        <f t="shared" si="4"/>
        <v>1.35</v>
      </c>
      <c r="W43" s="786">
        <v>15</v>
      </c>
    </row>
    <row r="44" spans="1:23" ht="14.4" customHeight="1" x14ac:dyDescent="0.3">
      <c r="A44" s="840" t="s">
        <v>2214</v>
      </c>
      <c r="B44" s="789"/>
      <c r="C44" s="790"/>
      <c r="D44" s="791"/>
      <c r="E44" s="772">
        <v>3</v>
      </c>
      <c r="F44" s="773">
        <v>0.33</v>
      </c>
      <c r="G44" s="774">
        <v>5</v>
      </c>
      <c r="H44" s="776"/>
      <c r="I44" s="770"/>
      <c r="J44" s="771"/>
      <c r="K44" s="775">
        <v>0.11</v>
      </c>
      <c r="L44" s="776">
        <v>2</v>
      </c>
      <c r="M44" s="776">
        <v>15</v>
      </c>
      <c r="N44" s="777">
        <v>5</v>
      </c>
      <c r="O44" s="776" t="s">
        <v>2150</v>
      </c>
      <c r="P44" s="793" t="s">
        <v>2215</v>
      </c>
      <c r="Q44" s="778">
        <f t="shared" si="0"/>
        <v>0</v>
      </c>
      <c r="R44" s="778">
        <f t="shared" si="0"/>
        <v>0</v>
      </c>
      <c r="S44" s="789" t="str">
        <f t="shared" si="1"/>
        <v/>
      </c>
      <c r="T44" s="789" t="str">
        <f t="shared" si="2"/>
        <v/>
      </c>
      <c r="U44" s="789" t="str">
        <f t="shared" si="3"/>
        <v/>
      </c>
      <c r="V44" s="794" t="str">
        <f t="shared" si="4"/>
        <v/>
      </c>
      <c r="W44" s="779"/>
    </row>
    <row r="45" spans="1:23" ht="14.4" customHeight="1" thickBot="1" x14ac:dyDescent="0.35">
      <c r="A45" s="842" t="s">
        <v>2216</v>
      </c>
      <c r="B45" s="843">
        <v>3</v>
      </c>
      <c r="C45" s="844">
        <v>0.35</v>
      </c>
      <c r="D45" s="845">
        <v>5.3</v>
      </c>
      <c r="E45" s="846">
        <v>1</v>
      </c>
      <c r="F45" s="847">
        <v>0.11</v>
      </c>
      <c r="G45" s="848">
        <v>5</v>
      </c>
      <c r="H45" s="849">
        <v>1</v>
      </c>
      <c r="I45" s="847">
        <v>0.11</v>
      </c>
      <c r="J45" s="848">
        <v>4</v>
      </c>
      <c r="K45" s="850">
        <v>0.11</v>
      </c>
      <c r="L45" s="849">
        <v>2</v>
      </c>
      <c r="M45" s="849">
        <v>15</v>
      </c>
      <c r="N45" s="851">
        <v>5</v>
      </c>
      <c r="O45" s="849" t="s">
        <v>2150</v>
      </c>
      <c r="P45" s="852" t="s">
        <v>2217</v>
      </c>
      <c r="Q45" s="853">
        <f t="shared" si="0"/>
        <v>-2</v>
      </c>
      <c r="R45" s="853">
        <f t="shared" si="0"/>
        <v>-0.24</v>
      </c>
      <c r="S45" s="854">
        <f t="shared" si="1"/>
        <v>5</v>
      </c>
      <c r="T45" s="854">
        <f t="shared" si="2"/>
        <v>4</v>
      </c>
      <c r="U45" s="854">
        <f t="shared" si="3"/>
        <v>-1</v>
      </c>
      <c r="V45" s="855">
        <f t="shared" si="4"/>
        <v>0.8</v>
      </c>
      <c r="W45" s="856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46:Q1048576">
    <cfRule type="cellIs" dxfId="12" priority="9" stopIfTrue="1" operator="lessThan">
      <formula>0</formula>
    </cfRule>
  </conditionalFormatting>
  <conditionalFormatting sqref="U46:U1048576">
    <cfRule type="cellIs" dxfId="11" priority="8" stopIfTrue="1" operator="greaterThan">
      <formula>0</formula>
    </cfRule>
  </conditionalFormatting>
  <conditionalFormatting sqref="V46:V1048576">
    <cfRule type="cellIs" dxfId="10" priority="7" stopIfTrue="1" operator="greaterThan">
      <formula>1</formula>
    </cfRule>
  </conditionalFormatting>
  <conditionalFormatting sqref="V46:V1048576">
    <cfRule type="cellIs" dxfId="9" priority="4" stopIfTrue="1" operator="greaterThan">
      <formula>1</formula>
    </cfRule>
  </conditionalFormatting>
  <conditionalFormatting sqref="U46:U1048576">
    <cfRule type="cellIs" dxfId="8" priority="5" stopIfTrue="1" operator="greaterThan">
      <formula>0</formula>
    </cfRule>
  </conditionalFormatting>
  <conditionalFormatting sqref="Q46:Q1048576">
    <cfRule type="cellIs" dxfId="7" priority="6" stopIfTrue="1" operator="lessThan">
      <formula>0</formula>
    </cfRule>
  </conditionalFormatting>
  <conditionalFormatting sqref="V5:V45">
    <cfRule type="cellIs" dxfId="6" priority="1" stopIfTrue="1" operator="greaterThan">
      <formula>1</formula>
    </cfRule>
  </conditionalFormatting>
  <conditionalFormatting sqref="U5:U45">
    <cfRule type="cellIs" dxfId="5" priority="2" stopIfTrue="1" operator="greaterThan">
      <formula>0</formula>
    </cfRule>
  </conditionalFormatting>
  <conditionalFormatting sqref="Q5:Q45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44" customWidth="1"/>
    <col min="2" max="2" width="7.77734375" style="209" customWidth="1"/>
    <col min="3" max="3" width="7.21875" style="244" hidden="1" customWidth="1"/>
    <col min="4" max="4" width="7.77734375" style="209" customWidth="1"/>
    <col min="5" max="5" width="7.21875" style="244" hidden="1" customWidth="1"/>
    <col min="6" max="6" width="7.77734375" style="209" customWidth="1"/>
    <col min="7" max="7" width="7.77734375" style="329" customWidth="1"/>
    <col min="8" max="8" width="7.77734375" style="209" customWidth="1"/>
    <col min="9" max="9" width="7.21875" style="244" hidden="1" customWidth="1"/>
    <col min="10" max="10" width="7.77734375" style="209" customWidth="1"/>
    <col min="11" max="11" width="7.21875" style="244" hidden="1" customWidth="1"/>
    <col min="12" max="12" width="7.77734375" style="209" customWidth="1"/>
    <col min="13" max="13" width="7.77734375" style="329" customWidth="1"/>
    <col min="14" max="16384" width="8.88671875" style="244"/>
  </cols>
  <sheetData>
    <row r="1" spans="1:13" ht="18.600000000000001" customHeight="1" thickBot="1" x14ac:dyDescent="0.4">
      <c r="A1" s="473" t="s">
        <v>150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</row>
    <row r="2" spans="1:13" ht="14.4" customHeight="1" thickBot="1" x14ac:dyDescent="0.35">
      <c r="A2" s="368" t="s">
        <v>301</v>
      </c>
      <c r="B2" s="341"/>
      <c r="C2" s="214"/>
      <c r="D2" s="341"/>
      <c r="E2" s="214"/>
      <c r="F2" s="341"/>
      <c r="G2" s="342"/>
      <c r="H2" s="341"/>
      <c r="I2" s="214"/>
      <c r="J2" s="341"/>
      <c r="K2" s="214"/>
      <c r="L2" s="341"/>
      <c r="M2" s="342"/>
    </row>
    <row r="3" spans="1:13" ht="14.4" customHeight="1" thickBot="1" x14ac:dyDescent="0.35">
      <c r="A3" s="335" t="s">
        <v>151</v>
      </c>
      <c r="B3" s="336">
        <f>SUBTOTAL(9,B6:B1048576)</f>
        <v>4905785</v>
      </c>
      <c r="C3" s="337">
        <f t="shared" ref="C3:L3" si="0">SUBTOTAL(9,C6:C1048576)</f>
        <v>8</v>
      </c>
      <c r="D3" s="337">
        <f t="shared" si="0"/>
        <v>5387762</v>
      </c>
      <c r="E3" s="337">
        <f t="shared" si="0"/>
        <v>9.4666788824358594</v>
      </c>
      <c r="F3" s="337">
        <f t="shared" si="0"/>
        <v>7602104</v>
      </c>
      <c r="G3" s="340">
        <f>IF(B3&lt;&gt;0,F3/B3,"")</f>
        <v>1.5496202952228848</v>
      </c>
      <c r="H3" s="336">
        <f t="shared" si="0"/>
        <v>39006.270000000004</v>
      </c>
      <c r="I3" s="337">
        <f t="shared" si="0"/>
        <v>1</v>
      </c>
      <c r="J3" s="337">
        <f t="shared" si="0"/>
        <v>3484.66</v>
      </c>
      <c r="K3" s="337">
        <f t="shared" si="0"/>
        <v>8.9335893947306413E-2</v>
      </c>
      <c r="L3" s="337">
        <f t="shared" si="0"/>
        <v>1526.84</v>
      </c>
      <c r="M3" s="338">
        <f>IF(H3&lt;&gt;0,L3/H3,"")</f>
        <v>3.9143450527312655E-2</v>
      </c>
    </row>
    <row r="4" spans="1:13" ht="14.4" customHeight="1" x14ac:dyDescent="0.3">
      <c r="A4" s="582" t="s">
        <v>111</v>
      </c>
      <c r="B4" s="528" t="s">
        <v>116</v>
      </c>
      <c r="C4" s="529"/>
      <c r="D4" s="529"/>
      <c r="E4" s="529"/>
      <c r="F4" s="529"/>
      <c r="G4" s="530"/>
      <c r="H4" s="528" t="s">
        <v>117</v>
      </c>
      <c r="I4" s="529"/>
      <c r="J4" s="529"/>
      <c r="K4" s="529"/>
      <c r="L4" s="529"/>
      <c r="M4" s="530"/>
    </row>
    <row r="5" spans="1:13" s="327" customFormat="1" ht="14.4" customHeight="1" thickBot="1" x14ac:dyDescent="0.35">
      <c r="A5" s="857"/>
      <c r="B5" s="858">
        <v>2014</v>
      </c>
      <c r="C5" s="859"/>
      <c r="D5" s="859">
        <v>2015</v>
      </c>
      <c r="E5" s="859"/>
      <c r="F5" s="859">
        <v>2016</v>
      </c>
      <c r="G5" s="747" t="s">
        <v>2</v>
      </c>
      <c r="H5" s="858">
        <v>2014</v>
      </c>
      <c r="I5" s="859"/>
      <c r="J5" s="859">
        <v>2015</v>
      </c>
      <c r="K5" s="859"/>
      <c r="L5" s="859">
        <v>2016</v>
      </c>
      <c r="M5" s="747" t="s">
        <v>2</v>
      </c>
    </row>
    <row r="6" spans="1:13" ht="14.4" customHeight="1" x14ac:dyDescent="0.3">
      <c r="A6" s="665" t="s">
        <v>2219</v>
      </c>
      <c r="B6" s="748">
        <v>398210</v>
      </c>
      <c r="C6" s="633">
        <v>1</v>
      </c>
      <c r="D6" s="748">
        <v>351184</v>
      </c>
      <c r="E6" s="633">
        <v>0.88190653172948952</v>
      </c>
      <c r="F6" s="748">
        <v>440992</v>
      </c>
      <c r="G6" s="655">
        <v>1.1074357750935435</v>
      </c>
      <c r="H6" s="748"/>
      <c r="I6" s="633"/>
      <c r="J6" s="748"/>
      <c r="K6" s="633"/>
      <c r="L6" s="748"/>
      <c r="M6" s="679"/>
    </row>
    <row r="7" spans="1:13" ht="14.4" customHeight="1" x14ac:dyDescent="0.3">
      <c r="A7" s="666" t="s">
        <v>2220</v>
      </c>
      <c r="B7" s="751">
        <v>192293</v>
      </c>
      <c r="C7" s="639">
        <v>1</v>
      </c>
      <c r="D7" s="751">
        <v>284855</v>
      </c>
      <c r="E7" s="639">
        <v>1.4813591758410343</v>
      </c>
      <c r="F7" s="751">
        <v>1427556</v>
      </c>
      <c r="G7" s="656">
        <v>7.4238583827804447</v>
      </c>
      <c r="H7" s="751"/>
      <c r="I7" s="639"/>
      <c r="J7" s="751"/>
      <c r="K7" s="639"/>
      <c r="L7" s="751"/>
      <c r="M7" s="680"/>
    </row>
    <row r="8" spans="1:13" ht="14.4" customHeight="1" x14ac:dyDescent="0.3">
      <c r="A8" s="666" t="s">
        <v>2221</v>
      </c>
      <c r="B8" s="751">
        <v>2048887</v>
      </c>
      <c r="C8" s="639">
        <v>1</v>
      </c>
      <c r="D8" s="751">
        <v>2281569</v>
      </c>
      <c r="E8" s="639">
        <v>1.1135650721586892</v>
      </c>
      <c r="F8" s="751">
        <v>3152812</v>
      </c>
      <c r="G8" s="656">
        <v>1.5387925249171868</v>
      </c>
      <c r="H8" s="751"/>
      <c r="I8" s="639"/>
      <c r="J8" s="751"/>
      <c r="K8" s="639"/>
      <c r="L8" s="751"/>
      <c r="M8" s="680"/>
    </row>
    <row r="9" spans="1:13" ht="14.4" customHeight="1" x14ac:dyDescent="0.3">
      <c r="A9" s="666" t="s">
        <v>2222</v>
      </c>
      <c r="B9" s="751">
        <v>221294</v>
      </c>
      <c r="C9" s="639">
        <v>1</v>
      </c>
      <c r="D9" s="751">
        <v>299221</v>
      </c>
      <c r="E9" s="639">
        <v>1.3521423987997867</v>
      </c>
      <c r="F9" s="751">
        <v>317896</v>
      </c>
      <c r="G9" s="656">
        <v>1.4365323958173291</v>
      </c>
      <c r="H9" s="751">
        <v>39006.270000000004</v>
      </c>
      <c r="I9" s="639">
        <v>1</v>
      </c>
      <c r="J9" s="751">
        <v>3484.66</v>
      </c>
      <c r="K9" s="639">
        <v>8.9335893947306413E-2</v>
      </c>
      <c r="L9" s="751">
        <v>1526.84</v>
      </c>
      <c r="M9" s="680">
        <v>3.9143450527312655E-2</v>
      </c>
    </row>
    <row r="10" spans="1:13" ht="14.4" customHeight="1" x14ac:dyDescent="0.3">
      <c r="A10" s="666" t="s">
        <v>2223</v>
      </c>
      <c r="B10" s="751">
        <v>1368876</v>
      </c>
      <c r="C10" s="639">
        <v>1</v>
      </c>
      <c r="D10" s="751">
        <v>1372955</v>
      </c>
      <c r="E10" s="639">
        <v>1.0029798170177577</v>
      </c>
      <c r="F10" s="751">
        <v>1381414</v>
      </c>
      <c r="G10" s="656">
        <v>1.0091593394872873</v>
      </c>
      <c r="H10" s="751"/>
      <c r="I10" s="639"/>
      <c r="J10" s="751"/>
      <c r="K10" s="639"/>
      <c r="L10" s="751"/>
      <c r="M10" s="680"/>
    </row>
    <row r="11" spans="1:13" ht="14.4" customHeight="1" x14ac:dyDescent="0.3">
      <c r="A11" s="666" t="s">
        <v>2224</v>
      </c>
      <c r="B11" s="751">
        <v>62023</v>
      </c>
      <c r="C11" s="639">
        <v>1</v>
      </c>
      <c r="D11" s="751">
        <v>79502</v>
      </c>
      <c r="E11" s="639">
        <v>1.2818148106347644</v>
      </c>
      <c r="F11" s="751">
        <v>113214</v>
      </c>
      <c r="G11" s="656">
        <v>1.8253551102010543</v>
      </c>
      <c r="H11" s="751"/>
      <c r="I11" s="639"/>
      <c r="J11" s="751"/>
      <c r="K11" s="639"/>
      <c r="L11" s="751"/>
      <c r="M11" s="680"/>
    </row>
    <row r="12" spans="1:13" ht="14.4" customHeight="1" x14ac:dyDescent="0.3">
      <c r="A12" s="666" t="s">
        <v>2225</v>
      </c>
      <c r="B12" s="751">
        <v>517453</v>
      </c>
      <c r="C12" s="639">
        <v>1</v>
      </c>
      <c r="D12" s="751">
        <v>603711</v>
      </c>
      <c r="E12" s="639">
        <v>1.1666972652588739</v>
      </c>
      <c r="F12" s="751">
        <v>606764</v>
      </c>
      <c r="G12" s="656">
        <v>1.1725973180172886</v>
      </c>
      <c r="H12" s="751"/>
      <c r="I12" s="639"/>
      <c r="J12" s="751"/>
      <c r="K12" s="639"/>
      <c r="L12" s="751"/>
      <c r="M12" s="680"/>
    </row>
    <row r="13" spans="1:13" ht="14.4" customHeight="1" x14ac:dyDescent="0.3">
      <c r="A13" s="666" t="s">
        <v>2226</v>
      </c>
      <c r="B13" s="751">
        <v>96749</v>
      </c>
      <c r="C13" s="639">
        <v>1</v>
      </c>
      <c r="D13" s="751">
        <v>114765</v>
      </c>
      <c r="E13" s="639">
        <v>1.1862138109954625</v>
      </c>
      <c r="F13" s="751">
        <v>80621</v>
      </c>
      <c r="G13" s="656">
        <v>0.83330060259020766</v>
      </c>
      <c r="H13" s="751"/>
      <c r="I13" s="639"/>
      <c r="J13" s="751"/>
      <c r="K13" s="639"/>
      <c r="L13" s="751"/>
      <c r="M13" s="680"/>
    </row>
    <row r="14" spans="1:13" ht="14.4" customHeight="1" thickBot="1" x14ac:dyDescent="0.35">
      <c r="A14" s="750" t="s">
        <v>2227</v>
      </c>
      <c r="B14" s="749"/>
      <c r="C14" s="645"/>
      <c r="D14" s="749"/>
      <c r="E14" s="645"/>
      <c r="F14" s="749">
        <v>80835</v>
      </c>
      <c r="G14" s="657"/>
      <c r="H14" s="749"/>
      <c r="I14" s="645"/>
      <c r="J14" s="749"/>
      <c r="K14" s="645"/>
      <c r="L14" s="749"/>
      <c r="M14" s="68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1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44" bestFit="1" customWidth="1"/>
    <col min="2" max="2" width="8.6640625" style="244" bestFit="1" customWidth="1"/>
    <col min="3" max="3" width="2.109375" style="244" bestFit="1" customWidth="1"/>
    <col min="4" max="4" width="8" style="244" bestFit="1" customWidth="1"/>
    <col min="5" max="5" width="52.88671875" style="244" bestFit="1" customWidth="1"/>
    <col min="6" max="7" width="11.109375" style="326" customWidth="1"/>
    <col min="8" max="9" width="9.33203125" style="326" hidden="1" customWidth="1"/>
    <col min="10" max="11" width="11.109375" style="326" customWidth="1"/>
    <col min="12" max="13" width="9.33203125" style="326" hidden="1" customWidth="1"/>
    <col min="14" max="15" width="11.109375" style="326" customWidth="1"/>
    <col min="16" max="16" width="11.109375" style="329" customWidth="1"/>
    <col min="17" max="17" width="11.109375" style="326" customWidth="1"/>
    <col min="18" max="16384" width="8.88671875" style="244"/>
  </cols>
  <sheetData>
    <row r="1" spans="1:17" ht="18.600000000000001" customHeight="1" thickBot="1" x14ac:dyDescent="0.4">
      <c r="A1" s="473" t="s">
        <v>2816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</row>
    <row r="2" spans="1:17" ht="14.4" customHeight="1" thickBot="1" x14ac:dyDescent="0.35">
      <c r="A2" s="368" t="s">
        <v>301</v>
      </c>
      <c r="B2" s="214"/>
      <c r="C2" s="214"/>
      <c r="D2" s="214"/>
      <c r="E2" s="214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2"/>
      <c r="Q2" s="345"/>
    </row>
    <row r="3" spans="1:17" ht="14.4" customHeight="1" thickBot="1" x14ac:dyDescent="0.35">
      <c r="E3" s="102" t="s">
        <v>151</v>
      </c>
      <c r="F3" s="201">
        <f t="shared" ref="F3:O3" si="0">SUBTOTAL(9,F6:F1048576)</f>
        <v>38458.380000000005</v>
      </c>
      <c r="G3" s="205">
        <f t="shared" si="0"/>
        <v>4944791.2699999996</v>
      </c>
      <c r="H3" s="206"/>
      <c r="I3" s="206"/>
      <c r="J3" s="201">
        <f t="shared" si="0"/>
        <v>41858.879999999997</v>
      </c>
      <c r="K3" s="205">
        <f t="shared" si="0"/>
        <v>5391246.6600000001</v>
      </c>
      <c r="L3" s="206"/>
      <c r="M3" s="206"/>
      <c r="N3" s="201">
        <f t="shared" si="0"/>
        <v>48917.289999999994</v>
      </c>
      <c r="O3" s="205">
        <f t="shared" si="0"/>
        <v>7603630.8400000008</v>
      </c>
      <c r="P3" s="171">
        <f>IF(G3=0,"",O3/G3)</f>
        <v>1.5377051173284411</v>
      </c>
      <c r="Q3" s="203">
        <f>IF(N3=0,"",O3/N3)</f>
        <v>155.43851345812496</v>
      </c>
    </row>
    <row r="4" spans="1:17" ht="14.4" customHeight="1" x14ac:dyDescent="0.3">
      <c r="A4" s="536" t="s">
        <v>67</v>
      </c>
      <c r="B4" s="535" t="s">
        <v>112</v>
      </c>
      <c r="C4" s="536" t="s">
        <v>113</v>
      </c>
      <c r="D4" s="545" t="s">
        <v>83</v>
      </c>
      <c r="E4" s="537" t="s">
        <v>11</v>
      </c>
      <c r="F4" s="543">
        <v>2014</v>
      </c>
      <c r="G4" s="544"/>
      <c r="H4" s="204"/>
      <c r="I4" s="204"/>
      <c r="J4" s="543">
        <v>2015</v>
      </c>
      <c r="K4" s="544"/>
      <c r="L4" s="204"/>
      <c r="M4" s="204"/>
      <c r="N4" s="543">
        <v>2016</v>
      </c>
      <c r="O4" s="544"/>
      <c r="P4" s="546" t="s">
        <v>2</v>
      </c>
      <c r="Q4" s="534" t="s">
        <v>115</v>
      </c>
    </row>
    <row r="5" spans="1:17" ht="14.4" customHeight="1" thickBot="1" x14ac:dyDescent="0.35">
      <c r="A5" s="757"/>
      <c r="B5" s="755"/>
      <c r="C5" s="757"/>
      <c r="D5" s="765"/>
      <c r="E5" s="759"/>
      <c r="F5" s="766" t="s">
        <v>84</v>
      </c>
      <c r="G5" s="767" t="s">
        <v>14</v>
      </c>
      <c r="H5" s="768"/>
      <c r="I5" s="768"/>
      <c r="J5" s="766" t="s">
        <v>84</v>
      </c>
      <c r="K5" s="767" t="s">
        <v>14</v>
      </c>
      <c r="L5" s="768"/>
      <c r="M5" s="768"/>
      <c r="N5" s="766" t="s">
        <v>84</v>
      </c>
      <c r="O5" s="767" t="s">
        <v>14</v>
      </c>
      <c r="P5" s="769"/>
      <c r="Q5" s="764"/>
    </row>
    <row r="6" spans="1:17" ht="14.4" customHeight="1" x14ac:dyDescent="0.3">
      <c r="A6" s="632" t="s">
        <v>2228</v>
      </c>
      <c r="B6" s="633" t="s">
        <v>2229</v>
      </c>
      <c r="C6" s="633" t="s">
        <v>1910</v>
      </c>
      <c r="D6" s="633" t="s">
        <v>2230</v>
      </c>
      <c r="E6" s="633" t="s">
        <v>2231</v>
      </c>
      <c r="F6" s="636">
        <v>9</v>
      </c>
      <c r="G6" s="636">
        <v>2701</v>
      </c>
      <c r="H6" s="636">
        <v>1</v>
      </c>
      <c r="I6" s="636">
        <v>300.11111111111109</v>
      </c>
      <c r="J6" s="636">
        <v>8</v>
      </c>
      <c r="K6" s="636">
        <v>2424</v>
      </c>
      <c r="L6" s="636">
        <v>0.89744539059607553</v>
      </c>
      <c r="M6" s="636">
        <v>303</v>
      </c>
      <c r="N6" s="636">
        <v>13</v>
      </c>
      <c r="O6" s="636">
        <v>4082</v>
      </c>
      <c r="P6" s="655">
        <v>1.5112921140318401</v>
      </c>
      <c r="Q6" s="637">
        <v>314</v>
      </c>
    </row>
    <row r="7" spans="1:17" ht="14.4" customHeight="1" x14ac:dyDescent="0.3">
      <c r="A7" s="638" t="s">
        <v>2228</v>
      </c>
      <c r="B7" s="639" t="s">
        <v>2229</v>
      </c>
      <c r="C7" s="639" t="s">
        <v>1910</v>
      </c>
      <c r="D7" s="639" t="s">
        <v>2232</v>
      </c>
      <c r="E7" s="639" t="s">
        <v>2233</v>
      </c>
      <c r="F7" s="642">
        <v>13</v>
      </c>
      <c r="G7" s="642">
        <v>16377</v>
      </c>
      <c r="H7" s="642">
        <v>1</v>
      </c>
      <c r="I7" s="642">
        <v>1259.7692307692307</v>
      </c>
      <c r="J7" s="642">
        <v>14</v>
      </c>
      <c r="K7" s="642">
        <v>17752</v>
      </c>
      <c r="L7" s="642">
        <v>1.083959211088722</v>
      </c>
      <c r="M7" s="642">
        <v>1268</v>
      </c>
      <c r="N7" s="642">
        <v>20</v>
      </c>
      <c r="O7" s="642">
        <v>25660</v>
      </c>
      <c r="P7" s="656">
        <v>1.5668315320266226</v>
      </c>
      <c r="Q7" s="643">
        <v>1283</v>
      </c>
    </row>
    <row r="8" spans="1:17" ht="14.4" customHeight="1" x14ac:dyDescent="0.3">
      <c r="A8" s="638" t="s">
        <v>2228</v>
      </c>
      <c r="B8" s="639" t="s">
        <v>2229</v>
      </c>
      <c r="C8" s="639" t="s">
        <v>1910</v>
      </c>
      <c r="D8" s="639" t="s">
        <v>2234</v>
      </c>
      <c r="E8" s="639" t="s">
        <v>2235</v>
      </c>
      <c r="F8" s="642">
        <v>1</v>
      </c>
      <c r="G8" s="642">
        <v>9412</v>
      </c>
      <c r="H8" s="642">
        <v>1</v>
      </c>
      <c r="I8" s="642">
        <v>9412</v>
      </c>
      <c r="J8" s="642"/>
      <c r="K8" s="642"/>
      <c r="L8" s="642"/>
      <c r="M8" s="642"/>
      <c r="N8" s="642"/>
      <c r="O8" s="642"/>
      <c r="P8" s="656"/>
      <c r="Q8" s="643"/>
    </row>
    <row r="9" spans="1:17" ht="14.4" customHeight="1" x14ac:dyDescent="0.3">
      <c r="A9" s="638" t="s">
        <v>2228</v>
      </c>
      <c r="B9" s="639" t="s">
        <v>2229</v>
      </c>
      <c r="C9" s="639" t="s">
        <v>1910</v>
      </c>
      <c r="D9" s="639" t="s">
        <v>2236</v>
      </c>
      <c r="E9" s="639" t="s">
        <v>2237</v>
      </c>
      <c r="F9" s="642">
        <v>138</v>
      </c>
      <c r="G9" s="642">
        <v>310716</v>
      </c>
      <c r="H9" s="642">
        <v>1</v>
      </c>
      <c r="I9" s="642">
        <v>2251.5652173913045</v>
      </c>
      <c r="J9" s="642">
        <v>120</v>
      </c>
      <c r="K9" s="642">
        <v>271680</v>
      </c>
      <c r="L9" s="642">
        <v>0.87436758969605688</v>
      </c>
      <c r="M9" s="642">
        <v>2264</v>
      </c>
      <c r="N9" s="642">
        <v>140</v>
      </c>
      <c r="O9" s="642">
        <v>321160</v>
      </c>
      <c r="P9" s="656">
        <v>1.0336126881139047</v>
      </c>
      <c r="Q9" s="643">
        <v>2294</v>
      </c>
    </row>
    <row r="10" spans="1:17" ht="14.4" customHeight="1" x14ac:dyDescent="0.3">
      <c r="A10" s="638" t="s">
        <v>2228</v>
      </c>
      <c r="B10" s="639" t="s">
        <v>2229</v>
      </c>
      <c r="C10" s="639" t="s">
        <v>1910</v>
      </c>
      <c r="D10" s="639" t="s">
        <v>2238</v>
      </c>
      <c r="E10" s="639" t="s">
        <v>2239</v>
      </c>
      <c r="F10" s="642">
        <v>9</v>
      </c>
      <c r="G10" s="642">
        <v>59004</v>
      </c>
      <c r="H10" s="642">
        <v>1</v>
      </c>
      <c r="I10" s="642">
        <v>6556</v>
      </c>
      <c r="J10" s="642">
        <v>9</v>
      </c>
      <c r="K10" s="642">
        <v>59328</v>
      </c>
      <c r="L10" s="642">
        <v>1.0054911531421598</v>
      </c>
      <c r="M10" s="642">
        <v>6592</v>
      </c>
      <c r="N10" s="642">
        <v>13</v>
      </c>
      <c r="O10" s="642">
        <v>90090</v>
      </c>
      <c r="P10" s="656">
        <v>1.5268456375838926</v>
      </c>
      <c r="Q10" s="643">
        <v>6930</v>
      </c>
    </row>
    <row r="11" spans="1:17" ht="14.4" customHeight="1" x14ac:dyDescent="0.3">
      <c r="A11" s="638" t="s">
        <v>2240</v>
      </c>
      <c r="B11" s="639" t="s">
        <v>2229</v>
      </c>
      <c r="C11" s="639" t="s">
        <v>1910</v>
      </c>
      <c r="D11" s="639" t="s">
        <v>2241</v>
      </c>
      <c r="E11" s="639" t="s">
        <v>2242</v>
      </c>
      <c r="F11" s="642">
        <v>3</v>
      </c>
      <c r="G11" s="642">
        <v>69</v>
      </c>
      <c r="H11" s="642">
        <v>1</v>
      </c>
      <c r="I11" s="642">
        <v>23</v>
      </c>
      <c r="J11" s="642">
        <v>3</v>
      </c>
      <c r="K11" s="642">
        <v>69</v>
      </c>
      <c r="L11" s="642">
        <v>1</v>
      </c>
      <c r="M11" s="642">
        <v>23</v>
      </c>
      <c r="N11" s="642"/>
      <c r="O11" s="642"/>
      <c r="P11" s="656"/>
      <c r="Q11" s="643"/>
    </row>
    <row r="12" spans="1:17" ht="14.4" customHeight="1" x14ac:dyDescent="0.3">
      <c r="A12" s="638" t="s">
        <v>2240</v>
      </c>
      <c r="B12" s="639" t="s">
        <v>2229</v>
      </c>
      <c r="C12" s="639" t="s">
        <v>1910</v>
      </c>
      <c r="D12" s="639" t="s">
        <v>2232</v>
      </c>
      <c r="E12" s="639" t="s">
        <v>2233</v>
      </c>
      <c r="F12" s="642">
        <v>1</v>
      </c>
      <c r="G12" s="642">
        <v>1245</v>
      </c>
      <c r="H12" s="642">
        <v>1</v>
      </c>
      <c r="I12" s="642">
        <v>1245</v>
      </c>
      <c r="J12" s="642">
        <v>2</v>
      </c>
      <c r="K12" s="642">
        <v>2536</v>
      </c>
      <c r="L12" s="642">
        <v>2.0369477911646587</v>
      </c>
      <c r="M12" s="642">
        <v>1268</v>
      </c>
      <c r="N12" s="642"/>
      <c r="O12" s="642"/>
      <c r="P12" s="656"/>
      <c r="Q12" s="643"/>
    </row>
    <row r="13" spans="1:17" ht="14.4" customHeight="1" x14ac:dyDescent="0.3">
      <c r="A13" s="638" t="s">
        <v>2240</v>
      </c>
      <c r="B13" s="639" t="s">
        <v>2229</v>
      </c>
      <c r="C13" s="639" t="s">
        <v>1910</v>
      </c>
      <c r="D13" s="639" t="s">
        <v>2243</v>
      </c>
      <c r="E13" s="639" t="s">
        <v>2244</v>
      </c>
      <c r="F13" s="642">
        <v>3</v>
      </c>
      <c r="G13" s="642">
        <v>1272</v>
      </c>
      <c r="H13" s="642">
        <v>1</v>
      </c>
      <c r="I13" s="642">
        <v>424</v>
      </c>
      <c r="J13" s="642">
        <v>2</v>
      </c>
      <c r="K13" s="642">
        <v>864</v>
      </c>
      <c r="L13" s="642">
        <v>0.67924528301886788</v>
      </c>
      <c r="M13" s="642">
        <v>432</v>
      </c>
      <c r="N13" s="642"/>
      <c r="O13" s="642"/>
      <c r="P13" s="656"/>
      <c r="Q13" s="643"/>
    </row>
    <row r="14" spans="1:17" ht="14.4" customHeight="1" x14ac:dyDescent="0.3">
      <c r="A14" s="638" t="s">
        <v>2240</v>
      </c>
      <c r="B14" s="639" t="s">
        <v>2229</v>
      </c>
      <c r="C14" s="639" t="s">
        <v>1910</v>
      </c>
      <c r="D14" s="639" t="s">
        <v>2245</v>
      </c>
      <c r="E14" s="639" t="s">
        <v>2246</v>
      </c>
      <c r="F14" s="642">
        <v>3</v>
      </c>
      <c r="G14" s="642">
        <v>3006</v>
      </c>
      <c r="H14" s="642">
        <v>1</v>
      </c>
      <c r="I14" s="642">
        <v>1002</v>
      </c>
      <c r="J14" s="642">
        <v>2</v>
      </c>
      <c r="K14" s="642">
        <v>2016</v>
      </c>
      <c r="L14" s="642">
        <v>0.6706586826347305</v>
      </c>
      <c r="M14" s="642">
        <v>1008</v>
      </c>
      <c r="N14" s="642"/>
      <c r="O14" s="642"/>
      <c r="P14" s="656"/>
      <c r="Q14" s="643"/>
    </row>
    <row r="15" spans="1:17" ht="14.4" customHeight="1" x14ac:dyDescent="0.3">
      <c r="A15" s="638" t="s">
        <v>2240</v>
      </c>
      <c r="B15" s="639" t="s">
        <v>2229</v>
      </c>
      <c r="C15" s="639" t="s">
        <v>1910</v>
      </c>
      <c r="D15" s="639" t="s">
        <v>2236</v>
      </c>
      <c r="E15" s="639" t="s">
        <v>2237</v>
      </c>
      <c r="F15" s="642"/>
      <c r="G15" s="642"/>
      <c r="H15" s="642"/>
      <c r="I15" s="642"/>
      <c r="J15" s="642">
        <v>1</v>
      </c>
      <c r="K15" s="642">
        <v>2264</v>
      </c>
      <c r="L15" s="642"/>
      <c r="M15" s="642">
        <v>2264</v>
      </c>
      <c r="N15" s="642"/>
      <c r="O15" s="642"/>
      <c r="P15" s="656"/>
      <c r="Q15" s="643"/>
    </row>
    <row r="16" spans="1:17" ht="14.4" customHeight="1" x14ac:dyDescent="0.3">
      <c r="A16" s="638" t="s">
        <v>2240</v>
      </c>
      <c r="B16" s="639" t="s">
        <v>2247</v>
      </c>
      <c r="C16" s="639" t="s">
        <v>1910</v>
      </c>
      <c r="D16" s="639" t="s">
        <v>2248</v>
      </c>
      <c r="E16" s="639" t="s">
        <v>2249</v>
      </c>
      <c r="F16" s="642">
        <v>17</v>
      </c>
      <c r="G16" s="642">
        <v>5960</v>
      </c>
      <c r="H16" s="642">
        <v>1</v>
      </c>
      <c r="I16" s="642">
        <v>350.58823529411762</v>
      </c>
      <c r="J16" s="642">
        <v>13</v>
      </c>
      <c r="K16" s="642">
        <v>4563</v>
      </c>
      <c r="L16" s="642">
        <v>0.76560402684563755</v>
      </c>
      <c r="M16" s="642">
        <v>351</v>
      </c>
      <c r="N16" s="642">
        <v>13</v>
      </c>
      <c r="O16" s="642">
        <v>4602</v>
      </c>
      <c r="P16" s="656">
        <v>0.77214765100671146</v>
      </c>
      <c r="Q16" s="643">
        <v>354</v>
      </c>
    </row>
    <row r="17" spans="1:17" ht="14.4" customHeight="1" x14ac:dyDescent="0.3">
      <c r="A17" s="638" t="s">
        <v>2240</v>
      </c>
      <c r="B17" s="639" t="s">
        <v>2247</v>
      </c>
      <c r="C17" s="639" t="s">
        <v>1910</v>
      </c>
      <c r="D17" s="639" t="s">
        <v>2250</v>
      </c>
      <c r="E17" s="639" t="s">
        <v>2251</v>
      </c>
      <c r="F17" s="642">
        <v>249</v>
      </c>
      <c r="G17" s="642">
        <v>16185</v>
      </c>
      <c r="H17" s="642">
        <v>1</v>
      </c>
      <c r="I17" s="642">
        <v>65</v>
      </c>
      <c r="J17" s="642">
        <v>2354</v>
      </c>
      <c r="K17" s="642">
        <v>153010</v>
      </c>
      <c r="L17" s="642">
        <v>9.453815261044177</v>
      </c>
      <c r="M17" s="642">
        <v>65</v>
      </c>
      <c r="N17" s="642">
        <v>2194</v>
      </c>
      <c r="O17" s="642">
        <v>142610</v>
      </c>
      <c r="P17" s="656">
        <v>8.8112449799196781</v>
      </c>
      <c r="Q17" s="643">
        <v>65</v>
      </c>
    </row>
    <row r="18" spans="1:17" ht="14.4" customHeight="1" x14ac:dyDescent="0.3">
      <c r="A18" s="638" t="s">
        <v>2240</v>
      </c>
      <c r="B18" s="639" t="s">
        <v>2247</v>
      </c>
      <c r="C18" s="639" t="s">
        <v>1910</v>
      </c>
      <c r="D18" s="639" t="s">
        <v>2252</v>
      </c>
      <c r="E18" s="639" t="s">
        <v>2253</v>
      </c>
      <c r="F18" s="642">
        <v>3</v>
      </c>
      <c r="G18" s="642">
        <v>1773</v>
      </c>
      <c r="H18" s="642">
        <v>1</v>
      </c>
      <c r="I18" s="642">
        <v>591</v>
      </c>
      <c r="J18" s="642">
        <v>2</v>
      </c>
      <c r="K18" s="642">
        <v>1182</v>
      </c>
      <c r="L18" s="642">
        <v>0.66666666666666663</v>
      </c>
      <c r="M18" s="642">
        <v>591</v>
      </c>
      <c r="N18" s="642"/>
      <c r="O18" s="642"/>
      <c r="P18" s="656"/>
      <c r="Q18" s="643"/>
    </row>
    <row r="19" spans="1:17" ht="14.4" customHeight="1" x14ac:dyDescent="0.3">
      <c r="A19" s="638" t="s">
        <v>2240</v>
      </c>
      <c r="B19" s="639" t="s">
        <v>2247</v>
      </c>
      <c r="C19" s="639" t="s">
        <v>1910</v>
      </c>
      <c r="D19" s="639" t="s">
        <v>2254</v>
      </c>
      <c r="E19" s="639" t="s">
        <v>2255</v>
      </c>
      <c r="F19" s="642"/>
      <c r="G19" s="642"/>
      <c r="H19" s="642"/>
      <c r="I19" s="642"/>
      <c r="J19" s="642">
        <v>1</v>
      </c>
      <c r="K19" s="642">
        <v>616</v>
      </c>
      <c r="L19" s="642"/>
      <c r="M19" s="642">
        <v>616</v>
      </c>
      <c r="N19" s="642"/>
      <c r="O19" s="642"/>
      <c r="P19" s="656"/>
      <c r="Q19" s="643"/>
    </row>
    <row r="20" spans="1:17" ht="14.4" customHeight="1" x14ac:dyDescent="0.3">
      <c r="A20" s="638" t="s">
        <v>2240</v>
      </c>
      <c r="B20" s="639" t="s">
        <v>2247</v>
      </c>
      <c r="C20" s="639" t="s">
        <v>1910</v>
      </c>
      <c r="D20" s="639" t="s">
        <v>2256</v>
      </c>
      <c r="E20" s="639" t="s">
        <v>2257</v>
      </c>
      <c r="F20" s="642">
        <v>92</v>
      </c>
      <c r="G20" s="642">
        <v>2188</v>
      </c>
      <c r="H20" s="642">
        <v>1</v>
      </c>
      <c r="I20" s="642">
        <v>23.782608695652176</v>
      </c>
      <c r="J20" s="642">
        <v>43</v>
      </c>
      <c r="K20" s="642">
        <v>1032</v>
      </c>
      <c r="L20" s="642">
        <v>0.47166361974405852</v>
      </c>
      <c r="M20" s="642">
        <v>24</v>
      </c>
      <c r="N20" s="642">
        <v>42</v>
      </c>
      <c r="O20" s="642">
        <v>1008</v>
      </c>
      <c r="P20" s="656">
        <v>0.46069469835466181</v>
      </c>
      <c r="Q20" s="643">
        <v>24</v>
      </c>
    </row>
    <row r="21" spans="1:17" ht="14.4" customHeight="1" x14ac:dyDescent="0.3">
      <c r="A21" s="638" t="s">
        <v>2240</v>
      </c>
      <c r="B21" s="639" t="s">
        <v>2247</v>
      </c>
      <c r="C21" s="639" t="s">
        <v>1910</v>
      </c>
      <c r="D21" s="639" t="s">
        <v>2258</v>
      </c>
      <c r="E21" s="639" t="s">
        <v>2259</v>
      </c>
      <c r="F21" s="642">
        <v>30</v>
      </c>
      <c r="G21" s="642">
        <v>1620</v>
      </c>
      <c r="H21" s="642">
        <v>1</v>
      </c>
      <c r="I21" s="642">
        <v>54</v>
      </c>
      <c r="J21" s="642">
        <v>9</v>
      </c>
      <c r="K21" s="642">
        <v>486</v>
      </c>
      <c r="L21" s="642">
        <v>0.3</v>
      </c>
      <c r="M21" s="642">
        <v>54</v>
      </c>
      <c r="N21" s="642">
        <v>4</v>
      </c>
      <c r="O21" s="642">
        <v>220</v>
      </c>
      <c r="P21" s="656">
        <v>0.13580246913580246</v>
      </c>
      <c r="Q21" s="643">
        <v>55</v>
      </c>
    </row>
    <row r="22" spans="1:17" ht="14.4" customHeight="1" x14ac:dyDescent="0.3">
      <c r="A22" s="638" t="s">
        <v>2240</v>
      </c>
      <c r="B22" s="639" t="s">
        <v>2247</v>
      </c>
      <c r="C22" s="639" t="s">
        <v>1910</v>
      </c>
      <c r="D22" s="639" t="s">
        <v>2260</v>
      </c>
      <c r="E22" s="639" t="s">
        <v>2261</v>
      </c>
      <c r="F22" s="642">
        <v>101</v>
      </c>
      <c r="G22" s="642">
        <v>7777</v>
      </c>
      <c r="H22" s="642">
        <v>1</v>
      </c>
      <c r="I22" s="642">
        <v>77</v>
      </c>
      <c r="J22" s="642">
        <v>126</v>
      </c>
      <c r="K22" s="642">
        <v>9702</v>
      </c>
      <c r="L22" s="642">
        <v>1.2475247524752475</v>
      </c>
      <c r="M22" s="642">
        <v>77</v>
      </c>
      <c r="N22" s="642">
        <v>92</v>
      </c>
      <c r="O22" s="642">
        <v>7084</v>
      </c>
      <c r="P22" s="656">
        <v>0.91089108910891092</v>
      </c>
      <c r="Q22" s="643">
        <v>77</v>
      </c>
    </row>
    <row r="23" spans="1:17" ht="14.4" customHeight="1" x14ac:dyDescent="0.3">
      <c r="A23" s="638" t="s">
        <v>2240</v>
      </c>
      <c r="B23" s="639" t="s">
        <v>2247</v>
      </c>
      <c r="C23" s="639" t="s">
        <v>1910</v>
      </c>
      <c r="D23" s="639" t="s">
        <v>2262</v>
      </c>
      <c r="E23" s="639" t="s">
        <v>2263</v>
      </c>
      <c r="F23" s="642">
        <v>1952</v>
      </c>
      <c r="G23" s="642">
        <v>44425</v>
      </c>
      <c r="H23" s="642">
        <v>1</v>
      </c>
      <c r="I23" s="642">
        <v>22.758709016393443</v>
      </c>
      <c r="J23" s="642">
        <v>1069</v>
      </c>
      <c r="K23" s="642">
        <v>24587</v>
      </c>
      <c r="L23" s="642">
        <v>0.55344963421496907</v>
      </c>
      <c r="M23" s="642">
        <v>23</v>
      </c>
      <c r="N23" s="642">
        <v>726</v>
      </c>
      <c r="O23" s="642">
        <v>17424</v>
      </c>
      <c r="P23" s="656">
        <v>0.39221159257175015</v>
      </c>
      <c r="Q23" s="643">
        <v>24</v>
      </c>
    </row>
    <row r="24" spans="1:17" ht="14.4" customHeight="1" x14ac:dyDescent="0.3">
      <c r="A24" s="638" t="s">
        <v>2240</v>
      </c>
      <c r="B24" s="639" t="s">
        <v>2247</v>
      </c>
      <c r="C24" s="639" t="s">
        <v>1910</v>
      </c>
      <c r="D24" s="639" t="s">
        <v>2264</v>
      </c>
      <c r="E24" s="639" t="s">
        <v>2265</v>
      </c>
      <c r="F24" s="642"/>
      <c r="G24" s="642"/>
      <c r="H24" s="642"/>
      <c r="I24" s="642"/>
      <c r="J24" s="642"/>
      <c r="K24" s="642"/>
      <c r="L24" s="642"/>
      <c r="M24" s="642"/>
      <c r="N24" s="642">
        <v>2</v>
      </c>
      <c r="O24" s="642">
        <v>200</v>
      </c>
      <c r="P24" s="656"/>
      <c r="Q24" s="643">
        <v>100</v>
      </c>
    </row>
    <row r="25" spans="1:17" ht="14.4" customHeight="1" x14ac:dyDescent="0.3">
      <c r="A25" s="638" t="s">
        <v>2240</v>
      </c>
      <c r="B25" s="639" t="s">
        <v>2247</v>
      </c>
      <c r="C25" s="639" t="s">
        <v>1910</v>
      </c>
      <c r="D25" s="639" t="s">
        <v>2266</v>
      </c>
      <c r="E25" s="639" t="s">
        <v>2267</v>
      </c>
      <c r="F25" s="642"/>
      <c r="G25" s="642"/>
      <c r="H25" s="642"/>
      <c r="I25" s="642"/>
      <c r="J25" s="642">
        <v>1</v>
      </c>
      <c r="K25" s="642">
        <v>209</v>
      </c>
      <c r="L25" s="642"/>
      <c r="M25" s="642">
        <v>209</v>
      </c>
      <c r="N25" s="642"/>
      <c r="O25" s="642"/>
      <c r="P25" s="656"/>
      <c r="Q25" s="643"/>
    </row>
    <row r="26" spans="1:17" ht="14.4" customHeight="1" x14ac:dyDescent="0.3">
      <c r="A26" s="638" t="s">
        <v>2240</v>
      </c>
      <c r="B26" s="639" t="s">
        <v>2247</v>
      </c>
      <c r="C26" s="639" t="s">
        <v>1910</v>
      </c>
      <c r="D26" s="639" t="s">
        <v>2268</v>
      </c>
      <c r="E26" s="639" t="s">
        <v>2269</v>
      </c>
      <c r="F26" s="642">
        <v>167</v>
      </c>
      <c r="G26" s="642">
        <v>11022</v>
      </c>
      <c r="H26" s="642">
        <v>1</v>
      </c>
      <c r="I26" s="642">
        <v>66</v>
      </c>
      <c r="J26" s="642">
        <v>221</v>
      </c>
      <c r="K26" s="642">
        <v>14586</v>
      </c>
      <c r="L26" s="642">
        <v>1.3233532934131738</v>
      </c>
      <c r="M26" s="642">
        <v>66</v>
      </c>
      <c r="N26" s="642">
        <v>256</v>
      </c>
      <c r="O26" s="642">
        <v>16896</v>
      </c>
      <c r="P26" s="656">
        <v>1.532934131736527</v>
      </c>
      <c r="Q26" s="643">
        <v>66</v>
      </c>
    </row>
    <row r="27" spans="1:17" ht="14.4" customHeight="1" x14ac:dyDescent="0.3">
      <c r="A27" s="638" t="s">
        <v>2240</v>
      </c>
      <c r="B27" s="639" t="s">
        <v>2247</v>
      </c>
      <c r="C27" s="639" t="s">
        <v>1910</v>
      </c>
      <c r="D27" s="639" t="s">
        <v>2270</v>
      </c>
      <c r="E27" s="639" t="s">
        <v>2271</v>
      </c>
      <c r="F27" s="642"/>
      <c r="G27" s="642"/>
      <c r="H27" s="642"/>
      <c r="I27" s="642"/>
      <c r="J27" s="642"/>
      <c r="K27" s="642"/>
      <c r="L27" s="642"/>
      <c r="M27" s="642"/>
      <c r="N27" s="642">
        <v>3242</v>
      </c>
      <c r="O27" s="642">
        <v>1134700</v>
      </c>
      <c r="P27" s="656"/>
      <c r="Q27" s="643">
        <v>350</v>
      </c>
    </row>
    <row r="28" spans="1:17" ht="14.4" customHeight="1" x14ac:dyDescent="0.3">
      <c r="A28" s="638" t="s">
        <v>2240</v>
      </c>
      <c r="B28" s="639" t="s">
        <v>2247</v>
      </c>
      <c r="C28" s="639" t="s">
        <v>1910</v>
      </c>
      <c r="D28" s="639" t="s">
        <v>2272</v>
      </c>
      <c r="E28" s="639" t="s">
        <v>2273</v>
      </c>
      <c r="F28" s="642">
        <v>1833</v>
      </c>
      <c r="G28" s="642">
        <v>43992</v>
      </c>
      <c r="H28" s="642">
        <v>1</v>
      </c>
      <c r="I28" s="642">
        <v>24</v>
      </c>
      <c r="J28" s="642">
        <v>989</v>
      </c>
      <c r="K28" s="642">
        <v>23736</v>
      </c>
      <c r="L28" s="642">
        <v>0.53955264593562469</v>
      </c>
      <c r="M28" s="642">
        <v>24</v>
      </c>
      <c r="N28" s="642">
        <v>658</v>
      </c>
      <c r="O28" s="642">
        <v>16450</v>
      </c>
      <c r="P28" s="656">
        <v>0.37393162393162394</v>
      </c>
      <c r="Q28" s="643">
        <v>25</v>
      </c>
    </row>
    <row r="29" spans="1:17" ht="14.4" customHeight="1" x14ac:dyDescent="0.3">
      <c r="A29" s="638" t="s">
        <v>2240</v>
      </c>
      <c r="B29" s="639" t="s">
        <v>2247</v>
      </c>
      <c r="C29" s="639" t="s">
        <v>1910</v>
      </c>
      <c r="D29" s="639" t="s">
        <v>2274</v>
      </c>
      <c r="E29" s="639" t="s">
        <v>2275</v>
      </c>
      <c r="F29" s="642">
        <v>2</v>
      </c>
      <c r="G29" s="642">
        <v>1477</v>
      </c>
      <c r="H29" s="642">
        <v>1</v>
      </c>
      <c r="I29" s="642">
        <v>738.5</v>
      </c>
      <c r="J29" s="642">
        <v>2</v>
      </c>
      <c r="K29" s="642">
        <v>1478</v>
      </c>
      <c r="L29" s="642">
        <v>1.000677048070413</v>
      </c>
      <c r="M29" s="642">
        <v>739</v>
      </c>
      <c r="N29" s="642"/>
      <c r="O29" s="642"/>
      <c r="P29" s="656"/>
      <c r="Q29" s="643"/>
    </row>
    <row r="30" spans="1:17" ht="14.4" customHeight="1" x14ac:dyDescent="0.3">
      <c r="A30" s="638" t="s">
        <v>2240</v>
      </c>
      <c r="B30" s="639" t="s">
        <v>2247</v>
      </c>
      <c r="C30" s="639" t="s">
        <v>1910</v>
      </c>
      <c r="D30" s="639" t="s">
        <v>2276</v>
      </c>
      <c r="E30" s="639" t="s">
        <v>2277</v>
      </c>
      <c r="F30" s="642">
        <v>36</v>
      </c>
      <c r="G30" s="642">
        <v>6480</v>
      </c>
      <c r="H30" s="642">
        <v>1</v>
      </c>
      <c r="I30" s="642">
        <v>180</v>
      </c>
      <c r="J30" s="642">
        <v>23</v>
      </c>
      <c r="K30" s="642">
        <v>4140</v>
      </c>
      <c r="L30" s="642">
        <v>0.63888888888888884</v>
      </c>
      <c r="M30" s="642">
        <v>180</v>
      </c>
      <c r="N30" s="642">
        <v>21</v>
      </c>
      <c r="O30" s="642">
        <v>3801</v>
      </c>
      <c r="P30" s="656">
        <v>0.58657407407407403</v>
      </c>
      <c r="Q30" s="643">
        <v>181</v>
      </c>
    </row>
    <row r="31" spans="1:17" ht="14.4" customHeight="1" x14ac:dyDescent="0.3">
      <c r="A31" s="638" t="s">
        <v>2240</v>
      </c>
      <c r="B31" s="639" t="s">
        <v>2247</v>
      </c>
      <c r="C31" s="639" t="s">
        <v>1910</v>
      </c>
      <c r="D31" s="639" t="s">
        <v>2278</v>
      </c>
      <c r="E31" s="639" t="s">
        <v>2279</v>
      </c>
      <c r="F31" s="642"/>
      <c r="G31" s="642"/>
      <c r="H31" s="642"/>
      <c r="I31" s="642"/>
      <c r="J31" s="642">
        <v>0</v>
      </c>
      <c r="K31" s="642">
        <v>0</v>
      </c>
      <c r="L31" s="642"/>
      <c r="M31" s="642"/>
      <c r="N31" s="642"/>
      <c r="O31" s="642"/>
      <c r="P31" s="656"/>
      <c r="Q31" s="643"/>
    </row>
    <row r="32" spans="1:17" ht="14.4" customHeight="1" x14ac:dyDescent="0.3">
      <c r="A32" s="638" t="s">
        <v>2240</v>
      </c>
      <c r="B32" s="639" t="s">
        <v>2247</v>
      </c>
      <c r="C32" s="639" t="s">
        <v>1910</v>
      </c>
      <c r="D32" s="639" t="s">
        <v>2280</v>
      </c>
      <c r="E32" s="639" t="s">
        <v>2281</v>
      </c>
      <c r="F32" s="642">
        <v>70</v>
      </c>
      <c r="G32" s="642">
        <v>17710</v>
      </c>
      <c r="H32" s="642">
        <v>1</v>
      </c>
      <c r="I32" s="642">
        <v>253</v>
      </c>
      <c r="J32" s="642">
        <v>39</v>
      </c>
      <c r="K32" s="642">
        <v>9867</v>
      </c>
      <c r="L32" s="642">
        <v>0.55714285714285716</v>
      </c>
      <c r="M32" s="642">
        <v>253</v>
      </c>
      <c r="N32" s="642">
        <v>17</v>
      </c>
      <c r="O32" s="642">
        <v>4318</v>
      </c>
      <c r="P32" s="656">
        <v>0.24381705251270469</v>
      </c>
      <c r="Q32" s="643">
        <v>254</v>
      </c>
    </row>
    <row r="33" spans="1:17" ht="14.4" customHeight="1" x14ac:dyDescent="0.3">
      <c r="A33" s="638" t="s">
        <v>2240</v>
      </c>
      <c r="B33" s="639" t="s">
        <v>2247</v>
      </c>
      <c r="C33" s="639" t="s">
        <v>1910</v>
      </c>
      <c r="D33" s="639" t="s">
        <v>2282</v>
      </c>
      <c r="E33" s="639" t="s">
        <v>2283</v>
      </c>
      <c r="F33" s="642"/>
      <c r="G33" s="642"/>
      <c r="H33" s="642"/>
      <c r="I33" s="642"/>
      <c r="J33" s="642">
        <v>1</v>
      </c>
      <c r="K33" s="642">
        <v>265</v>
      </c>
      <c r="L33" s="642"/>
      <c r="M33" s="642">
        <v>265</v>
      </c>
      <c r="N33" s="642"/>
      <c r="O33" s="642"/>
      <c r="P33" s="656"/>
      <c r="Q33" s="643"/>
    </row>
    <row r="34" spans="1:17" ht="14.4" customHeight="1" x14ac:dyDescent="0.3">
      <c r="A34" s="638" t="s">
        <v>2240</v>
      </c>
      <c r="B34" s="639" t="s">
        <v>2247</v>
      </c>
      <c r="C34" s="639" t="s">
        <v>1910</v>
      </c>
      <c r="D34" s="639" t="s">
        <v>2284</v>
      </c>
      <c r="E34" s="639" t="s">
        <v>2285</v>
      </c>
      <c r="F34" s="642">
        <v>37</v>
      </c>
      <c r="G34" s="642">
        <v>7992</v>
      </c>
      <c r="H34" s="642">
        <v>1</v>
      </c>
      <c r="I34" s="642">
        <v>216</v>
      </c>
      <c r="J34" s="642">
        <v>25</v>
      </c>
      <c r="K34" s="642">
        <v>5400</v>
      </c>
      <c r="L34" s="642">
        <v>0.67567567567567566</v>
      </c>
      <c r="M34" s="642">
        <v>216</v>
      </c>
      <c r="N34" s="642">
        <v>31</v>
      </c>
      <c r="O34" s="642">
        <v>6727</v>
      </c>
      <c r="P34" s="656">
        <v>0.84171671671671666</v>
      </c>
      <c r="Q34" s="643">
        <v>217</v>
      </c>
    </row>
    <row r="35" spans="1:17" ht="14.4" customHeight="1" x14ac:dyDescent="0.3">
      <c r="A35" s="638" t="s">
        <v>2240</v>
      </c>
      <c r="B35" s="639" t="s">
        <v>2247</v>
      </c>
      <c r="C35" s="639" t="s">
        <v>1910</v>
      </c>
      <c r="D35" s="639" t="s">
        <v>2286</v>
      </c>
      <c r="E35" s="639" t="s">
        <v>2287</v>
      </c>
      <c r="F35" s="642"/>
      <c r="G35" s="642"/>
      <c r="H35" s="642"/>
      <c r="I35" s="642"/>
      <c r="J35" s="642">
        <v>1</v>
      </c>
      <c r="K35" s="642">
        <v>36</v>
      </c>
      <c r="L35" s="642"/>
      <c r="M35" s="642">
        <v>36</v>
      </c>
      <c r="N35" s="642"/>
      <c r="O35" s="642"/>
      <c r="P35" s="656"/>
      <c r="Q35" s="643"/>
    </row>
    <row r="36" spans="1:17" ht="14.4" customHeight="1" x14ac:dyDescent="0.3">
      <c r="A36" s="638" t="s">
        <v>2240</v>
      </c>
      <c r="B36" s="639" t="s">
        <v>2247</v>
      </c>
      <c r="C36" s="639" t="s">
        <v>1910</v>
      </c>
      <c r="D36" s="639" t="s">
        <v>2288</v>
      </c>
      <c r="E36" s="639" t="s">
        <v>2289</v>
      </c>
      <c r="F36" s="642"/>
      <c r="G36" s="642"/>
      <c r="H36" s="642"/>
      <c r="I36" s="642"/>
      <c r="J36" s="642">
        <v>1</v>
      </c>
      <c r="K36" s="642">
        <v>591</v>
      </c>
      <c r="L36" s="642"/>
      <c r="M36" s="642">
        <v>591</v>
      </c>
      <c r="N36" s="642"/>
      <c r="O36" s="642"/>
      <c r="P36" s="656"/>
      <c r="Q36" s="643"/>
    </row>
    <row r="37" spans="1:17" ht="14.4" customHeight="1" x14ac:dyDescent="0.3">
      <c r="A37" s="638" t="s">
        <v>2240</v>
      </c>
      <c r="B37" s="639" t="s">
        <v>2247</v>
      </c>
      <c r="C37" s="639" t="s">
        <v>1910</v>
      </c>
      <c r="D37" s="639" t="s">
        <v>2290</v>
      </c>
      <c r="E37" s="639" t="s">
        <v>2291</v>
      </c>
      <c r="F37" s="642">
        <v>328</v>
      </c>
      <c r="G37" s="642">
        <v>16400</v>
      </c>
      <c r="H37" s="642">
        <v>1</v>
      </c>
      <c r="I37" s="642">
        <v>50</v>
      </c>
      <c r="J37" s="642">
        <v>349</v>
      </c>
      <c r="K37" s="642">
        <v>17450</v>
      </c>
      <c r="L37" s="642">
        <v>1.0640243902439024</v>
      </c>
      <c r="M37" s="642">
        <v>50</v>
      </c>
      <c r="N37" s="642">
        <v>274</v>
      </c>
      <c r="O37" s="642">
        <v>13700</v>
      </c>
      <c r="P37" s="656">
        <v>0.83536585365853655</v>
      </c>
      <c r="Q37" s="643">
        <v>50</v>
      </c>
    </row>
    <row r="38" spans="1:17" ht="14.4" customHeight="1" x14ac:dyDescent="0.3">
      <c r="A38" s="638" t="s">
        <v>2240</v>
      </c>
      <c r="B38" s="639" t="s">
        <v>2247</v>
      </c>
      <c r="C38" s="639" t="s">
        <v>1910</v>
      </c>
      <c r="D38" s="639" t="s">
        <v>2292</v>
      </c>
      <c r="E38" s="639" t="s">
        <v>2293</v>
      </c>
      <c r="F38" s="642"/>
      <c r="G38" s="642"/>
      <c r="H38" s="642"/>
      <c r="I38" s="642"/>
      <c r="J38" s="642">
        <v>1</v>
      </c>
      <c r="K38" s="642">
        <v>546</v>
      </c>
      <c r="L38" s="642"/>
      <c r="M38" s="642">
        <v>546</v>
      </c>
      <c r="N38" s="642"/>
      <c r="O38" s="642"/>
      <c r="P38" s="656"/>
      <c r="Q38" s="643"/>
    </row>
    <row r="39" spans="1:17" ht="14.4" customHeight="1" x14ac:dyDescent="0.3">
      <c r="A39" s="638" t="s">
        <v>2240</v>
      </c>
      <c r="B39" s="639" t="s">
        <v>2247</v>
      </c>
      <c r="C39" s="639" t="s">
        <v>1910</v>
      </c>
      <c r="D39" s="639" t="s">
        <v>2294</v>
      </c>
      <c r="E39" s="639" t="s">
        <v>2295</v>
      </c>
      <c r="F39" s="642"/>
      <c r="G39" s="642"/>
      <c r="H39" s="642"/>
      <c r="I39" s="642"/>
      <c r="J39" s="642"/>
      <c r="K39" s="642"/>
      <c r="L39" s="642"/>
      <c r="M39" s="642"/>
      <c r="N39" s="642">
        <v>1</v>
      </c>
      <c r="O39" s="642">
        <v>516</v>
      </c>
      <c r="P39" s="656"/>
      <c r="Q39" s="643">
        <v>516</v>
      </c>
    </row>
    <row r="40" spans="1:17" ht="14.4" customHeight="1" x14ac:dyDescent="0.3">
      <c r="A40" s="638" t="s">
        <v>2240</v>
      </c>
      <c r="B40" s="639" t="s">
        <v>2247</v>
      </c>
      <c r="C40" s="639" t="s">
        <v>1910</v>
      </c>
      <c r="D40" s="639" t="s">
        <v>2296</v>
      </c>
      <c r="E40" s="639" t="s">
        <v>2297</v>
      </c>
      <c r="F40" s="642">
        <v>2</v>
      </c>
      <c r="G40" s="642">
        <v>1469</v>
      </c>
      <c r="H40" s="642">
        <v>1</v>
      </c>
      <c r="I40" s="642">
        <v>734.5</v>
      </c>
      <c r="J40" s="642">
        <v>2</v>
      </c>
      <c r="K40" s="642">
        <v>1470</v>
      </c>
      <c r="L40" s="642">
        <v>1.0006807351940095</v>
      </c>
      <c r="M40" s="642">
        <v>735</v>
      </c>
      <c r="N40" s="642"/>
      <c r="O40" s="642"/>
      <c r="P40" s="656"/>
      <c r="Q40" s="643"/>
    </row>
    <row r="41" spans="1:17" ht="14.4" customHeight="1" x14ac:dyDescent="0.3">
      <c r="A41" s="638" t="s">
        <v>2240</v>
      </c>
      <c r="B41" s="639" t="s">
        <v>2247</v>
      </c>
      <c r="C41" s="639" t="s">
        <v>1910</v>
      </c>
      <c r="D41" s="639" t="s">
        <v>2298</v>
      </c>
      <c r="E41" s="639" t="s">
        <v>2299</v>
      </c>
      <c r="F41" s="642"/>
      <c r="G41" s="642"/>
      <c r="H41" s="642"/>
      <c r="I41" s="642"/>
      <c r="J41" s="642">
        <v>1</v>
      </c>
      <c r="K41" s="642">
        <v>345</v>
      </c>
      <c r="L41" s="642"/>
      <c r="M41" s="642">
        <v>345</v>
      </c>
      <c r="N41" s="642"/>
      <c r="O41" s="642"/>
      <c r="P41" s="656"/>
      <c r="Q41" s="643"/>
    </row>
    <row r="42" spans="1:17" ht="14.4" customHeight="1" x14ac:dyDescent="0.3">
      <c r="A42" s="638" t="s">
        <v>2240</v>
      </c>
      <c r="B42" s="639" t="s">
        <v>2247</v>
      </c>
      <c r="C42" s="639" t="s">
        <v>1910</v>
      </c>
      <c r="D42" s="639" t="s">
        <v>2300</v>
      </c>
      <c r="E42" s="639" t="s">
        <v>2301</v>
      </c>
      <c r="F42" s="642">
        <v>1</v>
      </c>
      <c r="G42" s="642">
        <v>231</v>
      </c>
      <c r="H42" s="642">
        <v>1</v>
      </c>
      <c r="I42" s="642">
        <v>231</v>
      </c>
      <c r="J42" s="642"/>
      <c r="K42" s="642"/>
      <c r="L42" s="642"/>
      <c r="M42" s="642"/>
      <c r="N42" s="642"/>
      <c r="O42" s="642"/>
      <c r="P42" s="656"/>
      <c r="Q42" s="643"/>
    </row>
    <row r="43" spans="1:17" ht="14.4" customHeight="1" x14ac:dyDescent="0.3">
      <c r="A43" s="638" t="s">
        <v>2240</v>
      </c>
      <c r="B43" s="639" t="s">
        <v>2247</v>
      </c>
      <c r="C43" s="639" t="s">
        <v>1910</v>
      </c>
      <c r="D43" s="639" t="s">
        <v>2302</v>
      </c>
      <c r="E43" s="639" t="s">
        <v>2303</v>
      </c>
      <c r="F43" s="642"/>
      <c r="G43" s="642"/>
      <c r="H43" s="642"/>
      <c r="I43" s="642"/>
      <c r="J43" s="642">
        <v>1</v>
      </c>
      <c r="K43" s="642">
        <v>916</v>
      </c>
      <c r="L43" s="642"/>
      <c r="M43" s="642">
        <v>916</v>
      </c>
      <c r="N43" s="642"/>
      <c r="O43" s="642"/>
      <c r="P43" s="656"/>
      <c r="Q43" s="643"/>
    </row>
    <row r="44" spans="1:17" ht="14.4" customHeight="1" x14ac:dyDescent="0.3">
      <c r="A44" s="638" t="s">
        <v>2240</v>
      </c>
      <c r="B44" s="639" t="s">
        <v>2247</v>
      </c>
      <c r="C44" s="639" t="s">
        <v>1910</v>
      </c>
      <c r="D44" s="639" t="s">
        <v>2304</v>
      </c>
      <c r="E44" s="639" t="s">
        <v>2305</v>
      </c>
      <c r="F44" s="642"/>
      <c r="G44" s="642"/>
      <c r="H44" s="642"/>
      <c r="I44" s="642"/>
      <c r="J44" s="642">
        <v>1</v>
      </c>
      <c r="K44" s="642">
        <v>893</v>
      </c>
      <c r="L44" s="642"/>
      <c r="M44" s="642">
        <v>893</v>
      </c>
      <c r="N44" s="642"/>
      <c r="O44" s="642"/>
      <c r="P44" s="656"/>
      <c r="Q44" s="643"/>
    </row>
    <row r="45" spans="1:17" ht="14.4" customHeight="1" x14ac:dyDescent="0.3">
      <c r="A45" s="638" t="s">
        <v>2240</v>
      </c>
      <c r="B45" s="639" t="s">
        <v>2247</v>
      </c>
      <c r="C45" s="639" t="s">
        <v>1910</v>
      </c>
      <c r="D45" s="639" t="s">
        <v>2306</v>
      </c>
      <c r="E45" s="639" t="s">
        <v>2307</v>
      </c>
      <c r="F45" s="642"/>
      <c r="G45" s="642"/>
      <c r="H45" s="642"/>
      <c r="I45" s="642"/>
      <c r="J45" s="642"/>
      <c r="K45" s="642"/>
      <c r="L45" s="642"/>
      <c r="M45" s="642"/>
      <c r="N45" s="642">
        <v>191</v>
      </c>
      <c r="O45" s="642">
        <v>57300</v>
      </c>
      <c r="P45" s="656"/>
      <c r="Q45" s="643">
        <v>300</v>
      </c>
    </row>
    <row r="46" spans="1:17" ht="14.4" customHeight="1" x14ac:dyDescent="0.3">
      <c r="A46" s="638" t="s">
        <v>2308</v>
      </c>
      <c r="B46" s="639" t="s">
        <v>2309</v>
      </c>
      <c r="C46" s="639" t="s">
        <v>1910</v>
      </c>
      <c r="D46" s="639" t="s">
        <v>2310</v>
      </c>
      <c r="E46" s="639" t="s">
        <v>2311</v>
      </c>
      <c r="F46" s="642">
        <v>82</v>
      </c>
      <c r="G46" s="642">
        <v>2214</v>
      </c>
      <c r="H46" s="642">
        <v>1</v>
      </c>
      <c r="I46" s="642">
        <v>27</v>
      </c>
      <c r="J46" s="642">
        <v>119</v>
      </c>
      <c r="K46" s="642">
        <v>3213</v>
      </c>
      <c r="L46" s="642">
        <v>1.4512195121951219</v>
      </c>
      <c r="M46" s="642">
        <v>27</v>
      </c>
      <c r="N46" s="642">
        <v>92</v>
      </c>
      <c r="O46" s="642">
        <v>2484</v>
      </c>
      <c r="P46" s="656">
        <v>1.1219512195121952</v>
      </c>
      <c r="Q46" s="643">
        <v>27</v>
      </c>
    </row>
    <row r="47" spans="1:17" ht="14.4" customHeight="1" x14ac:dyDescent="0.3">
      <c r="A47" s="638" t="s">
        <v>2308</v>
      </c>
      <c r="B47" s="639" t="s">
        <v>2309</v>
      </c>
      <c r="C47" s="639" t="s">
        <v>1910</v>
      </c>
      <c r="D47" s="639" t="s">
        <v>2312</v>
      </c>
      <c r="E47" s="639" t="s">
        <v>2313</v>
      </c>
      <c r="F47" s="642">
        <v>1</v>
      </c>
      <c r="G47" s="642">
        <v>54</v>
      </c>
      <c r="H47" s="642">
        <v>1</v>
      </c>
      <c r="I47" s="642">
        <v>54</v>
      </c>
      <c r="J47" s="642">
        <v>1</v>
      </c>
      <c r="K47" s="642">
        <v>54</v>
      </c>
      <c r="L47" s="642">
        <v>1</v>
      </c>
      <c r="M47" s="642">
        <v>54</v>
      </c>
      <c r="N47" s="642">
        <v>2</v>
      </c>
      <c r="O47" s="642">
        <v>108</v>
      </c>
      <c r="P47" s="656">
        <v>2</v>
      </c>
      <c r="Q47" s="643">
        <v>54</v>
      </c>
    </row>
    <row r="48" spans="1:17" ht="14.4" customHeight="1" x14ac:dyDescent="0.3">
      <c r="A48" s="638" t="s">
        <v>2308</v>
      </c>
      <c r="B48" s="639" t="s">
        <v>2309</v>
      </c>
      <c r="C48" s="639" t="s">
        <v>1910</v>
      </c>
      <c r="D48" s="639" t="s">
        <v>2314</v>
      </c>
      <c r="E48" s="639" t="s">
        <v>2315</v>
      </c>
      <c r="F48" s="642">
        <v>1</v>
      </c>
      <c r="G48" s="642">
        <v>24</v>
      </c>
      <c r="H48" s="642">
        <v>1</v>
      </c>
      <c r="I48" s="642">
        <v>24</v>
      </c>
      <c r="J48" s="642">
        <v>11</v>
      </c>
      <c r="K48" s="642">
        <v>264</v>
      </c>
      <c r="L48" s="642">
        <v>11</v>
      </c>
      <c r="M48" s="642">
        <v>24</v>
      </c>
      <c r="N48" s="642">
        <v>57</v>
      </c>
      <c r="O48" s="642">
        <v>1368</v>
      </c>
      <c r="P48" s="656">
        <v>57</v>
      </c>
      <c r="Q48" s="643">
        <v>24</v>
      </c>
    </row>
    <row r="49" spans="1:17" ht="14.4" customHeight="1" x14ac:dyDescent="0.3">
      <c r="A49" s="638" t="s">
        <v>2308</v>
      </c>
      <c r="B49" s="639" t="s">
        <v>2309</v>
      </c>
      <c r="C49" s="639" t="s">
        <v>1910</v>
      </c>
      <c r="D49" s="639" t="s">
        <v>2316</v>
      </c>
      <c r="E49" s="639" t="s">
        <v>2317</v>
      </c>
      <c r="F49" s="642">
        <v>119</v>
      </c>
      <c r="G49" s="642">
        <v>3213</v>
      </c>
      <c r="H49" s="642">
        <v>1</v>
      </c>
      <c r="I49" s="642">
        <v>27</v>
      </c>
      <c r="J49" s="642">
        <v>199</v>
      </c>
      <c r="K49" s="642">
        <v>5373</v>
      </c>
      <c r="L49" s="642">
        <v>1.6722689075630253</v>
      </c>
      <c r="M49" s="642">
        <v>27</v>
      </c>
      <c r="N49" s="642">
        <v>145</v>
      </c>
      <c r="O49" s="642">
        <v>3915</v>
      </c>
      <c r="P49" s="656">
        <v>1.2184873949579831</v>
      </c>
      <c r="Q49" s="643">
        <v>27</v>
      </c>
    </row>
    <row r="50" spans="1:17" ht="14.4" customHeight="1" x14ac:dyDescent="0.3">
      <c r="A50" s="638" t="s">
        <v>2308</v>
      </c>
      <c r="B50" s="639" t="s">
        <v>2309</v>
      </c>
      <c r="C50" s="639" t="s">
        <v>1910</v>
      </c>
      <c r="D50" s="639" t="s">
        <v>2318</v>
      </c>
      <c r="E50" s="639" t="s">
        <v>2319</v>
      </c>
      <c r="F50" s="642">
        <v>759</v>
      </c>
      <c r="G50" s="642">
        <v>42515</v>
      </c>
      <c r="H50" s="642">
        <v>1</v>
      </c>
      <c r="I50" s="642">
        <v>56.014492753623188</v>
      </c>
      <c r="J50" s="642"/>
      <c r="K50" s="642"/>
      <c r="L50" s="642"/>
      <c r="M50" s="642"/>
      <c r="N50" s="642"/>
      <c r="O50" s="642"/>
      <c r="P50" s="656"/>
      <c r="Q50" s="643"/>
    </row>
    <row r="51" spans="1:17" ht="14.4" customHeight="1" x14ac:dyDescent="0.3">
      <c r="A51" s="638" t="s">
        <v>2308</v>
      </c>
      <c r="B51" s="639" t="s">
        <v>2309</v>
      </c>
      <c r="C51" s="639" t="s">
        <v>1910</v>
      </c>
      <c r="D51" s="639" t="s">
        <v>2320</v>
      </c>
      <c r="E51" s="639" t="s">
        <v>2321</v>
      </c>
      <c r="F51" s="642">
        <v>14</v>
      </c>
      <c r="G51" s="642">
        <v>378</v>
      </c>
      <c r="H51" s="642">
        <v>1</v>
      </c>
      <c r="I51" s="642">
        <v>27</v>
      </c>
      <c r="J51" s="642">
        <v>25</v>
      </c>
      <c r="K51" s="642">
        <v>675</v>
      </c>
      <c r="L51" s="642">
        <v>1.7857142857142858</v>
      </c>
      <c r="M51" s="642">
        <v>27</v>
      </c>
      <c r="N51" s="642">
        <v>30</v>
      </c>
      <c r="O51" s="642">
        <v>810</v>
      </c>
      <c r="P51" s="656">
        <v>2.1428571428571428</v>
      </c>
      <c r="Q51" s="643">
        <v>27</v>
      </c>
    </row>
    <row r="52" spans="1:17" ht="14.4" customHeight="1" x14ac:dyDescent="0.3">
      <c r="A52" s="638" t="s">
        <v>2308</v>
      </c>
      <c r="B52" s="639" t="s">
        <v>2309</v>
      </c>
      <c r="C52" s="639" t="s">
        <v>1910</v>
      </c>
      <c r="D52" s="639" t="s">
        <v>2322</v>
      </c>
      <c r="E52" s="639" t="s">
        <v>2323</v>
      </c>
      <c r="F52" s="642">
        <v>2267</v>
      </c>
      <c r="G52" s="642">
        <v>49874</v>
      </c>
      <c r="H52" s="642">
        <v>1</v>
      </c>
      <c r="I52" s="642">
        <v>22</v>
      </c>
      <c r="J52" s="642">
        <v>3002</v>
      </c>
      <c r="K52" s="642">
        <v>66044</v>
      </c>
      <c r="L52" s="642">
        <v>1.3242170269078077</v>
      </c>
      <c r="M52" s="642">
        <v>22</v>
      </c>
      <c r="N52" s="642">
        <v>2870</v>
      </c>
      <c r="O52" s="642">
        <v>63140</v>
      </c>
      <c r="P52" s="656">
        <v>1.2659902955447728</v>
      </c>
      <c r="Q52" s="643">
        <v>22</v>
      </c>
    </row>
    <row r="53" spans="1:17" ht="14.4" customHeight="1" x14ac:dyDescent="0.3">
      <c r="A53" s="638" t="s">
        <v>2308</v>
      </c>
      <c r="B53" s="639" t="s">
        <v>2309</v>
      </c>
      <c r="C53" s="639" t="s">
        <v>1910</v>
      </c>
      <c r="D53" s="639" t="s">
        <v>2324</v>
      </c>
      <c r="E53" s="639" t="s">
        <v>2325</v>
      </c>
      <c r="F53" s="642">
        <v>1</v>
      </c>
      <c r="G53" s="642">
        <v>68</v>
      </c>
      <c r="H53" s="642">
        <v>1</v>
      </c>
      <c r="I53" s="642">
        <v>68</v>
      </c>
      <c r="J53" s="642">
        <v>1</v>
      </c>
      <c r="K53" s="642">
        <v>68</v>
      </c>
      <c r="L53" s="642">
        <v>1</v>
      </c>
      <c r="M53" s="642">
        <v>68</v>
      </c>
      <c r="N53" s="642">
        <v>1</v>
      </c>
      <c r="O53" s="642">
        <v>68</v>
      </c>
      <c r="P53" s="656">
        <v>1</v>
      </c>
      <c r="Q53" s="643">
        <v>68</v>
      </c>
    </row>
    <row r="54" spans="1:17" ht="14.4" customHeight="1" x14ac:dyDescent="0.3">
      <c r="A54" s="638" t="s">
        <v>2308</v>
      </c>
      <c r="B54" s="639" t="s">
        <v>2309</v>
      </c>
      <c r="C54" s="639" t="s">
        <v>1910</v>
      </c>
      <c r="D54" s="639" t="s">
        <v>2326</v>
      </c>
      <c r="E54" s="639" t="s">
        <v>2327</v>
      </c>
      <c r="F54" s="642">
        <v>3613</v>
      </c>
      <c r="G54" s="642">
        <v>222978</v>
      </c>
      <c r="H54" s="642">
        <v>1</v>
      </c>
      <c r="I54" s="642">
        <v>61.715471907002488</v>
      </c>
      <c r="J54" s="642">
        <v>4418</v>
      </c>
      <c r="K54" s="642">
        <v>273916</v>
      </c>
      <c r="L54" s="642">
        <v>1.228444061746002</v>
      </c>
      <c r="M54" s="642">
        <v>62</v>
      </c>
      <c r="N54" s="642">
        <v>5160</v>
      </c>
      <c r="O54" s="642">
        <v>319920</v>
      </c>
      <c r="P54" s="656">
        <v>1.4347603799477975</v>
      </c>
      <c r="Q54" s="643">
        <v>62</v>
      </c>
    </row>
    <row r="55" spans="1:17" ht="14.4" customHeight="1" x14ac:dyDescent="0.3">
      <c r="A55" s="638" t="s">
        <v>2308</v>
      </c>
      <c r="B55" s="639" t="s">
        <v>2309</v>
      </c>
      <c r="C55" s="639" t="s">
        <v>1910</v>
      </c>
      <c r="D55" s="639" t="s">
        <v>2328</v>
      </c>
      <c r="E55" s="639" t="s">
        <v>2329</v>
      </c>
      <c r="F55" s="642">
        <v>2</v>
      </c>
      <c r="G55" s="642">
        <v>324</v>
      </c>
      <c r="H55" s="642">
        <v>1</v>
      </c>
      <c r="I55" s="642">
        <v>162</v>
      </c>
      <c r="J55" s="642"/>
      <c r="K55" s="642"/>
      <c r="L55" s="642"/>
      <c r="M55" s="642"/>
      <c r="N55" s="642"/>
      <c r="O55" s="642"/>
      <c r="P55" s="656"/>
      <c r="Q55" s="643"/>
    </row>
    <row r="56" spans="1:17" ht="14.4" customHeight="1" x14ac:dyDescent="0.3">
      <c r="A56" s="638" t="s">
        <v>2308</v>
      </c>
      <c r="B56" s="639" t="s">
        <v>2309</v>
      </c>
      <c r="C56" s="639" t="s">
        <v>1910</v>
      </c>
      <c r="D56" s="639" t="s">
        <v>2330</v>
      </c>
      <c r="E56" s="639" t="s">
        <v>2331</v>
      </c>
      <c r="F56" s="642">
        <v>100</v>
      </c>
      <c r="G56" s="642">
        <v>8107</v>
      </c>
      <c r="H56" s="642">
        <v>1</v>
      </c>
      <c r="I56" s="642">
        <v>81.069999999999993</v>
      </c>
      <c r="J56" s="642">
        <v>22</v>
      </c>
      <c r="K56" s="642">
        <v>1804</v>
      </c>
      <c r="L56" s="642">
        <v>0.2225237449118046</v>
      </c>
      <c r="M56" s="642">
        <v>82</v>
      </c>
      <c r="N56" s="642">
        <v>6</v>
      </c>
      <c r="O56" s="642">
        <v>492</v>
      </c>
      <c r="P56" s="656">
        <v>6.0688294066855802E-2</v>
      </c>
      <c r="Q56" s="643">
        <v>82</v>
      </c>
    </row>
    <row r="57" spans="1:17" ht="14.4" customHeight="1" x14ac:dyDescent="0.3">
      <c r="A57" s="638" t="s">
        <v>2308</v>
      </c>
      <c r="B57" s="639" t="s">
        <v>2309</v>
      </c>
      <c r="C57" s="639" t="s">
        <v>1910</v>
      </c>
      <c r="D57" s="639" t="s">
        <v>2332</v>
      </c>
      <c r="E57" s="639" t="s">
        <v>2333</v>
      </c>
      <c r="F57" s="642">
        <v>18</v>
      </c>
      <c r="G57" s="642">
        <v>17766</v>
      </c>
      <c r="H57" s="642">
        <v>1</v>
      </c>
      <c r="I57" s="642">
        <v>987</v>
      </c>
      <c r="J57" s="642">
        <v>49</v>
      </c>
      <c r="K57" s="642">
        <v>48363</v>
      </c>
      <c r="L57" s="642">
        <v>2.7222222222222223</v>
      </c>
      <c r="M57" s="642">
        <v>987</v>
      </c>
      <c r="N57" s="642">
        <v>27</v>
      </c>
      <c r="O57" s="642">
        <v>26676</v>
      </c>
      <c r="P57" s="656">
        <v>1.5015197568389058</v>
      </c>
      <c r="Q57" s="643">
        <v>988</v>
      </c>
    </row>
    <row r="58" spans="1:17" ht="14.4" customHeight="1" x14ac:dyDescent="0.3">
      <c r="A58" s="638" t="s">
        <v>2308</v>
      </c>
      <c r="B58" s="639" t="s">
        <v>2309</v>
      </c>
      <c r="C58" s="639" t="s">
        <v>1910</v>
      </c>
      <c r="D58" s="639" t="s">
        <v>2334</v>
      </c>
      <c r="E58" s="639" t="s">
        <v>2335</v>
      </c>
      <c r="F58" s="642">
        <v>1580</v>
      </c>
      <c r="G58" s="642">
        <v>47400</v>
      </c>
      <c r="H58" s="642">
        <v>1</v>
      </c>
      <c r="I58" s="642">
        <v>30</v>
      </c>
      <c r="J58" s="642">
        <v>1715</v>
      </c>
      <c r="K58" s="642">
        <v>51450</v>
      </c>
      <c r="L58" s="642">
        <v>1.0854430379746836</v>
      </c>
      <c r="M58" s="642">
        <v>30</v>
      </c>
      <c r="N58" s="642">
        <v>1577</v>
      </c>
      <c r="O58" s="642">
        <v>47310</v>
      </c>
      <c r="P58" s="656">
        <v>0.9981012658227848</v>
      </c>
      <c r="Q58" s="643">
        <v>30</v>
      </c>
    </row>
    <row r="59" spans="1:17" ht="14.4" customHeight="1" x14ac:dyDescent="0.3">
      <c r="A59" s="638" t="s">
        <v>2308</v>
      </c>
      <c r="B59" s="639" t="s">
        <v>2309</v>
      </c>
      <c r="C59" s="639" t="s">
        <v>1910</v>
      </c>
      <c r="D59" s="639" t="s">
        <v>2336</v>
      </c>
      <c r="E59" s="639" t="s">
        <v>2337</v>
      </c>
      <c r="F59" s="642"/>
      <c r="G59" s="642"/>
      <c r="H59" s="642"/>
      <c r="I59" s="642"/>
      <c r="J59" s="642"/>
      <c r="K59" s="642"/>
      <c r="L59" s="642"/>
      <c r="M59" s="642"/>
      <c r="N59" s="642">
        <v>1</v>
      </c>
      <c r="O59" s="642">
        <v>1783</v>
      </c>
      <c r="P59" s="656"/>
      <c r="Q59" s="643">
        <v>1783</v>
      </c>
    </row>
    <row r="60" spans="1:17" ht="14.4" customHeight="1" x14ac:dyDescent="0.3">
      <c r="A60" s="638" t="s">
        <v>2308</v>
      </c>
      <c r="B60" s="639" t="s">
        <v>2309</v>
      </c>
      <c r="C60" s="639" t="s">
        <v>1910</v>
      </c>
      <c r="D60" s="639" t="s">
        <v>2338</v>
      </c>
      <c r="E60" s="639" t="s">
        <v>2339</v>
      </c>
      <c r="F60" s="642">
        <v>10</v>
      </c>
      <c r="G60" s="642">
        <v>820</v>
      </c>
      <c r="H60" s="642">
        <v>1</v>
      </c>
      <c r="I60" s="642">
        <v>82</v>
      </c>
      <c r="J60" s="642">
        <v>7</v>
      </c>
      <c r="K60" s="642">
        <v>574</v>
      </c>
      <c r="L60" s="642">
        <v>0.7</v>
      </c>
      <c r="M60" s="642">
        <v>82</v>
      </c>
      <c r="N60" s="642">
        <v>5</v>
      </c>
      <c r="O60" s="642">
        <v>410</v>
      </c>
      <c r="P60" s="656">
        <v>0.5</v>
      </c>
      <c r="Q60" s="643">
        <v>82</v>
      </c>
    </row>
    <row r="61" spans="1:17" ht="14.4" customHeight="1" x14ac:dyDescent="0.3">
      <c r="A61" s="638" t="s">
        <v>2308</v>
      </c>
      <c r="B61" s="639" t="s">
        <v>2309</v>
      </c>
      <c r="C61" s="639" t="s">
        <v>1910</v>
      </c>
      <c r="D61" s="639" t="s">
        <v>2340</v>
      </c>
      <c r="E61" s="639" t="s">
        <v>2341</v>
      </c>
      <c r="F61" s="642"/>
      <c r="G61" s="642"/>
      <c r="H61" s="642"/>
      <c r="I61" s="642"/>
      <c r="J61" s="642">
        <v>0</v>
      </c>
      <c r="K61" s="642">
        <v>0</v>
      </c>
      <c r="L61" s="642"/>
      <c r="M61" s="642"/>
      <c r="N61" s="642"/>
      <c r="O61" s="642"/>
      <c r="P61" s="656"/>
      <c r="Q61" s="643"/>
    </row>
    <row r="62" spans="1:17" ht="14.4" customHeight="1" x14ac:dyDescent="0.3">
      <c r="A62" s="638" t="s">
        <v>2308</v>
      </c>
      <c r="B62" s="639" t="s">
        <v>2309</v>
      </c>
      <c r="C62" s="639" t="s">
        <v>1910</v>
      </c>
      <c r="D62" s="639" t="s">
        <v>2342</v>
      </c>
      <c r="E62" s="639" t="s">
        <v>2343</v>
      </c>
      <c r="F62" s="642">
        <v>2</v>
      </c>
      <c r="G62" s="642">
        <v>525</v>
      </c>
      <c r="H62" s="642">
        <v>1</v>
      </c>
      <c r="I62" s="642">
        <v>262.5</v>
      </c>
      <c r="J62" s="642">
        <v>1</v>
      </c>
      <c r="K62" s="642">
        <v>263</v>
      </c>
      <c r="L62" s="642">
        <v>0.50095238095238093</v>
      </c>
      <c r="M62" s="642">
        <v>263</v>
      </c>
      <c r="N62" s="642">
        <v>1</v>
      </c>
      <c r="O62" s="642">
        <v>264</v>
      </c>
      <c r="P62" s="656">
        <v>0.50285714285714289</v>
      </c>
      <c r="Q62" s="643">
        <v>264</v>
      </c>
    </row>
    <row r="63" spans="1:17" ht="14.4" customHeight="1" x14ac:dyDescent="0.3">
      <c r="A63" s="638" t="s">
        <v>2308</v>
      </c>
      <c r="B63" s="639" t="s">
        <v>2309</v>
      </c>
      <c r="C63" s="639" t="s">
        <v>1910</v>
      </c>
      <c r="D63" s="639" t="s">
        <v>2344</v>
      </c>
      <c r="E63" s="639" t="s">
        <v>2345</v>
      </c>
      <c r="F63" s="642">
        <v>8</v>
      </c>
      <c r="G63" s="642">
        <v>2128</v>
      </c>
      <c r="H63" s="642">
        <v>1</v>
      </c>
      <c r="I63" s="642">
        <v>266</v>
      </c>
      <c r="J63" s="642"/>
      <c r="K63" s="642"/>
      <c r="L63" s="642"/>
      <c r="M63" s="642"/>
      <c r="N63" s="642">
        <v>6</v>
      </c>
      <c r="O63" s="642">
        <v>1596</v>
      </c>
      <c r="P63" s="656">
        <v>0.75</v>
      </c>
      <c r="Q63" s="643">
        <v>266</v>
      </c>
    </row>
    <row r="64" spans="1:17" ht="14.4" customHeight="1" x14ac:dyDescent="0.3">
      <c r="A64" s="638" t="s">
        <v>2308</v>
      </c>
      <c r="B64" s="639" t="s">
        <v>2309</v>
      </c>
      <c r="C64" s="639" t="s">
        <v>1910</v>
      </c>
      <c r="D64" s="639" t="s">
        <v>2346</v>
      </c>
      <c r="E64" s="639" t="s">
        <v>2347</v>
      </c>
      <c r="F64" s="642">
        <v>8</v>
      </c>
      <c r="G64" s="642">
        <v>1840</v>
      </c>
      <c r="H64" s="642">
        <v>1</v>
      </c>
      <c r="I64" s="642">
        <v>230</v>
      </c>
      <c r="J64" s="642"/>
      <c r="K64" s="642"/>
      <c r="L64" s="642"/>
      <c r="M64" s="642"/>
      <c r="N64" s="642">
        <v>6</v>
      </c>
      <c r="O64" s="642">
        <v>1380</v>
      </c>
      <c r="P64" s="656">
        <v>0.75</v>
      </c>
      <c r="Q64" s="643">
        <v>230</v>
      </c>
    </row>
    <row r="65" spans="1:17" ht="14.4" customHeight="1" x14ac:dyDescent="0.3">
      <c r="A65" s="638" t="s">
        <v>2308</v>
      </c>
      <c r="B65" s="639" t="s">
        <v>2309</v>
      </c>
      <c r="C65" s="639" t="s">
        <v>1910</v>
      </c>
      <c r="D65" s="639" t="s">
        <v>2348</v>
      </c>
      <c r="E65" s="639" t="s">
        <v>2349</v>
      </c>
      <c r="F65" s="642">
        <v>160</v>
      </c>
      <c r="G65" s="642">
        <v>2720</v>
      </c>
      <c r="H65" s="642">
        <v>1</v>
      </c>
      <c r="I65" s="642">
        <v>17</v>
      </c>
      <c r="J65" s="642">
        <v>213</v>
      </c>
      <c r="K65" s="642">
        <v>3621</v>
      </c>
      <c r="L65" s="642">
        <v>1.33125</v>
      </c>
      <c r="M65" s="642">
        <v>17</v>
      </c>
      <c r="N65" s="642">
        <v>276</v>
      </c>
      <c r="O65" s="642">
        <v>4692</v>
      </c>
      <c r="P65" s="656">
        <v>1.7250000000000001</v>
      </c>
      <c r="Q65" s="643">
        <v>17</v>
      </c>
    </row>
    <row r="66" spans="1:17" ht="14.4" customHeight="1" x14ac:dyDescent="0.3">
      <c r="A66" s="638" t="s">
        <v>2308</v>
      </c>
      <c r="B66" s="639" t="s">
        <v>2309</v>
      </c>
      <c r="C66" s="639" t="s">
        <v>1910</v>
      </c>
      <c r="D66" s="639" t="s">
        <v>2350</v>
      </c>
      <c r="E66" s="639" t="s">
        <v>2351</v>
      </c>
      <c r="F66" s="642"/>
      <c r="G66" s="642"/>
      <c r="H66" s="642"/>
      <c r="I66" s="642"/>
      <c r="J66" s="642">
        <v>1</v>
      </c>
      <c r="K66" s="642">
        <v>480</v>
      </c>
      <c r="L66" s="642"/>
      <c r="M66" s="642">
        <v>480</v>
      </c>
      <c r="N66" s="642"/>
      <c r="O66" s="642"/>
      <c r="P66" s="656"/>
      <c r="Q66" s="643"/>
    </row>
    <row r="67" spans="1:17" ht="14.4" customHeight="1" x14ac:dyDescent="0.3">
      <c r="A67" s="638" t="s">
        <v>2308</v>
      </c>
      <c r="B67" s="639" t="s">
        <v>2309</v>
      </c>
      <c r="C67" s="639" t="s">
        <v>1910</v>
      </c>
      <c r="D67" s="639" t="s">
        <v>2352</v>
      </c>
      <c r="E67" s="639" t="s">
        <v>2353</v>
      </c>
      <c r="F67" s="642">
        <v>2</v>
      </c>
      <c r="G67" s="642">
        <v>94</v>
      </c>
      <c r="H67" s="642">
        <v>1</v>
      </c>
      <c r="I67" s="642">
        <v>47</v>
      </c>
      <c r="J67" s="642"/>
      <c r="K67" s="642"/>
      <c r="L67" s="642"/>
      <c r="M67" s="642"/>
      <c r="N67" s="642">
        <v>1</v>
      </c>
      <c r="O67" s="642">
        <v>47</v>
      </c>
      <c r="P67" s="656">
        <v>0.5</v>
      </c>
      <c r="Q67" s="643">
        <v>47</v>
      </c>
    </row>
    <row r="68" spans="1:17" ht="14.4" customHeight="1" x14ac:dyDescent="0.3">
      <c r="A68" s="638" t="s">
        <v>2308</v>
      </c>
      <c r="B68" s="639" t="s">
        <v>2309</v>
      </c>
      <c r="C68" s="639" t="s">
        <v>1910</v>
      </c>
      <c r="D68" s="639" t="s">
        <v>2354</v>
      </c>
      <c r="E68" s="639" t="s">
        <v>2355</v>
      </c>
      <c r="F68" s="642">
        <v>11</v>
      </c>
      <c r="G68" s="642">
        <v>583</v>
      </c>
      <c r="H68" s="642">
        <v>1</v>
      </c>
      <c r="I68" s="642">
        <v>53</v>
      </c>
      <c r="J68" s="642">
        <v>13</v>
      </c>
      <c r="K68" s="642">
        <v>689</v>
      </c>
      <c r="L68" s="642">
        <v>1.1818181818181819</v>
      </c>
      <c r="M68" s="642">
        <v>53</v>
      </c>
      <c r="N68" s="642">
        <v>9</v>
      </c>
      <c r="O68" s="642">
        <v>477</v>
      </c>
      <c r="P68" s="656">
        <v>0.81818181818181823</v>
      </c>
      <c r="Q68" s="643">
        <v>53</v>
      </c>
    </row>
    <row r="69" spans="1:17" ht="14.4" customHeight="1" x14ac:dyDescent="0.3">
      <c r="A69" s="638" t="s">
        <v>2308</v>
      </c>
      <c r="B69" s="639" t="s">
        <v>2309</v>
      </c>
      <c r="C69" s="639" t="s">
        <v>1910</v>
      </c>
      <c r="D69" s="639" t="s">
        <v>2356</v>
      </c>
      <c r="E69" s="639" t="s">
        <v>2357</v>
      </c>
      <c r="F69" s="642">
        <v>1</v>
      </c>
      <c r="G69" s="642">
        <v>60</v>
      </c>
      <c r="H69" s="642">
        <v>1</v>
      </c>
      <c r="I69" s="642">
        <v>60</v>
      </c>
      <c r="J69" s="642"/>
      <c r="K69" s="642"/>
      <c r="L69" s="642"/>
      <c r="M69" s="642"/>
      <c r="N69" s="642">
        <v>1</v>
      </c>
      <c r="O69" s="642">
        <v>60</v>
      </c>
      <c r="P69" s="656">
        <v>1</v>
      </c>
      <c r="Q69" s="643">
        <v>60</v>
      </c>
    </row>
    <row r="70" spans="1:17" ht="14.4" customHeight="1" x14ac:dyDescent="0.3">
      <c r="A70" s="638" t="s">
        <v>2308</v>
      </c>
      <c r="B70" s="639" t="s">
        <v>2309</v>
      </c>
      <c r="C70" s="639" t="s">
        <v>1910</v>
      </c>
      <c r="D70" s="639" t="s">
        <v>2358</v>
      </c>
      <c r="E70" s="639" t="s">
        <v>2359</v>
      </c>
      <c r="F70" s="642">
        <v>61</v>
      </c>
      <c r="G70" s="642">
        <v>1159</v>
      </c>
      <c r="H70" s="642">
        <v>1</v>
      </c>
      <c r="I70" s="642">
        <v>19</v>
      </c>
      <c r="J70" s="642">
        <v>69</v>
      </c>
      <c r="K70" s="642">
        <v>1311</v>
      </c>
      <c r="L70" s="642">
        <v>1.1311475409836065</v>
      </c>
      <c r="M70" s="642">
        <v>19</v>
      </c>
      <c r="N70" s="642">
        <v>37</v>
      </c>
      <c r="O70" s="642">
        <v>703</v>
      </c>
      <c r="P70" s="656">
        <v>0.60655737704918034</v>
      </c>
      <c r="Q70" s="643">
        <v>19</v>
      </c>
    </row>
    <row r="71" spans="1:17" ht="14.4" customHeight="1" x14ac:dyDescent="0.3">
      <c r="A71" s="638" t="s">
        <v>2308</v>
      </c>
      <c r="B71" s="639" t="s">
        <v>2309</v>
      </c>
      <c r="C71" s="639" t="s">
        <v>1910</v>
      </c>
      <c r="D71" s="639" t="s">
        <v>2360</v>
      </c>
      <c r="E71" s="639" t="s">
        <v>2361</v>
      </c>
      <c r="F71" s="642">
        <v>13</v>
      </c>
      <c r="G71" s="642">
        <v>1378</v>
      </c>
      <c r="H71" s="642">
        <v>1</v>
      </c>
      <c r="I71" s="642">
        <v>106</v>
      </c>
      <c r="J71" s="642"/>
      <c r="K71" s="642"/>
      <c r="L71" s="642"/>
      <c r="M71" s="642"/>
      <c r="N71" s="642">
        <v>11</v>
      </c>
      <c r="O71" s="642">
        <v>1188</v>
      </c>
      <c r="P71" s="656">
        <v>0.86211901306240923</v>
      </c>
      <c r="Q71" s="643">
        <v>108</v>
      </c>
    </row>
    <row r="72" spans="1:17" ht="14.4" customHeight="1" x14ac:dyDescent="0.3">
      <c r="A72" s="638" t="s">
        <v>2308</v>
      </c>
      <c r="B72" s="639" t="s">
        <v>2309</v>
      </c>
      <c r="C72" s="639" t="s">
        <v>1910</v>
      </c>
      <c r="D72" s="639" t="s">
        <v>2362</v>
      </c>
      <c r="E72" s="639" t="s">
        <v>2363</v>
      </c>
      <c r="F72" s="642"/>
      <c r="G72" s="642"/>
      <c r="H72" s="642"/>
      <c r="I72" s="642"/>
      <c r="J72" s="642"/>
      <c r="K72" s="642"/>
      <c r="L72" s="642"/>
      <c r="M72" s="642"/>
      <c r="N72" s="642">
        <v>1</v>
      </c>
      <c r="O72" s="642">
        <v>1463</v>
      </c>
      <c r="P72" s="656"/>
      <c r="Q72" s="643">
        <v>1463</v>
      </c>
    </row>
    <row r="73" spans="1:17" ht="14.4" customHeight="1" x14ac:dyDescent="0.3">
      <c r="A73" s="638" t="s">
        <v>2308</v>
      </c>
      <c r="B73" s="639" t="s">
        <v>2309</v>
      </c>
      <c r="C73" s="639" t="s">
        <v>1910</v>
      </c>
      <c r="D73" s="639" t="s">
        <v>2364</v>
      </c>
      <c r="E73" s="639" t="s">
        <v>2365</v>
      </c>
      <c r="F73" s="642">
        <v>1</v>
      </c>
      <c r="G73" s="642">
        <v>391</v>
      </c>
      <c r="H73" s="642">
        <v>1</v>
      </c>
      <c r="I73" s="642">
        <v>391</v>
      </c>
      <c r="J73" s="642">
        <v>1</v>
      </c>
      <c r="K73" s="642">
        <v>391</v>
      </c>
      <c r="L73" s="642">
        <v>1</v>
      </c>
      <c r="M73" s="642">
        <v>391</v>
      </c>
      <c r="N73" s="642"/>
      <c r="O73" s="642"/>
      <c r="P73" s="656"/>
      <c r="Q73" s="643"/>
    </row>
    <row r="74" spans="1:17" ht="14.4" customHeight="1" x14ac:dyDescent="0.3">
      <c r="A74" s="638" t="s">
        <v>2308</v>
      </c>
      <c r="B74" s="639" t="s">
        <v>2309</v>
      </c>
      <c r="C74" s="639" t="s">
        <v>1910</v>
      </c>
      <c r="D74" s="639" t="s">
        <v>2366</v>
      </c>
      <c r="E74" s="639" t="s">
        <v>2367</v>
      </c>
      <c r="F74" s="642">
        <v>19</v>
      </c>
      <c r="G74" s="642">
        <v>8773</v>
      </c>
      <c r="H74" s="642">
        <v>1</v>
      </c>
      <c r="I74" s="642">
        <v>461.73684210526318</v>
      </c>
      <c r="J74" s="642">
        <v>27</v>
      </c>
      <c r="K74" s="642">
        <v>12474</v>
      </c>
      <c r="L74" s="642">
        <v>1.4218625327710019</v>
      </c>
      <c r="M74" s="642">
        <v>462</v>
      </c>
      <c r="N74" s="642">
        <v>16</v>
      </c>
      <c r="O74" s="642">
        <v>7424</v>
      </c>
      <c r="P74" s="656">
        <v>0.84623275960332844</v>
      </c>
      <c r="Q74" s="643">
        <v>464</v>
      </c>
    </row>
    <row r="75" spans="1:17" ht="14.4" customHeight="1" x14ac:dyDescent="0.3">
      <c r="A75" s="638" t="s">
        <v>2308</v>
      </c>
      <c r="B75" s="639" t="s">
        <v>2309</v>
      </c>
      <c r="C75" s="639" t="s">
        <v>1910</v>
      </c>
      <c r="D75" s="639" t="s">
        <v>2368</v>
      </c>
      <c r="E75" s="639" t="s">
        <v>2369</v>
      </c>
      <c r="F75" s="642">
        <v>48</v>
      </c>
      <c r="G75" s="642">
        <v>14976</v>
      </c>
      <c r="H75" s="642">
        <v>1</v>
      </c>
      <c r="I75" s="642">
        <v>312</v>
      </c>
      <c r="J75" s="642">
        <v>48</v>
      </c>
      <c r="K75" s="642">
        <v>14976</v>
      </c>
      <c r="L75" s="642">
        <v>1</v>
      </c>
      <c r="M75" s="642">
        <v>312</v>
      </c>
      <c r="N75" s="642">
        <v>28</v>
      </c>
      <c r="O75" s="642">
        <v>8764</v>
      </c>
      <c r="P75" s="656">
        <v>0.58520299145299148</v>
      </c>
      <c r="Q75" s="643">
        <v>313</v>
      </c>
    </row>
    <row r="76" spans="1:17" ht="14.4" customHeight="1" x14ac:dyDescent="0.3">
      <c r="A76" s="638" t="s">
        <v>2308</v>
      </c>
      <c r="B76" s="639" t="s">
        <v>2309</v>
      </c>
      <c r="C76" s="639" t="s">
        <v>1910</v>
      </c>
      <c r="D76" s="639" t="s">
        <v>2370</v>
      </c>
      <c r="E76" s="639" t="s">
        <v>2371</v>
      </c>
      <c r="F76" s="642"/>
      <c r="G76" s="642"/>
      <c r="H76" s="642"/>
      <c r="I76" s="642"/>
      <c r="J76" s="642"/>
      <c r="K76" s="642"/>
      <c r="L76" s="642"/>
      <c r="M76" s="642"/>
      <c r="N76" s="642">
        <v>18</v>
      </c>
      <c r="O76" s="642">
        <v>15354</v>
      </c>
      <c r="P76" s="656"/>
      <c r="Q76" s="643">
        <v>853</v>
      </c>
    </row>
    <row r="77" spans="1:17" ht="14.4" customHeight="1" x14ac:dyDescent="0.3">
      <c r="A77" s="638" t="s">
        <v>2308</v>
      </c>
      <c r="B77" s="639" t="s">
        <v>2309</v>
      </c>
      <c r="C77" s="639" t="s">
        <v>1910</v>
      </c>
      <c r="D77" s="639" t="s">
        <v>2372</v>
      </c>
      <c r="E77" s="639" t="s">
        <v>2373</v>
      </c>
      <c r="F77" s="642">
        <v>2557</v>
      </c>
      <c r="G77" s="642">
        <v>475161</v>
      </c>
      <c r="H77" s="642">
        <v>1</v>
      </c>
      <c r="I77" s="642">
        <v>185.82753226437231</v>
      </c>
      <c r="J77" s="642">
        <v>2261</v>
      </c>
      <c r="K77" s="642">
        <v>420546</v>
      </c>
      <c r="L77" s="642">
        <v>0.88506001123829603</v>
      </c>
      <c r="M77" s="642">
        <v>186</v>
      </c>
      <c r="N77" s="642">
        <v>2787</v>
      </c>
      <c r="O77" s="642">
        <v>521169</v>
      </c>
      <c r="P77" s="656">
        <v>1.0968261284070031</v>
      </c>
      <c r="Q77" s="643">
        <v>187</v>
      </c>
    </row>
    <row r="78" spans="1:17" ht="14.4" customHeight="1" x14ac:dyDescent="0.3">
      <c r="A78" s="638" t="s">
        <v>2308</v>
      </c>
      <c r="B78" s="639" t="s">
        <v>2309</v>
      </c>
      <c r="C78" s="639" t="s">
        <v>1910</v>
      </c>
      <c r="D78" s="639" t="s">
        <v>2374</v>
      </c>
      <c r="E78" s="639" t="s">
        <v>2375</v>
      </c>
      <c r="F78" s="642">
        <v>1</v>
      </c>
      <c r="G78" s="642">
        <v>166</v>
      </c>
      <c r="H78" s="642">
        <v>1</v>
      </c>
      <c r="I78" s="642">
        <v>166</v>
      </c>
      <c r="J78" s="642"/>
      <c r="K78" s="642"/>
      <c r="L78" s="642"/>
      <c r="M78" s="642"/>
      <c r="N78" s="642"/>
      <c r="O78" s="642"/>
      <c r="P78" s="656"/>
      <c r="Q78" s="643"/>
    </row>
    <row r="79" spans="1:17" ht="14.4" customHeight="1" x14ac:dyDescent="0.3">
      <c r="A79" s="638" t="s">
        <v>2308</v>
      </c>
      <c r="B79" s="639" t="s">
        <v>2309</v>
      </c>
      <c r="C79" s="639" t="s">
        <v>1910</v>
      </c>
      <c r="D79" s="639" t="s">
        <v>2376</v>
      </c>
      <c r="E79" s="639" t="s">
        <v>2377</v>
      </c>
      <c r="F79" s="642">
        <v>1</v>
      </c>
      <c r="G79" s="642">
        <v>236</v>
      </c>
      <c r="H79" s="642">
        <v>1</v>
      </c>
      <c r="I79" s="642">
        <v>236</v>
      </c>
      <c r="J79" s="642"/>
      <c r="K79" s="642"/>
      <c r="L79" s="642"/>
      <c r="M79" s="642"/>
      <c r="N79" s="642"/>
      <c r="O79" s="642"/>
      <c r="P79" s="656"/>
      <c r="Q79" s="643"/>
    </row>
    <row r="80" spans="1:17" ht="14.4" customHeight="1" x14ac:dyDescent="0.3">
      <c r="A80" s="638" t="s">
        <v>2308</v>
      </c>
      <c r="B80" s="639" t="s">
        <v>2309</v>
      </c>
      <c r="C80" s="639" t="s">
        <v>1910</v>
      </c>
      <c r="D80" s="639" t="s">
        <v>2378</v>
      </c>
      <c r="E80" s="639" t="s">
        <v>2379</v>
      </c>
      <c r="F80" s="642">
        <v>5</v>
      </c>
      <c r="G80" s="642">
        <v>6070</v>
      </c>
      <c r="H80" s="642">
        <v>1</v>
      </c>
      <c r="I80" s="642">
        <v>1214</v>
      </c>
      <c r="J80" s="642"/>
      <c r="K80" s="642"/>
      <c r="L80" s="642"/>
      <c r="M80" s="642"/>
      <c r="N80" s="642">
        <v>2</v>
      </c>
      <c r="O80" s="642">
        <v>2442</v>
      </c>
      <c r="P80" s="656">
        <v>0.40230642504118619</v>
      </c>
      <c r="Q80" s="643">
        <v>1221</v>
      </c>
    </row>
    <row r="81" spans="1:17" ht="14.4" customHeight="1" x14ac:dyDescent="0.3">
      <c r="A81" s="638" t="s">
        <v>2308</v>
      </c>
      <c r="B81" s="639" t="s">
        <v>2309</v>
      </c>
      <c r="C81" s="639" t="s">
        <v>1910</v>
      </c>
      <c r="D81" s="639" t="s">
        <v>2380</v>
      </c>
      <c r="E81" s="639" t="s">
        <v>2381</v>
      </c>
      <c r="F81" s="642">
        <v>19</v>
      </c>
      <c r="G81" s="642">
        <v>14913</v>
      </c>
      <c r="H81" s="642">
        <v>1</v>
      </c>
      <c r="I81" s="642">
        <v>784.89473684210532</v>
      </c>
      <c r="J81" s="642">
        <v>54</v>
      </c>
      <c r="K81" s="642">
        <v>42444</v>
      </c>
      <c r="L81" s="642">
        <v>2.8461074230537116</v>
      </c>
      <c r="M81" s="642">
        <v>786</v>
      </c>
      <c r="N81" s="642">
        <v>512</v>
      </c>
      <c r="O81" s="642">
        <v>402944</v>
      </c>
      <c r="P81" s="656">
        <v>27.019647287601423</v>
      </c>
      <c r="Q81" s="643">
        <v>787</v>
      </c>
    </row>
    <row r="82" spans="1:17" ht="14.4" customHeight="1" x14ac:dyDescent="0.3">
      <c r="A82" s="638" t="s">
        <v>2308</v>
      </c>
      <c r="B82" s="639" t="s">
        <v>2309</v>
      </c>
      <c r="C82" s="639" t="s">
        <v>1910</v>
      </c>
      <c r="D82" s="639" t="s">
        <v>2382</v>
      </c>
      <c r="E82" s="639" t="s">
        <v>2383</v>
      </c>
      <c r="F82" s="642">
        <v>5</v>
      </c>
      <c r="G82" s="642">
        <v>938</v>
      </c>
      <c r="H82" s="642">
        <v>1</v>
      </c>
      <c r="I82" s="642">
        <v>187.6</v>
      </c>
      <c r="J82" s="642">
        <v>5</v>
      </c>
      <c r="K82" s="642">
        <v>940</v>
      </c>
      <c r="L82" s="642">
        <v>1.0021321961620469</v>
      </c>
      <c r="M82" s="642">
        <v>188</v>
      </c>
      <c r="N82" s="642">
        <v>7</v>
      </c>
      <c r="O82" s="642">
        <v>1323</v>
      </c>
      <c r="P82" s="656">
        <v>1.4104477611940298</v>
      </c>
      <c r="Q82" s="643">
        <v>189</v>
      </c>
    </row>
    <row r="83" spans="1:17" ht="14.4" customHeight="1" x14ac:dyDescent="0.3">
      <c r="A83" s="638" t="s">
        <v>2308</v>
      </c>
      <c r="B83" s="639" t="s">
        <v>2309</v>
      </c>
      <c r="C83" s="639" t="s">
        <v>1910</v>
      </c>
      <c r="D83" s="639" t="s">
        <v>2384</v>
      </c>
      <c r="E83" s="639" t="s">
        <v>2385</v>
      </c>
      <c r="F83" s="642">
        <v>2</v>
      </c>
      <c r="G83" s="642">
        <v>354</v>
      </c>
      <c r="H83" s="642">
        <v>1</v>
      </c>
      <c r="I83" s="642">
        <v>177</v>
      </c>
      <c r="J83" s="642"/>
      <c r="K83" s="642"/>
      <c r="L83" s="642"/>
      <c r="M83" s="642"/>
      <c r="N83" s="642">
        <v>5</v>
      </c>
      <c r="O83" s="642">
        <v>895</v>
      </c>
      <c r="P83" s="656">
        <v>2.5282485875706215</v>
      </c>
      <c r="Q83" s="643">
        <v>179</v>
      </c>
    </row>
    <row r="84" spans="1:17" ht="14.4" customHeight="1" x14ac:dyDescent="0.3">
      <c r="A84" s="638" t="s">
        <v>2308</v>
      </c>
      <c r="B84" s="639" t="s">
        <v>2309</v>
      </c>
      <c r="C84" s="639" t="s">
        <v>1910</v>
      </c>
      <c r="D84" s="639" t="s">
        <v>2386</v>
      </c>
      <c r="E84" s="639" t="s">
        <v>2387</v>
      </c>
      <c r="F84" s="642">
        <v>136</v>
      </c>
      <c r="G84" s="642">
        <v>30978</v>
      </c>
      <c r="H84" s="642">
        <v>1</v>
      </c>
      <c r="I84" s="642">
        <v>227.77941176470588</v>
      </c>
      <c r="J84" s="642">
        <v>164</v>
      </c>
      <c r="K84" s="642">
        <v>37392</v>
      </c>
      <c r="L84" s="642">
        <v>1.2070501646329654</v>
      </c>
      <c r="M84" s="642">
        <v>228</v>
      </c>
      <c r="N84" s="642">
        <v>224</v>
      </c>
      <c r="O84" s="642">
        <v>51296</v>
      </c>
      <c r="P84" s="656">
        <v>1.6558848214862161</v>
      </c>
      <c r="Q84" s="643">
        <v>229</v>
      </c>
    </row>
    <row r="85" spans="1:17" ht="14.4" customHeight="1" x14ac:dyDescent="0.3">
      <c r="A85" s="638" t="s">
        <v>2308</v>
      </c>
      <c r="B85" s="639" t="s">
        <v>2309</v>
      </c>
      <c r="C85" s="639" t="s">
        <v>1910</v>
      </c>
      <c r="D85" s="639" t="s">
        <v>2388</v>
      </c>
      <c r="E85" s="639" t="s">
        <v>2389</v>
      </c>
      <c r="F85" s="642">
        <v>2</v>
      </c>
      <c r="G85" s="642">
        <v>316</v>
      </c>
      <c r="H85" s="642">
        <v>1</v>
      </c>
      <c r="I85" s="642">
        <v>158</v>
      </c>
      <c r="J85" s="642">
        <v>1</v>
      </c>
      <c r="K85" s="642">
        <v>158</v>
      </c>
      <c r="L85" s="642">
        <v>0.5</v>
      </c>
      <c r="M85" s="642">
        <v>158</v>
      </c>
      <c r="N85" s="642">
        <v>2</v>
      </c>
      <c r="O85" s="642">
        <v>318</v>
      </c>
      <c r="P85" s="656">
        <v>1.0063291139240507</v>
      </c>
      <c r="Q85" s="643">
        <v>159</v>
      </c>
    </row>
    <row r="86" spans="1:17" ht="14.4" customHeight="1" x14ac:dyDescent="0.3">
      <c r="A86" s="638" t="s">
        <v>2308</v>
      </c>
      <c r="B86" s="639" t="s">
        <v>2309</v>
      </c>
      <c r="C86" s="639" t="s">
        <v>1910</v>
      </c>
      <c r="D86" s="639" t="s">
        <v>2390</v>
      </c>
      <c r="E86" s="639" t="s">
        <v>2391</v>
      </c>
      <c r="F86" s="642">
        <v>1</v>
      </c>
      <c r="G86" s="642">
        <v>461</v>
      </c>
      <c r="H86" s="642">
        <v>1</v>
      </c>
      <c r="I86" s="642">
        <v>461</v>
      </c>
      <c r="J86" s="642"/>
      <c r="K86" s="642"/>
      <c r="L86" s="642"/>
      <c r="M86" s="642"/>
      <c r="N86" s="642"/>
      <c r="O86" s="642"/>
      <c r="P86" s="656"/>
      <c r="Q86" s="643"/>
    </row>
    <row r="87" spans="1:17" ht="14.4" customHeight="1" x14ac:dyDescent="0.3">
      <c r="A87" s="638" t="s">
        <v>2308</v>
      </c>
      <c r="B87" s="639" t="s">
        <v>2309</v>
      </c>
      <c r="C87" s="639" t="s">
        <v>1910</v>
      </c>
      <c r="D87" s="639" t="s">
        <v>2392</v>
      </c>
      <c r="E87" s="639" t="s">
        <v>2393</v>
      </c>
      <c r="F87" s="642"/>
      <c r="G87" s="642"/>
      <c r="H87" s="642"/>
      <c r="I87" s="642"/>
      <c r="J87" s="642"/>
      <c r="K87" s="642"/>
      <c r="L87" s="642"/>
      <c r="M87" s="642"/>
      <c r="N87" s="642">
        <v>1</v>
      </c>
      <c r="O87" s="642">
        <v>562</v>
      </c>
      <c r="P87" s="656"/>
      <c r="Q87" s="643">
        <v>562</v>
      </c>
    </row>
    <row r="88" spans="1:17" ht="14.4" customHeight="1" x14ac:dyDescent="0.3">
      <c r="A88" s="638" t="s">
        <v>2308</v>
      </c>
      <c r="B88" s="639" t="s">
        <v>2309</v>
      </c>
      <c r="C88" s="639" t="s">
        <v>1910</v>
      </c>
      <c r="D88" s="639" t="s">
        <v>2394</v>
      </c>
      <c r="E88" s="639" t="s">
        <v>2395</v>
      </c>
      <c r="F88" s="642"/>
      <c r="G88" s="642"/>
      <c r="H88" s="642"/>
      <c r="I88" s="642"/>
      <c r="J88" s="642"/>
      <c r="K88" s="642"/>
      <c r="L88" s="642"/>
      <c r="M88" s="642"/>
      <c r="N88" s="642">
        <v>1</v>
      </c>
      <c r="O88" s="642">
        <v>172</v>
      </c>
      <c r="P88" s="656"/>
      <c r="Q88" s="643">
        <v>172</v>
      </c>
    </row>
    <row r="89" spans="1:17" ht="14.4" customHeight="1" x14ac:dyDescent="0.3">
      <c r="A89" s="638" t="s">
        <v>2308</v>
      </c>
      <c r="B89" s="639" t="s">
        <v>2309</v>
      </c>
      <c r="C89" s="639" t="s">
        <v>1910</v>
      </c>
      <c r="D89" s="639" t="s">
        <v>2396</v>
      </c>
      <c r="E89" s="639" t="s">
        <v>2397</v>
      </c>
      <c r="F89" s="642">
        <v>1</v>
      </c>
      <c r="G89" s="642">
        <v>200</v>
      </c>
      <c r="H89" s="642">
        <v>1</v>
      </c>
      <c r="I89" s="642">
        <v>200</v>
      </c>
      <c r="J89" s="642"/>
      <c r="K89" s="642"/>
      <c r="L89" s="642"/>
      <c r="M89" s="642"/>
      <c r="N89" s="642">
        <v>3</v>
      </c>
      <c r="O89" s="642">
        <v>603</v>
      </c>
      <c r="P89" s="656">
        <v>3.0150000000000001</v>
      </c>
      <c r="Q89" s="643">
        <v>201</v>
      </c>
    </row>
    <row r="90" spans="1:17" ht="14.4" customHeight="1" x14ac:dyDescent="0.3">
      <c r="A90" s="638" t="s">
        <v>2308</v>
      </c>
      <c r="B90" s="639" t="s">
        <v>2309</v>
      </c>
      <c r="C90" s="639" t="s">
        <v>1910</v>
      </c>
      <c r="D90" s="639" t="s">
        <v>2398</v>
      </c>
      <c r="E90" s="639" t="s">
        <v>2399</v>
      </c>
      <c r="F90" s="642"/>
      <c r="G90" s="642"/>
      <c r="H90" s="642"/>
      <c r="I90" s="642"/>
      <c r="J90" s="642">
        <v>6</v>
      </c>
      <c r="K90" s="642">
        <v>1068</v>
      </c>
      <c r="L90" s="642"/>
      <c r="M90" s="642">
        <v>178</v>
      </c>
      <c r="N90" s="642">
        <v>1</v>
      </c>
      <c r="O90" s="642">
        <v>179</v>
      </c>
      <c r="P90" s="656"/>
      <c r="Q90" s="643">
        <v>179</v>
      </c>
    </row>
    <row r="91" spans="1:17" ht="14.4" customHeight="1" x14ac:dyDescent="0.3">
      <c r="A91" s="638" t="s">
        <v>2308</v>
      </c>
      <c r="B91" s="639" t="s">
        <v>2309</v>
      </c>
      <c r="C91" s="639" t="s">
        <v>1910</v>
      </c>
      <c r="D91" s="639" t="s">
        <v>2400</v>
      </c>
      <c r="E91" s="639" t="s">
        <v>2401</v>
      </c>
      <c r="F91" s="642">
        <v>1</v>
      </c>
      <c r="G91" s="642">
        <v>412</v>
      </c>
      <c r="H91" s="642">
        <v>1</v>
      </c>
      <c r="I91" s="642">
        <v>412</v>
      </c>
      <c r="J91" s="642">
        <v>2</v>
      </c>
      <c r="K91" s="642">
        <v>826</v>
      </c>
      <c r="L91" s="642">
        <v>2.0048543689320391</v>
      </c>
      <c r="M91" s="642">
        <v>413</v>
      </c>
      <c r="N91" s="642">
        <v>2</v>
      </c>
      <c r="O91" s="642">
        <v>828</v>
      </c>
      <c r="P91" s="656">
        <v>2.0097087378640777</v>
      </c>
      <c r="Q91" s="643">
        <v>414</v>
      </c>
    </row>
    <row r="92" spans="1:17" ht="14.4" customHeight="1" x14ac:dyDescent="0.3">
      <c r="A92" s="638" t="s">
        <v>2308</v>
      </c>
      <c r="B92" s="639" t="s">
        <v>2309</v>
      </c>
      <c r="C92" s="639" t="s">
        <v>1910</v>
      </c>
      <c r="D92" s="639" t="s">
        <v>2402</v>
      </c>
      <c r="E92" s="639" t="s">
        <v>2403</v>
      </c>
      <c r="F92" s="642">
        <v>1</v>
      </c>
      <c r="G92" s="642">
        <v>394</v>
      </c>
      <c r="H92" s="642">
        <v>1</v>
      </c>
      <c r="I92" s="642">
        <v>394</v>
      </c>
      <c r="J92" s="642">
        <v>2</v>
      </c>
      <c r="K92" s="642">
        <v>790</v>
      </c>
      <c r="L92" s="642">
        <v>2.0050761421319798</v>
      </c>
      <c r="M92" s="642">
        <v>395</v>
      </c>
      <c r="N92" s="642">
        <v>2</v>
      </c>
      <c r="O92" s="642">
        <v>792</v>
      </c>
      <c r="P92" s="656">
        <v>2.0101522842639592</v>
      </c>
      <c r="Q92" s="643">
        <v>396</v>
      </c>
    </row>
    <row r="93" spans="1:17" ht="14.4" customHeight="1" x14ac:dyDescent="0.3">
      <c r="A93" s="638" t="s">
        <v>2308</v>
      </c>
      <c r="B93" s="639" t="s">
        <v>2309</v>
      </c>
      <c r="C93" s="639" t="s">
        <v>1910</v>
      </c>
      <c r="D93" s="639" t="s">
        <v>2404</v>
      </c>
      <c r="E93" s="639" t="s">
        <v>2405</v>
      </c>
      <c r="F93" s="642"/>
      <c r="G93" s="642"/>
      <c r="H93" s="642"/>
      <c r="I93" s="642"/>
      <c r="J93" s="642">
        <v>2</v>
      </c>
      <c r="K93" s="642">
        <v>620</v>
      </c>
      <c r="L93" s="642"/>
      <c r="M93" s="642">
        <v>310</v>
      </c>
      <c r="N93" s="642">
        <v>1</v>
      </c>
      <c r="O93" s="642">
        <v>311</v>
      </c>
      <c r="P93" s="656"/>
      <c r="Q93" s="643">
        <v>311</v>
      </c>
    </row>
    <row r="94" spans="1:17" ht="14.4" customHeight="1" x14ac:dyDescent="0.3">
      <c r="A94" s="638" t="s">
        <v>2308</v>
      </c>
      <c r="B94" s="639" t="s">
        <v>2309</v>
      </c>
      <c r="C94" s="639" t="s">
        <v>1910</v>
      </c>
      <c r="D94" s="639" t="s">
        <v>2406</v>
      </c>
      <c r="E94" s="639" t="s">
        <v>2407</v>
      </c>
      <c r="F94" s="642">
        <v>1</v>
      </c>
      <c r="G94" s="642">
        <v>89</v>
      </c>
      <c r="H94" s="642">
        <v>1</v>
      </c>
      <c r="I94" s="642">
        <v>89</v>
      </c>
      <c r="J94" s="642">
        <v>2</v>
      </c>
      <c r="K94" s="642">
        <v>178</v>
      </c>
      <c r="L94" s="642">
        <v>2</v>
      </c>
      <c r="M94" s="642">
        <v>89</v>
      </c>
      <c r="N94" s="642"/>
      <c r="O94" s="642"/>
      <c r="P94" s="656"/>
      <c r="Q94" s="643"/>
    </row>
    <row r="95" spans="1:17" ht="14.4" customHeight="1" x14ac:dyDescent="0.3">
      <c r="A95" s="638" t="s">
        <v>2308</v>
      </c>
      <c r="B95" s="639" t="s">
        <v>2309</v>
      </c>
      <c r="C95" s="639" t="s">
        <v>1910</v>
      </c>
      <c r="D95" s="639" t="s">
        <v>2408</v>
      </c>
      <c r="E95" s="639" t="s">
        <v>2409</v>
      </c>
      <c r="F95" s="642">
        <v>2614</v>
      </c>
      <c r="G95" s="642">
        <v>77534</v>
      </c>
      <c r="H95" s="642">
        <v>1</v>
      </c>
      <c r="I95" s="642">
        <v>29.661055853098699</v>
      </c>
      <c r="J95" s="642">
        <v>3043</v>
      </c>
      <c r="K95" s="642">
        <v>91290</v>
      </c>
      <c r="L95" s="642">
        <v>1.1774189387881446</v>
      </c>
      <c r="M95" s="642">
        <v>30</v>
      </c>
      <c r="N95" s="642">
        <v>2919</v>
      </c>
      <c r="O95" s="642">
        <v>87570</v>
      </c>
      <c r="P95" s="656">
        <v>1.1294399876183352</v>
      </c>
      <c r="Q95" s="643">
        <v>30</v>
      </c>
    </row>
    <row r="96" spans="1:17" ht="14.4" customHeight="1" x14ac:dyDescent="0.3">
      <c r="A96" s="638" t="s">
        <v>2308</v>
      </c>
      <c r="B96" s="639" t="s">
        <v>2309</v>
      </c>
      <c r="C96" s="639" t="s">
        <v>1910</v>
      </c>
      <c r="D96" s="639" t="s">
        <v>2410</v>
      </c>
      <c r="E96" s="639" t="s">
        <v>2411</v>
      </c>
      <c r="F96" s="642">
        <v>1</v>
      </c>
      <c r="G96" s="642">
        <v>50</v>
      </c>
      <c r="H96" s="642">
        <v>1</v>
      </c>
      <c r="I96" s="642">
        <v>50</v>
      </c>
      <c r="J96" s="642"/>
      <c r="K96" s="642"/>
      <c r="L96" s="642"/>
      <c r="M96" s="642"/>
      <c r="N96" s="642">
        <v>1</v>
      </c>
      <c r="O96" s="642">
        <v>50</v>
      </c>
      <c r="P96" s="656">
        <v>1</v>
      </c>
      <c r="Q96" s="643">
        <v>50</v>
      </c>
    </row>
    <row r="97" spans="1:17" ht="14.4" customHeight="1" x14ac:dyDescent="0.3">
      <c r="A97" s="638" t="s">
        <v>2308</v>
      </c>
      <c r="B97" s="639" t="s">
        <v>2309</v>
      </c>
      <c r="C97" s="639" t="s">
        <v>1910</v>
      </c>
      <c r="D97" s="639" t="s">
        <v>2412</v>
      </c>
      <c r="E97" s="639" t="s">
        <v>2413</v>
      </c>
      <c r="F97" s="642">
        <v>38</v>
      </c>
      <c r="G97" s="642">
        <v>456</v>
      </c>
      <c r="H97" s="642">
        <v>1</v>
      </c>
      <c r="I97" s="642">
        <v>12</v>
      </c>
      <c r="J97" s="642">
        <v>20</v>
      </c>
      <c r="K97" s="642">
        <v>240</v>
      </c>
      <c r="L97" s="642">
        <v>0.52631578947368418</v>
      </c>
      <c r="M97" s="642">
        <v>12</v>
      </c>
      <c r="N97" s="642">
        <v>26</v>
      </c>
      <c r="O97" s="642">
        <v>312</v>
      </c>
      <c r="P97" s="656">
        <v>0.68421052631578949</v>
      </c>
      <c r="Q97" s="643">
        <v>12</v>
      </c>
    </row>
    <row r="98" spans="1:17" ht="14.4" customHeight="1" x14ac:dyDescent="0.3">
      <c r="A98" s="638" t="s">
        <v>2308</v>
      </c>
      <c r="B98" s="639" t="s">
        <v>2309</v>
      </c>
      <c r="C98" s="639" t="s">
        <v>1910</v>
      </c>
      <c r="D98" s="639" t="s">
        <v>2414</v>
      </c>
      <c r="E98" s="639" t="s">
        <v>2415</v>
      </c>
      <c r="F98" s="642">
        <v>7</v>
      </c>
      <c r="G98" s="642">
        <v>1269</v>
      </c>
      <c r="H98" s="642">
        <v>1</v>
      </c>
      <c r="I98" s="642">
        <v>181.28571428571428</v>
      </c>
      <c r="J98" s="642">
        <v>7</v>
      </c>
      <c r="K98" s="642">
        <v>1274</v>
      </c>
      <c r="L98" s="642">
        <v>1.0039401103230889</v>
      </c>
      <c r="M98" s="642">
        <v>182</v>
      </c>
      <c r="N98" s="642">
        <v>25</v>
      </c>
      <c r="O98" s="642">
        <v>4575</v>
      </c>
      <c r="P98" s="656">
        <v>3.6052009456264775</v>
      </c>
      <c r="Q98" s="643">
        <v>183</v>
      </c>
    </row>
    <row r="99" spans="1:17" ht="14.4" customHeight="1" x14ac:dyDescent="0.3">
      <c r="A99" s="638" t="s">
        <v>2308</v>
      </c>
      <c r="B99" s="639" t="s">
        <v>2309</v>
      </c>
      <c r="C99" s="639" t="s">
        <v>1910</v>
      </c>
      <c r="D99" s="639" t="s">
        <v>2416</v>
      </c>
      <c r="E99" s="639" t="s">
        <v>2417</v>
      </c>
      <c r="F99" s="642">
        <v>1090</v>
      </c>
      <c r="G99" s="642">
        <v>77410</v>
      </c>
      <c r="H99" s="642">
        <v>1</v>
      </c>
      <c r="I99" s="642">
        <v>71.018348623853214</v>
      </c>
      <c r="J99" s="642">
        <v>27</v>
      </c>
      <c r="K99" s="642">
        <v>1944</v>
      </c>
      <c r="L99" s="642">
        <v>2.5113034491667744E-2</v>
      </c>
      <c r="M99" s="642">
        <v>72</v>
      </c>
      <c r="N99" s="642">
        <v>11</v>
      </c>
      <c r="O99" s="642">
        <v>803</v>
      </c>
      <c r="P99" s="656">
        <v>1.0373336778194032E-2</v>
      </c>
      <c r="Q99" s="643">
        <v>73</v>
      </c>
    </row>
    <row r="100" spans="1:17" ht="14.4" customHeight="1" x14ac:dyDescent="0.3">
      <c r="A100" s="638" t="s">
        <v>2308</v>
      </c>
      <c r="B100" s="639" t="s">
        <v>2309</v>
      </c>
      <c r="C100" s="639" t="s">
        <v>1910</v>
      </c>
      <c r="D100" s="639" t="s">
        <v>2418</v>
      </c>
      <c r="E100" s="639" t="s">
        <v>2419</v>
      </c>
      <c r="F100" s="642"/>
      <c r="G100" s="642"/>
      <c r="H100" s="642"/>
      <c r="I100" s="642"/>
      <c r="J100" s="642">
        <v>4</v>
      </c>
      <c r="K100" s="642">
        <v>732</v>
      </c>
      <c r="L100" s="642"/>
      <c r="M100" s="642">
        <v>183</v>
      </c>
      <c r="N100" s="642">
        <v>3</v>
      </c>
      <c r="O100" s="642">
        <v>552</v>
      </c>
      <c r="P100" s="656"/>
      <c r="Q100" s="643">
        <v>184</v>
      </c>
    </row>
    <row r="101" spans="1:17" ht="14.4" customHeight="1" x14ac:dyDescent="0.3">
      <c r="A101" s="638" t="s">
        <v>2308</v>
      </c>
      <c r="B101" s="639" t="s">
        <v>2309</v>
      </c>
      <c r="C101" s="639" t="s">
        <v>1910</v>
      </c>
      <c r="D101" s="639" t="s">
        <v>2232</v>
      </c>
      <c r="E101" s="639" t="s">
        <v>2233</v>
      </c>
      <c r="F101" s="642">
        <v>15</v>
      </c>
      <c r="G101" s="642">
        <v>18899</v>
      </c>
      <c r="H101" s="642">
        <v>1</v>
      </c>
      <c r="I101" s="642">
        <v>1259.9333333333334</v>
      </c>
      <c r="J101" s="642">
        <v>37</v>
      </c>
      <c r="K101" s="642">
        <v>46916</v>
      </c>
      <c r="L101" s="642">
        <v>2.4824593893856819</v>
      </c>
      <c r="M101" s="642">
        <v>1268</v>
      </c>
      <c r="N101" s="642">
        <v>32</v>
      </c>
      <c r="O101" s="642">
        <v>41056</v>
      </c>
      <c r="P101" s="656">
        <v>2.1723900735488648</v>
      </c>
      <c r="Q101" s="643">
        <v>1283</v>
      </c>
    </row>
    <row r="102" spans="1:17" ht="14.4" customHeight="1" x14ac:dyDescent="0.3">
      <c r="A102" s="638" t="s">
        <v>2308</v>
      </c>
      <c r="B102" s="639" t="s">
        <v>2309</v>
      </c>
      <c r="C102" s="639" t="s">
        <v>1910</v>
      </c>
      <c r="D102" s="639" t="s">
        <v>2420</v>
      </c>
      <c r="E102" s="639" t="s">
        <v>2421</v>
      </c>
      <c r="F102" s="642">
        <v>1463</v>
      </c>
      <c r="G102" s="642">
        <v>216159</v>
      </c>
      <c r="H102" s="642">
        <v>1</v>
      </c>
      <c r="I102" s="642">
        <v>147.7505126452495</v>
      </c>
      <c r="J102" s="642">
        <v>1814</v>
      </c>
      <c r="K102" s="642">
        <v>268472</v>
      </c>
      <c r="L102" s="642">
        <v>1.2420116673374693</v>
      </c>
      <c r="M102" s="642">
        <v>148</v>
      </c>
      <c r="N102" s="642">
        <v>1580</v>
      </c>
      <c r="O102" s="642">
        <v>235420</v>
      </c>
      <c r="P102" s="656">
        <v>1.0891057045970789</v>
      </c>
      <c r="Q102" s="643">
        <v>149</v>
      </c>
    </row>
    <row r="103" spans="1:17" ht="14.4" customHeight="1" x14ac:dyDescent="0.3">
      <c r="A103" s="638" t="s">
        <v>2308</v>
      </c>
      <c r="B103" s="639" t="s">
        <v>2309</v>
      </c>
      <c r="C103" s="639" t="s">
        <v>1910</v>
      </c>
      <c r="D103" s="639" t="s">
        <v>2422</v>
      </c>
      <c r="E103" s="639" t="s">
        <v>2423</v>
      </c>
      <c r="F103" s="642">
        <v>2625</v>
      </c>
      <c r="G103" s="642">
        <v>77857</v>
      </c>
      <c r="H103" s="642">
        <v>1</v>
      </c>
      <c r="I103" s="642">
        <v>29.659809523809525</v>
      </c>
      <c r="J103" s="642">
        <v>3055</v>
      </c>
      <c r="K103" s="642">
        <v>91650</v>
      </c>
      <c r="L103" s="642">
        <v>1.1771581232259141</v>
      </c>
      <c r="M103" s="642">
        <v>30</v>
      </c>
      <c r="N103" s="642">
        <v>2914</v>
      </c>
      <c r="O103" s="642">
        <v>87420</v>
      </c>
      <c r="P103" s="656">
        <v>1.1228277483077951</v>
      </c>
      <c r="Q103" s="643">
        <v>30</v>
      </c>
    </row>
    <row r="104" spans="1:17" ht="14.4" customHeight="1" x14ac:dyDescent="0.3">
      <c r="A104" s="638" t="s">
        <v>2308</v>
      </c>
      <c r="B104" s="639" t="s">
        <v>2309</v>
      </c>
      <c r="C104" s="639" t="s">
        <v>1910</v>
      </c>
      <c r="D104" s="639" t="s">
        <v>2424</v>
      </c>
      <c r="E104" s="639" t="s">
        <v>2425</v>
      </c>
      <c r="F104" s="642">
        <v>12</v>
      </c>
      <c r="G104" s="642">
        <v>372</v>
      </c>
      <c r="H104" s="642">
        <v>1</v>
      </c>
      <c r="I104" s="642">
        <v>31</v>
      </c>
      <c r="J104" s="642">
        <v>17</v>
      </c>
      <c r="K104" s="642">
        <v>527</v>
      </c>
      <c r="L104" s="642">
        <v>1.4166666666666667</v>
      </c>
      <c r="M104" s="642">
        <v>31</v>
      </c>
      <c r="N104" s="642">
        <v>13</v>
      </c>
      <c r="O104" s="642">
        <v>403</v>
      </c>
      <c r="P104" s="656">
        <v>1.0833333333333333</v>
      </c>
      <c r="Q104" s="643">
        <v>31</v>
      </c>
    </row>
    <row r="105" spans="1:17" ht="14.4" customHeight="1" x14ac:dyDescent="0.3">
      <c r="A105" s="638" t="s">
        <v>2308</v>
      </c>
      <c r="B105" s="639" t="s">
        <v>2309</v>
      </c>
      <c r="C105" s="639" t="s">
        <v>1910</v>
      </c>
      <c r="D105" s="639" t="s">
        <v>2426</v>
      </c>
      <c r="E105" s="639" t="s">
        <v>2427</v>
      </c>
      <c r="F105" s="642">
        <v>82</v>
      </c>
      <c r="G105" s="642">
        <v>2214</v>
      </c>
      <c r="H105" s="642">
        <v>1</v>
      </c>
      <c r="I105" s="642">
        <v>27</v>
      </c>
      <c r="J105" s="642">
        <v>123</v>
      </c>
      <c r="K105" s="642">
        <v>3321</v>
      </c>
      <c r="L105" s="642">
        <v>1.5</v>
      </c>
      <c r="M105" s="642">
        <v>27</v>
      </c>
      <c r="N105" s="642">
        <v>92</v>
      </c>
      <c r="O105" s="642">
        <v>2484</v>
      </c>
      <c r="P105" s="656">
        <v>1.1219512195121952</v>
      </c>
      <c r="Q105" s="643">
        <v>27</v>
      </c>
    </row>
    <row r="106" spans="1:17" ht="14.4" customHeight="1" x14ac:dyDescent="0.3">
      <c r="A106" s="638" t="s">
        <v>2308</v>
      </c>
      <c r="B106" s="639" t="s">
        <v>2309</v>
      </c>
      <c r="C106" s="639" t="s">
        <v>1910</v>
      </c>
      <c r="D106" s="639" t="s">
        <v>2428</v>
      </c>
      <c r="E106" s="639" t="s">
        <v>2429</v>
      </c>
      <c r="F106" s="642"/>
      <c r="G106" s="642"/>
      <c r="H106" s="642"/>
      <c r="I106" s="642"/>
      <c r="J106" s="642">
        <v>3</v>
      </c>
      <c r="K106" s="642">
        <v>486</v>
      </c>
      <c r="L106" s="642"/>
      <c r="M106" s="642">
        <v>162</v>
      </c>
      <c r="N106" s="642">
        <v>1</v>
      </c>
      <c r="O106" s="642">
        <v>163</v>
      </c>
      <c r="P106" s="656"/>
      <c r="Q106" s="643">
        <v>163</v>
      </c>
    </row>
    <row r="107" spans="1:17" ht="14.4" customHeight="1" x14ac:dyDescent="0.3">
      <c r="A107" s="638" t="s">
        <v>2308</v>
      </c>
      <c r="B107" s="639" t="s">
        <v>2309</v>
      </c>
      <c r="C107" s="639" t="s">
        <v>1910</v>
      </c>
      <c r="D107" s="639" t="s">
        <v>2430</v>
      </c>
      <c r="E107" s="639" t="s">
        <v>2431</v>
      </c>
      <c r="F107" s="642">
        <v>18</v>
      </c>
      <c r="G107" s="642">
        <v>396</v>
      </c>
      <c r="H107" s="642">
        <v>1</v>
      </c>
      <c r="I107" s="642">
        <v>22</v>
      </c>
      <c r="J107" s="642">
        <v>31</v>
      </c>
      <c r="K107" s="642">
        <v>682</v>
      </c>
      <c r="L107" s="642">
        <v>1.7222222222222223</v>
      </c>
      <c r="M107" s="642">
        <v>22</v>
      </c>
      <c r="N107" s="642">
        <v>20</v>
      </c>
      <c r="O107" s="642">
        <v>440</v>
      </c>
      <c r="P107" s="656">
        <v>1.1111111111111112</v>
      </c>
      <c r="Q107" s="643">
        <v>22</v>
      </c>
    </row>
    <row r="108" spans="1:17" ht="14.4" customHeight="1" x14ac:dyDescent="0.3">
      <c r="A108" s="638" t="s">
        <v>2308</v>
      </c>
      <c r="B108" s="639" t="s">
        <v>2309</v>
      </c>
      <c r="C108" s="639" t="s">
        <v>1910</v>
      </c>
      <c r="D108" s="639" t="s">
        <v>2432</v>
      </c>
      <c r="E108" s="639" t="s">
        <v>2433</v>
      </c>
      <c r="F108" s="642">
        <v>1</v>
      </c>
      <c r="G108" s="642">
        <v>859</v>
      </c>
      <c r="H108" s="642">
        <v>1</v>
      </c>
      <c r="I108" s="642">
        <v>859</v>
      </c>
      <c r="J108" s="642">
        <v>2</v>
      </c>
      <c r="K108" s="642">
        <v>1724</v>
      </c>
      <c r="L108" s="642">
        <v>2.0069848661233993</v>
      </c>
      <c r="M108" s="642">
        <v>862</v>
      </c>
      <c r="N108" s="642">
        <v>14</v>
      </c>
      <c r="O108" s="642">
        <v>12180</v>
      </c>
      <c r="P108" s="656">
        <v>14.179278230500582</v>
      </c>
      <c r="Q108" s="643">
        <v>870</v>
      </c>
    </row>
    <row r="109" spans="1:17" ht="14.4" customHeight="1" x14ac:dyDescent="0.3">
      <c r="A109" s="638" t="s">
        <v>2308</v>
      </c>
      <c r="B109" s="639" t="s">
        <v>2309</v>
      </c>
      <c r="C109" s="639" t="s">
        <v>1910</v>
      </c>
      <c r="D109" s="639" t="s">
        <v>2434</v>
      </c>
      <c r="E109" s="639" t="s">
        <v>2435</v>
      </c>
      <c r="F109" s="642">
        <v>57</v>
      </c>
      <c r="G109" s="642">
        <v>1425</v>
      </c>
      <c r="H109" s="642">
        <v>1</v>
      </c>
      <c r="I109" s="642">
        <v>25</v>
      </c>
      <c r="J109" s="642">
        <v>108</v>
      </c>
      <c r="K109" s="642">
        <v>2700</v>
      </c>
      <c r="L109" s="642">
        <v>1.8947368421052631</v>
      </c>
      <c r="M109" s="642">
        <v>25</v>
      </c>
      <c r="N109" s="642">
        <v>76</v>
      </c>
      <c r="O109" s="642">
        <v>1900</v>
      </c>
      <c r="P109" s="656">
        <v>1.3333333333333333</v>
      </c>
      <c r="Q109" s="643">
        <v>25</v>
      </c>
    </row>
    <row r="110" spans="1:17" ht="14.4" customHeight="1" x14ac:dyDescent="0.3">
      <c r="A110" s="638" t="s">
        <v>2308</v>
      </c>
      <c r="B110" s="639" t="s">
        <v>2309</v>
      </c>
      <c r="C110" s="639" t="s">
        <v>1910</v>
      </c>
      <c r="D110" s="639" t="s">
        <v>2436</v>
      </c>
      <c r="E110" s="639" t="s">
        <v>2437</v>
      </c>
      <c r="F110" s="642">
        <v>32</v>
      </c>
      <c r="G110" s="642">
        <v>1056</v>
      </c>
      <c r="H110" s="642">
        <v>1</v>
      </c>
      <c r="I110" s="642">
        <v>33</v>
      </c>
      <c r="J110" s="642">
        <v>56</v>
      </c>
      <c r="K110" s="642">
        <v>1848</v>
      </c>
      <c r="L110" s="642">
        <v>1.75</v>
      </c>
      <c r="M110" s="642">
        <v>33</v>
      </c>
      <c r="N110" s="642">
        <v>35</v>
      </c>
      <c r="O110" s="642">
        <v>1155</v>
      </c>
      <c r="P110" s="656">
        <v>1.09375</v>
      </c>
      <c r="Q110" s="643">
        <v>33</v>
      </c>
    </row>
    <row r="111" spans="1:17" ht="14.4" customHeight="1" x14ac:dyDescent="0.3">
      <c r="A111" s="638" t="s">
        <v>2308</v>
      </c>
      <c r="B111" s="639" t="s">
        <v>2309</v>
      </c>
      <c r="C111" s="639" t="s">
        <v>1910</v>
      </c>
      <c r="D111" s="639" t="s">
        <v>2438</v>
      </c>
      <c r="E111" s="639" t="s">
        <v>2439</v>
      </c>
      <c r="F111" s="642">
        <v>16</v>
      </c>
      <c r="G111" s="642">
        <v>480</v>
      </c>
      <c r="H111" s="642">
        <v>1</v>
      </c>
      <c r="I111" s="642">
        <v>30</v>
      </c>
      <c r="J111" s="642">
        <v>32</v>
      </c>
      <c r="K111" s="642">
        <v>960</v>
      </c>
      <c r="L111" s="642">
        <v>2</v>
      </c>
      <c r="M111" s="642">
        <v>30</v>
      </c>
      <c r="N111" s="642">
        <v>18</v>
      </c>
      <c r="O111" s="642">
        <v>540</v>
      </c>
      <c r="P111" s="656">
        <v>1.125</v>
      </c>
      <c r="Q111" s="643">
        <v>30</v>
      </c>
    </row>
    <row r="112" spans="1:17" ht="14.4" customHeight="1" x14ac:dyDescent="0.3">
      <c r="A112" s="638" t="s">
        <v>2308</v>
      </c>
      <c r="B112" s="639" t="s">
        <v>2309</v>
      </c>
      <c r="C112" s="639" t="s">
        <v>1910</v>
      </c>
      <c r="D112" s="639" t="s">
        <v>2440</v>
      </c>
      <c r="E112" s="639" t="s">
        <v>2441</v>
      </c>
      <c r="F112" s="642">
        <v>29</v>
      </c>
      <c r="G112" s="642">
        <v>754</v>
      </c>
      <c r="H112" s="642">
        <v>1</v>
      </c>
      <c r="I112" s="642">
        <v>26</v>
      </c>
      <c r="J112" s="642">
        <v>59</v>
      </c>
      <c r="K112" s="642">
        <v>1534</v>
      </c>
      <c r="L112" s="642">
        <v>2.0344827586206895</v>
      </c>
      <c r="M112" s="642">
        <v>26</v>
      </c>
      <c r="N112" s="642">
        <v>54</v>
      </c>
      <c r="O112" s="642">
        <v>1404</v>
      </c>
      <c r="P112" s="656">
        <v>1.8620689655172413</v>
      </c>
      <c r="Q112" s="643">
        <v>26</v>
      </c>
    </row>
    <row r="113" spans="1:17" ht="14.4" customHeight="1" x14ac:dyDescent="0.3">
      <c r="A113" s="638" t="s">
        <v>2308</v>
      </c>
      <c r="B113" s="639" t="s">
        <v>2309</v>
      </c>
      <c r="C113" s="639" t="s">
        <v>1910</v>
      </c>
      <c r="D113" s="639" t="s">
        <v>2442</v>
      </c>
      <c r="E113" s="639" t="s">
        <v>2443</v>
      </c>
      <c r="F113" s="642">
        <v>3</v>
      </c>
      <c r="G113" s="642">
        <v>252</v>
      </c>
      <c r="H113" s="642">
        <v>1</v>
      </c>
      <c r="I113" s="642">
        <v>84</v>
      </c>
      <c r="J113" s="642">
        <v>2</v>
      </c>
      <c r="K113" s="642">
        <v>168</v>
      </c>
      <c r="L113" s="642">
        <v>0.66666666666666663</v>
      </c>
      <c r="M113" s="642">
        <v>84</v>
      </c>
      <c r="N113" s="642">
        <v>2</v>
      </c>
      <c r="O113" s="642">
        <v>168</v>
      </c>
      <c r="P113" s="656">
        <v>0.66666666666666663</v>
      </c>
      <c r="Q113" s="643">
        <v>84</v>
      </c>
    </row>
    <row r="114" spans="1:17" ht="14.4" customHeight="1" x14ac:dyDescent="0.3">
      <c r="A114" s="638" t="s">
        <v>2308</v>
      </c>
      <c r="B114" s="639" t="s">
        <v>2309</v>
      </c>
      <c r="C114" s="639" t="s">
        <v>1910</v>
      </c>
      <c r="D114" s="639" t="s">
        <v>2444</v>
      </c>
      <c r="E114" s="639" t="s">
        <v>2445</v>
      </c>
      <c r="F114" s="642">
        <v>7</v>
      </c>
      <c r="G114" s="642">
        <v>1220</v>
      </c>
      <c r="H114" s="642">
        <v>1</v>
      </c>
      <c r="I114" s="642">
        <v>174.28571428571428</v>
      </c>
      <c r="J114" s="642">
        <v>7</v>
      </c>
      <c r="K114" s="642">
        <v>1225</v>
      </c>
      <c r="L114" s="642">
        <v>1.0040983606557377</v>
      </c>
      <c r="M114" s="642">
        <v>175</v>
      </c>
      <c r="N114" s="642">
        <v>18</v>
      </c>
      <c r="O114" s="642">
        <v>3168</v>
      </c>
      <c r="P114" s="656">
        <v>2.59672131147541</v>
      </c>
      <c r="Q114" s="643">
        <v>176</v>
      </c>
    </row>
    <row r="115" spans="1:17" ht="14.4" customHeight="1" x14ac:dyDescent="0.3">
      <c r="A115" s="638" t="s">
        <v>2308</v>
      </c>
      <c r="B115" s="639" t="s">
        <v>2309</v>
      </c>
      <c r="C115" s="639" t="s">
        <v>1910</v>
      </c>
      <c r="D115" s="639" t="s">
        <v>2446</v>
      </c>
      <c r="E115" s="639" t="s">
        <v>2447</v>
      </c>
      <c r="F115" s="642">
        <v>1</v>
      </c>
      <c r="G115" s="642">
        <v>252</v>
      </c>
      <c r="H115" s="642">
        <v>1</v>
      </c>
      <c r="I115" s="642">
        <v>252</v>
      </c>
      <c r="J115" s="642">
        <v>1</v>
      </c>
      <c r="K115" s="642">
        <v>252</v>
      </c>
      <c r="L115" s="642">
        <v>1</v>
      </c>
      <c r="M115" s="642">
        <v>252</v>
      </c>
      <c r="N115" s="642"/>
      <c r="O115" s="642"/>
      <c r="P115" s="656"/>
      <c r="Q115" s="643"/>
    </row>
    <row r="116" spans="1:17" ht="14.4" customHeight="1" x14ac:dyDescent="0.3">
      <c r="A116" s="638" t="s">
        <v>2308</v>
      </c>
      <c r="B116" s="639" t="s">
        <v>2309</v>
      </c>
      <c r="C116" s="639" t="s">
        <v>1910</v>
      </c>
      <c r="D116" s="639" t="s">
        <v>2448</v>
      </c>
      <c r="E116" s="639" t="s">
        <v>2449</v>
      </c>
      <c r="F116" s="642">
        <v>266</v>
      </c>
      <c r="G116" s="642">
        <v>3990</v>
      </c>
      <c r="H116" s="642">
        <v>1</v>
      </c>
      <c r="I116" s="642">
        <v>15</v>
      </c>
      <c r="J116" s="642">
        <v>308</v>
      </c>
      <c r="K116" s="642">
        <v>4620</v>
      </c>
      <c r="L116" s="642">
        <v>1.1578947368421053</v>
      </c>
      <c r="M116" s="642">
        <v>15</v>
      </c>
      <c r="N116" s="642">
        <v>276</v>
      </c>
      <c r="O116" s="642">
        <v>4140</v>
      </c>
      <c r="P116" s="656">
        <v>1.0375939849624061</v>
      </c>
      <c r="Q116" s="643">
        <v>15</v>
      </c>
    </row>
    <row r="117" spans="1:17" ht="14.4" customHeight="1" x14ac:dyDescent="0.3">
      <c r="A117" s="638" t="s">
        <v>2308</v>
      </c>
      <c r="B117" s="639" t="s">
        <v>2309</v>
      </c>
      <c r="C117" s="639" t="s">
        <v>1910</v>
      </c>
      <c r="D117" s="639" t="s">
        <v>2450</v>
      </c>
      <c r="E117" s="639" t="s">
        <v>2451</v>
      </c>
      <c r="F117" s="642">
        <v>92</v>
      </c>
      <c r="G117" s="642">
        <v>2116</v>
      </c>
      <c r="H117" s="642">
        <v>1</v>
      </c>
      <c r="I117" s="642">
        <v>23</v>
      </c>
      <c r="J117" s="642">
        <v>168</v>
      </c>
      <c r="K117" s="642">
        <v>3864</v>
      </c>
      <c r="L117" s="642">
        <v>1.826086956521739</v>
      </c>
      <c r="M117" s="642">
        <v>23</v>
      </c>
      <c r="N117" s="642">
        <v>129</v>
      </c>
      <c r="O117" s="642">
        <v>2967</v>
      </c>
      <c r="P117" s="656">
        <v>1.4021739130434783</v>
      </c>
      <c r="Q117" s="643">
        <v>23</v>
      </c>
    </row>
    <row r="118" spans="1:17" ht="14.4" customHeight="1" x14ac:dyDescent="0.3">
      <c r="A118" s="638" t="s">
        <v>2308</v>
      </c>
      <c r="B118" s="639" t="s">
        <v>2309</v>
      </c>
      <c r="C118" s="639" t="s">
        <v>1910</v>
      </c>
      <c r="D118" s="639" t="s">
        <v>2452</v>
      </c>
      <c r="E118" s="639" t="s">
        <v>2453</v>
      </c>
      <c r="F118" s="642"/>
      <c r="G118" s="642"/>
      <c r="H118" s="642"/>
      <c r="I118" s="642"/>
      <c r="J118" s="642">
        <v>1</v>
      </c>
      <c r="K118" s="642">
        <v>251</v>
      </c>
      <c r="L118" s="642"/>
      <c r="M118" s="642">
        <v>251</v>
      </c>
      <c r="N118" s="642"/>
      <c r="O118" s="642"/>
      <c r="P118" s="656"/>
      <c r="Q118" s="643"/>
    </row>
    <row r="119" spans="1:17" ht="14.4" customHeight="1" x14ac:dyDescent="0.3">
      <c r="A119" s="638" t="s">
        <v>2308</v>
      </c>
      <c r="B119" s="639" t="s">
        <v>2309</v>
      </c>
      <c r="C119" s="639" t="s">
        <v>1910</v>
      </c>
      <c r="D119" s="639" t="s">
        <v>2454</v>
      </c>
      <c r="E119" s="639" t="s">
        <v>2455</v>
      </c>
      <c r="F119" s="642"/>
      <c r="G119" s="642"/>
      <c r="H119" s="642"/>
      <c r="I119" s="642"/>
      <c r="J119" s="642">
        <v>4</v>
      </c>
      <c r="K119" s="642">
        <v>148</v>
      </c>
      <c r="L119" s="642"/>
      <c r="M119" s="642">
        <v>37</v>
      </c>
      <c r="N119" s="642"/>
      <c r="O119" s="642"/>
      <c r="P119" s="656"/>
      <c r="Q119" s="643"/>
    </row>
    <row r="120" spans="1:17" ht="14.4" customHeight="1" x14ac:dyDescent="0.3">
      <c r="A120" s="638" t="s">
        <v>2308</v>
      </c>
      <c r="B120" s="639" t="s">
        <v>2309</v>
      </c>
      <c r="C120" s="639" t="s">
        <v>1910</v>
      </c>
      <c r="D120" s="639" t="s">
        <v>2456</v>
      </c>
      <c r="E120" s="639" t="s">
        <v>2457</v>
      </c>
      <c r="F120" s="642">
        <v>1352</v>
      </c>
      <c r="G120" s="642">
        <v>31096</v>
      </c>
      <c r="H120" s="642">
        <v>1</v>
      </c>
      <c r="I120" s="642">
        <v>23</v>
      </c>
      <c r="J120" s="642">
        <v>2757</v>
      </c>
      <c r="K120" s="642">
        <v>63411</v>
      </c>
      <c r="L120" s="642">
        <v>2.0392011834319526</v>
      </c>
      <c r="M120" s="642">
        <v>23</v>
      </c>
      <c r="N120" s="642">
        <v>2856</v>
      </c>
      <c r="O120" s="642">
        <v>65688</v>
      </c>
      <c r="P120" s="656">
        <v>2.1124260355029585</v>
      </c>
      <c r="Q120" s="643">
        <v>23</v>
      </c>
    </row>
    <row r="121" spans="1:17" ht="14.4" customHeight="1" x14ac:dyDescent="0.3">
      <c r="A121" s="638" t="s">
        <v>2308</v>
      </c>
      <c r="B121" s="639" t="s">
        <v>2309</v>
      </c>
      <c r="C121" s="639" t="s">
        <v>1910</v>
      </c>
      <c r="D121" s="639" t="s">
        <v>2458</v>
      </c>
      <c r="E121" s="639" t="s">
        <v>2459</v>
      </c>
      <c r="F121" s="642"/>
      <c r="G121" s="642"/>
      <c r="H121" s="642"/>
      <c r="I121" s="642"/>
      <c r="J121" s="642"/>
      <c r="K121" s="642"/>
      <c r="L121" s="642"/>
      <c r="M121" s="642"/>
      <c r="N121" s="642">
        <v>1</v>
      </c>
      <c r="O121" s="642">
        <v>216</v>
      </c>
      <c r="P121" s="656"/>
      <c r="Q121" s="643">
        <v>216</v>
      </c>
    </row>
    <row r="122" spans="1:17" ht="14.4" customHeight="1" x14ac:dyDescent="0.3">
      <c r="A122" s="638" t="s">
        <v>2308</v>
      </c>
      <c r="B122" s="639" t="s">
        <v>2309</v>
      </c>
      <c r="C122" s="639" t="s">
        <v>1910</v>
      </c>
      <c r="D122" s="639" t="s">
        <v>2460</v>
      </c>
      <c r="E122" s="639" t="s">
        <v>2461</v>
      </c>
      <c r="F122" s="642">
        <v>4</v>
      </c>
      <c r="G122" s="642">
        <v>679</v>
      </c>
      <c r="H122" s="642">
        <v>1</v>
      </c>
      <c r="I122" s="642">
        <v>169.75</v>
      </c>
      <c r="J122" s="642">
        <v>14</v>
      </c>
      <c r="K122" s="642">
        <v>2380</v>
      </c>
      <c r="L122" s="642">
        <v>3.5051546391752577</v>
      </c>
      <c r="M122" s="642">
        <v>170</v>
      </c>
      <c r="N122" s="642">
        <v>8</v>
      </c>
      <c r="O122" s="642">
        <v>1368</v>
      </c>
      <c r="P122" s="656">
        <v>2.0147275405007363</v>
      </c>
      <c r="Q122" s="643">
        <v>171</v>
      </c>
    </row>
    <row r="123" spans="1:17" ht="14.4" customHeight="1" x14ac:dyDescent="0.3">
      <c r="A123" s="638" t="s">
        <v>2308</v>
      </c>
      <c r="B123" s="639" t="s">
        <v>2309</v>
      </c>
      <c r="C123" s="639" t="s">
        <v>1910</v>
      </c>
      <c r="D123" s="639" t="s">
        <v>2462</v>
      </c>
      <c r="E123" s="639" t="s">
        <v>2463</v>
      </c>
      <c r="F123" s="642"/>
      <c r="G123" s="642"/>
      <c r="H123" s="642"/>
      <c r="I123" s="642"/>
      <c r="J123" s="642"/>
      <c r="K123" s="642"/>
      <c r="L123" s="642"/>
      <c r="M123" s="642"/>
      <c r="N123" s="642">
        <v>7</v>
      </c>
      <c r="O123" s="642">
        <v>4116</v>
      </c>
      <c r="P123" s="656"/>
      <c r="Q123" s="643">
        <v>588</v>
      </c>
    </row>
    <row r="124" spans="1:17" ht="14.4" customHeight="1" x14ac:dyDescent="0.3">
      <c r="A124" s="638" t="s">
        <v>2308</v>
      </c>
      <c r="B124" s="639" t="s">
        <v>2309</v>
      </c>
      <c r="C124" s="639" t="s">
        <v>1910</v>
      </c>
      <c r="D124" s="639" t="s">
        <v>2464</v>
      </c>
      <c r="E124" s="639" t="s">
        <v>2465</v>
      </c>
      <c r="F124" s="642">
        <v>1</v>
      </c>
      <c r="G124" s="642">
        <v>277</v>
      </c>
      <c r="H124" s="642">
        <v>1</v>
      </c>
      <c r="I124" s="642">
        <v>277</v>
      </c>
      <c r="J124" s="642">
        <v>1</v>
      </c>
      <c r="K124" s="642">
        <v>277</v>
      </c>
      <c r="L124" s="642">
        <v>1</v>
      </c>
      <c r="M124" s="642">
        <v>277</v>
      </c>
      <c r="N124" s="642"/>
      <c r="O124" s="642"/>
      <c r="P124" s="656"/>
      <c r="Q124" s="643"/>
    </row>
    <row r="125" spans="1:17" ht="14.4" customHeight="1" x14ac:dyDescent="0.3">
      <c r="A125" s="638" t="s">
        <v>2308</v>
      </c>
      <c r="B125" s="639" t="s">
        <v>2309</v>
      </c>
      <c r="C125" s="639" t="s">
        <v>1910</v>
      </c>
      <c r="D125" s="639" t="s">
        <v>2466</v>
      </c>
      <c r="E125" s="639" t="s">
        <v>2467</v>
      </c>
      <c r="F125" s="642">
        <v>33</v>
      </c>
      <c r="G125" s="642">
        <v>957</v>
      </c>
      <c r="H125" s="642">
        <v>1</v>
      </c>
      <c r="I125" s="642">
        <v>29</v>
      </c>
      <c r="J125" s="642">
        <v>62</v>
      </c>
      <c r="K125" s="642">
        <v>1798</v>
      </c>
      <c r="L125" s="642">
        <v>1.8787878787878789</v>
      </c>
      <c r="M125" s="642">
        <v>29</v>
      </c>
      <c r="N125" s="642">
        <v>55</v>
      </c>
      <c r="O125" s="642">
        <v>1595</v>
      </c>
      <c r="P125" s="656">
        <v>1.6666666666666667</v>
      </c>
      <c r="Q125" s="643">
        <v>29</v>
      </c>
    </row>
    <row r="126" spans="1:17" ht="14.4" customHeight="1" x14ac:dyDescent="0.3">
      <c r="A126" s="638" t="s">
        <v>2308</v>
      </c>
      <c r="B126" s="639" t="s">
        <v>2309</v>
      </c>
      <c r="C126" s="639" t="s">
        <v>1910</v>
      </c>
      <c r="D126" s="639" t="s">
        <v>2468</v>
      </c>
      <c r="E126" s="639" t="s">
        <v>2469</v>
      </c>
      <c r="F126" s="642">
        <v>1</v>
      </c>
      <c r="G126" s="642">
        <v>177</v>
      </c>
      <c r="H126" s="642">
        <v>1</v>
      </c>
      <c r="I126" s="642">
        <v>177</v>
      </c>
      <c r="J126" s="642">
        <v>1</v>
      </c>
      <c r="K126" s="642">
        <v>177</v>
      </c>
      <c r="L126" s="642">
        <v>1</v>
      </c>
      <c r="M126" s="642">
        <v>177</v>
      </c>
      <c r="N126" s="642"/>
      <c r="O126" s="642"/>
      <c r="P126" s="656"/>
      <c r="Q126" s="643"/>
    </row>
    <row r="127" spans="1:17" ht="14.4" customHeight="1" x14ac:dyDescent="0.3">
      <c r="A127" s="638" t="s">
        <v>2308</v>
      </c>
      <c r="B127" s="639" t="s">
        <v>2309</v>
      </c>
      <c r="C127" s="639" t="s">
        <v>1910</v>
      </c>
      <c r="D127" s="639" t="s">
        <v>2470</v>
      </c>
      <c r="E127" s="639" t="s">
        <v>2471</v>
      </c>
      <c r="F127" s="642">
        <v>2</v>
      </c>
      <c r="G127" s="642">
        <v>394</v>
      </c>
      <c r="H127" s="642">
        <v>1</v>
      </c>
      <c r="I127" s="642">
        <v>197</v>
      </c>
      <c r="J127" s="642">
        <v>2</v>
      </c>
      <c r="K127" s="642">
        <v>396</v>
      </c>
      <c r="L127" s="642">
        <v>1.0050761421319796</v>
      </c>
      <c r="M127" s="642">
        <v>198</v>
      </c>
      <c r="N127" s="642">
        <v>6</v>
      </c>
      <c r="O127" s="642">
        <v>1194</v>
      </c>
      <c r="P127" s="656">
        <v>3.030456852791878</v>
      </c>
      <c r="Q127" s="643">
        <v>199</v>
      </c>
    </row>
    <row r="128" spans="1:17" ht="14.4" customHeight="1" x14ac:dyDescent="0.3">
      <c r="A128" s="638" t="s">
        <v>2308</v>
      </c>
      <c r="B128" s="639" t="s">
        <v>2309</v>
      </c>
      <c r="C128" s="639" t="s">
        <v>1910</v>
      </c>
      <c r="D128" s="639" t="s">
        <v>2472</v>
      </c>
      <c r="E128" s="639" t="s">
        <v>2473</v>
      </c>
      <c r="F128" s="642">
        <v>44</v>
      </c>
      <c r="G128" s="642">
        <v>660</v>
      </c>
      <c r="H128" s="642">
        <v>1</v>
      </c>
      <c r="I128" s="642">
        <v>15</v>
      </c>
      <c r="J128" s="642">
        <v>84</v>
      </c>
      <c r="K128" s="642">
        <v>1260</v>
      </c>
      <c r="L128" s="642">
        <v>1.9090909090909092</v>
      </c>
      <c r="M128" s="642">
        <v>15</v>
      </c>
      <c r="N128" s="642">
        <v>97</v>
      </c>
      <c r="O128" s="642">
        <v>1455</v>
      </c>
      <c r="P128" s="656">
        <v>2.2045454545454546</v>
      </c>
      <c r="Q128" s="643">
        <v>15</v>
      </c>
    </row>
    <row r="129" spans="1:17" ht="14.4" customHeight="1" x14ac:dyDescent="0.3">
      <c r="A129" s="638" t="s">
        <v>2308</v>
      </c>
      <c r="B129" s="639" t="s">
        <v>2309</v>
      </c>
      <c r="C129" s="639" t="s">
        <v>1910</v>
      </c>
      <c r="D129" s="639" t="s">
        <v>2474</v>
      </c>
      <c r="E129" s="639" t="s">
        <v>2475</v>
      </c>
      <c r="F129" s="642">
        <v>164</v>
      </c>
      <c r="G129" s="642">
        <v>3116</v>
      </c>
      <c r="H129" s="642">
        <v>1</v>
      </c>
      <c r="I129" s="642">
        <v>19</v>
      </c>
      <c r="J129" s="642">
        <v>214</v>
      </c>
      <c r="K129" s="642">
        <v>4066</v>
      </c>
      <c r="L129" s="642">
        <v>1.3048780487804879</v>
      </c>
      <c r="M129" s="642">
        <v>19</v>
      </c>
      <c r="N129" s="642">
        <v>270</v>
      </c>
      <c r="O129" s="642">
        <v>5130</v>
      </c>
      <c r="P129" s="656">
        <v>1.6463414634146341</v>
      </c>
      <c r="Q129" s="643">
        <v>19</v>
      </c>
    </row>
    <row r="130" spans="1:17" ht="14.4" customHeight="1" x14ac:dyDescent="0.3">
      <c r="A130" s="638" t="s">
        <v>2308</v>
      </c>
      <c r="B130" s="639" t="s">
        <v>2309</v>
      </c>
      <c r="C130" s="639" t="s">
        <v>1910</v>
      </c>
      <c r="D130" s="639" t="s">
        <v>2476</v>
      </c>
      <c r="E130" s="639" t="s">
        <v>2477</v>
      </c>
      <c r="F130" s="642">
        <v>171</v>
      </c>
      <c r="G130" s="642">
        <v>3420</v>
      </c>
      <c r="H130" s="642">
        <v>1</v>
      </c>
      <c r="I130" s="642">
        <v>20</v>
      </c>
      <c r="J130" s="642">
        <v>276</v>
      </c>
      <c r="K130" s="642">
        <v>5520</v>
      </c>
      <c r="L130" s="642">
        <v>1.6140350877192982</v>
      </c>
      <c r="M130" s="642">
        <v>20</v>
      </c>
      <c r="N130" s="642">
        <v>219</v>
      </c>
      <c r="O130" s="642">
        <v>4380</v>
      </c>
      <c r="P130" s="656">
        <v>1.2807017543859649</v>
      </c>
      <c r="Q130" s="643">
        <v>20</v>
      </c>
    </row>
    <row r="131" spans="1:17" ht="14.4" customHeight="1" x14ac:dyDescent="0.3">
      <c r="A131" s="638" t="s">
        <v>2308</v>
      </c>
      <c r="B131" s="639" t="s">
        <v>2309</v>
      </c>
      <c r="C131" s="639" t="s">
        <v>1910</v>
      </c>
      <c r="D131" s="639" t="s">
        <v>2478</v>
      </c>
      <c r="E131" s="639" t="s">
        <v>2479</v>
      </c>
      <c r="F131" s="642">
        <v>1</v>
      </c>
      <c r="G131" s="642">
        <v>185</v>
      </c>
      <c r="H131" s="642">
        <v>1</v>
      </c>
      <c r="I131" s="642">
        <v>185</v>
      </c>
      <c r="J131" s="642">
        <v>1</v>
      </c>
      <c r="K131" s="642">
        <v>185</v>
      </c>
      <c r="L131" s="642">
        <v>1</v>
      </c>
      <c r="M131" s="642">
        <v>185</v>
      </c>
      <c r="N131" s="642"/>
      <c r="O131" s="642"/>
      <c r="P131" s="656"/>
      <c r="Q131" s="643"/>
    </row>
    <row r="132" spans="1:17" ht="14.4" customHeight="1" x14ac:dyDescent="0.3">
      <c r="A132" s="638" t="s">
        <v>2308</v>
      </c>
      <c r="B132" s="639" t="s">
        <v>2309</v>
      </c>
      <c r="C132" s="639" t="s">
        <v>1910</v>
      </c>
      <c r="D132" s="639" t="s">
        <v>2480</v>
      </c>
      <c r="E132" s="639" t="s">
        <v>2481</v>
      </c>
      <c r="F132" s="642"/>
      <c r="G132" s="642"/>
      <c r="H132" s="642"/>
      <c r="I132" s="642"/>
      <c r="J132" s="642"/>
      <c r="K132" s="642"/>
      <c r="L132" s="642"/>
      <c r="M132" s="642"/>
      <c r="N132" s="642">
        <v>2</v>
      </c>
      <c r="O132" s="642">
        <v>376</v>
      </c>
      <c r="P132" s="656"/>
      <c r="Q132" s="643">
        <v>188</v>
      </c>
    </row>
    <row r="133" spans="1:17" ht="14.4" customHeight="1" x14ac:dyDescent="0.3">
      <c r="A133" s="638" t="s">
        <v>2308</v>
      </c>
      <c r="B133" s="639" t="s">
        <v>2309</v>
      </c>
      <c r="C133" s="639" t="s">
        <v>1910</v>
      </c>
      <c r="D133" s="639" t="s">
        <v>2482</v>
      </c>
      <c r="E133" s="639" t="s">
        <v>2483</v>
      </c>
      <c r="F133" s="642"/>
      <c r="G133" s="642"/>
      <c r="H133" s="642"/>
      <c r="I133" s="642"/>
      <c r="J133" s="642">
        <v>1</v>
      </c>
      <c r="K133" s="642">
        <v>267</v>
      </c>
      <c r="L133" s="642"/>
      <c r="M133" s="642">
        <v>267</v>
      </c>
      <c r="N133" s="642">
        <v>1</v>
      </c>
      <c r="O133" s="642">
        <v>268</v>
      </c>
      <c r="P133" s="656"/>
      <c r="Q133" s="643">
        <v>268</v>
      </c>
    </row>
    <row r="134" spans="1:17" ht="14.4" customHeight="1" x14ac:dyDescent="0.3">
      <c r="A134" s="638" t="s">
        <v>2308</v>
      </c>
      <c r="B134" s="639" t="s">
        <v>2309</v>
      </c>
      <c r="C134" s="639" t="s">
        <v>1910</v>
      </c>
      <c r="D134" s="639" t="s">
        <v>2484</v>
      </c>
      <c r="E134" s="639" t="s">
        <v>2485</v>
      </c>
      <c r="F134" s="642"/>
      <c r="G134" s="642"/>
      <c r="H134" s="642"/>
      <c r="I134" s="642"/>
      <c r="J134" s="642">
        <v>3</v>
      </c>
      <c r="K134" s="642">
        <v>486</v>
      </c>
      <c r="L134" s="642"/>
      <c r="M134" s="642">
        <v>162</v>
      </c>
      <c r="N134" s="642">
        <v>1</v>
      </c>
      <c r="O134" s="642">
        <v>163</v>
      </c>
      <c r="P134" s="656"/>
      <c r="Q134" s="643">
        <v>163</v>
      </c>
    </row>
    <row r="135" spans="1:17" ht="14.4" customHeight="1" x14ac:dyDescent="0.3">
      <c r="A135" s="638" t="s">
        <v>2308</v>
      </c>
      <c r="B135" s="639" t="s">
        <v>2309</v>
      </c>
      <c r="C135" s="639" t="s">
        <v>1910</v>
      </c>
      <c r="D135" s="639" t="s">
        <v>2486</v>
      </c>
      <c r="E135" s="639" t="s">
        <v>2487</v>
      </c>
      <c r="F135" s="642">
        <v>2</v>
      </c>
      <c r="G135" s="642">
        <v>168</v>
      </c>
      <c r="H135" s="642">
        <v>1</v>
      </c>
      <c r="I135" s="642">
        <v>84</v>
      </c>
      <c r="J135" s="642">
        <v>4</v>
      </c>
      <c r="K135" s="642">
        <v>336</v>
      </c>
      <c r="L135" s="642">
        <v>2</v>
      </c>
      <c r="M135" s="642">
        <v>84</v>
      </c>
      <c r="N135" s="642">
        <v>1</v>
      </c>
      <c r="O135" s="642">
        <v>84</v>
      </c>
      <c r="P135" s="656">
        <v>0.5</v>
      </c>
      <c r="Q135" s="643">
        <v>84</v>
      </c>
    </row>
    <row r="136" spans="1:17" ht="14.4" customHeight="1" x14ac:dyDescent="0.3">
      <c r="A136" s="638" t="s">
        <v>2308</v>
      </c>
      <c r="B136" s="639" t="s">
        <v>2309</v>
      </c>
      <c r="C136" s="639" t="s">
        <v>1910</v>
      </c>
      <c r="D136" s="639" t="s">
        <v>2488</v>
      </c>
      <c r="E136" s="639" t="s">
        <v>2489</v>
      </c>
      <c r="F136" s="642">
        <v>20</v>
      </c>
      <c r="G136" s="642">
        <v>12920</v>
      </c>
      <c r="H136" s="642">
        <v>1</v>
      </c>
      <c r="I136" s="642">
        <v>646</v>
      </c>
      <c r="J136" s="642">
        <v>8</v>
      </c>
      <c r="K136" s="642">
        <v>5176</v>
      </c>
      <c r="L136" s="642">
        <v>0.40061919504643961</v>
      </c>
      <c r="M136" s="642">
        <v>647</v>
      </c>
      <c r="N136" s="642">
        <v>19</v>
      </c>
      <c r="O136" s="642">
        <v>12407</v>
      </c>
      <c r="P136" s="656">
        <v>0.96029411764705885</v>
      </c>
      <c r="Q136" s="643">
        <v>653</v>
      </c>
    </row>
    <row r="137" spans="1:17" ht="14.4" customHeight="1" x14ac:dyDescent="0.3">
      <c r="A137" s="638" t="s">
        <v>2308</v>
      </c>
      <c r="B137" s="639" t="s">
        <v>2309</v>
      </c>
      <c r="C137" s="639" t="s">
        <v>1910</v>
      </c>
      <c r="D137" s="639" t="s">
        <v>2490</v>
      </c>
      <c r="E137" s="639" t="s">
        <v>2491</v>
      </c>
      <c r="F137" s="642">
        <v>2</v>
      </c>
      <c r="G137" s="642">
        <v>526</v>
      </c>
      <c r="H137" s="642">
        <v>1</v>
      </c>
      <c r="I137" s="642">
        <v>263</v>
      </c>
      <c r="J137" s="642">
        <v>1</v>
      </c>
      <c r="K137" s="642">
        <v>264</v>
      </c>
      <c r="L137" s="642">
        <v>0.50190114068441061</v>
      </c>
      <c r="M137" s="642">
        <v>264</v>
      </c>
      <c r="N137" s="642">
        <v>1</v>
      </c>
      <c r="O137" s="642">
        <v>265</v>
      </c>
      <c r="P137" s="656">
        <v>0.50380228136882133</v>
      </c>
      <c r="Q137" s="643">
        <v>265</v>
      </c>
    </row>
    <row r="138" spans="1:17" ht="14.4" customHeight="1" x14ac:dyDescent="0.3">
      <c r="A138" s="638" t="s">
        <v>2308</v>
      </c>
      <c r="B138" s="639" t="s">
        <v>2309</v>
      </c>
      <c r="C138" s="639" t="s">
        <v>1910</v>
      </c>
      <c r="D138" s="639" t="s">
        <v>2492</v>
      </c>
      <c r="E138" s="639" t="s">
        <v>2493</v>
      </c>
      <c r="F138" s="642">
        <v>59</v>
      </c>
      <c r="G138" s="642">
        <v>4602</v>
      </c>
      <c r="H138" s="642">
        <v>1</v>
      </c>
      <c r="I138" s="642">
        <v>78</v>
      </c>
      <c r="J138" s="642">
        <v>61</v>
      </c>
      <c r="K138" s="642">
        <v>4758</v>
      </c>
      <c r="L138" s="642">
        <v>1.0338983050847457</v>
      </c>
      <c r="M138" s="642">
        <v>78</v>
      </c>
      <c r="N138" s="642">
        <v>32</v>
      </c>
      <c r="O138" s="642">
        <v>2496</v>
      </c>
      <c r="P138" s="656">
        <v>0.5423728813559322</v>
      </c>
      <c r="Q138" s="643">
        <v>78</v>
      </c>
    </row>
    <row r="139" spans="1:17" ht="14.4" customHeight="1" x14ac:dyDescent="0.3">
      <c r="A139" s="638" t="s">
        <v>2308</v>
      </c>
      <c r="B139" s="639" t="s">
        <v>2309</v>
      </c>
      <c r="C139" s="639" t="s">
        <v>1910</v>
      </c>
      <c r="D139" s="639" t="s">
        <v>2494</v>
      </c>
      <c r="E139" s="639" t="s">
        <v>2495</v>
      </c>
      <c r="F139" s="642">
        <v>24</v>
      </c>
      <c r="G139" s="642">
        <v>504</v>
      </c>
      <c r="H139" s="642">
        <v>1</v>
      </c>
      <c r="I139" s="642">
        <v>21</v>
      </c>
      <c r="J139" s="642">
        <v>21</v>
      </c>
      <c r="K139" s="642">
        <v>441</v>
      </c>
      <c r="L139" s="642">
        <v>0.875</v>
      </c>
      <c r="M139" s="642">
        <v>21</v>
      </c>
      <c r="N139" s="642">
        <v>10</v>
      </c>
      <c r="O139" s="642">
        <v>210</v>
      </c>
      <c r="P139" s="656">
        <v>0.41666666666666669</v>
      </c>
      <c r="Q139" s="643">
        <v>21</v>
      </c>
    </row>
    <row r="140" spans="1:17" ht="14.4" customHeight="1" x14ac:dyDescent="0.3">
      <c r="A140" s="638" t="s">
        <v>2308</v>
      </c>
      <c r="B140" s="639" t="s">
        <v>2309</v>
      </c>
      <c r="C140" s="639" t="s">
        <v>1910</v>
      </c>
      <c r="D140" s="639" t="s">
        <v>2496</v>
      </c>
      <c r="E140" s="639" t="s">
        <v>2497</v>
      </c>
      <c r="F140" s="642">
        <v>18</v>
      </c>
      <c r="G140" s="642">
        <v>19602</v>
      </c>
      <c r="H140" s="642">
        <v>1</v>
      </c>
      <c r="I140" s="642">
        <v>1089</v>
      </c>
      <c r="J140" s="642">
        <v>6</v>
      </c>
      <c r="K140" s="642">
        <v>6534</v>
      </c>
      <c r="L140" s="642">
        <v>0.33333333333333331</v>
      </c>
      <c r="M140" s="642">
        <v>1089</v>
      </c>
      <c r="N140" s="642">
        <v>25</v>
      </c>
      <c r="O140" s="642">
        <v>27325</v>
      </c>
      <c r="P140" s="656">
        <v>1.3939904091419244</v>
      </c>
      <c r="Q140" s="643">
        <v>1093</v>
      </c>
    </row>
    <row r="141" spans="1:17" ht="14.4" customHeight="1" x14ac:dyDescent="0.3">
      <c r="A141" s="638" t="s">
        <v>2308</v>
      </c>
      <c r="B141" s="639" t="s">
        <v>2309</v>
      </c>
      <c r="C141" s="639" t="s">
        <v>1910</v>
      </c>
      <c r="D141" s="639" t="s">
        <v>2498</v>
      </c>
      <c r="E141" s="639" t="s">
        <v>2499</v>
      </c>
      <c r="F141" s="642">
        <v>13</v>
      </c>
      <c r="G141" s="642">
        <v>286</v>
      </c>
      <c r="H141" s="642">
        <v>1</v>
      </c>
      <c r="I141" s="642">
        <v>22</v>
      </c>
      <c r="J141" s="642">
        <v>9</v>
      </c>
      <c r="K141" s="642">
        <v>198</v>
      </c>
      <c r="L141" s="642">
        <v>0.69230769230769229</v>
      </c>
      <c r="M141" s="642">
        <v>22</v>
      </c>
      <c r="N141" s="642">
        <v>4</v>
      </c>
      <c r="O141" s="642">
        <v>88</v>
      </c>
      <c r="P141" s="656">
        <v>0.30769230769230771</v>
      </c>
      <c r="Q141" s="643">
        <v>22</v>
      </c>
    </row>
    <row r="142" spans="1:17" ht="14.4" customHeight="1" x14ac:dyDescent="0.3">
      <c r="A142" s="638" t="s">
        <v>2308</v>
      </c>
      <c r="B142" s="639" t="s">
        <v>2309</v>
      </c>
      <c r="C142" s="639" t="s">
        <v>1910</v>
      </c>
      <c r="D142" s="639" t="s">
        <v>2500</v>
      </c>
      <c r="E142" s="639" t="s">
        <v>2501</v>
      </c>
      <c r="F142" s="642">
        <v>10</v>
      </c>
      <c r="G142" s="642">
        <v>5690</v>
      </c>
      <c r="H142" s="642">
        <v>1</v>
      </c>
      <c r="I142" s="642">
        <v>569</v>
      </c>
      <c r="J142" s="642">
        <v>3</v>
      </c>
      <c r="K142" s="642">
        <v>1707</v>
      </c>
      <c r="L142" s="642">
        <v>0.3</v>
      </c>
      <c r="M142" s="642">
        <v>569</v>
      </c>
      <c r="N142" s="642">
        <v>14</v>
      </c>
      <c r="O142" s="642">
        <v>7966</v>
      </c>
      <c r="P142" s="656">
        <v>1.4</v>
      </c>
      <c r="Q142" s="643">
        <v>569</v>
      </c>
    </row>
    <row r="143" spans="1:17" ht="14.4" customHeight="1" x14ac:dyDescent="0.3">
      <c r="A143" s="638" t="s">
        <v>2308</v>
      </c>
      <c r="B143" s="639" t="s">
        <v>2309</v>
      </c>
      <c r="C143" s="639" t="s">
        <v>1910</v>
      </c>
      <c r="D143" s="639" t="s">
        <v>2502</v>
      </c>
      <c r="E143" s="639" t="s">
        <v>2503</v>
      </c>
      <c r="F143" s="642"/>
      <c r="G143" s="642"/>
      <c r="H143" s="642"/>
      <c r="I143" s="642"/>
      <c r="J143" s="642">
        <v>1</v>
      </c>
      <c r="K143" s="642">
        <v>171</v>
      </c>
      <c r="L143" s="642"/>
      <c r="M143" s="642">
        <v>171</v>
      </c>
      <c r="N143" s="642">
        <v>1</v>
      </c>
      <c r="O143" s="642">
        <v>172</v>
      </c>
      <c r="P143" s="656"/>
      <c r="Q143" s="643">
        <v>172</v>
      </c>
    </row>
    <row r="144" spans="1:17" ht="14.4" customHeight="1" x14ac:dyDescent="0.3">
      <c r="A144" s="638" t="s">
        <v>2308</v>
      </c>
      <c r="B144" s="639" t="s">
        <v>2309</v>
      </c>
      <c r="C144" s="639" t="s">
        <v>1910</v>
      </c>
      <c r="D144" s="639" t="s">
        <v>2504</v>
      </c>
      <c r="E144" s="639" t="s">
        <v>2505</v>
      </c>
      <c r="F144" s="642">
        <v>19</v>
      </c>
      <c r="G144" s="642">
        <v>10824</v>
      </c>
      <c r="H144" s="642">
        <v>1</v>
      </c>
      <c r="I144" s="642">
        <v>569.68421052631584</v>
      </c>
      <c r="J144" s="642">
        <v>54</v>
      </c>
      <c r="K144" s="642">
        <v>30888</v>
      </c>
      <c r="L144" s="642">
        <v>2.8536585365853657</v>
      </c>
      <c r="M144" s="642">
        <v>572</v>
      </c>
      <c r="N144" s="642">
        <v>48</v>
      </c>
      <c r="O144" s="642">
        <v>27792</v>
      </c>
      <c r="P144" s="656">
        <v>2.567627494456763</v>
      </c>
      <c r="Q144" s="643">
        <v>579</v>
      </c>
    </row>
    <row r="145" spans="1:17" ht="14.4" customHeight="1" x14ac:dyDescent="0.3">
      <c r="A145" s="638" t="s">
        <v>2308</v>
      </c>
      <c r="B145" s="639" t="s">
        <v>2309</v>
      </c>
      <c r="C145" s="639" t="s">
        <v>1910</v>
      </c>
      <c r="D145" s="639" t="s">
        <v>2245</v>
      </c>
      <c r="E145" s="639" t="s">
        <v>2246</v>
      </c>
      <c r="F145" s="642">
        <v>19</v>
      </c>
      <c r="G145" s="642">
        <v>19110</v>
      </c>
      <c r="H145" s="642">
        <v>1</v>
      </c>
      <c r="I145" s="642">
        <v>1005.7894736842105</v>
      </c>
      <c r="J145" s="642">
        <v>54</v>
      </c>
      <c r="K145" s="642">
        <v>54432</v>
      </c>
      <c r="L145" s="642">
        <v>2.8483516483516484</v>
      </c>
      <c r="M145" s="642">
        <v>1008</v>
      </c>
      <c r="N145" s="642">
        <v>48</v>
      </c>
      <c r="O145" s="642">
        <v>48528</v>
      </c>
      <c r="P145" s="656">
        <v>2.5394034536891681</v>
      </c>
      <c r="Q145" s="643">
        <v>1011</v>
      </c>
    </row>
    <row r="146" spans="1:17" ht="14.4" customHeight="1" x14ac:dyDescent="0.3">
      <c r="A146" s="638" t="s">
        <v>2308</v>
      </c>
      <c r="B146" s="639" t="s">
        <v>2309</v>
      </c>
      <c r="C146" s="639" t="s">
        <v>1910</v>
      </c>
      <c r="D146" s="639" t="s">
        <v>2506</v>
      </c>
      <c r="E146" s="639" t="s">
        <v>2507</v>
      </c>
      <c r="F146" s="642">
        <v>1</v>
      </c>
      <c r="G146" s="642">
        <v>191</v>
      </c>
      <c r="H146" s="642">
        <v>1</v>
      </c>
      <c r="I146" s="642">
        <v>191</v>
      </c>
      <c r="J146" s="642">
        <v>1</v>
      </c>
      <c r="K146" s="642">
        <v>191</v>
      </c>
      <c r="L146" s="642">
        <v>1</v>
      </c>
      <c r="M146" s="642">
        <v>191</v>
      </c>
      <c r="N146" s="642">
        <v>2</v>
      </c>
      <c r="O146" s="642">
        <v>384</v>
      </c>
      <c r="P146" s="656">
        <v>2.0104712041884816</v>
      </c>
      <c r="Q146" s="643">
        <v>192</v>
      </c>
    </row>
    <row r="147" spans="1:17" ht="14.4" customHeight="1" x14ac:dyDescent="0.3">
      <c r="A147" s="638" t="s">
        <v>2308</v>
      </c>
      <c r="B147" s="639" t="s">
        <v>2309</v>
      </c>
      <c r="C147" s="639" t="s">
        <v>1910</v>
      </c>
      <c r="D147" s="639" t="s">
        <v>2508</v>
      </c>
      <c r="E147" s="639" t="s">
        <v>2509</v>
      </c>
      <c r="F147" s="642">
        <v>7</v>
      </c>
      <c r="G147" s="642">
        <v>11563</v>
      </c>
      <c r="H147" s="642">
        <v>1</v>
      </c>
      <c r="I147" s="642">
        <v>1651.8571428571429</v>
      </c>
      <c r="J147" s="642">
        <v>1</v>
      </c>
      <c r="K147" s="642">
        <v>1657</v>
      </c>
      <c r="L147" s="642">
        <v>0.1433019112687019</v>
      </c>
      <c r="M147" s="642">
        <v>1657</v>
      </c>
      <c r="N147" s="642">
        <v>3</v>
      </c>
      <c r="O147" s="642">
        <v>5064</v>
      </c>
      <c r="P147" s="656">
        <v>0.43794862924846495</v>
      </c>
      <c r="Q147" s="643">
        <v>1688</v>
      </c>
    </row>
    <row r="148" spans="1:17" ht="14.4" customHeight="1" x14ac:dyDescent="0.3">
      <c r="A148" s="638" t="s">
        <v>2308</v>
      </c>
      <c r="B148" s="639" t="s">
        <v>2309</v>
      </c>
      <c r="C148" s="639" t="s">
        <v>1910</v>
      </c>
      <c r="D148" s="639" t="s">
        <v>2510</v>
      </c>
      <c r="E148" s="639" t="s">
        <v>2511</v>
      </c>
      <c r="F148" s="642">
        <v>2</v>
      </c>
      <c r="G148" s="642">
        <v>254</v>
      </c>
      <c r="H148" s="642">
        <v>1</v>
      </c>
      <c r="I148" s="642">
        <v>127</v>
      </c>
      <c r="J148" s="642">
        <v>2</v>
      </c>
      <c r="K148" s="642">
        <v>254</v>
      </c>
      <c r="L148" s="642">
        <v>1</v>
      </c>
      <c r="M148" s="642">
        <v>127</v>
      </c>
      <c r="N148" s="642">
        <v>1</v>
      </c>
      <c r="O148" s="642">
        <v>127</v>
      </c>
      <c r="P148" s="656">
        <v>0.5</v>
      </c>
      <c r="Q148" s="643">
        <v>127</v>
      </c>
    </row>
    <row r="149" spans="1:17" ht="14.4" customHeight="1" x14ac:dyDescent="0.3">
      <c r="A149" s="638" t="s">
        <v>2308</v>
      </c>
      <c r="B149" s="639" t="s">
        <v>2309</v>
      </c>
      <c r="C149" s="639" t="s">
        <v>1910</v>
      </c>
      <c r="D149" s="639" t="s">
        <v>2512</v>
      </c>
      <c r="E149" s="639" t="s">
        <v>2513</v>
      </c>
      <c r="F149" s="642"/>
      <c r="G149" s="642"/>
      <c r="H149" s="642"/>
      <c r="I149" s="642"/>
      <c r="J149" s="642">
        <v>1</v>
      </c>
      <c r="K149" s="642">
        <v>264</v>
      </c>
      <c r="L149" s="642"/>
      <c r="M149" s="642">
        <v>264</v>
      </c>
      <c r="N149" s="642"/>
      <c r="O149" s="642"/>
      <c r="P149" s="656"/>
      <c r="Q149" s="643"/>
    </row>
    <row r="150" spans="1:17" ht="14.4" customHeight="1" x14ac:dyDescent="0.3">
      <c r="A150" s="638" t="s">
        <v>2308</v>
      </c>
      <c r="B150" s="639" t="s">
        <v>2309</v>
      </c>
      <c r="C150" s="639" t="s">
        <v>1910</v>
      </c>
      <c r="D150" s="639" t="s">
        <v>2514</v>
      </c>
      <c r="E150" s="639" t="s">
        <v>2515</v>
      </c>
      <c r="F150" s="642"/>
      <c r="G150" s="642"/>
      <c r="H150" s="642"/>
      <c r="I150" s="642"/>
      <c r="J150" s="642"/>
      <c r="K150" s="642"/>
      <c r="L150" s="642"/>
      <c r="M150" s="642"/>
      <c r="N150" s="642">
        <v>1</v>
      </c>
      <c r="O150" s="642">
        <v>310</v>
      </c>
      <c r="P150" s="656"/>
      <c r="Q150" s="643">
        <v>310</v>
      </c>
    </row>
    <row r="151" spans="1:17" ht="14.4" customHeight="1" x14ac:dyDescent="0.3">
      <c r="A151" s="638" t="s">
        <v>2308</v>
      </c>
      <c r="B151" s="639" t="s">
        <v>2309</v>
      </c>
      <c r="C151" s="639" t="s">
        <v>1910</v>
      </c>
      <c r="D151" s="639" t="s">
        <v>2516</v>
      </c>
      <c r="E151" s="639" t="s">
        <v>2517</v>
      </c>
      <c r="F151" s="642">
        <v>18</v>
      </c>
      <c r="G151" s="642">
        <v>414</v>
      </c>
      <c r="H151" s="642">
        <v>1</v>
      </c>
      <c r="I151" s="642">
        <v>23</v>
      </c>
      <c r="J151" s="642">
        <v>22</v>
      </c>
      <c r="K151" s="642">
        <v>506</v>
      </c>
      <c r="L151" s="642">
        <v>1.2222222222222223</v>
      </c>
      <c r="M151" s="642">
        <v>23</v>
      </c>
      <c r="N151" s="642">
        <v>16</v>
      </c>
      <c r="O151" s="642">
        <v>368</v>
      </c>
      <c r="P151" s="656">
        <v>0.88888888888888884</v>
      </c>
      <c r="Q151" s="643">
        <v>23</v>
      </c>
    </row>
    <row r="152" spans="1:17" ht="14.4" customHeight="1" x14ac:dyDescent="0.3">
      <c r="A152" s="638" t="s">
        <v>2308</v>
      </c>
      <c r="B152" s="639" t="s">
        <v>2309</v>
      </c>
      <c r="C152" s="639" t="s">
        <v>1910</v>
      </c>
      <c r="D152" s="639" t="s">
        <v>2518</v>
      </c>
      <c r="E152" s="639" t="s">
        <v>2519</v>
      </c>
      <c r="F152" s="642"/>
      <c r="G152" s="642"/>
      <c r="H152" s="642"/>
      <c r="I152" s="642"/>
      <c r="J152" s="642">
        <v>1</v>
      </c>
      <c r="K152" s="642">
        <v>17</v>
      </c>
      <c r="L152" s="642"/>
      <c r="M152" s="642">
        <v>17</v>
      </c>
      <c r="N152" s="642"/>
      <c r="O152" s="642"/>
      <c r="P152" s="656"/>
      <c r="Q152" s="643"/>
    </row>
    <row r="153" spans="1:17" ht="14.4" customHeight="1" x14ac:dyDescent="0.3">
      <c r="A153" s="638" t="s">
        <v>2308</v>
      </c>
      <c r="B153" s="639" t="s">
        <v>2309</v>
      </c>
      <c r="C153" s="639" t="s">
        <v>1910</v>
      </c>
      <c r="D153" s="639" t="s">
        <v>2520</v>
      </c>
      <c r="E153" s="639" t="s">
        <v>2521</v>
      </c>
      <c r="F153" s="642"/>
      <c r="G153" s="642"/>
      <c r="H153" s="642"/>
      <c r="I153" s="642"/>
      <c r="J153" s="642">
        <v>2</v>
      </c>
      <c r="K153" s="642">
        <v>586</v>
      </c>
      <c r="L153" s="642"/>
      <c r="M153" s="642">
        <v>293</v>
      </c>
      <c r="N153" s="642"/>
      <c r="O153" s="642"/>
      <c r="P153" s="656"/>
      <c r="Q153" s="643"/>
    </row>
    <row r="154" spans="1:17" ht="14.4" customHeight="1" x14ac:dyDescent="0.3">
      <c r="A154" s="638" t="s">
        <v>2308</v>
      </c>
      <c r="B154" s="639" t="s">
        <v>2309</v>
      </c>
      <c r="C154" s="639" t="s">
        <v>1910</v>
      </c>
      <c r="D154" s="639" t="s">
        <v>2522</v>
      </c>
      <c r="E154" s="639" t="s">
        <v>2523</v>
      </c>
      <c r="F154" s="642"/>
      <c r="G154" s="642"/>
      <c r="H154" s="642"/>
      <c r="I154" s="642"/>
      <c r="J154" s="642">
        <v>1</v>
      </c>
      <c r="K154" s="642">
        <v>371</v>
      </c>
      <c r="L154" s="642"/>
      <c r="M154" s="642">
        <v>371</v>
      </c>
      <c r="N154" s="642">
        <v>5</v>
      </c>
      <c r="O154" s="642">
        <v>1865</v>
      </c>
      <c r="P154" s="656"/>
      <c r="Q154" s="643">
        <v>373</v>
      </c>
    </row>
    <row r="155" spans="1:17" ht="14.4" customHeight="1" x14ac:dyDescent="0.3">
      <c r="A155" s="638" t="s">
        <v>2308</v>
      </c>
      <c r="B155" s="639" t="s">
        <v>2309</v>
      </c>
      <c r="C155" s="639" t="s">
        <v>1910</v>
      </c>
      <c r="D155" s="639" t="s">
        <v>2524</v>
      </c>
      <c r="E155" s="639" t="s">
        <v>2525</v>
      </c>
      <c r="F155" s="642">
        <v>25</v>
      </c>
      <c r="G155" s="642">
        <v>1125</v>
      </c>
      <c r="H155" s="642">
        <v>1</v>
      </c>
      <c r="I155" s="642">
        <v>45</v>
      </c>
      <c r="J155" s="642">
        <v>49</v>
      </c>
      <c r="K155" s="642">
        <v>2205</v>
      </c>
      <c r="L155" s="642">
        <v>1.96</v>
      </c>
      <c r="M155" s="642">
        <v>45</v>
      </c>
      <c r="N155" s="642">
        <v>31</v>
      </c>
      <c r="O155" s="642">
        <v>1395</v>
      </c>
      <c r="P155" s="656">
        <v>1.24</v>
      </c>
      <c r="Q155" s="643">
        <v>45</v>
      </c>
    </row>
    <row r="156" spans="1:17" ht="14.4" customHeight="1" x14ac:dyDescent="0.3">
      <c r="A156" s="638" t="s">
        <v>2308</v>
      </c>
      <c r="B156" s="639" t="s">
        <v>2309</v>
      </c>
      <c r="C156" s="639" t="s">
        <v>1910</v>
      </c>
      <c r="D156" s="639" t="s">
        <v>2526</v>
      </c>
      <c r="E156" s="639" t="s">
        <v>2373</v>
      </c>
      <c r="F156" s="642">
        <v>12</v>
      </c>
      <c r="G156" s="642">
        <v>2232</v>
      </c>
      <c r="H156" s="642">
        <v>1</v>
      </c>
      <c r="I156" s="642">
        <v>186</v>
      </c>
      <c r="J156" s="642">
        <v>3</v>
      </c>
      <c r="K156" s="642">
        <v>558</v>
      </c>
      <c r="L156" s="642">
        <v>0.25</v>
      </c>
      <c r="M156" s="642">
        <v>186</v>
      </c>
      <c r="N156" s="642">
        <v>13</v>
      </c>
      <c r="O156" s="642">
        <v>2431</v>
      </c>
      <c r="P156" s="656">
        <v>1.0891577060931901</v>
      </c>
      <c r="Q156" s="643">
        <v>187</v>
      </c>
    </row>
    <row r="157" spans="1:17" ht="14.4" customHeight="1" x14ac:dyDescent="0.3">
      <c r="A157" s="638" t="s">
        <v>2308</v>
      </c>
      <c r="B157" s="639" t="s">
        <v>2309</v>
      </c>
      <c r="C157" s="639" t="s">
        <v>1910</v>
      </c>
      <c r="D157" s="639" t="s">
        <v>2527</v>
      </c>
      <c r="E157" s="639" t="s">
        <v>2528</v>
      </c>
      <c r="F157" s="642">
        <v>3</v>
      </c>
      <c r="G157" s="642">
        <v>435</v>
      </c>
      <c r="H157" s="642">
        <v>1</v>
      </c>
      <c r="I157" s="642">
        <v>145</v>
      </c>
      <c r="J157" s="642"/>
      <c r="K157" s="642"/>
      <c r="L157" s="642"/>
      <c r="M157" s="642"/>
      <c r="N157" s="642">
        <v>1</v>
      </c>
      <c r="O157" s="642">
        <v>146</v>
      </c>
      <c r="P157" s="656">
        <v>0.335632183908046</v>
      </c>
      <c r="Q157" s="643">
        <v>146</v>
      </c>
    </row>
    <row r="158" spans="1:17" ht="14.4" customHeight="1" x14ac:dyDescent="0.3">
      <c r="A158" s="638" t="s">
        <v>2308</v>
      </c>
      <c r="B158" s="639" t="s">
        <v>2309</v>
      </c>
      <c r="C158" s="639" t="s">
        <v>1910</v>
      </c>
      <c r="D158" s="639" t="s">
        <v>2529</v>
      </c>
      <c r="E158" s="639" t="s">
        <v>2530</v>
      </c>
      <c r="F158" s="642">
        <v>100</v>
      </c>
      <c r="G158" s="642">
        <v>4600</v>
      </c>
      <c r="H158" s="642">
        <v>1</v>
      </c>
      <c r="I158" s="642">
        <v>46</v>
      </c>
      <c r="J158" s="642">
        <v>22</v>
      </c>
      <c r="K158" s="642">
        <v>1012</v>
      </c>
      <c r="L158" s="642">
        <v>0.22</v>
      </c>
      <c r="M158" s="642">
        <v>46</v>
      </c>
      <c r="N158" s="642">
        <v>6</v>
      </c>
      <c r="O158" s="642">
        <v>276</v>
      </c>
      <c r="P158" s="656">
        <v>0.06</v>
      </c>
      <c r="Q158" s="643">
        <v>46</v>
      </c>
    </row>
    <row r="159" spans="1:17" ht="14.4" customHeight="1" x14ac:dyDescent="0.3">
      <c r="A159" s="638" t="s">
        <v>2308</v>
      </c>
      <c r="B159" s="639" t="s">
        <v>2309</v>
      </c>
      <c r="C159" s="639" t="s">
        <v>1910</v>
      </c>
      <c r="D159" s="639" t="s">
        <v>2531</v>
      </c>
      <c r="E159" s="639" t="s">
        <v>2532</v>
      </c>
      <c r="F159" s="642">
        <v>3</v>
      </c>
      <c r="G159" s="642">
        <v>867</v>
      </c>
      <c r="H159" s="642">
        <v>1</v>
      </c>
      <c r="I159" s="642">
        <v>289</v>
      </c>
      <c r="J159" s="642"/>
      <c r="K159" s="642"/>
      <c r="L159" s="642"/>
      <c r="M159" s="642"/>
      <c r="N159" s="642">
        <v>6</v>
      </c>
      <c r="O159" s="642">
        <v>1770</v>
      </c>
      <c r="P159" s="656">
        <v>2.0415224913494812</v>
      </c>
      <c r="Q159" s="643">
        <v>295</v>
      </c>
    </row>
    <row r="160" spans="1:17" ht="14.4" customHeight="1" x14ac:dyDescent="0.3">
      <c r="A160" s="638" t="s">
        <v>2308</v>
      </c>
      <c r="B160" s="639" t="s">
        <v>2309</v>
      </c>
      <c r="C160" s="639" t="s">
        <v>1910</v>
      </c>
      <c r="D160" s="639" t="s">
        <v>2533</v>
      </c>
      <c r="E160" s="639" t="s">
        <v>2534</v>
      </c>
      <c r="F160" s="642">
        <v>1</v>
      </c>
      <c r="G160" s="642">
        <v>527</v>
      </c>
      <c r="H160" s="642">
        <v>1</v>
      </c>
      <c r="I160" s="642">
        <v>527</v>
      </c>
      <c r="J160" s="642"/>
      <c r="K160" s="642"/>
      <c r="L160" s="642"/>
      <c r="M160" s="642"/>
      <c r="N160" s="642"/>
      <c r="O160" s="642"/>
      <c r="P160" s="656"/>
      <c r="Q160" s="643"/>
    </row>
    <row r="161" spans="1:17" ht="14.4" customHeight="1" x14ac:dyDescent="0.3">
      <c r="A161" s="638" t="s">
        <v>2308</v>
      </c>
      <c r="B161" s="639" t="s">
        <v>2309</v>
      </c>
      <c r="C161" s="639" t="s">
        <v>1910</v>
      </c>
      <c r="D161" s="639" t="s">
        <v>2535</v>
      </c>
      <c r="E161" s="639" t="s">
        <v>2536</v>
      </c>
      <c r="F161" s="642">
        <v>6</v>
      </c>
      <c r="G161" s="642">
        <v>183</v>
      </c>
      <c r="H161" s="642">
        <v>1</v>
      </c>
      <c r="I161" s="642">
        <v>30.5</v>
      </c>
      <c r="J161" s="642">
        <v>6</v>
      </c>
      <c r="K161" s="642">
        <v>186</v>
      </c>
      <c r="L161" s="642">
        <v>1.0163934426229508</v>
      </c>
      <c r="M161" s="642">
        <v>31</v>
      </c>
      <c r="N161" s="642">
        <v>6</v>
      </c>
      <c r="O161" s="642">
        <v>186</v>
      </c>
      <c r="P161" s="656">
        <v>1.0163934426229508</v>
      </c>
      <c r="Q161" s="643">
        <v>31</v>
      </c>
    </row>
    <row r="162" spans="1:17" ht="14.4" customHeight="1" x14ac:dyDescent="0.3">
      <c r="A162" s="638" t="s">
        <v>2308</v>
      </c>
      <c r="B162" s="639" t="s">
        <v>2309</v>
      </c>
      <c r="C162" s="639" t="s">
        <v>1910</v>
      </c>
      <c r="D162" s="639" t="s">
        <v>2537</v>
      </c>
      <c r="E162" s="639" t="s">
        <v>2538</v>
      </c>
      <c r="F162" s="642">
        <v>5</v>
      </c>
      <c r="G162" s="642">
        <v>2785</v>
      </c>
      <c r="H162" s="642">
        <v>1</v>
      </c>
      <c r="I162" s="642">
        <v>557</v>
      </c>
      <c r="J162" s="642"/>
      <c r="K162" s="642"/>
      <c r="L162" s="642"/>
      <c r="M162" s="642"/>
      <c r="N162" s="642">
        <v>5</v>
      </c>
      <c r="O162" s="642">
        <v>2800</v>
      </c>
      <c r="P162" s="656">
        <v>1.0053859964093357</v>
      </c>
      <c r="Q162" s="643">
        <v>560</v>
      </c>
    </row>
    <row r="163" spans="1:17" ht="14.4" customHeight="1" x14ac:dyDescent="0.3">
      <c r="A163" s="638" t="s">
        <v>2308</v>
      </c>
      <c r="B163" s="639" t="s">
        <v>2309</v>
      </c>
      <c r="C163" s="639" t="s">
        <v>1910</v>
      </c>
      <c r="D163" s="639" t="s">
        <v>2539</v>
      </c>
      <c r="E163" s="639" t="s">
        <v>2540</v>
      </c>
      <c r="F163" s="642">
        <v>4</v>
      </c>
      <c r="G163" s="642">
        <v>731</v>
      </c>
      <c r="H163" s="642">
        <v>1</v>
      </c>
      <c r="I163" s="642">
        <v>182.75</v>
      </c>
      <c r="J163" s="642">
        <v>2</v>
      </c>
      <c r="K163" s="642">
        <v>366</v>
      </c>
      <c r="L163" s="642">
        <v>0.5006839945280438</v>
      </c>
      <c r="M163" s="642">
        <v>183</v>
      </c>
      <c r="N163" s="642">
        <v>1</v>
      </c>
      <c r="O163" s="642">
        <v>184</v>
      </c>
      <c r="P163" s="656">
        <v>0.25170998632010944</v>
      </c>
      <c r="Q163" s="643">
        <v>184</v>
      </c>
    </row>
    <row r="164" spans="1:17" ht="14.4" customHeight="1" x14ac:dyDescent="0.3">
      <c r="A164" s="638" t="s">
        <v>2308</v>
      </c>
      <c r="B164" s="639" t="s">
        <v>2309</v>
      </c>
      <c r="C164" s="639" t="s">
        <v>1910</v>
      </c>
      <c r="D164" s="639" t="s">
        <v>2541</v>
      </c>
      <c r="E164" s="639" t="s">
        <v>2542</v>
      </c>
      <c r="F164" s="642">
        <v>7</v>
      </c>
      <c r="G164" s="642">
        <v>2037</v>
      </c>
      <c r="H164" s="642">
        <v>1</v>
      </c>
      <c r="I164" s="642">
        <v>291</v>
      </c>
      <c r="J164" s="642">
        <v>8</v>
      </c>
      <c r="K164" s="642">
        <v>2336</v>
      </c>
      <c r="L164" s="642">
        <v>1.1467844869906725</v>
      </c>
      <c r="M164" s="642">
        <v>292</v>
      </c>
      <c r="N164" s="642">
        <v>1</v>
      </c>
      <c r="O164" s="642">
        <v>294</v>
      </c>
      <c r="P164" s="656">
        <v>0.14432989690721648</v>
      </c>
      <c r="Q164" s="643">
        <v>294</v>
      </c>
    </row>
    <row r="165" spans="1:17" ht="14.4" customHeight="1" x14ac:dyDescent="0.3">
      <c r="A165" s="638" t="s">
        <v>2308</v>
      </c>
      <c r="B165" s="639" t="s">
        <v>2309</v>
      </c>
      <c r="C165" s="639" t="s">
        <v>1910</v>
      </c>
      <c r="D165" s="639" t="s">
        <v>2543</v>
      </c>
      <c r="E165" s="639" t="s">
        <v>2544</v>
      </c>
      <c r="F165" s="642"/>
      <c r="G165" s="642"/>
      <c r="H165" s="642"/>
      <c r="I165" s="642"/>
      <c r="J165" s="642">
        <v>1</v>
      </c>
      <c r="K165" s="642">
        <v>354</v>
      </c>
      <c r="L165" s="642"/>
      <c r="M165" s="642">
        <v>354</v>
      </c>
      <c r="N165" s="642"/>
      <c r="O165" s="642"/>
      <c r="P165" s="656"/>
      <c r="Q165" s="643"/>
    </row>
    <row r="166" spans="1:17" ht="14.4" customHeight="1" x14ac:dyDescent="0.3">
      <c r="A166" s="638" t="s">
        <v>2308</v>
      </c>
      <c r="B166" s="639" t="s">
        <v>2309</v>
      </c>
      <c r="C166" s="639" t="s">
        <v>1910</v>
      </c>
      <c r="D166" s="639" t="s">
        <v>2545</v>
      </c>
      <c r="E166" s="639" t="s">
        <v>2546</v>
      </c>
      <c r="F166" s="642"/>
      <c r="G166" s="642"/>
      <c r="H166" s="642"/>
      <c r="I166" s="642"/>
      <c r="J166" s="642">
        <v>2</v>
      </c>
      <c r="K166" s="642">
        <v>812</v>
      </c>
      <c r="L166" s="642"/>
      <c r="M166" s="642">
        <v>406</v>
      </c>
      <c r="N166" s="642">
        <v>3</v>
      </c>
      <c r="O166" s="642">
        <v>1221</v>
      </c>
      <c r="P166" s="656"/>
      <c r="Q166" s="643">
        <v>407</v>
      </c>
    </row>
    <row r="167" spans="1:17" ht="14.4" customHeight="1" x14ac:dyDescent="0.3">
      <c r="A167" s="638" t="s">
        <v>2308</v>
      </c>
      <c r="B167" s="639" t="s">
        <v>2309</v>
      </c>
      <c r="C167" s="639" t="s">
        <v>1910</v>
      </c>
      <c r="D167" s="639" t="s">
        <v>2547</v>
      </c>
      <c r="E167" s="639" t="s">
        <v>2548</v>
      </c>
      <c r="F167" s="642">
        <v>1</v>
      </c>
      <c r="G167" s="642">
        <v>515</v>
      </c>
      <c r="H167" s="642">
        <v>1</v>
      </c>
      <c r="I167" s="642">
        <v>515</v>
      </c>
      <c r="J167" s="642"/>
      <c r="K167" s="642"/>
      <c r="L167" s="642"/>
      <c r="M167" s="642"/>
      <c r="N167" s="642"/>
      <c r="O167" s="642"/>
      <c r="P167" s="656"/>
      <c r="Q167" s="643"/>
    </row>
    <row r="168" spans="1:17" ht="14.4" customHeight="1" x14ac:dyDescent="0.3">
      <c r="A168" s="638" t="s">
        <v>2308</v>
      </c>
      <c r="B168" s="639" t="s">
        <v>2309</v>
      </c>
      <c r="C168" s="639" t="s">
        <v>1910</v>
      </c>
      <c r="D168" s="639" t="s">
        <v>2549</v>
      </c>
      <c r="E168" s="639" t="s">
        <v>2550</v>
      </c>
      <c r="F168" s="642"/>
      <c r="G168" s="642"/>
      <c r="H168" s="642"/>
      <c r="I168" s="642"/>
      <c r="J168" s="642">
        <v>1</v>
      </c>
      <c r="K168" s="642">
        <v>189</v>
      </c>
      <c r="L168" s="642"/>
      <c r="M168" s="642">
        <v>189</v>
      </c>
      <c r="N168" s="642">
        <v>5</v>
      </c>
      <c r="O168" s="642">
        <v>950</v>
      </c>
      <c r="P168" s="656"/>
      <c r="Q168" s="643">
        <v>190</v>
      </c>
    </row>
    <row r="169" spans="1:17" ht="14.4" customHeight="1" x14ac:dyDescent="0.3">
      <c r="A169" s="638" t="s">
        <v>2308</v>
      </c>
      <c r="B169" s="639" t="s">
        <v>2309</v>
      </c>
      <c r="C169" s="639" t="s">
        <v>1910</v>
      </c>
      <c r="D169" s="639" t="s">
        <v>2551</v>
      </c>
      <c r="E169" s="639" t="s">
        <v>2552</v>
      </c>
      <c r="F169" s="642"/>
      <c r="G169" s="642"/>
      <c r="H169" s="642"/>
      <c r="I169" s="642"/>
      <c r="J169" s="642">
        <v>2</v>
      </c>
      <c r="K169" s="642">
        <v>582</v>
      </c>
      <c r="L169" s="642"/>
      <c r="M169" s="642">
        <v>291</v>
      </c>
      <c r="N169" s="642"/>
      <c r="O169" s="642"/>
      <c r="P169" s="656"/>
      <c r="Q169" s="643"/>
    </row>
    <row r="170" spans="1:17" ht="14.4" customHeight="1" x14ac:dyDescent="0.3">
      <c r="A170" s="638" t="s">
        <v>2308</v>
      </c>
      <c r="B170" s="639" t="s">
        <v>2309</v>
      </c>
      <c r="C170" s="639" t="s">
        <v>1910</v>
      </c>
      <c r="D170" s="639" t="s">
        <v>2553</v>
      </c>
      <c r="E170" s="639" t="s">
        <v>2554</v>
      </c>
      <c r="F170" s="642"/>
      <c r="G170" s="642"/>
      <c r="H170" s="642"/>
      <c r="I170" s="642"/>
      <c r="J170" s="642"/>
      <c r="K170" s="642"/>
      <c r="L170" s="642"/>
      <c r="M170" s="642"/>
      <c r="N170" s="642">
        <v>1</v>
      </c>
      <c r="O170" s="642">
        <v>133</v>
      </c>
      <c r="P170" s="656"/>
      <c r="Q170" s="643">
        <v>133</v>
      </c>
    </row>
    <row r="171" spans="1:17" ht="14.4" customHeight="1" x14ac:dyDescent="0.3">
      <c r="A171" s="638" t="s">
        <v>2308</v>
      </c>
      <c r="B171" s="639" t="s">
        <v>2309</v>
      </c>
      <c r="C171" s="639" t="s">
        <v>1910</v>
      </c>
      <c r="D171" s="639" t="s">
        <v>2555</v>
      </c>
      <c r="E171" s="639" t="s">
        <v>2556</v>
      </c>
      <c r="F171" s="642"/>
      <c r="G171" s="642"/>
      <c r="H171" s="642"/>
      <c r="I171" s="642"/>
      <c r="J171" s="642"/>
      <c r="K171" s="642"/>
      <c r="L171" s="642"/>
      <c r="M171" s="642"/>
      <c r="N171" s="642">
        <v>309</v>
      </c>
      <c r="O171" s="642">
        <v>11433</v>
      </c>
      <c r="P171" s="656"/>
      <c r="Q171" s="643">
        <v>37</v>
      </c>
    </row>
    <row r="172" spans="1:17" ht="14.4" customHeight="1" x14ac:dyDescent="0.3">
      <c r="A172" s="638" t="s">
        <v>2308</v>
      </c>
      <c r="B172" s="639" t="s">
        <v>2309</v>
      </c>
      <c r="C172" s="639" t="s">
        <v>1910</v>
      </c>
      <c r="D172" s="639" t="s">
        <v>2557</v>
      </c>
      <c r="E172" s="639" t="s">
        <v>2558</v>
      </c>
      <c r="F172" s="642"/>
      <c r="G172" s="642"/>
      <c r="H172" s="642"/>
      <c r="I172" s="642"/>
      <c r="J172" s="642"/>
      <c r="K172" s="642"/>
      <c r="L172" s="642"/>
      <c r="M172" s="642"/>
      <c r="N172" s="642">
        <v>16</v>
      </c>
      <c r="O172" s="642">
        <v>2768</v>
      </c>
      <c r="P172" s="656"/>
      <c r="Q172" s="643">
        <v>173</v>
      </c>
    </row>
    <row r="173" spans="1:17" ht="14.4" customHeight="1" x14ac:dyDescent="0.3">
      <c r="A173" s="638" t="s">
        <v>2308</v>
      </c>
      <c r="B173" s="639" t="s">
        <v>2309</v>
      </c>
      <c r="C173" s="639" t="s">
        <v>1910</v>
      </c>
      <c r="D173" s="639" t="s">
        <v>2559</v>
      </c>
      <c r="E173" s="639" t="s">
        <v>2560</v>
      </c>
      <c r="F173" s="642"/>
      <c r="G173" s="642"/>
      <c r="H173" s="642"/>
      <c r="I173" s="642"/>
      <c r="J173" s="642"/>
      <c r="K173" s="642"/>
      <c r="L173" s="642"/>
      <c r="M173" s="642"/>
      <c r="N173" s="642">
        <v>70</v>
      </c>
      <c r="O173" s="642">
        <v>58380</v>
      </c>
      <c r="P173" s="656"/>
      <c r="Q173" s="643">
        <v>834</v>
      </c>
    </row>
    <row r="174" spans="1:17" ht="14.4" customHeight="1" x14ac:dyDescent="0.3">
      <c r="A174" s="638" t="s">
        <v>2308</v>
      </c>
      <c r="B174" s="639" t="s">
        <v>2309</v>
      </c>
      <c r="C174" s="639" t="s">
        <v>1910</v>
      </c>
      <c r="D174" s="639" t="s">
        <v>2561</v>
      </c>
      <c r="E174" s="639" t="s">
        <v>2562</v>
      </c>
      <c r="F174" s="642"/>
      <c r="G174" s="642"/>
      <c r="H174" s="642"/>
      <c r="I174" s="642"/>
      <c r="J174" s="642"/>
      <c r="K174" s="642"/>
      <c r="L174" s="642"/>
      <c r="M174" s="642"/>
      <c r="N174" s="642">
        <v>1711</v>
      </c>
      <c r="O174" s="642">
        <v>159123</v>
      </c>
      <c r="P174" s="656"/>
      <c r="Q174" s="643">
        <v>93</v>
      </c>
    </row>
    <row r="175" spans="1:17" ht="14.4" customHeight="1" x14ac:dyDescent="0.3">
      <c r="A175" s="638" t="s">
        <v>2308</v>
      </c>
      <c r="B175" s="639" t="s">
        <v>2563</v>
      </c>
      <c r="C175" s="639" t="s">
        <v>1910</v>
      </c>
      <c r="D175" s="639" t="s">
        <v>2564</v>
      </c>
      <c r="E175" s="639" t="s">
        <v>2565</v>
      </c>
      <c r="F175" s="642">
        <v>443</v>
      </c>
      <c r="G175" s="642">
        <v>459165</v>
      </c>
      <c r="H175" s="642">
        <v>1</v>
      </c>
      <c r="I175" s="642">
        <v>1036.489841986456</v>
      </c>
      <c r="J175" s="642">
        <v>546</v>
      </c>
      <c r="K175" s="642">
        <v>566202</v>
      </c>
      <c r="L175" s="642">
        <v>1.2331122798993825</v>
      </c>
      <c r="M175" s="642">
        <v>1037</v>
      </c>
      <c r="N175" s="642">
        <v>677</v>
      </c>
      <c r="O175" s="642">
        <v>702726</v>
      </c>
      <c r="P175" s="656">
        <v>1.5304433046943908</v>
      </c>
      <c r="Q175" s="643">
        <v>1038</v>
      </c>
    </row>
    <row r="176" spans="1:17" ht="14.4" customHeight="1" x14ac:dyDescent="0.3">
      <c r="A176" s="638" t="s">
        <v>2308</v>
      </c>
      <c r="B176" s="639" t="s">
        <v>2563</v>
      </c>
      <c r="C176" s="639" t="s">
        <v>1910</v>
      </c>
      <c r="D176" s="639" t="s">
        <v>2420</v>
      </c>
      <c r="E176" s="639" t="s">
        <v>2421</v>
      </c>
      <c r="F176" s="642"/>
      <c r="G176" s="642"/>
      <c r="H176" s="642"/>
      <c r="I176" s="642"/>
      <c r="J176" s="642"/>
      <c r="K176" s="642"/>
      <c r="L176" s="642"/>
      <c r="M176" s="642"/>
      <c r="N176" s="642">
        <v>4</v>
      </c>
      <c r="O176" s="642">
        <v>596</v>
      </c>
      <c r="P176" s="656"/>
      <c r="Q176" s="643">
        <v>149</v>
      </c>
    </row>
    <row r="177" spans="1:17" ht="14.4" customHeight="1" x14ac:dyDescent="0.3">
      <c r="A177" s="638" t="s">
        <v>2566</v>
      </c>
      <c r="B177" s="639" t="s">
        <v>2567</v>
      </c>
      <c r="C177" s="639" t="s">
        <v>1916</v>
      </c>
      <c r="D177" s="639" t="s">
        <v>2568</v>
      </c>
      <c r="E177" s="639" t="s">
        <v>2569</v>
      </c>
      <c r="F177" s="642"/>
      <c r="G177" s="642"/>
      <c r="H177" s="642"/>
      <c r="I177" s="642"/>
      <c r="J177" s="642">
        <v>0.09</v>
      </c>
      <c r="K177" s="642">
        <v>444.93</v>
      </c>
      <c r="L177" s="642"/>
      <c r="M177" s="642">
        <v>4943.666666666667</v>
      </c>
      <c r="N177" s="642">
        <v>0.02</v>
      </c>
      <c r="O177" s="642">
        <v>98.86</v>
      </c>
      <c r="P177" s="656"/>
      <c r="Q177" s="643">
        <v>4943</v>
      </c>
    </row>
    <row r="178" spans="1:17" ht="14.4" customHeight="1" x14ac:dyDescent="0.3">
      <c r="A178" s="638" t="s">
        <v>2566</v>
      </c>
      <c r="B178" s="639" t="s">
        <v>2567</v>
      </c>
      <c r="C178" s="639" t="s">
        <v>1916</v>
      </c>
      <c r="D178" s="639" t="s">
        <v>2570</v>
      </c>
      <c r="E178" s="639" t="s">
        <v>2571</v>
      </c>
      <c r="F178" s="642">
        <v>0.2</v>
      </c>
      <c r="G178" s="642">
        <v>197.8</v>
      </c>
      <c r="H178" s="642">
        <v>1</v>
      </c>
      <c r="I178" s="642">
        <v>989</v>
      </c>
      <c r="J178" s="642"/>
      <c r="K178" s="642"/>
      <c r="L178" s="642"/>
      <c r="M178" s="642"/>
      <c r="N178" s="642"/>
      <c r="O178" s="642"/>
      <c r="P178" s="656"/>
      <c r="Q178" s="643"/>
    </row>
    <row r="179" spans="1:17" ht="14.4" customHeight="1" x14ac:dyDescent="0.3">
      <c r="A179" s="638" t="s">
        <v>2566</v>
      </c>
      <c r="B179" s="639" t="s">
        <v>2567</v>
      </c>
      <c r="C179" s="639" t="s">
        <v>1916</v>
      </c>
      <c r="D179" s="639" t="s">
        <v>2572</v>
      </c>
      <c r="E179" s="639" t="s">
        <v>2569</v>
      </c>
      <c r="F179" s="642">
        <v>0.05</v>
      </c>
      <c r="G179" s="642">
        <v>516.86</v>
      </c>
      <c r="H179" s="642">
        <v>1</v>
      </c>
      <c r="I179" s="642">
        <v>10337.199999999999</v>
      </c>
      <c r="J179" s="642"/>
      <c r="K179" s="642"/>
      <c r="L179" s="642"/>
      <c r="M179" s="642"/>
      <c r="N179" s="642">
        <v>0.04</v>
      </c>
      <c r="O179" s="642">
        <v>395.48</v>
      </c>
      <c r="P179" s="656">
        <v>0.765158843787486</v>
      </c>
      <c r="Q179" s="643">
        <v>9887</v>
      </c>
    </row>
    <row r="180" spans="1:17" ht="14.4" customHeight="1" x14ac:dyDescent="0.3">
      <c r="A180" s="638" t="s">
        <v>2566</v>
      </c>
      <c r="B180" s="639" t="s">
        <v>2567</v>
      </c>
      <c r="C180" s="639" t="s">
        <v>1916</v>
      </c>
      <c r="D180" s="639" t="s">
        <v>2573</v>
      </c>
      <c r="E180" s="639" t="s">
        <v>2574</v>
      </c>
      <c r="F180" s="642">
        <v>7.0000000000000007E-2</v>
      </c>
      <c r="G180" s="642">
        <v>371.75</v>
      </c>
      <c r="H180" s="642">
        <v>1</v>
      </c>
      <c r="I180" s="642">
        <v>5310.7142857142853</v>
      </c>
      <c r="J180" s="642"/>
      <c r="K180" s="642"/>
      <c r="L180" s="642"/>
      <c r="M180" s="642"/>
      <c r="N180" s="642"/>
      <c r="O180" s="642"/>
      <c r="P180" s="656"/>
      <c r="Q180" s="643"/>
    </row>
    <row r="181" spans="1:17" ht="14.4" customHeight="1" x14ac:dyDescent="0.3">
      <c r="A181" s="638" t="s">
        <v>2566</v>
      </c>
      <c r="B181" s="639" t="s">
        <v>2567</v>
      </c>
      <c r="C181" s="639" t="s">
        <v>1916</v>
      </c>
      <c r="D181" s="639" t="s">
        <v>2575</v>
      </c>
      <c r="E181" s="639" t="s">
        <v>2569</v>
      </c>
      <c r="F181" s="642">
        <v>0.05</v>
      </c>
      <c r="G181" s="642">
        <v>325.32</v>
      </c>
      <c r="H181" s="642">
        <v>1</v>
      </c>
      <c r="I181" s="642">
        <v>6506.4</v>
      </c>
      <c r="J181" s="642">
        <v>0.02</v>
      </c>
      <c r="K181" s="642">
        <v>98.87</v>
      </c>
      <c r="L181" s="642">
        <v>0.30391614410426659</v>
      </c>
      <c r="M181" s="642">
        <v>4943.5</v>
      </c>
      <c r="N181" s="642">
        <v>0.02</v>
      </c>
      <c r="O181" s="642">
        <v>74.150000000000006</v>
      </c>
      <c r="P181" s="656">
        <v>0.22792942333702204</v>
      </c>
      <c r="Q181" s="643">
        <v>3707.5</v>
      </c>
    </row>
    <row r="182" spans="1:17" ht="14.4" customHeight="1" x14ac:dyDescent="0.3">
      <c r="A182" s="638" t="s">
        <v>2566</v>
      </c>
      <c r="B182" s="639" t="s">
        <v>2567</v>
      </c>
      <c r="C182" s="639" t="s">
        <v>1916</v>
      </c>
      <c r="D182" s="639" t="s">
        <v>2576</v>
      </c>
      <c r="E182" s="639"/>
      <c r="F182" s="642">
        <v>0.02</v>
      </c>
      <c r="G182" s="642">
        <v>172.84</v>
      </c>
      <c r="H182" s="642">
        <v>1</v>
      </c>
      <c r="I182" s="642">
        <v>8642</v>
      </c>
      <c r="J182" s="642"/>
      <c r="K182" s="642"/>
      <c r="L182" s="642"/>
      <c r="M182" s="642"/>
      <c r="N182" s="642"/>
      <c r="O182" s="642"/>
      <c r="P182" s="656"/>
      <c r="Q182" s="643"/>
    </row>
    <row r="183" spans="1:17" ht="14.4" customHeight="1" x14ac:dyDescent="0.3">
      <c r="A183" s="638" t="s">
        <v>2566</v>
      </c>
      <c r="B183" s="639" t="s">
        <v>2567</v>
      </c>
      <c r="C183" s="639" t="s">
        <v>1916</v>
      </c>
      <c r="D183" s="639" t="s">
        <v>2577</v>
      </c>
      <c r="E183" s="639" t="s">
        <v>2578</v>
      </c>
      <c r="F183" s="642">
        <v>0.5</v>
      </c>
      <c r="G183" s="642">
        <v>487.61</v>
      </c>
      <c r="H183" s="642">
        <v>1</v>
      </c>
      <c r="I183" s="642">
        <v>975.22</v>
      </c>
      <c r="J183" s="642"/>
      <c r="K183" s="642"/>
      <c r="L183" s="642"/>
      <c r="M183" s="642"/>
      <c r="N183" s="642">
        <v>0.01</v>
      </c>
      <c r="O183" s="642">
        <v>8.43</v>
      </c>
      <c r="P183" s="656">
        <v>1.7288406718484032E-2</v>
      </c>
      <c r="Q183" s="643">
        <v>843</v>
      </c>
    </row>
    <row r="184" spans="1:17" ht="14.4" customHeight="1" x14ac:dyDescent="0.3">
      <c r="A184" s="638" t="s">
        <v>2566</v>
      </c>
      <c r="B184" s="639" t="s">
        <v>2567</v>
      </c>
      <c r="C184" s="639" t="s">
        <v>1916</v>
      </c>
      <c r="D184" s="639" t="s">
        <v>2579</v>
      </c>
      <c r="E184" s="639" t="s">
        <v>2580</v>
      </c>
      <c r="F184" s="642"/>
      <c r="G184" s="642"/>
      <c r="H184" s="642"/>
      <c r="I184" s="642"/>
      <c r="J184" s="642">
        <v>0.02</v>
      </c>
      <c r="K184" s="642">
        <v>88.54</v>
      </c>
      <c r="L184" s="642"/>
      <c r="M184" s="642">
        <v>4427</v>
      </c>
      <c r="N184" s="642">
        <v>0.02</v>
      </c>
      <c r="O184" s="642">
        <v>90.95</v>
      </c>
      <c r="P184" s="656"/>
      <c r="Q184" s="643">
        <v>4547.5</v>
      </c>
    </row>
    <row r="185" spans="1:17" ht="14.4" customHeight="1" x14ac:dyDescent="0.3">
      <c r="A185" s="638" t="s">
        <v>2566</v>
      </c>
      <c r="B185" s="639" t="s">
        <v>2567</v>
      </c>
      <c r="C185" s="639" t="s">
        <v>1916</v>
      </c>
      <c r="D185" s="639" t="s">
        <v>2581</v>
      </c>
      <c r="E185" s="639" t="s">
        <v>2580</v>
      </c>
      <c r="F185" s="642">
        <v>0.06</v>
      </c>
      <c r="G185" s="642">
        <v>491.44</v>
      </c>
      <c r="H185" s="642">
        <v>1</v>
      </c>
      <c r="I185" s="642">
        <v>8190.666666666667</v>
      </c>
      <c r="J185" s="642">
        <v>9.9999999999999992E-2</v>
      </c>
      <c r="K185" s="642">
        <v>885.4</v>
      </c>
      <c r="L185" s="642">
        <v>1.8016441478105161</v>
      </c>
      <c r="M185" s="642">
        <v>8854</v>
      </c>
      <c r="N185" s="642">
        <v>7.9999999999999988E-2</v>
      </c>
      <c r="O185" s="642">
        <v>664.05</v>
      </c>
      <c r="P185" s="656">
        <v>1.351233110857887</v>
      </c>
      <c r="Q185" s="643">
        <v>8300.625</v>
      </c>
    </row>
    <row r="186" spans="1:17" ht="14.4" customHeight="1" x14ac:dyDescent="0.3">
      <c r="A186" s="638" t="s">
        <v>2566</v>
      </c>
      <c r="B186" s="639" t="s">
        <v>2567</v>
      </c>
      <c r="C186" s="639" t="s">
        <v>1916</v>
      </c>
      <c r="D186" s="639" t="s">
        <v>2582</v>
      </c>
      <c r="E186" s="639" t="s">
        <v>2583</v>
      </c>
      <c r="F186" s="642">
        <v>0.43</v>
      </c>
      <c r="G186" s="642">
        <v>847.67</v>
      </c>
      <c r="H186" s="642">
        <v>1</v>
      </c>
      <c r="I186" s="642">
        <v>1971.3255813953488</v>
      </c>
      <c r="J186" s="642">
        <v>0.30000000000000004</v>
      </c>
      <c r="K186" s="642">
        <v>584.79</v>
      </c>
      <c r="L186" s="642">
        <v>0.68987931624334942</v>
      </c>
      <c r="M186" s="642">
        <v>1949.2999999999995</v>
      </c>
      <c r="N186" s="642">
        <v>0.1</v>
      </c>
      <c r="O186" s="642">
        <v>194.92</v>
      </c>
      <c r="P186" s="656">
        <v>0.22994797503745562</v>
      </c>
      <c r="Q186" s="643">
        <v>1949.1999999999998</v>
      </c>
    </row>
    <row r="187" spans="1:17" ht="14.4" customHeight="1" x14ac:dyDescent="0.3">
      <c r="A187" s="638" t="s">
        <v>2566</v>
      </c>
      <c r="B187" s="639" t="s">
        <v>2567</v>
      </c>
      <c r="C187" s="639" t="s">
        <v>1916</v>
      </c>
      <c r="D187" s="639" t="s">
        <v>2584</v>
      </c>
      <c r="E187" s="639" t="s">
        <v>2580</v>
      </c>
      <c r="F187" s="642"/>
      <c r="G187" s="642"/>
      <c r="H187" s="642"/>
      <c r="I187" s="642"/>
      <c r="J187" s="642">
        <v>0.28000000000000003</v>
      </c>
      <c r="K187" s="642">
        <v>486.97</v>
      </c>
      <c r="L187" s="642"/>
      <c r="M187" s="642">
        <v>1739.1785714285713</v>
      </c>
      <c r="N187" s="642"/>
      <c r="O187" s="642"/>
      <c r="P187" s="656"/>
      <c r="Q187" s="643"/>
    </row>
    <row r="188" spans="1:17" ht="14.4" customHeight="1" x14ac:dyDescent="0.3">
      <c r="A188" s="638" t="s">
        <v>2566</v>
      </c>
      <c r="B188" s="639" t="s">
        <v>2567</v>
      </c>
      <c r="C188" s="639" t="s">
        <v>1916</v>
      </c>
      <c r="D188" s="639" t="s">
        <v>2585</v>
      </c>
      <c r="E188" s="639" t="s">
        <v>2586</v>
      </c>
      <c r="F188" s="642"/>
      <c r="G188" s="642"/>
      <c r="H188" s="642"/>
      <c r="I188" s="642"/>
      <c r="J188" s="642">
        <v>0.05</v>
      </c>
      <c r="K188" s="642">
        <v>45.19</v>
      </c>
      <c r="L188" s="642"/>
      <c r="M188" s="642">
        <v>903.8</v>
      </c>
      <c r="N188" s="642"/>
      <c r="O188" s="642"/>
      <c r="P188" s="656"/>
      <c r="Q188" s="643"/>
    </row>
    <row r="189" spans="1:17" ht="14.4" customHeight="1" x14ac:dyDescent="0.3">
      <c r="A189" s="638" t="s">
        <v>2566</v>
      </c>
      <c r="B189" s="639" t="s">
        <v>2567</v>
      </c>
      <c r="C189" s="639" t="s">
        <v>1916</v>
      </c>
      <c r="D189" s="639" t="s">
        <v>2587</v>
      </c>
      <c r="E189" s="639" t="s">
        <v>2580</v>
      </c>
      <c r="F189" s="642"/>
      <c r="G189" s="642"/>
      <c r="H189" s="642"/>
      <c r="I189" s="642"/>
      <c r="J189" s="642">
        <v>0.02</v>
      </c>
      <c r="K189" s="642">
        <v>849.97</v>
      </c>
      <c r="L189" s="642"/>
      <c r="M189" s="642">
        <v>42498.5</v>
      </c>
      <c r="N189" s="642"/>
      <c r="O189" s="642"/>
      <c r="P189" s="656"/>
      <c r="Q189" s="643"/>
    </row>
    <row r="190" spans="1:17" ht="14.4" customHeight="1" x14ac:dyDescent="0.3">
      <c r="A190" s="638" t="s">
        <v>2566</v>
      </c>
      <c r="B190" s="639" t="s">
        <v>2567</v>
      </c>
      <c r="C190" s="639" t="s">
        <v>2054</v>
      </c>
      <c r="D190" s="639" t="s">
        <v>2588</v>
      </c>
      <c r="E190" s="639" t="s">
        <v>2589</v>
      </c>
      <c r="F190" s="642">
        <v>2</v>
      </c>
      <c r="G190" s="642">
        <v>3414.62</v>
      </c>
      <c r="H190" s="642">
        <v>1</v>
      </c>
      <c r="I190" s="642">
        <v>1707.31</v>
      </c>
      <c r="J190" s="642"/>
      <c r="K190" s="642"/>
      <c r="L190" s="642"/>
      <c r="M190" s="642"/>
      <c r="N190" s="642"/>
      <c r="O190" s="642"/>
      <c r="P190" s="656"/>
      <c r="Q190" s="643"/>
    </row>
    <row r="191" spans="1:17" ht="14.4" customHeight="1" x14ac:dyDescent="0.3">
      <c r="A191" s="638" t="s">
        <v>2566</v>
      </c>
      <c r="B191" s="639" t="s">
        <v>2567</v>
      </c>
      <c r="C191" s="639" t="s">
        <v>2054</v>
      </c>
      <c r="D191" s="639" t="s">
        <v>2590</v>
      </c>
      <c r="E191" s="639" t="s">
        <v>2591</v>
      </c>
      <c r="F191" s="642">
        <v>4</v>
      </c>
      <c r="G191" s="642">
        <v>27563.119999999999</v>
      </c>
      <c r="H191" s="642">
        <v>1</v>
      </c>
      <c r="I191" s="642">
        <v>6890.78</v>
      </c>
      <c r="J191" s="642"/>
      <c r="K191" s="642"/>
      <c r="L191" s="642"/>
      <c r="M191" s="642"/>
      <c r="N191" s="642"/>
      <c r="O191" s="642"/>
      <c r="P191" s="656"/>
      <c r="Q191" s="643"/>
    </row>
    <row r="192" spans="1:17" ht="14.4" customHeight="1" x14ac:dyDescent="0.3">
      <c r="A192" s="638" t="s">
        <v>2566</v>
      </c>
      <c r="B192" s="639" t="s">
        <v>2567</v>
      </c>
      <c r="C192" s="639" t="s">
        <v>2054</v>
      </c>
      <c r="D192" s="639" t="s">
        <v>2592</v>
      </c>
      <c r="E192" s="639" t="s">
        <v>2593</v>
      </c>
      <c r="F192" s="642">
        <v>2</v>
      </c>
      <c r="G192" s="642">
        <v>2005.6</v>
      </c>
      <c r="H192" s="642">
        <v>1</v>
      </c>
      <c r="I192" s="642">
        <v>1002.8</v>
      </c>
      <c r="J192" s="642"/>
      <c r="K192" s="642"/>
      <c r="L192" s="642"/>
      <c r="M192" s="642"/>
      <c r="N192" s="642"/>
      <c r="O192" s="642"/>
      <c r="P192" s="656"/>
      <c r="Q192" s="643"/>
    </row>
    <row r="193" spans="1:17" ht="14.4" customHeight="1" x14ac:dyDescent="0.3">
      <c r="A193" s="638" t="s">
        <v>2566</v>
      </c>
      <c r="B193" s="639" t="s">
        <v>2567</v>
      </c>
      <c r="C193" s="639" t="s">
        <v>2054</v>
      </c>
      <c r="D193" s="639" t="s">
        <v>2594</v>
      </c>
      <c r="E193" s="639" t="s">
        <v>2595</v>
      </c>
      <c r="F193" s="642">
        <v>2</v>
      </c>
      <c r="G193" s="642">
        <v>2611.64</v>
      </c>
      <c r="H193" s="642">
        <v>1</v>
      </c>
      <c r="I193" s="642">
        <v>1305.82</v>
      </c>
      <c r="J193" s="642"/>
      <c r="K193" s="642"/>
      <c r="L193" s="642"/>
      <c r="M193" s="642"/>
      <c r="N193" s="642"/>
      <c r="O193" s="642"/>
      <c r="P193" s="656"/>
      <c r="Q193" s="643"/>
    </row>
    <row r="194" spans="1:17" ht="14.4" customHeight="1" x14ac:dyDescent="0.3">
      <c r="A194" s="638" t="s">
        <v>2566</v>
      </c>
      <c r="B194" s="639" t="s">
        <v>2567</v>
      </c>
      <c r="C194" s="639" t="s">
        <v>1910</v>
      </c>
      <c r="D194" s="639" t="s">
        <v>2596</v>
      </c>
      <c r="E194" s="639" t="s">
        <v>2597</v>
      </c>
      <c r="F194" s="642">
        <v>1</v>
      </c>
      <c r="G194" s="642">
        <v>151</v>
      </c>
      <c r="H194" s="642">
        <v>1</v>
      </c>
      <c r="I194" s="642">
        <v>151</v>
      </c>
      <c r="J194" s="642"/>
      <c r="K194" s="642"/>
      <c r="L194" s="642"/>
      <c r="M194" s="642"/>
      <c r="N194" s="642"/>
      <c r="O194" s="642"/>
      <c r="P194" s="656"/>
      <c r="Q194" s="643"/>
    </row>
    <row r="195" spans="1:17" ht="14.4" customHeight="1" x14ac:dyDescent="0.3">
      <c r="A195" s="638" t="s">
        <v>2566</v>
      </c>
      <c r="B195" s="639" t="s">
        <v>2567</v>
      </c>
      <c r="C195" s="639" t="s">
        <v>1910</v>
      </c>
      <c r="D195" s="639" t="s">
        <v>2598</v>
      </c>
      <c r="E195" s="639" t="s">
        <v>2599</v>
      </c>
      <c r="F195" s="642">
        <v>3</v>
      </c>
      <c r="G195" s="642">
        <v>549</v>
      </c>
      <c r="H195" s="642">
        <v>1</v>
      </c>
      <c r="I195" s="642">
        <v>183</v>
      </c>
      <c r="J195" s="642"/>
      <c r="K195" s="642"/>
      <c r="L195" s="642"/>
      <c r="M195" s="642"/>
      <c r="N195" s="642"/>
      <c r="O195" s="642"/>
      <c r="P195" s="656"/>
      <c r="Q195" s="643"/>
    </row>
    <row r="196" spans="1:17" ht="14.4" customHeight="1" x14ac:dyDescent="0.3">
      <c r="A196" s="638" t="s">
        <v>2566</v>
      </c>
      <c r="B196" s="639" t="s">
        <v>2567</v>
      </c>
      <c r="C196" s="639" t="s">
        <v>1910</v>
      </c>
      <c r="D196" s="639" t="s">
        <v>2600</v>
      </c>
      <c r="E196" s="639" t="s">
        <v>2601</v>
      </c>
      <c r="F196" s="642">
        <v>1</v>
      </c>
      <c r="G196" s="642">
        <v>125</v>
      </c>
      <c r="H196" s="642">
        <v>1</v>
      </c>
      <c r="I196" s="642">
        <v>125</v>
      </c>
      <c r="J196" s="642"/>
      <c r="K196" s="642"/>
      <c r="L196" s="642"/>
      <c r="M196" s="642"/>
      <c r="N196" s="642">
        <v>1</v>
      </c>
      <c r="O196" s="642">
        <v>128</v>
      </c>
      <c r="P196" s="656">
        <v>1.024</v>
      </c>
      <c r="Q196" s="643">
        <v>128</v>
      </c>
    </row>
    <row r="197" spans="1:17" ht="14.4" customHeight="1" x14ac:dyDescent="0.3">
      <c r="A197" s="638" t="s">
        <v>2566</v>
      </c>
      <c r="B197" s="639" t="s">
        <v>2567</v>
      </c>
      <c r="C197" s="639" t="s">
        <v>1910</v>
      </c>
      <c r="D197" s="639" t="s">
        <v>2602</v>
      </c>
      <c r="E197" s="639" t="s">
        <v>2603</v>
      </c>
      <c r="F197" s="642">
        <v>65</v>
      </c>
      <c r="G197" s="642">
        <v>14147</v>
      </c>
      <c r="H197" s="642">
        <v>1</v>
      </c>
      <c r="I197" s="642">
        <v>217.64615384615385</v>
      </c>
      <c r="J197" s="642">
        <v>35</v>
      </c>
      <c r="K197" s="642">
        <v>7665</v>
      </c>
      <c r="L197" s="642">
        <v>0.54181098466105893</v>
      </c>
      <c r="M197" s="642">
        <v>219</v>
      </c>
      <c r="N197" s="642">
        <v>38</v>
      </c>
      <c r="O197" s="642">
        <v>8474</v>
      </c>
      <c r="P197" s="656">
        <v>0.59899625362267617</v>
      </c>
      <c r="Q197" s="643">
        <v>223</v>
      </c>
    </row>
    <row r="198" spans="1:17" ht="14.4" customHeight="1" x14ac:dyDescent="0.3">
      <c r="A198" s="638" t="s">
        <v>2566</v>
      </c>
      <c r="B198" s="639" t="s">
        <v>2567</v>
      </c>
      <c r="C198" s="639" t="s">
        <v>1910</v>
      </c>
      <c r="D198" s="639" t="s">
        <v>2604</v>
      </c>
      <c r="E198" s="639" t="s">
        <v>2605</v>
      </c>
      <c r="F198" s="642">
        <v>23</v>
      </c>
      <c r="G198" s="642">
        <v>5055</v>
      </c>
      <c r="H198" s="642">
        <v>1</v>
      </c>
      <c r="I198" s="642">
        <v>219.78260869565219</v>
      </c>
      <c r="J198" s="642">
        <v>34</v>
      </c>
      <c r="K198" s="642">
        <v>7514</v>
      </c>
      <c r="L198" s="642">
        <v>1.4864490603363008</v>
      </c>
      <c r="M198" s="642">
        <v>221</v>
      </c>
      <c r="N198" s="642">
        <v>31</v>
      </c>
      <c r="O198" s="642">
        <v>6975</v>
      </c>
      <c r="P198" s="656">
        <v>1.3798219584569733</v>
      </c>
      <c r="Q198" s="643">
        <v>225</v>
      </c>
    </row>
    <row r="199" spans="1:17" ht="14.4" customHeight="1" x14ac:dyDescent="0.3">
      <c r="A199" s="638" t="s">
        <v>2566</v>
      </c>
      <c r="B199" s="639" t="s">
        <v>2567</v>
      </c>
      <c r="C199" s="639" t="s">
        <v>1910</v>
      </c>
      <c r="D199" s="639" t="s">
        <v>2606</v>
      </c>
      <c r="E199" s="639" t="s">
        <v>2607</v>
      </c>
      <c r="F199" s="642">
        <v>2</v>
      </c>
      <c r="G199" s="642">
        <v>1221</v>
      </c>
      <c r="H199" s="642">
        <v>1</v>
      </c>
      <c r="I199" s="642">
        <v>610.5</v>
      </c>
      <c r="J199" s="642"/>
      <c r="K199" s="642"/>
      <c r="L199" s="642"/>
      <c r="M199" s="642"/>
      <c r="N199" s="642">
        <v>1</v>
      </c>
      <c r="O199" s="642">
        <v>625</v>
      </c>
      <c r="P199" s="656">
        <v>0.51187551187551183</v>
      </c>
      <c r="Q199" s="643">
        <v>625</v>
      </c>
    </row>
    <row r="200" spans="1:17" ht="14.4" customHeight="1" x14ac:dyDescent="0.3">
      <c r="A200" s="638" t="s">
        <v>2566</v>
      </c>
      <c r="B200" s="639" t="s">
        <v>2567</v>
      </c>
      <c r="C200" s="639" t="s">
        <v>1910</v>
      </c>
      <c r="D200" s="639" t="s">
        <v>2608</v>
      </c>
      <c r="E200" s="639" t="s">
        <v>2609</v>
      </c>
      <c r="F200" s="642"/>
      <c r="G200" s="642"/>
      <c r="H200" s="642"/>
      <c r="I200" s="642"/>
      <c r="J200" s="642">
        <v>3</v>
      </c>
      <c r="K200" s="642">
        <v>1356</v>
      </c>
      <c r="L200" s="642"/>
      <c r="M200" s="642">
        <v>452</v>
      </c>
      <c r="N200" s="642">
        <v>2</v>
      </c>
      <c r="O200" s="642">
        <v>920</v>
      </c>
      <c r="P200" s="656"/>
      <c r="Q200" s="643">
        <v>460</v>
      </c>
    </row>
    <row r="201" spans="1:17" ht="14.4" customHeight="1" x14ac:dyDescent="0.3">
      <c r="A201" s="638" t="s">
        <v>2566</v>
      </c>
      <c r="B201" s="639" t="s">
        <v>2567</v>
      </c>
      <c r="C201" s="639" t="s">
        <v>1910</v>
      </c>
      <c r="D201" s="639" t="s">
        <v>2610</v>
      </c>
      <c r="E201" s="639" t="s">
        <v>2611</v>
      </c>
      <c r="F201" s="642">
        <v>2</v>
      </c>
      <c r="G201" s="642">
        <v>3046</v>
      </c>
      <c r="H201" s="642">
        <v>1</v>
      </c>
      <c r="I201" s="642">
        <v>1523</v>
      </c>
      <c r="J201" s="642"/>
      <c r="K201" s="642"/>
      <c r="L201" s="642"/>
      <c r="M201" s="642"/>
      <c r="N201" s="642"/>
      <c r="O201" s="642"/>
      <c r="P201" s="656"/>
      <c r="Q201" s="643"/>
    </row>
    <row r="202" spans="1:17" ht="14.4" customHeight="1" x14ac:dyDescent="0.3">
      <c r="A202" s="638" t="s">
        <v>2566</v>
      </c>
      <c r="B202" s="639" t="s">
        <v>2567</v>
      </c>
      <c r="C202" s="639" t="s">
        <v>1910</v>
      </c>
      <c r="D202" s="639" t="s">
        <v>2612</v>
      </c>
      <c r="E202" s="639" t="s">
        <v>2613</v>
      </c>
      <c r="F202" s="642"/>
      <c r="G202" s="642"/>
      <c r="H202" s="642"/>
      <c r="I202" s="642"/>
      <c r="J202" s="642">
        <v>1</v>
      </c>
      <c r="K202" s="642">
        <v>1281</v>
      </c>
      <c r="L202" s="642"/>
      <c r="M202" s="642">
        <v>1281</v>
      </c>
      <c r="N202" s="642"/>
      <c r="O202" s="642"/>
      <c r="P202" s="656"/>
      <c r="Q202" s="643"/>
    </row>
    <row r="203" spans="1:17" ht="14.4" customHeight="1" x14ac:dyDescent="0.3">
      <c r="A203" s="638" t="s">
        <v>2566</v>
      </c>
      <c r="B203" s="639" t="s">
        <v>2567</v>
      </c>
      <c r="C203" s="639" t="s">
        <v>1910</v>
      </c>
      <c r="D203" s="639" t="s">
        <v>2614</v>
      </c>
      <c r="E203" s="639" t="s">
        <v>2615</v>
      </c>
      <c r="F203" s="642"/>
      <c r="G203" s="642"/>
      <c r="H203" s="642"/>
      <c r="I203" s="642"/>
      <c r="J203" s="642">
        <v>1</v>
      </c>
      <c r="K203" s="642">
        <v>1167</v>
      </c>
      <c r="L203" s="642"/>
      <c r="M203" s="642">
        <v>1167</v>
      </c>
      <c r="N203" s="642"/>
      <c r="O203" s="642"/>
      <c r="P203" s="656"/>
      <c r="Q203" s="643"/>
    </row>
    <row r="204" spans="1:17" ht="14.4" customHeight="1" x14ac:dyDescent="0.3">
      <c r="A204" s="638" t="s">
        <v>2566</v>
      </c>
      <c r="B204" s="639" t="s">
        <v>2567</v>
      </c>
      <c r="C204" s="639" t="s">
        <v>1910</v>
      </c>
      <c r="D204" s="639" t="s">
        <v>2616</v>
      </c>
      <c r="E204" s="639" t="s">
        <v>2617</v>
      </c>
      <c r="F204" s="642">
        <v>16</v>
      </c>
      <c r="G204" s="642">
        <v>81166</v>
      </c>
      <c r="H204" s="642">
        <v>1</v>
      </c>
      <c r="I204" s="642">
        <v>5072.875</v>
      </c>
      <c r="J204" s="642">
        <v>25</v>
      </c>
      <c r="K204" s="642">
        <v>126900</v>
      </c>
      <c r="L204" s="642">
        <v>1.5634625335731711</v>
      </c>
      <c r="M204" s="642">
        <v>5076</v>
      </c>
      <c r="N204" s="642">
        <v>22</v>
      </c>
      <c r="O204" s="642">
        <v>113454</v>
      </c>
      <c r="P204" s="656">
        <v>1.3978020353349925</v>
      </c>
      <c r="Q204" s="643">
        <v>5157</v>
      </c>
    </row>
    <row r="205" spans="1:17" ht="14.4" customHeight="1" x14ac:dyDescent="0.3">
      <c r="A205" s="638" t="s">
        <v>2566</v>
      </c>
      <c r="B205" s="639" t="s">
        <v>2567</v>
      </c>
      <c r="C205" s="639" t="s">
        <v>1910</v>
      </c>
      <c r="D205" s="639" t="s">
        <v>2618</v>
      </c>
      <c r="E205" s="639" t="s">
        <v>2619</v>
      </c>
      <c r="F205" s="642">
        <v>1</v>
      </c>
      <c r="G205" s="642">
        <v>5514</v>
      </c>
      <c r="H205" s="642">
        <v>1</v>
      </c>
      <c r="I205" s="642">
        <v>5514</v>
      </c>
      <c r="J205" s="642">
        <v>1</v>
      </c>
      <c r="K205" s="642">
        <v>5516</v>
      </c>
      <c r="L205" s="642">
        <v>1.0003627130939428</v>
      </c>
      <c r="M205" s="642">
        <v>5516</v>
      </c>
      <c r="N205" s="642">
        <v>2</v>
      </c>
      <c r="O205" s="642">
        <v>11240</v>
      </c>
      <c r="P205" s="656">
        <v>2.0384475879579251</v>
      </c>
      <c r="Q205" s="643">
        <v>5620</v>
      </c>
    </row>
    <row r="206" spans="1:17" ht="14.4" customHeight="1" x14ac:dyDescent="0.3">
      <c r="A206" s="638" t="s">
        <v>2566</v>
      </c>
      <c r="B206" s="639" t="s">
        <v>2567</v>
      </c>
      <c r="C206" s="639" t="s">
        <v>1910</v>
      </c>
      <c r="D206" s="639" t="s">
        <v>2620</v>
      </c>
      <c r="E206" s="639" t="s">
        <v>2621</v>
      </c>
      <c r="F206" s="642">
        <v>339</v>
      </c>
      <c r="G206" s="642">
        <v>58879</v>
      </c>
      <c r="H206" s="642">
        <v>1</v>
      </c>
      <c r="I206" s="642">
        <v>173.68436578171091</v>
      </c>
      <c r="J206" s="642">
        <v>434</v>
      </c>
      <c r="K206" s="642">
        <v>75950</v>
      </c>
      <c r="L206" s="642">
        <v>1.2899335926221573</v>
      </c>
      <c r="M206" s="642">
        <v>175</v>
      </c>
      <c r="N206" s="642">
        <v>419</v>
      </c>
      <c r="O206" s="642">
        <v>74163</v>
      </c>
      <c r="P206" s="656">
        <v>1.2595832130301126</v>
      </c>
      <c r="Q206" s="643">
        <v>177</v>
      </c>
    </row>
    <row r="207" spans="1:17" ht="14.4" customHeight="1" x14ac:dyDescent="0.3">
      <c r="A207" s="638" t="s">
        <v>2566</v>
      </c>
      <c r="B207" s="639" t="s">
        <v>2567</v>
      </c>
      <c r="C207" s="639" t="s">
        <v>1910</v>
      </c>
      <c r="D207" s="639" t="s">
        <v>2622</v>
      </c>
      <c r="E207" s="639" t="s">
        <v>2623</v>
      </c>
      <c r="F207" s="642"/>
      <c r="G207" s="642"/>
      <c r="H207" s="642"/>
      <c r="I207" s="642"/>
      <c r="J207" s="642">
        <v>1</v>
      </c>
      <c r="K207" s="642">
        <v>2001</v>
      </c>
      <c r="L207" s="642"/>
      <c r="M207" s="642">
        <v>2001</v>
      </c>
      <c r="N207" s="642">
        <v>1</v>
      </c>
      <c r="O207" s="642">
        <v>2048</v>
      </c>
      <c r="P207" s="656"/>
      <c r="Q207" s="643">
        <v>2048</v>
      </c>
    </row>
    <row r="208" spans="1:17" ht="14.4" customHeight="1" x14ac:dyDescent="0.3">
      <c r="A208" s="638" t="s">
        <v>2566</v>
      </c>
      <c r="B208" s="639" t="s">
        <v>2567</v>
      </c>
      <c r="C208" s="639" t="s">
        <v>1910</v>
      </c>
      <c r="D208" s="639" t="s">
        <v>2624</v>
      </c>
      <c r="E208" s="639" t="s">
        <v>2625</v>
      </c>
      <c r="F208" s="642">
        <v>12</v>
      </c>
      <c r="G208" s="642">
        <v>32337</v>
      </c>
      <c r="H208" s="642">
        <v>1</v>
      </c>
      <c r="I208" s="642">
        <v>2694.75</v>
      </c>
      <c r="J208" s="642">
        <v>16</v>
      </c>
      <c r="K208" s="642">
        <v>43136</v>
      </c>
      <c r="L208" s="642">
        <v>1.3339518198967129</v>
      </c>
      <c r="M208" s="642">
        <v>2696</v>
      </c>
      <c r="N208" s="642">
        <v>21</v>
      </c>
      <c r="O208" s="642">
        <v>57456</v>
      </c>
      <c r="P208" s="656">
        <v>1.7767881992763708</v>
      </c>
      <c r="Q208" s="643">
        <v>2736</v>
      </c>
    </row>
    <row r="209" spans="1:17" ht="14.4" customHeight="1" x14ac:dyDescent="0.3">
      <c r="A209" s="638" t="s">
        <v>2566</v>
      </c>
      <c r="B209" s="639" t="s">
        <v>2567</v>
      </c>
      <c r="C209" s="639" t="s">
        <v>1910</v>
      </c>
      <c r="D209" s="639" t="s">
        <v>2626</v>
      </c>
      <c r="E209" s="639" t="s">
        <v>2627</v>
      </c>
      <c r="F209" s="642">
        <v>1</v>
      </c>
      <c r="G209" s="642">
        <v>5186</v>
      </c>
      <c r="H209" s="642">
        <v>1</v>
      </c>
      <c r="I209" s="642">
        <v>5186</v>
      </c>
      <c r="J209" s="642">
        <v>2</v>
      </c>
      <c r="K209" s="642">
        <v>10376</v>
      </c>
      <c r="L209" s="642">
        <v>2.0007713073659854</v>
      </c>
      <c r="M209" s="642">
        <v>5188</v>
      </c>
      <c r="N209" s="642">
        <v>6</v>
      </c>
      <c r="O209" s="642">
        <v>31614</v>
      </c>
      <c r="P209" s="656">
        <v>6.0960277670651752</v>
      </c>
      <c r="Q209" s="643">
        <v>5269</v>
      </c>
    </row>
    <row r="210" spans="1:17" ht="14.4" customHeight="1" x14ac:dyDescent="0.3">
      <c r="A210" s="638" t="s">
        <v>2566</v>
      </c>
      <c r="B210" s="639" t="s">
        <v>2567</v>
      </c>
      <c r="C210" s="639" t="s">
        <v>1910</v>
      </c>
      <c r="D210" s="639" t="s">
        <v>2628</v>
      </c>
      <c r="E210" s="639" t="s">
        <v>2629</v>
      </c>
      <c r="F210" s="642">
        <v>13</v>
      </c>
      <c r="G210" s="642">
        <v>8584</v>
      </c>
      <c r="H210" s="642">
        <v>1</v>
      </c>
      <c r="I210" s="642">
        <v>660.30769230769226</v>
      </c>
      <c r="J210" s="642">
        <v>9</v>
      </c>
      <c r="K210" s="642">
        <v>5958</v>
      </c>
      <c r="L210" s="642">
        <v>0.69408201304753026</v>
      </c>
      <c r="M210" s="642">
        <v>662</v>
      </c>
      <c r="N210" s="642">
        <v>9</v>
      </c>
      <c r="O210" s="642">
        <v>6066</v>
      </c>
      <c r="P210" s="656">
        <v>0.70666356011183595</v>
      </c>
      <c r="Q210" s="643">
        <v>674</v>
      </c>
    </row>
    <row r="211" spans="1:17" ht="14.4" customHeight="1" x14ac:dyDescent="0.3">
      <c r="A211" s="638" t="s">
        <v>2566</v>
      </c>
      <c r="B211" s="639" t="s">
        <v>2567</v>
      </c>
      <c r="C211" s="639" t="s">
        <v>1910</v>
      </c>
      <c r="D211" s="639" t="s">
        <v>2630</v>
      </c>
      <c r="E211" s="639" t="s">
        <v>2631</v>
      </c>
      <c r="F211" s="642"/>
      <c r="G211" s="642"/>
      <c r="H211" s="642"/>
      <c r="I211" s="642"/>
      <c r="J211" s="642">
        <v>3</v>
      </c>
      <c r="K211" s="642">
        <v>1674</v>
      </c>
      <c r="L211" s="642"/>
      <c r="M211" s="642">
        <v>558</v>
      </c>
      <c r="N211" s="642">
        <v>2</v>
      </c>
      <c r="O211" s="642">
        <v>1136</v>
      </c>
      <c r="P211" s="656"/>
      <c r="Q211" s="643">
        <v>568</v>
      </c>
    </row>
    <row r="212" spans="1:17" ht="14.4" customHeight="1" x14ac:dyDescent="0.3">
      <c r="A212" s="638" t="s">
        <v>2566</v>
      </c>
      <c r="B212" s="639" t="s">
        <v>2567</v>
      </c>
      <c r="C212" s="639" t="s">
        <v>1910</v>
      </c>
      <c r="D212" s="639" t="s">
        <v>2632</v>
      </c>
      <c r="E212" s="639" t="s">
        <v>2633</v>
      </c>
      <c r="F212" s="642">
        <v>2</v>
      </c>
      <c r="G212" s="642">
        <v>302</v>
      </c>
      <c r="H212" s="642">
        <v>1</v>
      </c>
      <c r="I212" s="642">
        <v>151</v>
      </c>
      <c r="J212" s="642"/>
      <c r="K212" s="642"/>
      <c r="L212" s="642"/>
      <c r="M212" s="642"/>
      <c r="N212" s="642">
        <v>1</v>
      </c>
      <c r="O212" s="642">
        <v>155</v>
      </c>
      <c r="P212" s="656">
        <v>0.51324503311258274</v>
      </c>
      <c r="Q212" s="643">
        <v>155</v>
      </c>
    </row>
    <row r="213" spans="1:17" ht="14.4" customHeight="1" x14ac:dyDescent="0.3">
      <c r="A213" s="638" t="s">
        <v>2566</v>
      </c>
      <c r="B213" s="639" t="s">
        <v>2567</v>
      </c>
      <c r="C213" s="639" t="s">
        <v>1910</v>
      </c>
      <c r="D213" s="639" t="s">
        <v>2634</v>
      </c>
      <c r="E213" s="639" t="s">
        <v>2635</v>
      </c>
      <c r="F213" s="642">
        <v>2</v>
      </c>
      <c r="G213" s="642">
        <v>386</v>
      </c>
      <c r="H213" s="642">
        <v>1</v>
      </c>
      <c r="I213" s="642">
        <v>193</v>
      </c>
      <c r="J213" s="642">
        <v>1</v>
      </c>
      <c r="K213" s="642">
        <v>195</v>
      </c>
      <c r="L213" s="642">
        <v>0.50518134715025909</v>
      </c>
      <c r="M213" s="642">
        <v>195</v>
      </c>
      <c r="N213" s="642">
        <v>2</v>
      </c>
      <c r="O213" s="642">
        <v>398</v>
      </c>
      <c r="P213" s="656">
        <v>1.0310880829015545</v>
      </c>
      <c r="Q213" s="643">
        <v>199</v>
      </c>
    </row>
    <row r="214" spans="1:17" ht="14.4" customHeight="1" x14ac:dyDescent="0.3">
      <c r="A214" s="638" t="s">
        <v>2566</v>
      </c>
      <c r="B214" s="639" t="s">
        <v>2567</v>
      </c>
      <c r="C214" s="639" t="s">
        <v>1910</v>
      </c>
      <c r="D214" s="639" t="s">
        <v>2636</v>
      </c>
      <c r="E214" s="639" t="s">
        <v>2637</v>
      </c>
      <c r="F214" s="642"/>
      <c r="G214" s="642"/>
      <c r="H214" s="642"/>
      <c r="I214" s="642"/>
      <c r="J214" s="642">
        <v>1</v>
      </c>
      <c r="K214" s="642">
        <v>200</v>
      </c>
      <c r="L214" s="642"/>
      <c r="M214" s="642">
        <v>200</v>
      </c>
      <c r="N214" s="642"/>
      <c r="O214" s="642"/>
      <c r="P214" s="656"/>
      <c r="Q214" s="643"/>
    </row>
    <row r="215" spans="1:17" ht="14.4" customHeight="1" x14ac:dyDescent="0.3">
      <c r="A215" s="638" t="s">
        <v>2566</v>
      </c>
      <c r="B215" s="639" t="s">
        <v>2567</v>
      </c>
      <c r="C215" s="639" t="s">
        <v>1910</v>
      </c>
      <c r="D215" s="639" t="s">
        <v>2638</v>
      </c>
      <c r="E215" s="639" t="s">
        <v>2639</v>
      </c>
      <c r="F215" s="642">
        <v>6</v>
      </c>
      <c r="G215" s="642">
        <v>2498</v>
      </c>
      <c r="H215" s="642">
        <v>1</v>
      </c>
      <c r="I215" s="642">
        <v>416.33333333333331</v>
      </c>
      <c r="J215" s="642">
        <v>1</v>
      </c>
      <c r="K215" s="642">
        <v>418</v>
      </c>
      <c r="L215" s="642">
        <v>0.16733386709367493</v>
      </c>
      <c r="M215" s="642">
        <v>418</v>
      </c>
      <c r="N215" s="642">
        <v>2</v>
      </c>
      <c r="O215" s="642">
        <v>852</v>
      </c>
      <c r="P215" s="656">
        <v>0.34107285828662931</v>
      </c>
      <c r="Q215" s="643">
        <v>426</v>
      </c>
    </row>
    <row r="216" spans="1:17" ht="14.4" customHeight="1" x14ac:dyDescent="0.3">
      <c r="A216" s="638" t="s">
        <v>2566</v>
      </c>
      <c r="B216" s="639" t="s">
        <v>2567</v>
      </c>
      <c r="C216" s="639" t="s">
        <v>1910</v>
      </c>
      <c r="D216" s="639" t="s">
        <v>2640</v>
      </c>
      <c r="E216" s="639" t="s">
        <v>2641</v>
      </c>
      <c r="F216" s="642">
        <v>2</v>
      </c>
      <c r="G216" s="642">
        <v>318</v>
      </c>
      <c r="H216" s="642">
        <v>1</v>
      </c>
      <c r="I216" s="642">
        <v>159</v>
      </c>
      <c r="J216" s="642"/>
      <c r="K216" s="642"/>
      <c r="L216" s="642"/>
      <c r="M216" s="642"/>
      <c r="N216" s="642">
        <v>2</v>
      </c>
      <c r="O216" s="642">
        <v>326</v>
      </c>
      <c r="P216" s="656">
        <v>1.0251572327044025</v>
      </c>
      <c r="Q216" s="643">
        <v>163</v>
      </c>
    </row>
    <row r="217" spans="1:17" ht="14.4" customHeight="1" x14ac:dyDescent="0.3">
      <c r="A217" s="638" t="s">
        <v>2566</v>
      </c>
      <c r="B217" s="639" t="s">
        <v>2567</v>
      </c>
      <c r="C217" s="639" t="s">
        <v>1910</v>
      </c>
      <c r="D217" s="639" t="s">
        <v>2642</v>
      </c>
      <c r="E217" s="639" t="s">
        <v>2643</v>
      </c>
      <c r="F217" s="642"/>
      <c r="G217" s="642"/>
      <c r="H217" s="642"/>
      <c r="I217" s="642"/>
      <c r="J217" s="642">
        <v>2</v>
      </c>
      <c r="K217" s="642">
        <v>4246</v>
      </c>
      <c r="L217" s="642"/>
      <c r="M217" s="642">
        <v>2123</v>
      </c>
      <c r="N217" s="642"/>
      <c r="O217" s="642"/>
      <c r="P217" s="656"/>
      <c r="Q217" s="643"/>
    </row>
    <row r="218" spans="1:17" ht="14.4" customHeight="1" x14ac:dyDescent="0.3">
      <c r="A218" s="638" t="s">
        <v>2566</v>
      </c>
      <c r="B218" s="639" t="s">
        <v>2567</v>
      </c>
      <c r="C218" s="639" t="s">
        <v>1910</v>
      </c>
      <c r="D218" s="639" t="s">
        <v>2644</v>
      </c>
      <c r="E218" s="639" t="s">
        <v>2645</v>
      </c>
      <c r="F218" s="642">
        <v>2</v>
      </c>
      <c r="G218" s="642">
        <v>1830</v>
      </c>
      <c r="H218" s="642">
        <v>1</v>
      </c>
      <c r="I218" s="642">
        <v>915</v>
      </c>
      <c r="J218" s="642">
        <v>4</v>
      </c>
      <c r="K218" s="642">
        <v>3668</v>
      </c>
      <c r="L218" s="642">
        <v>2.0043715846994536</v>
      </c>
      <c r="M218" s="642">
        <v>917</v>
      </c>
      <c r="N218" s="642">
        <v>2</v>
      </c>
      <c r="O218" s="642">
        <v>1866</v>
      </c>
      <c r="P218" s="656">
        <v>1.019672131147541</v>
      </c>
      <c r="Q218" s="643">
        <v>933</v>
      </c>
    </row>
    <row r="219" spans="1:17" ht="14.4" customHeight="1" x14ac:dyDescent="0.3">
      <c r="A219" s="638" t="s">
        <v>2646</v>
      </c>
      <c r="B219" s="639" t="s">
        <v>2647</v>
      </c>
      <c r="C219" s="639" t="s">
        <v>1910</v>
      </c>
      <c r="D219" s="639" t="s">
        <v>2648</v>
      </c>
      <c r="E219" s="639" t="s">
        <v>2649</v>
      </c>
      <c r="F219" s="642">
        <v>20</v>
      </c>
      <c r="G219" s="642">
        <v>4090</v>
      </c>
      <c r="H219" s="642">
        <v>1</v>
      </c>
      <c r="I219" s="642">
        <v>204.5</v>
      </c>
      <c r="J219" s="642">
        <v>28</v>
      </c>
      <c r="K219" s="642">
        <v>5768</v>
      </c>
      <c r="L219" s="642">
        <v>1.4102689486552566</v>
      </c>
      <c r="M219" s="642">
        <v>206</v>
      </c>
      <c r="N219" s="642">
        <v>22</v>
      </c>
      <c r="O219" s="642">
        <v>4642</v>
      </c>
      <c r="P219" s="656">
        <v>1.1349633251833742</v>
      </c>
      <c r="Q219" s="643">
        <v>211</v>
      </c>
    </row>
    <row r="220" spans="1:17" ht="14.4" customHeight="1" x14ac:dyDescent="0.3">
      <c r="A220" s="638" t="s">
        <v>2646</v>
      </c>
      <c r="B220" s="639" t="s">
        <v>2647</v>
      </c>
      <c r="C220" s="639" t="s">
        <v>1910</v>
      </c>
      <c r="D220" s="639" t="s">
        <v>2650</v>
      </c>
      <c r="E220" s="639" t="s">
        <v>2649</v>
      </c>
      <c r="F220" s="642">
        <v>6</v>
      </c>
      <c r="G220" s="642">
        <v>510</v>
      </c>
      <c r="H220" s="642">
        <v>1</v>
      </c>
      <c r="I220" s="642">
        <v>85</v>
      </c>
      <c r="J220" s="642">
        <v>3</v>
      </c>
      <c r="K220" s="642">
        <v>255</v>
      </c>
      <c r="L220" s="642">
        <v>0.5</v>
      </c>
      <c r="M220" s="642">
        <v>85</v>
      </c>
      <c r="N220" s="642"/>
      <c r="O220" s="642"/>
      <c r="P220" s="656"/>
      <c r="Q220" s="643"/>
    </row>
    <row r="221" spans="1:17" ht="14.4" customHeight="1" x14ac:dyDescent="0.3">
      <c r="A221" s="638" t="s">
        <v>2646</v>
      </c>
      <c r="B221" s="639" t="s">
        <v>2647</v>
      </c>
      <c r="C221" s="639" t="s">
        <v>1910</v>
      </c>
      <c r="D221" s="639" t="s">
        <v>2651</v>
      </c>
      <c r="E221" s="639" t="s">
        <v>2652</v>
      </c>
      <c r="F221" s="642">
        <v>70</v>
      </c>
      <c r="G221" s="642">
        <v>20566</v>
      </c>
      <c r="H221" s="642">
        <v>1</v>
      </c>
      <c r="I221" s="642">
        <v>293.8</v>
      </c>
      <c r="J221" s="642">
        <v>22</v>
      </c>
      <c r="K221" s="642">
        <v>6490</v>
      </c>
      <c r="L221" s="642">
        <v>0.31556938636584653</v>
      </c>
      <c r="M221" s="642">
        <v>295</v>
      </c>
      <c r="N221" s="642">
        <v>87</v>
      </c>
      <c r="O221" s="642">
        <v>26187</v>
      </c>
      <c r="P221" s="656">
        <v>1.2733151803948264</v>
      </c>
      <c r="Q221" s="643">
        <v>301</v>
      </c>
    </row>
    <row r="222" spans="1:17" ht="14.4" customHeight="1" x14ac:dyDescent="0.3">
      <c r="A222" s="638" t="s">
        <v>2646</v>
      </c>
      <c r="B222" s="639" t="s">
        <v>2647</v>
      </c>
      <c r="C222" s="639" t="s">
        <v>1910</v>
      </c>
      <c r="D222" s="639" t="s">
        <v>2653</v>
      </c>
      <c r="E222" s="639" t="s">
        <v>2654</v>
      </c>
      <c r="F222" s="642">
        <v>14</v>
      </c>
      <c r="G222" s="642">
        <v>1316</v>
      </c>
      <c r="H222" s="642">
        <v>1</v>
      </c>
      <c r="I222" s="642">
        <v>94</v>
      </c>
      <c r="J222" s="642">
        <v>21</v>
      </c>
      <c r="K222" s="642">
        <v>1995</v>
      </c>
      <c r="L222" s="642">
        <v>1.5159574468085106</v>
      </c>
      <c r="M222" s="642">
        <v>95</v>
      </c>
      <c r="N222" s="642">
        <v>17</v>
      </c>
      <c r="O222" s="642">
        <v>1683</v>
      </c>
      <c r="P222" s="656">
        <v>1.2788753799392096</v>
      </c>
      <c r="Q222" s="643">
        <v>99</v>
      </c>
    </row>
    <row r="223" spans="1:17" ht="14.4" customHeight="1" x14ac:dyDescent="0.3">
      <c r="A223" s="638" t="s">
        <v>2646</v>
      </c>
      <c r="B223" s="639" t="s">
        <v>2647</v>
      </c>
      <c r="C223" s="639" t="s">
        <v>1910</v>
      </c>
      <c r="D223" s="639" t="s">
        <v>2655</v>
      </c>
      <c r="E223" s="639" t="s">
        <v>2656</v>
      </c>
      <c r="F223" s="642">
        <v>8</v>
      </c>
      <c r="G223" s="642">
        <v>1781</v>
      </c>
      <c r="H223" s="642">
        <v>1</v>
      </c>
      <c r="I223" s="642">
        <v>222.625</v>
      </c>
      <c r="J223" s="642">
        <v>6</v>
      </c>
      <c r="K223" s="642">
        <v>1344</v>
      </c>
      <c r="L223" s="642">
        <v>0.75463222908478378</v>
      </c>
      <c r="M223" s="642">
        <v>224</v>
      </c>
      <c r="N223" s="642">
        <v>7</v>
      </c>
      <c r="O223" s="642">
        <v>1617</v>
      </c>
      <c r="P223" s="656">
        <v>0.90791690061763053</v>
      </c>
      <c r="Q223" s="643">
        <v>231</v>
      </c>
    </row>
    <row r="224" spans="1:17" ht="14.4" customHeight="1" x14ac:dyDescent="0.3">
      <c r="A224" s="638" t="s">
        <v>2646</v>
      </c>
      <c r="B224" s="639" t="s">
        <v>2647</v>
      </c>
      <c r="C224" s="639" t="s">
        <v>1910</v>
      </c>
      <c r="D224" s="639" t="s">
        <v>2657</v>
      </c>
      <c r="E224" s="639" t="s">
        <v>2658</v>
      </c>
      <c r="F224" s="642">
        <v>30</v>
      </c>
      <c r="G224" s="642">
        <v>4046</v>
      </c>
      <c r="H224" s="642">
        <v>1</v>
      </c>
      <c r="I224" s="642">
        <v>134.86666666666667</v>
      </c>
      <c r="J224" s="642">
        <v>19</v>
      </c>
      <c r="K224" s="642">
        <v>2565</v>
      </c>
      <c r="L224" s="642">
        <v>0.63395946613939691</v>
      </c>
      <c r="M224" s="642">
        <v>135</v>
      </c>
      <c r="N224" s="642">
        <v>28</v>
      </c>
      <c r="O224" s="642">
        <v>3836</v>
      </c>
      <c r="P224" s="656">
        <v>0.94809688581314877</v>
      </c>
      <c r="Q224" s="643">
        <v>137</v>
      </c>
    </row>
    <row r="225" spans="1:17" ht="14.4" customHeight="1" x14ac:dyDescent="0.3">
      <c r="A225" s="638" t="s">
        <v>2646</v>
      </c>
      <c r="B225" s="639" t="s">
        <v>2647</v>
      </c>
      <c r="C225" s="639" t="s">
        <v>1910</v>
      </c>
      <c r="D225" s="639" t="s">
        <v>2659</v>
      </c>
      <c r="E225" s="639" t="s">
        <v>2658</v>
      </c>
      <c r="F225" s="642"/>
      <c r="G225" s="642"/>
      <c r="H225" s="642"/>
      <c r="I225" s="642"/>
      <c r="J225" s="642"/>
      <c r="K225" s="642"/>
      <c r="L225" s="642"/>
      <c r="M225" s="642"/>
      <c r="N225" s="642">
        <v>1</v>
      </c>
      <c r="O225" s="642">
        <v>183</v>
      </c>
      <c r="P225" s="656"/>
      <c r="Q225" s="643">
        <v>183</v>
      </c>
    </row>
    <row r="226" spans="1:17" ht="14.4" customHeight="1" x14ac:dyDescent="0.3">
      <c r="A226" s="638" t="s">
        <v>2646</v>
      </c>
      <c r="B226" s="639" t="s">
        <v>2647</v>
      </c>
      <c r="C226" s="639" t="s">
        <v>1910</v>
      </c>
      <c r="D226" s="639" t="s">
        <v>2660</v>
      </c>
      <c r="E226" s="639" t="s">
        <v>2661</v>
      </c>
      <c r="F226" s="642">
        <v>13</v>
      </c>
      <c r="G226" s="642">
        <v>3676</v>
      </c>
      <c r="H226" s="642">
        <v>1</v>
      </c>
      <c r="I226" s="642">
        <v>282.76923076923077</v>
      </c>
      <c r="J226" s="642">
        <v>8</v>
      </c>
      <c r="K226" s="642">
        <v>2280</v>
      </c>
      <c r="L226" s="642">
        <v>0.62023939064200218</v>
      </c>
      <c r="M226" s="642">
        <v>285</v>
      </c>
      <c r="N226" s="642">
        <v>11</v>
      </c>
      <c r="O226" s="642">
        <v>3267</v>
      </c>
      <c r="P226" s="656">
        <v>0.88873775843307945</v>
      </c>
      <c r="Q226" s="643">
        <v>297</v>
      </c>
    </row>
    <row r="227" spans="1:17" ht="14.4" customHeight="1" x14ac:dyDescent="0.3">
      <c r="A227" s="638" t="s">
        <v>2646</v>
      </c>
      <c r="B227" s="639" t="s">
        <v>2647</v>
      </c>
      <c r="C227" s="639" t="s">
        <v>1910</v>
      </c>
      <c r="D227" s="639" t="s">
        <v>2662</v>
      </c>
      <c r="E227" s="639" t="s">
        <v>2663</v>
      </c>
      <c r="F227" s="642"/>
      <c r="G227" s="642"/>
      <c r="H227" s="642"/>
      <c r="I227" s="642"/>
      <c r="J227" s="642">
        <v>3</v>
      </c>
      <c r="K227" s="642">
        <v>1779</v>
      </c>
      <c r="L227" s="642"/>
      <c r="M227" s="642">
        <v>593</v>
      </c>
      <c r="N227" s="642">
        <v>1</v>
      </c>
      <c r="O227" s="642">
        <v>608</v>
      </c>
      <c r="P227" s="656"/>
      <c r="Q227" s="643">
        <v>608</v>
      </c>
    </row>
    <row r="228" spans="1:17" ht="14.4" customHeight="1" x14ac:dyDescent="0.3">
      <c r="A228" s="638" t="s">
        <v>2646</v>
      </c>
      <c r="B228" s="639" t="s">
        <v>2647</v>
      </c>
      <c r="C228" s="639" t="s">
        <v>1910</v>
      </c>
      <c r="D228" s="639" t="s">
        <v>2664</v>
      </c>
      <c r="E228" s="639" t="s">
        <v>2665</v>
      </c>
      <c r="F228" s="642">
        <v>33</v>
      </c>
      <c r="G228" s="642">
        <v>5274</v>
      </c>
      <c r="H228" s="642">
        <v>1</v>
      </c>
      <c r="I228" s="642">
        <v>159.81818181818181</v>
      </c>
      <c r="J228" s="642">
        <v>15</v>
      </c>
      <c r="K228" s="642">
        <v>2415</v>
      </c>
      <c r="L228" s="642">
        <v>0.45790671217292378</v>
      </c>
      <c r="M228" s="642">
        <v>161</v>
      </c>
      <c r="N228" s="642">
        <v>21</v>
      </c>
      <c r="O228" s="642">
        <v>3633</v>
      </c>
      <c r="P228" s="656">
        <v>0.68885096700796355</v>
      </c>
      <c r="Q228" s="643">
        <v>173</v>
      </c>
    </row>
    <row r="229" spans="1:17" ht="14.4" customHeight="1" x14ac:dyDescent="0.3">
      <c r="A229" s="638" t="s">
        <v>2646</v>
      </c>
      <c r="B229" s="639" t="s">
        <v>2647</v>
      </c>
      <c r="C229" s="639" t="s">
        <v>1910</v>
      </c>
      <c r="D229" s="639" t="s">
        <v>2666</v>
      </c>
      <c r="E229" s="639" t="s">
        <v>2667</v>
      </c>
      <c r="F229" s="642">
        <v>1</v>
      </c>
      <c r="G229" s="642">
        <v>382</v>
      </c>
      <c r="H229" s="642">
        <v>1</v>
      </c>
      <c r="I229" s="642">
        <v>382</v>
      </c>
      <c r="J229" s="642">
        <v>5</v>
      </c>
      <c r="K229" s="642">
        <v>1915</v>
      </c>
      <c r="L229" s="642">
        <v>5.0130890052356021</v>
      </c>
      <c r="M229" s="642">
        <v>383</v>
      </c>
      <c r="N229" s="642">
        <v>3</v>
      </c>
      <c r="O229" s="642">
        <v>1152</v>
      </c>
      <c r="P229" s="656">
        <v>3.0157068062827226</v>
      </c>
      <c r="Q229" s="643">
        <v>384</v>
      </c>
    </row>
    <row r="230" spans="1:17" ht="14.4" customHeight="1" x14ac:dyDescent="0.3">
      <c r="A230" s="638" t="s">
        <v>2646</v>
      </c>
      <c r="B230" s="639" t="s">
        <v>2647</v>
      </c>
      <c r="C230" s="639" t="s">
        <v>1910</v>
      </c>
      <c r="D230" s="639" t="s">
        <v>2668</v>
      </c>
      <c r="E230" s="639" t="s">
        <v>2669</v>
      </c>
      <c r="F230" s="642">
        <v>2</v>
      </c>
      <c r="G230" s="642">
        <v>530</v>
      </c>
      <c r="H230" s="642">
        <v>1</v>
      </c>
      <c r="I230" s="642">
        <v>265</v>
      </c>
      <c r="J230" s="642">
        <v>1</v>
      </c>
      <c r="K230" s="642">
        <v>266</v>
      </c>
      <c r="L230" s="642">
        <v>0.50188679245283019</v>
      </c>
      <c r="M230" s="642">
        <v>266</v>
      </c>
      <c r="N230" s="642">
        <v>3</v>
      </c>
      <c r="O230" s="642">
        <v>819</v>
      </c>
      <c r="P230" s="656">
        <v>1.5452830188679245</v>
      </c>
      <c r="Q230" s="643">
        <v>273</v>
      </c>
    </row>
    <row r="231" spans="1:17" ht="14.4" customHeight="1" x14ac:dyDescent="0.3">
      <c r="A231" s="638" t="s">
        <v>2646</v>
      </c>
      <c r="B231" s="639" t="s">
        <v>2647</v>
      </c>
      <c r="C231" s="639" t="s">
        <v>1910</v>
      </c>
      <c r="D231" s="639" t="s">
        <v>2670</v>
      </c>
      <c r="E231" s="639" t="s">
        <v>2671</v>
      </c>
      <c r="F231" s="642">
        <v>1</v>
      </c>
      <c r="G231" s="642">
        <v>141</v>
      </c>
      <c r="H231" s="642">
        <v>1</v>
      </c>
      <c r="I231" s="642">
        <v>141</v>
      </c>
      <c r="J231" s="642">
        <v>3</v>
      </c>
      <c r="K231" s="642">
        <v>423</v>
      </c>
      <c r="L231" s="642">
        <v>3</v>
      </c>
      <c r="M231" s="642">
        <v>141</v>
      </c>
      <c r="N231" s="642">
        <v>2</v>
      </c>
      <c r="O231" s="642">
        <v>284</v>
      </c>
      <c r="P231" s="656">
        <v>2.0141843971631204</v>
      </c>
      <c r="Q231" s="643">
        <v>142</v>
      </c>
    </row>
    <row r="232" spans="1:17" ht="14.4" customHeight="1" x14ac:dyDescent="0.3">
      <c r="A232" s="638" t="s">
        <v>2646</v>
      </c>
      <c r="B232" s="639" t="s">
        <v>2647</v>
      </c>
      <c r="C232" s="639" t="s">
        <v>1910</v>
      </c>
      <c r="D232" s="639" t="s">
        <v>2672</v>
      </c>
      <c r="E232" s="639" t="s">
        <v>2671</v>
      </c>
      <c r="F232" s="642">
        <v>31</v>
      </c>
      <c r="G232" s="642">
        <v>2418</v>
      </c>
      <c r="H232" s="642">
        <v>1</v>
      </c>
      <c r="I232" s="642">
        <v>78</v>
      </c>
      <c r="J232" s="642">
        <v>19</v>
      </c>
      <c r="K232" s="642">
        <v>1482</v>
      </c>
      <c r="L232" s="642">
        <v>0.61290322580645162</v>
      </c>
      <c r="M232" s="642">
        <v>78</v>
      </c>
      <c r="N232" s="642">
        <v>27</v>
      </c>
      <c r="O232" s="642">
        <v>2106</v>
      </c>
      <c r="P232" s="656">
        <v>0.87096774193548387</v>
      </c>
      <c r="Q232" s="643">
        <v>78</v>
      </c>
    </row>
    <row r="233" spans="1:17" ht="14.4" customHeight="1" x14ac:dyDescent="0.3">
      <c r="A233" s="638" t="s">
        <v>2646</v>
      </c>
      <c r="B233" s="639" t="s">
        <v>2647</v>
      </c>
      <c r="C233" s="639" t="s">
        <v>1910</v>
      </c>
      <c r="D233" s="639" t="s">
        <v>2673</v>
      </c>
      <c r="E233" s="639" t="s">
        <v>2674</v>
      </c>
      <c r="F233" s="642">
        <v>4</v>
      </c>
      <c r="G233" s="642">
        <v>1221</v>
      </c>
      <c r="H233" s="642">
        <v>1</v>
      </c>
      <c r="I233" s="642">
        <v>305.25</v>
      </c>
      <c r="J233" s="642">
        <v>3</v>
      </c>
      <c r="K233" s="642">
        <v>921</v>
      </c>
      <c r="L233" s="642">
        <v>0.75429975429975427</v>
      </c>
      <c r="M233" s="642">
        <v>307</v>
      </c>
      <c r="N233" s="642">
        <v>2</v>
      </c>
      <c r="O233" s="642">
        <v>626</v>
      </c>
      <c r="P233" s="656">
        <v>0.51269451269451272</v>
      </c>
      <c r="Q233" s="643">
        <v>313</v>
      </c>
    </row>
    <row r="234" spans="1:17" ht="14.4" customHeight="1" x14ac:dyDescent="0.3">
      <c r="A234" s="638" t="s">
        <v>2646</v>
      </c>
      <c r="B234" s="639" t="s">
        <v>2647</v>
      </c>
      <c r="C234" s="639" t="s">
        <v>1910</v>
      </c>
      <c r="D234" s="639" t="s">
        <v>2675</v>
      </c>
      <c r="E234" s="639" t="s">
        <v>2676</v>
      </c>
      <c r="F234" s="642">
        <v>2270</v>
      </c>
      <c r="G234" s="642">
        <v>1104994</v>
      </c>
      <c r="H234" s="642">
        <v>1</v>
      </c>
      <c r="I234" s="642">
        <v>486.78149779735685</v>
      </c>
      <c r="J234" s="642">
        <v>2286</v>
      </c>
      <c r="K234" s="642">
        <v>1113282</v>
      </c>
      <c r="L234" s="642">
        <v>1.0075004932153477</v>
      </c>
      <c r="M234" s="642">
        <v>487</v>
      </c>
      <c r="N234" s="642">
        <v>2256</v>
      </c>
      <c r="O234" s="642">
        <v>1100928</v>
      </c>
      <c r="P234" s="656">
        <v>0.9963203420109068</v>
      </c>
      <c r="Q234" s="643">
        <v>488</v>
      </c>
    </row>
    <row r="235" spans="1:17" ht="14.4" customHeight="1" x14ac:dyDescent="0.3">
      <c r="A235" s="638" t="s">
        <v>2646</v>
      </c>
      <c r="B235" s="639" t="s">
        <v>2647</v>
      </c>
      <c r="C235" s="639" t="s">
        <v>1910</v>
      </c>
      <c r="D235" s="639" t="s">
        <v>2677</v>
      </c>
      <c r="E235" s="639" t="s">
        <v>2678</v>
      </c>
      <c r="F235" s="642">
        <v>28</v>
      </c>
      <c r="G235" s="642">
        <v>4503</v>
      </c>
      <c r="H235" s="642">
        <v>1</v>
      </c>
      <c r="I235" s="642">
        <v>160.82142857142858</v>
      </c>
      <c r="J235" s="642">
        <v>25</v>
      </c>
      <c r="K235" s="642">
        <v>4025</v>
      </c>
      <c r="L235" s="642">
        <v>0.89384854541416836</v>
      </c>
      <c r="M235" s="642">
        <v>161</v>
      </c>
      <c r="N235" s="642">
        <v>32</v>
      </c>
      <c r="O235" s="642">
        <v>5216</v>
      </c>
      <c r="P235" s="656">
        <v>1.1583388851876526</v>
      </c>
      <c r="Q235" s="643">
        <v>163</v>
      </c>
    </row>
    <row r="236" spans="1:17" ht="14.4" customHeight="1" x14ac:dyDescent="0.3">
      <c r="A236" s="638" t="s">
        <v>2646</v>
      </c>
      <c r="B236" s="639" t="s">
        <v>2647</v>
      </c>
      <c r="C236" s="639" t="s">
        <v>1910</v>
      </c>
      <c r="D236" s="639" t="s">
        <v>2679</v>
      </c>
      <c r="E236" s="639" t="s">
        <v>2649</v>
      </c>
      <c r="F236" s="642">
        <v>88</v>
      </c>
      <c r="G236" s="642">
        <v>6225</v>
      </c>
      <c r="H236" s="642">
        <v>1</v>
      </c>
      <c r="I236" s="642">
        <v>70.73863636363636</v>
      </c>
      <c r="J236" s="642">
        <v>110</v>
      </c>
      <c r="K236" s="642">
        <v>7810</v>
      </c>
      <c r="L236" s="642">
        <v>1.2546184738955823</v>
      </c>
      <c r="M236" s="642">
        <v>71</v>
      </c>
      <c r="N236" s="642">
        <v>109</v>
      </c>
      <c r="O236" s="642">
        <v>7848</v>
      </c>
      <c r="P236" s="656">
        <v>1.2607228915662652</v>
      </c>
      <c r="Q236" s="643">
        <v>72</v>
      </c>
    </row>
    <row r="237" spans="1:17" ht="14.4" customHeight="1" x14ac:dyDescent="0.3">
      <c r="A237" s="638" t="s">
        <v>2646</v>
      </c>
      <c r="B237" s="639" t="s">
        <v>2647</v>
      </c>
      <c r="C237" s="639" t="s">
        <v>1910</v>
      </c>
      <c r="D237" s="639" t="s">
        <v>2680</v>
      </c>
      <c r="E237" s="639" t="s">
        <v>2681</v>
      </c>
      <c r="F237" s="642">
        <v>8</v>
      </c>
      <c r="G237" s="642">
        <v>9536</v>
      </c>
      <c r="H237" s="642">
        <v>1</v>
      </c>
      <c r="I237" s="642">
        <v>1192</v>
      </c>
      <c r="J237" s="642">
        <v>6</v>
      </c>
      <c r="K237" s="642">
        <v>7170</v>
      </c>
      <c r="L237" s="642">
        <v>0.75188758389261745</v>
      </c>
      <c r="M237" s="642">
        <v>1195</v>
      </c>
      <c r="N237" s="642">
        <v>9</v>
      </c>
      <c r="O237" s="642">
        <v>10899</v>
      </c>
      <c r="P237" s="656">
        <v>1.1429320469798658</v>
      </c>
      <c r="Q237" s="643">
        <v>1211</v>
      </c>
    </row>
    <row r="238" spans="1:17" ht="14.4" customHeight="1" x14ac:dyDescent="0.3">
      <c r="A238" s="638" t="s">
        <v>2646</v>
      </c>
      <c r="B238" s="639" t="s">
        <v>2647</v>
      </c>
      <c r="C238" s="639" t="s">
        <v>1910</v>
      </c>
      <c r="D238" s="639" t="s">
        <v>2682</v>
      </c>
      <c r="E238" s="639" t="s">
        <v>2683</v>
      </c>
      <c r="F238" s="642">
        <v>410</v>
      </c>
      <c r="G238" s="642">
        <v>44590</v>
      </c>
      <c r="H238" s="642">
        <v>1</v>
      </c>
      <c r="I238" s="642">
        <v>108.7560975609756</v>
      </c>
      <c r="J238" s="642">
        <v>458</v>
      </c>
      <c r="K238" s="642">
        <v>50380</v>
      </c>
      <c r="L238" s="642">
        <v>1.1298497420946401</v>
      </c>
      <c r="M238" s="642">
        <v>110</v>
      </c>
      <c r="N238" s="642">
        <v>423</v>
      </c>
      <c r="O238" s="642">
        <v>48222</v>
      </c>
      <c r="P238" s="656">
        <v>1.0814532406369142</v>
      </c>
      <c r="Q238" s="643">
        <v>114</v>
      </c>
    </row>
    <row r="239" spans="1:17" ht="14.4" customHeight="1" x14ac:dyDescent="0.3">
      <c r="A239" s="638" t="s">
        <v>2646</v>
      </c>
      <c r="B239" s="639" t="s">
        <v>2647</v>
      </c>
      <c r="C239" s="639" t="s">
        <v>1910</v>
      </c>
      <c r="D239" s="639" t="s">
        <v>2684</v>
      </c>
      <c r="E239" s="639" t="s">
        <v>2685</v>
      </c>
      <c r="F239" s="642">
        <v>1</v>
      </c>
      <c r="G239" s="642">
        <v>322</v>
      </c>
      <c r="H239" s="642">
        <v>1</v>
      </c>
      <c r="I239" s="642">
        <v>322</v>
      </c>
      <c r="J239" s="642">
        <v>2</v>
      </c>
      <c r="K239" s="642">
        <v>646</v>
      </c>
      <c r="L239" s="642">
        <v>2.0062111801242235</v>
      </c>
      <c r="M239" s="642">
        <v>323</v>
      </c>
      <c r="N239" s="642"/>
      <c r="O239" s="642"/>
      <c r="P239" s="656"/>
      <c r="Q239" s="643"/>
    </row>
    <row r="240" spans="1:17" ht="14.4" customHeight="1" x14ac:dyDescent="0.3">
      <c r="A240" s="638" t="s">
        <v>2646</v>
      </c>
      <c r="B240" s="639" t="s">
        <v>2647</v>
      </c>
      <c r="C240" s="639" t="s">
        <v>1910</v>
      </c>
      <c r="D240" s="639" t="s">
        <v>2686</v>
      </c>
      <c r="E240" s="639" t="s">
        <v>2687</v>
      </c>
      <c r="F240" s="642">
        <v>1043</v>
      </c>
      <c r="G240" s="642">
        <v>150997</v>
      </c>
      <c r="H240" s="642">
        <v>1</v>
      </c>
      <c r="I240" s="642">
        <v>144.7718120805369</v>
      </c>
      <c r="J240" s="642">
        <v>1074</v>
      </c>
      <c r="K240" s="642">
        <v>156804</v>
      </c>
      <c r="L240" s="642">
        <v>1.0384577177030008</v>
      </c>
      <c r="M240" s="642">
        <v>146</v>
      </c>
      <c r="N240" s="642">
        <v>1035</v>
      </c>
      <c r="O240" s="642">
        <v>155250</v>
      </c>
      <c r="P240" s="656">
        <v>1.0281661225057452</v>
      </c>
      <c r="Q240" s="643">
        <v>150</v>
      </c>
    </row>
    <row r="241" spans="1:17" ht="14.4" customHeight="1" x14ac:dyDescent="0.3">
      <c r="A241" s="638" t="s">
        <v>2646</v>
      </c>
      <c r="B241" s="639" t="s">
        <v>2647</v>
      </c>
      <c r="C241" s="639" t="s">
        <v>1910</v>
      </c>
      <c r="D241" s="639" t="s">
        <v>2688</v>
      </c>
      <c r="E241" s="639" t="s">
        <v>2689</v>
      </c>
      <c r="F241" s="642">
        <v>6</v>
      </c>
      <c r="G241" s="642">
        <v>1758</v>
      </c>
      <c r="H241" s="642">
        <v>1</v>
      </c>
      <c r="I241" s="642">
        <v>293</v>
      </c>
      <c r="J241" s="642">
        <v>10</v>
      </c>
      <c r="K241" s="642">
        <v>2940</v>
      </c>
      <c r="L241" s="642">
        <v>1.6723549488054608</v>
      </c>
      <c r="M241" s="642">
        <v>294</v>
      </c>
      <c r="N241" s="642">
        <v>8</v>
      </c>
      <c r="O241" s="642">
        <v>2408</v>
      </c>
      <c r="P241" s="656">
        <v>1.3697383390216156</v>
      </c>
      <c r="Q241" s="643">
        <v>301</v>
      </c>
    </row>
    <row r="242" spans="1:17" ht="14.4" customHeight="1" x14ac:dyDescent="0.3">
      <c r="A242" s="638" t="s">
        <v>2690</v>
      </c>
      <c r="B242" s="639" t="s">
        <v>2691</v>
      </c>
      <c r="C242" s="639" t="s">
        <v>1910</v>
      </c>
      <c r="D242" s="639" t="s">
        <v>2692</v>
      </c>
      <c r="E242" s="639" t="s">
        <v>2693</v>
      </c>
      <c r="F242" s="642">
        <v>10</v>
      </c>
      <c r="G242" s="642">
        <v>534</v>
      </c>
      <c r="H242" s="642">
        <v>1</v>
      </c>
      <c r="I242" s="642">
        <v>53.4</v>
      </c>
      <c r="J242" s="642">
        <v>12</v>
      </c>
      <c r="K242" s="642">
        <v>648</v>
      </c>
      <c r="L242" s="642">
        <v>1.2134831460674158</v>
      </c>
      <c r="M242" s="642">
        <v>54</v>
      </c>
      <c r="N242" s="642">
        <v>20</v>
      </c>
      <c r="O242" s="642">
        <v>1160</v>
      </c>
      <c r="P242" s="656">
        <v>2.1722846441947565</v>
      </c>
      <c r="Q242" s="643">
        <v>58</v>
      </c>
    </row>
    <row r="243" spans="1:17" ht="14.4" customHeight="1" x14ac:dyDescent="0.3">
      <c r="A243" s="638" t="s">
        <v>2690</v>
      </c>
      <c r="B243" s="639" t="s">
        <v>2691</v>
      </c>
      <c r="C243" s="639" t="s">
        <v>1910</v>
      </c>
      <c r="D243" s="639" t="s">
        <v>2694</v>
      </c>
      <c r="E243" s="639" t="s">
        <v>2695</v>
      </c>
      <c r="F243" s="642">
        <v>30</v>
      </c>
      <c r="G243" s="642">
        <v>3658</v>
      </c>
      <c r="H243" s="642">
        <v>1</v>
      </c>
      <c r="I243" s="642">
        <v>121.93333333333334</v>
      </c>
      <c r="J243" s="642">
        <v>34</v>
      </c>
      <c r="K243" s="642">
        <v>4182</v>
      </c>
      <c r="L243" s="642">
        <v>1.1432476763258612</v>
      </c>
      <c r="M243" s="642">
        <v>123</v>
      </c>
      <c r="N243" s="642">
        <v>54</v>
      </c>
      <c r="O243" s="642">
        <v>7074</v>
      </c>
      <c r="P243" s="656">
        <v>1.9338436303991251</v>
      </c>
      <c r="Q243" s="643">
        <v>131</v>
      </c>
    </row>
    <row r="244" spans="1:17" ht="14.4" customHeight="1" x14ac:dyDescent="0.3">
      <c r="A244" s="638" t="s">
        <v>2690</v>
      </c>
      <c r="B244" s="639" t="s">
        <v>2691</v>
      </c>
      <c r="C244" s="639" t="s">
        <v>1910</v>
      </c>
      <c r="D244" s="639" t="s">
        <v>2696</v>
      </c>
      <c r="E244" s="639" t="s">
        <v>2697</v>
      </c>
      <c r="F244" s="642">
        <v>1</v>
      </c>
      <c r="G244" s="642">
        <v>176</v>
      </c>
      <c r="H244" s="642">
        <v>1</v>
      </c>
      <c r="I244" s="642">
        <v>176</v>
      </c>
      <c r="J244" s="642">
        <v>1</v>
      </c>
      <c r="K244" s="642">
        <v>177</v>
      </c>
      <c r="L244" s="642">
        <v>1.0056818181818181</v>
      </c>
      <c r="M244" s="642">
        <v>177</v>
      </c>
      <c r="N244" s="642">
        <v>1</v>
      </c>
      <c r="O244" s="642">
        <v>189</v>
      </c>
      <c r="P244" s="656">
        <v>1.0738636363636365</v>
      </c>
      <c r="Q244" s="643">
        <v>189</v>
      </c>
    </row>
    <row r="245" spans="1:17" ht="14.4" customHeight="1" x14ac:dyDescent="0.3">
      <c r="A245" s="638" t="s">
        <v>2690</v>
      </c>
      <c r="B245" s="639" t="s">
        <v>2691</v>
      </c>
      <c r="C245" s="639" t="s">
        <v>1910</v>
      </c>
      <c r="D245" s="639" t="s">
        <v>2698</v>
      </c>
      <c r="E245" s="639" t="s">
        <v>2699</v>
      </c>
      <c r="F245" s="642"/>
      <c r="G245" s="642"/>
      <c r="H245" s="642"/>
      <c r="I245" s="642"/>
      <c r="J245" s="642">
        <v>1</v>
      </c>
      <c r="K245" s="642">
        <v>384</v>
      </c>
      <c r="L245" s="642"/>
      <c r="M245" s="642">
        <v>384</v>
      </c>
      <c r="N245" s="642">
        <v>2</v>
      </c>
      <c r="O245" s="642">
        <v>814</v>
      </c>
      <c r="P245" s="656"/>
      <c r="Q245" s="643">
        <v>407</v>
      </c>
    </row>
    <row r="246" spans="1:17" ht="14.4" customHeight="1" x14ac:dyDescent="0.3">
      <c r="A246" s="638" t="s">
        <v>2690</v>
      </c>
      <c r="B246" s="639" t="s">
        <v>2691</v>
      </c>
      <c r="C246" s="639" t="s">
        <v>1910</v>
      </c>
      <c r="D246" s="639" t="s">
        <v>2700</v>
      </c>
      <c r="E246" s="639" t="s">
        <v>2701</v>
      </c>
      <c r="F246" s="642">
        <v>3</v>
      </c>
      <c r="G246" s="642">
        <v>513</v>
      </c>
      <c r="H246" s="642">
        <v>1</v>
      </c>
      <c r="I246" s="642">
        <v>171</v>
      </c>
      <c r="J246" s="642">
        <v>16</v>
      </c>
      <c r="K246" s="642">
        <v>2752</v>
      </c>
      <c r="L246" s="642">
        <v>5.3645224171539958</v>
      </c>
      <c r="M246" s="642">
        <v>172</v>
      </c>
      <c r="N246" s="642"/>
      <c r="O246" s="642"/>
      <c r="P246" s="656"/>
      <c r="Q246" s="643"/>
    </row>
    <row r="247" spans="1:17" ht="14.4" customHeight="1" x14ac:dyDescent="0.3">
      <c r="A247" s="638" t="s">
        <v>2690</v>
      </c>
      <c r="B247" s="639" t="s">
        <v>2691</v>
      </c>
      <c r="C247" s="639" t="s">
        <v>1910</v>
      </c>
      <c r="D247" s="639" t="s">
        <v>2702</v>
      </c>
      <c r="E247" s="639" t="s">
        <v>2703</v>
      </c>
      <c r="F247" s="642"/>
      <c r="G247" s="642"/>
      <c r="H247" s="642"/>
      <c r="I247" s="642"/>
      <c r="J247" s="642">
        <v>1</v>
      </c>
      <c r="K247" s="642">
        <v>533</v>
      </c>
      <c r="L247" s="642"/>
      <c r="M247" s="642">
        <v>533</v>
      </c>
      <c r="N247" s="642"/>
      <c r="O247" s="642"/>
      <c r="P247" s="656"/>
      <c r="Q247" s="643"/>
    </row>
    <row r="248" spans="1:17" ht="14.4" customHeight="1" x14ac:dyDescent="0.3">
      <c r="A248" s="638" t="s">
        <v>2690</v>
      </c>
      <c r="B248" s="639" t="s">
        <v>2691</v>
      </c>
      <c r="C248" s="639" t="s">
        <v>1910</v>
      </c>
      <c r="D248" s="639" t="s">
        <v>2704</v>
      </c>
      <c r="E248" s="639" t="s">
        <v>2705</v>
      </c>
      <c r="F248" s="642">
        <v>6</v>
      </c>
      <c r="G248" s="642">
        <v>1912</v>
      </c>
      <c r="H248" s="642">
        <v>1</v>
      </c>
      <c r="I248" s="642">
        <v>318.66666666666669</v>
      </c>
      <c r="J248" s="642">
        <v>3</v>
      </c>
      <c r="K248" s="642">
        <v>966</v>
      </c>
      <c r="L248" s="642">
        <v>0.50523012552301261</v>
      </c>
      <c r="M248" s="642">
        <v>322</v>
      </c>
      <c r="N248" s="642"/>
      <c r="O248" s="642"/>
      <c r="P248" s="656"/>
      <c r="Q248" s="643"/>
    </row>
    <row r="249" spans="1:17" ht="14.4" customHeight="1" x14ac:dyDescent="0.3">
      <c r="A249" s="638" t="s">
        <v>2690</v>
      </c>
      <c r="B249" s="639" t="s">
        <v>2691</v>
      </c>
      <c r="C249" s="639" t="s">
        <v>1910</v>
      </c>
      <c r="D249" s="639" t="s">
        <v>2706</v>
      </c>
      <c r="E249" s="639" t="s">
        <v>2707</v>
      </c>
      <c r="F249" s="642">
        <v>9</v>
      </c>
      <c r="G249" s="642">
        <v>3044</v>
      </c>
      <c r="H249" s="642">
        <v>1</v>
      </c>
      <c r="I249" s="642">
        <v>338.22222222222223</v>
      </c>
      <c r="J249" s="642">
        <v>33</v>
      </c>
      <c r="K249" s="642">
        <v>11253</v>
      </c>
      <c r="L249" s="642">
        <v>3.6967805519053876</v>
      </c>
      <c r="M249" s="642">
        <v>341</v>
      </c>
      <c r="N249" s="642">
        <v>39</v>
      </c>
      <c r="O249" s="642">
        <v>13611</v>
      </c>
      <c r="P249" s="656">
        <v>4.4714191852825227</v>
      </c>
      <c r="Q249" s="643">
        <v>349</v>
      </c>
    </row>
    <row r="250" spans="1:17" ht="14.4" customHeight="1" x14ac:dyDescent="0.3">
      <c r="A250" s="638" t="s">
        <v>2690</v>
      </c>
      <c r="B250" s="639" t="s">
        <v>2691</v>
      </c>
      <c r="C250" s="639" t="s">
        <v>1910</v>
      </c>
      <c r="D250" s="639" t="s">
        <v>2708</v>
      </c>
      <c r="E250" s="639" t="s">
        <v>2709</v>
      </c>
      <c r="F250" s="642"/>
      <c r="G250" s="642"/>
      <c r="H250" s="642"/>
      <c r="I250" s="642"/>
      <c r="J250" s="642">
        <v>1</v>
      </c>
      <c r="K250" s="642">
        <v>109</v>
      </c>
      <c r="L250" s="642"/>
      <c r="M250" s="642">
        <v>109</v>
      </c>
      <c r="N250" s="642">
        <v>2</v>
      </c>
      <c r="O250" s="642">
        <v>234</v>
      </c>
      <c r="P250" s="656"/>
      <c r="Q250" s="643">
        <v>117</v>
      </c>
    </row>
    <row r="251" spans="1:17" ht="14.4" customHeight="1" x14ac:dyDescent="0.3">
      <c r="A251" s="638" t="s">
        <v>2690</v>
      </c>
      <c r="B251" s="639" t="s">
        <v>2691</v>
      </c>
      <c r="C251" s="639" t="s">
        <v>1910</v>
      </c>
      <c r="D251" s="639" t="s">
        <v>2710</v>
      </c>
      <c r="E251" s="639" t="s">
        <v>2711</v>
      </c>
      <c r="F251" s="642"/>
      <c r="G251" s="642"/>
      <c r="H251" s="642"/>
      <c r="I251" s="642"/>
      <c r="J251" s="642">
        <v>1</v>
      </c>
      <c r="K251" s="642">
        <v>37</v>
      </c>
      <c r="L251" s="642"/>
      <c r="M251" s="642">
        <v>37</v>
      </c>
      <c r="N251" s="642">
        <v>2</v>
      </c>
      <c r="O251" s="642">
        <v>76</v>
      </c>
      <c r="P251" s="656"/>
      <c r="Q251" s="643">
        <v>38</v>
      </c>
    </row>
    <row r="252" spans="1:17" ht="14.4" customHeight="1" x14ac:dyDescent="0.3">
      <c r="A252" s="638" t="s">
        <v>2690</v>
      </c>
      <c r="B252" s="639" t="s">
        <v>2691</v>
      </c>
      <c r="C252" s="639" t="s">
        <v>1910</v>
      </c>
      <c r="D252" s="639" t="s">
        <v>2712</v>
      </c>
      <c r="E252" s="639" t="s">
        <v>2713</v>
      </c>
      <c r="F252" s="642">
        <v>20</v>
      </c>
      <c r="G252" s="642">
        <v>5677</v>
      </c>
      <c r="H252" s="642">
        <v>1</v>
      </c>
      <c r="I252" s="642">
        <v>283.85000000000002</v>
      </c>
      <c r="J252" s="642">
        <v>20</v>
      </c>
      <c r="K252" s="642">
        <v>5700</v>
      </c>
      <c r="L252" s="642">
        <v>1.0040514356174035</v>
      </c>
      <c r="M252" s="642">
        <v>285</v>
      </c>
      <c r="N252" s="642">
        <v>34</v>
      </c>
      <c r="O252" s="642">
        <v>10336</v>
      </c>
      <c r="P252" s="656">
        <v>1.8206799365862252</v>
      </c>
      <c r="Q252" s="643">
        <v>304</v>
      </c>
    </row>
    <row r="253" spans="1:17" ht="14.4" customHeight="1" x14ac:dyDescent="0.3">
      <c r="A253" s="638" t="s">
        <v>2690</v>
      </c>
      <c r="B253" s="639" t="s">
        <v>2691</v>
      </c>
      <c r="C253" s="639" t="s">
        <v>1910</v>
      </c>
      <c r="D253" s="639" t="s">
        <v>2714</v>
      </c>
      <c r="E253" s="639" t="s">
        <v>2715</v>
      </c>
      <c r="F253" s="642">
        <v>5</v>
      </c>
      <c r="G253" s="642">
        <v>2284</v>
      </c>
      <c r="H253" s="642">
        <v>1</v>
      </c>
      <c r="I253" s="642">
        <v>456.8</v>
      </c>
      <c r="J253" s="642">
        <v>6</v>
      </c>
      <c r="K253" s="642">
        <v>2772</v>
      </c>
      <c r="L253" s="642">
        <v>1.2136602451838878</v>
      </c>
      <c r="M253" s="642">
        <v>462</v>
      </c>
      <c r="N253" s="642">
        <v>5</v>
      </c>
      <c r="O253" s="642">
        <v>2470</v>
      </c>
      <c r="P253" s="656">
        <v>1.0814360770577933</v>
      </c>
      <c r="Q253" s="643">
        <v>494</v>
      </c>
    </row>
    <row r="254" spans="1:17" ht="14.4" customHeight="1" x14ac:dyDescent="0.3">
      <c r="A254" s="638" t="s">
        <v>2690</v>
      </c>
      <c r="B254" s="639" t="s">
        <v>2691</v>
      </c>
      <c r="C254" s="639" t="s">
        <v>1910</v>
      </c>
      <c r="D254" s="639" t="s">
        <v>2716</v>
      </c>
      <c r="E254" s="639" t="s">
        <v>2717</v>
      </c>
      <c r="F254" s="642">
        <v>22</v>
      </c>
      <c r="G254" s="642">
        <v>7764</v>
      </c>
      <c r="H254" s="642">
        <v>1</v>
      </c>
      <c r="I254" s="642">
        <v>352.90909090909093</v>
      </c>
      <c r="J254" s="642">
        <v>28</v>
      </c>
      <c r="K254" s="642">
        <v>9968</v>
      </c>
      <c r="L254" s="642">
        <v>1.283874291602267</v>
      </c>
      <c r="M254" s="642">
        <v>356</v>
      </c>
      <c r="N254" s="642">
        <v>39</v>
      </c>
      <c r="O254" s="642">
        <v>14430</v>
      </c>
      <c r="P254" s="656">
        <v>1.8585780525502318</v>
      </c>
      <c r="Q254" s="643">
        <v>370</v>
      </c>
    </row>
    <row r="255" spans="1:17" ht="14.4" customHeight="1" x14ac:dyDescent="0.3">
      <c r="A255" s="638" t="s">
        <v>2690</v>
      </c>
      <c r="B255" s="639" t="s">
        <v>2691</v>
      </c>
      <c r="C255" s="639" t="s">
        <v>1910</v>
      </c>
      <c r="D255" s="639" t="s">
        <v>2718</v>
      </c>
      <c r="E255" s="639" t="s">
        <v>2719</v>
      </c>
      <c r="F255" s="642">
        <v>1</v>
      </c>
      <c r="G255" s="642">
        <v>461</v>
      </c>
      <c r="H255" s="642">
        <v>1</v>
      </c>
      <c r="I255" s="642">
        <v>461</v>
      </c>
      <c r="J255" s="642">
        <v>1</v>
      </c>
      <c r="K255" s="642">
        <v>463</v>
      </c>
      <c r="L255" s="642">
        <v>1.0043383947939262</v>
      </c>
      <c r="M255" s="642">
        <v>463</v>
      </c>
      <c r="N255" s="642">
        <v>2</v>
      </c>
      <c r="O255" s="642">
        <v>990</v>
      </c>
      <c r="P255" s="656">
        <v>2.1475054229934925</v>
      </c>
      <c r="Q255" s="643">
        <v>495</v>
      </c>
    </row>
    <row r="256" spans="1:17" ht="14.4" customHeight="1" x14ac:dyDescent="0.3">
      <c r="A256" s="638" t="s">
        <v>2690</v>
      </c>
      <c r="B256" s="639" t="s">
        <v>2691</v>
      </c>
      <c r="C256" s="639" t="s">
        <v>1910</v>
      </c>
      <c r="D256" s="639" t="s">
        <v>2720</v>
      </c>
      <c r="E256" s="639" t="s">
        <v>2721</v>
      </c>
      <c r="F256" s="642">
        <v>2</v>
      </c>
      <c r="G256" s="642">
        <v>868</v>
      </c>
      <c r="H256" s="642">
        <v>1</v>
      </c>
      <c r="I256" s="642">
        <v>434</v>
      </c>
      <c r="J256" s="642">
        <v>1</v>
      </c>
      <c r="K256" s="642">
        <v>437</v>
      </c>
      <c r="L256" s="642">
        <v>0.50345622119815669</v>
      </c>
      <c r="M256" s="642">
        <v>437</v>
      </c>
      <c r="N256" s="642"/>
      <c r="O256" s="642"/>
      <c r="P256" s="656"/>
      <c r="Q256" s="643"/>
    </row>
    <row r="257" spans="1:17" ht="14.4" customHeight="1" x14ac:dyDescent="0.3">
      <c r="A257" s="638" t="s">
        <v>2690</v>
      </c>
      <c r="B257" s="639" t="s">
        <v>2691</v>
      </c>
      <c r="C257" s="639" t="s">
        <v>1910</v>
      </c>
      <c r="D257" s="639" t="s">
        <v>2722</v>
      </c>
      <c r="E257" s="639" t="s">
        <v>2723</v>
      </c>
      <c r="F257" s="642">
        <v>2</v>
      </c>
      <c r="G257" s="642">
        <v>108</v>
      </c>
      <c r="H257" s="642">
        <v>1</v>
      </c>
      <c r="I257" s="642">
        <v>54</v>
      </c>
      <c r="J257" s="642">
        <v>4</v>
      </c>
      <c r="K257" s="642">
        <v>216</v>
      </c>
      <c r="L257" s="642">
        <v>2</v>
      </c>
      <c r="M257" s="642">
        <v>54</v>
      </c>
      <c r="N257" s="642">
        <v>2</v>
      </c>
      <c r="O257" s="642">
        <v>116</v>
      </c>
      <c r="P257" s="656">
        <v>1.0740740740740742</v>
      </c>
      <c r="Q257" s="643">
        <v>58</v>
      </c>
    </row>
    <row r="258" spans="1:17" ht="14.4" customHeight="1" x14ac:dyDescent="0.3">
      <c r="A258" s="638" t="s">
        <v>2690</v>
      </c>
      <c r="B258" s="639" t="s">
        <v>2691</v>
      </c>
      <c r="C258" s="639" t="s">
        <v>1910</v>
      </c>
      <c r="D258" s="639" t="s">
        <v>2724</v>
      </c>
      <c r="E258" s="639" t="s">
        <v>2725</v>
      </c>
      <c r="F258" s="642">
        <v>189</v>
      </c>
      <c r="G258" s="642">
        <v>31662</v>
      </c>
      <c r="H258" s="642">
        <v>1</v>
      </c>
      <c r="I258" s="642">
        <v>167.52380952380952</v>
      </c>
      <c r="J258" s="642">
        <v>209</v>
      </c>
      <c r="K258" s="642">
        <v>35321</v>
      </c>
      <c r="L258" s="642">
        <v>1.1155643989640578</v>
      </c>
      <c r="M258" s="642">
        <v>169</v>
      </c>
      <c r="N258" s="642">
        <v>332</v>
      </c>
      <c r="O258" s="642">
        <v>58100</v>
      </c>
      <c r="P258" s="656">
        <v>1.8350072642284125</v>
      </c>
      <c r="Q258" s="643">
        <v>175</v>
      </c>
    </row>
    <row r="259" spans="1:17" ht="14.4" customHeight="1" x14ac:dyDescent="0.3">
      <c r="A259" s="638" t="s">
        <v>2690</v>
      </c>
      <c r="B259" s="639" t="s">
        <v>2691</v>
      </c>
      <c r="C259" s="639" t="s">
        <v>1910</v>
      </c>
      <c r="D259" s="639" t="s">
        <v>2726</v>
      </c>
      <c r="E259" s="639" t="s">
        <v>2727</v>
      </c>
      <c r="F259" s="642">
        <v>3</v>
      </c>
      <c r="G259" s="642">
        <v>484</v>
      </c>
      <c r="H259" s="642">
        <v>1</v>
      </c>
      <c r="I259" s="642">
        <v>161.33333333333334</v>
      </c>
      <c r="J259" s="642">
        <v>1</v>
      </c>
      <c r="K259" s="642">
        <v>163</v>
      </c>
      <c r="L259" s="642">
        <v>0.33677685950413222</v>
      </c>
      <c r="M259" s="642">
        <v>163</v>
      </c>
      <c r="N259" s="642">
        <v>1</v>
      </c>
      <c r="O259" s="642">
        <v>169</v>
      </c>
      <c r="P259" s="656">
        <v>0.34917355371900827</v>
      </c>
      <c r="Q259" s="643">
        <v>169</v>
      </c>
    </row>
    <row r="260" spans="1:17" ht="14.4" customHeight="1" x14ac:dyDescent="0.3">
      <c r="A260" s="638" t="s">
        <v>2690</v>
      </c>
      <c r="B260" s="639" t="s">
        <v>2691</v>
      </c>
      <c r="C260" s="639" t="s">
        <v>1910</v>
      </c>
      <c r="D260" s="639" t="s">
        <v>2728</v>
      </c>
      <c r="E260" s="639" t="s">
        <v>2729</v>
      </c>
      <c r="F260" s="642"/>
      <c r="G260" s="642"/>
      <c r="H260" s="642"/>
      <c r="I260" s="642"/>
      <c r="J260" s="642">
        <v>1</v>
      </c>
      <c r="K260" s="642">
        <v>226</v>
      </c>
      <c r="L260" s="642"/>
      <c r="M260" s="642">
        <v>226</v>
      </c>
      <c r="N260" s="642">
        <v>2</v>
      </c>
      <c r="O260" s="642">
        <v>484</v>
      </c>
      <c r="P260" s="656"/>
      <c r="Q260" s="643">
        <v>242</v>
      </c>
    </row>
    <row r="261" spans="1:17" ht="14.4" customHeight="1" x14ac:dyDescent="0.3">
      <c r="A261" s="638" t="s">
        <v>2690</v>
      </c>
      <c r="B261" s="639" t="s">
        <v>2691</v>
      </c>
      <c r="C261" s="639" t="s">
        <v>1910</v>
      </c>
      <c r="D261" s="639" t="s">
        <v>2730</v>
      </c>
      <c r="E261" s="639" t="s">
        <v>2731</v>
      </c>
      <c r="F261" s="642">
        <v>7</v>
      </c>
      <c r="G261" s="642">
        <v>2878</v>
      </c>
      <c r="H261" s="642">
        <v>1</v>
      </c>
      <c r="I261" s="642">
        <v>411.14285714285717</v>
      </c>
      <c r="J261" s="642">
        <v>7</v>
      </c>
      <c r="K261" s="642">
        <v>2926</v>
      </c>
      <c r="L261" s="642">
        <v>1.0166782487838777</v>
      </c>
      <c r="M261" s="642">
        <v>418</v>
      </c>
      <c r="N261" s="642">
        <v>7</v>
      </c>
      <c r="O261" s="642">
        <v>2961</v>
      </c>
      <c r="P261" s="656">
        <v>1.0288394718554552</v>
      </c>
      <c r="Q261" s="643">
        <v>423</v>
      </c>
    </row>
    <row r="262" spans="1:17" ht="14.4" customHeight="1" x14ac:dyDescent="0.3">
      <c r="A262" s="638" t="s">
        <v>2690</v>
      </c>
      <c r="B262" s="639" t="s">
        <v>2691</v>
      </c>
      <c r="C262" s="639" t="s">
        <v>1910</v>
      </c>
      <c r="D262" s="639" t="s">
        <v>2732</v>
      </c>
      <c r="E262" s="639" t="s">
        <v>2733</v>
      </c>
      <c r="F262" s="642"/>
      <c r="G262" s="642"/>
      <c r="H262" s="642"/>
      <c r="I262" s="642"/>
      <c r="J262" s="642">
        <v>1</v>
      </c>
      <c r="K262" s="642">
        <v>269</v>
      </c>
      <c r="L262" s="642"/>
      <c r="M262" s="642">
        <v>269</v>
      </c>
      <c r="N262" s="642"/>
      <c r="O262" s="642"/>
      <c r="P262" s="656"/>
      <c r="Q262" s="643"/>
    </row>
    <row r="263" spans="1:17" ht="14.4" customHeight="1" x14ac:dyDescent="0.3">
      <c r="A263" s="638" t="s">
        <v>2734</v>
      </c>
      <c r="B263" s="639" t="s">
        <v>2735</v>
      </c>
      <c r="C263" s="639" t="s">
        <v>1910</v>
      </c>
      <c r="D263" s="639" t="s">
        <v>2736</v>
      </c>
      <c r="E263" s="639" t="s">
        <v>2737</v>
      </c>
      <c r="F263" s="642">
        <v>199</v>
      </c>
      <c r="G263" s="642">
        <v>31782</v>
      </c>
      <c r="H263" s="642">
        <v>1</v>
      </c>
      <c r="I263" s="642">
        <v>159.70854271356785</v>
      </c>
      <c r="J263" s="642">
        <v>210</v>
      </c>
      <c r="K263" s="642">
        <v>33810</v>
      </c>
      <c r="L263" s="642">
        <v>1.0638097036058145</v>
      </c>
      <c r="M263" s="642">
        <v>161</v>
      </c>
      <c r="N263" s="642">
        <v>240</v>
      </c>
      <c r="O263" s="642">
        <v>41520</v>
      </c>
      <c r="P263" s="656">
        <v>1.3063998489711157</v>
      </c>
      <c r="Q263" s="643">
        <v>173</v>
      </c>
    </row>
    <row r="264" spans="1:17" ht="14.4" customHeight="1" x14ac:dyDescent="0.3">
      <c r="A264" s="638" t="s">
        <v>2734</v>
      </c>
      <c r="B264" s="639" t="s">
        <v>2735</v>
      </c>
      <c r="C264" s="639" t="s">
        <v>1910</v>
      </c>
      <c r="D264" s="639" t="s">
        <v>2738</v>
      </c>
      <c r="E264" s="639" t="s">
        <v>2739</v>
      </c>
      <c r="F264" s="642">
        <v>21</v>
      </c>
      <c r="G264" s="642">
        <v>24495</v>
      </c>
      <c r="H264" s="642">
        <v>1</v>
      </c>
      <c r="I264" s="642">
        <v>1166.4285714285713</v>
      </c>
      <c r="J264" s="642">
        <v>25</v>
      </c>
      <c r="K264" s="642">
        <v>29225</v>
      </c>
      <c r="L264" s="642">
        <v>1.1931006327822005</v>
      </c>
      <c r="M264" s="642">
        <v>1169</v>
      </c>
      <c r="N264" s="642">
        <v>17</v>
      </c>
      <c r="O264" s="642">
        <v>19941</v>
      </c>
      <c r="P264" s="656">
        <v>0.81408450704225355</v>
      </c>
      <c r="Q264" s="643">
        <v>1173</v>
      </c>
    </row>
    <row r="265" spans="1:17" ht="14.4" customHeight="1" x14ac:dyDescent="0.3">
      <c r="A265" s="638" t="s">
        <v>2734</v>
      </c>
      <c r="B265" s="639" t="s">
        <v>2735</v>
      </c>
      <c r="C265" s="639" t="s">
        <v>1910</v>
      </c>
      <c r="D265" s="639" t="s">
        <v>2740</v>
      </c>
      <c r="E265" s="639" t="s">
        <v>2741</v>
      </c>
      <c r="F265" s="642">
        <v>2514</v>
      </c>
      <c r="G265" s="642">
        <v>100087</v>
      </c>
      <c r="H265" s="642">
        <v>1</v>
      </c>
      <c r="I265" s="642">
        <v>39.811853619729511</v>
      </c>
      <c r="J265" s="642">
        <v>2237</v>
      </c>
      <c r="K265" s="642">
        <v>89480</v>
      </c>
      <c r="L265" s="642">
        <v>0.89402220068540372</v>
      </c>
      <c r="M265" s="642">
        <v>40</v>
      </c>
      <c r="N265" s="642">
        <v>3149</v>
      </c>
      <c r="O265" s="642">
        <v>129109</v>
      </c>
      <c r="P265" s="656">
        <v>1.2899677280765733</v>
      </c>
      <c r="Q265" s="643">
        <v>41</v>
      </c>
    </row>
    <row r="266" spans="1:17" ht="14.4" customHeight="1" x14ac:dyDescent="0.3">
      <c r="A266" s="638" t="s">
        <v>2734</v>
      </c>
      <c r="B266" s="639" t="s">
        <v>2735</v>
      </c>
      <c r="C266" s="639" t="s">
        <v>1910</v>
      </c>
      <c r="D266" s="639" t="s">
        <v>2666</v>
      </c>
      <c r="E266" s="639" t="s">
        <v>2667</v>
      </c>
      <c r="F266" s="642">
        <v>6</v>
      </c>
      <c r="G266" s="642">
        <v>2298</v>
      </c>
      <c r="H266" s="642">
        <v>1</v>
      </c>
      <c r="I266" s="642">
        <v>383</v>
      </c>
      <c r="J266" s="642">
        <v>1</v>
      </c>
      <c r="K266" s="642">
        <v>383</v>
      </c>
      <c r="L266" s="642">
        <v>0.16666666666666666</v>
      </c>
      <c r="M266" s="642">
        <v>383</v>
      </c>
      <c r="N266" s="642">
        <v>2</v>
      </c>
      <c r="O266" s="642">
        <v>768</v>
      </c>
      <c r="P266" s="656">
        <v>0.33420365535248042</v>
      </c>
      <c r="Q266" s="643">
        <v>384</v>
      </c>
    </row>
    <row r="267" spans="1:17" ht="14.4" customHeight="1" x14ac:dyDescent="0.3">
      <c r="A267" s="638" t="s">
        <v>2734</v>
      </c>
      <c r="B267" s="639" t="s">
        <v>2735</v>
      </c>
      <c r="C267" s="639" t="s">
        <v>1910</v>
      </c>
      <c r="D267" s="639" t="s">
        <v>2742</v>
      </c>
      <c r="E267" s="639" t="s">
        <v>2743</v>
      </c>
      <c r="F267" s="642">
        <v>14</v>
      </c>
      <c r="G267" s="642">
        <v>518</v>
      </c>
      <c r="H267" s="642">
        <v>1</v>
      </c>
      <c r="I267" s="642">
        <v>37</v>
      </c>
      <c r="J267" s="642">
        <v>24</v>
      </c>
      <c r="K267" s="642">
        <v>888</v>
      </c>
      <c r="L267" s="642">
        <v>1.7142857142857142</v>
      </c>
      <c r="M267" s="642">
        <v>37</v>
      </c>
      <c r="N267" s="642">
        <v>8</v>
      </c>
      <c r="O267" s="642">
        <v>296</v>
      </c>
      <c r="P267" s="656">
        <v>0.5714285714285714</v>
      </c>
      <c r="Q267" s="643">
        <v>37</v>
      </c>
    </row>
    <row r="268" spans="1:17" ht="14.4" customHeight="1" x14ac:dyDescent="0.3">
      <c r="A268" s="638" t="s">
        <v>2734</v>
      </c>
      <c r="B268" s="639" t="s">
        <v>2735</v>
      </c>
      <c r="C268" s="639" t="s">
        <v>1910</v>
      </c>
      <c r="D268" s="639" t="s">
        <v>2744</v>
      </c>
      <c r="E268" s="639" t="s">
        <v>2745</v>
      </c>
      <c r="F268" s="642">
        <v>12</v>
      </c>
      <c r="G268" s="642">
        <v>5340</v>
      </c>
      <c r="H268" s="642">
        <v>1</v>
      </c>
      <c r="I268" s="642">
        <v>445</v>
      </c>
      <c r="J268" s="642">
        <v>9</v>
      </c>
      <c r="K268" s="642">
        <v>4005</v>
      </c>
      <c r="L268" s="642">
        <v>0.75</v>
      </c>
      <c r="M268" s="642">
        <v>445</v>
      </c>
      <c r="N268" s="642">
        <v>9</v>
      </c>
      <c r="O268" s="642">
        <v>4014</v>
      </c>
      <c r="P268" s="656">
        <v>0.75168539325842698</v>
      </c>
      <c r="Q268" s="643">
        <v>446</v>
      </c>
    </row>
    <row r="269" spans="1:17" ht="14.4" customHeight="1" x14ac:dyDescent="0.3">
      <c r="A269" s="638" t="s">
        <v>2734</v>
      </c>
      <c r="B269" s="639" t="s">
        <v>2735</v>
      </c>
      <c r="C269" s="639" t="s">
        <v>1910</v>
      </c>
      <c r="D269" s="639" t="s">
        <v>2746</v>
      </c>
      <c r="E269" s="639" t="s">
        <v>2747</v>
      </c>
      <c r="F269" s="642">
        <v>3</v>
      </c>
      <c r="G269" s="642">
        <v>1473</v>
      </c>
      <c r="H269" s="642">
        <v>1</v>
      </c>
      <c r="I269" s="642">
        <v>491</v>
      </c>
      <c r="J269" s="642">
        <v>12</v>
      </c>
      <c r="K269" s="642">
        <v>5892</v>
      </c>
      <c r="L269" s="642">
        <v>4</v>
      </c>
      <c r="M269" s="642">
        <v>491</v>
      </c>
      <c r="N269" s="642">
        <v>20</v>
      </c>
      <c r="O269" s="642">
        <v>9840</v>
      </c>
      <c r="P269" s="656">
        <v>6.6802443991853364</v>
      </c>
      <c r="Q269" s="643">
        <v>492</v>
      </c>
    </row>
    <row r="270" spans="1:17" ht="14.4" customHeight="1" x14ac:dyDescent="0.3">
      <c r="A270" s="638" t="s">
        <v>2734</v>
      </c>
      <c r="B270" s="639" t="s">
        <v>2735</v>
      </c>
      <c r="C270" s="639" t="s">
        <v>1910</v>
      </c>
      <c r="D270" s="639" t="s">
        <v>2748</v>
      </c>
      <c r="E270" s="639" t="s">
        <v>2749</v>
      </c>
      <c r="F270" s="642">
        <v>8</v>
      </c>
      <c r="G270" s="642">
        <v>248</v>
      </c>
      <c r="H270" s="642">
        <v>1</v>
      </c>
      <c r="I270" s="642">
        <v>31</v>
      </c>
      <c r="J270" s="642">
        <v>7</v>
      </c>
      <c r="K270" s="642">
        <v>217</v>
      </c>
      <c r="L270" s="642">
        <v>0.875</v>
      </c>
      <c r="M270" s="642">
        <v>31</v>
      </c>
      <c r="N270" s="642">
        <v>35</v>
      </c>
      <c r="O270" s="642">
        <v>1085</v>
      </c>
      <c r="P270" s="656">
        <v>4.375</v>
      </c>
      <c r="Q270" s="643">
        <v>31</v>
      </c>
    </row>
    <row r="271" spans="1:17" ht="14.4" customHeight="1" x14ac:dyDescent="0.3">
      <c r="A271" s="638" t="s">
        <v>2734</v>
      </c>
      <c r="B271" s="639" t="s">
        <v>2735</v>
      </c>
      <c r="C271" s="639" t="s">
        <v>1910</v>
      </c>
      <c r="D271" s="639" t="s">
        <v>2750</v>
      </c>
      <c r="E271" s="639" t="s">
        <v>2751</v>
      </c>
      <c r="F271" s="642">
        <v>4</v>
      </c>
      <c r="G271" s="642">
        <v>926</v>
      </c>
      <c r="H271" s="642">
        <v>1</v>
      </c>
      <c r="I271" s="642">
        <v>231.5</v>
      </c>
      <c r="J271" s="642">
        <v>13</v>
      </c>
      <c r="K271" s="642">
        <v>3042</v>
      </c>
      <c r="L271" s="642">
        <v>3.2850971922246219</v>
      </c>
      <c r="M271" s="642">
        <v>234</v>
      </c>
      <c r="N271" s="642">
        <v>18</v>
      </c>
      <c r="O271" s="642">
        <v>4248</v>
      </c>
      <c r="P271" s="656">
        <v>4.5874730021598271</v>
      </c>
      <c r="Q271" s="643">
        <v>236</v>
      </c>
    </row>
    <row r="272" spans="1:17" ht="14.4" customHeight="1" x14ac:dyDescent="0.3">
      <c r="A272" s="638" t="s">
        <v>2734</v>
      </c>
      <c r="B272" s="639" t="s">
        <v>2735</v>
      </c>
      <c r="C272" s="639" t="s">
        <v>1910</v>
      </c>
      <c r="D272" s="639" t="s">
        <v>2752</v>
      </c>
      <c r="E272" s="639" t="s">
        <v>2753</v>
      </c>
      <c r="F272" s="642">
        <v>1890</v>
      </c>
      <c r="G272" s="642">
        <v>216594</v>
      </c>
      <c r="H272" s="642">
        <v>1</v>
      </c>
      <c r="I272" s="642">
        <v>114.6</v>
      </c>
      <c r="J272" s="642">
        <v>1911</v>
      </c>
      <c r="K272" s="642">
        <v>221676</v>
      </c>
      <c r="L272" s="642">
        <v>1.0234632538297459</v>
      </c>
      <c r="M272" s="642">
        <v>116</v>
      </c>
      <c r="N272" s="642">
        <v>2225</v>
      </c>
      <c r="O272" s="642">
        <v>260325</v>
      </c>
      <c r="P272" s="656">
        <v>1.2019030998088589</v>
      </c>
      <c r="Q272" s="643">
        <v>117</v>
      </c>
    </row>
    <row r="273" spans="1:17" ht="14.4" customHeight="1" x14ac:dyDescent="0.3">
      <c r="A273" s="638" t="s">
        <v>2734</v>
      </c>
      <c r="B273" s="639" t="s">
        <v>2735</v>
      </c>
      <c r="C273" s="639" t="s">
        <v>1910</v>
      </c>
      <c r="D273" s="639" t="s">
        <v>2754</v>
      </c>
      <c r="E273" s="639" t="s">
        <v>2755</v>
      </c>
      <c r="F273" s="642">
        <v>123</v>
      </c>
      <c r="G273" s="642">
        <v>10432</v>
      </c>
      <c r="H273" s="642">
        <v>1</v>
      </c>
      <c r="I273" s="642">
        <v>84.8130081300813</v>
      </c>
      <c r="J273" s="642">
        <v>97</v>
      </c>
      <c r="K273" s="642">
        <v>8245</v>
      </c>
      <c r="L273" s="642">
        <v>0.79035659509202449</v>
      </c>
      <c r="M273" s="642">
        <v>85</v>
      </c>
      <c r="N273" s="642">
        <v>164</v>
      </c>
      <c r="O273" s="642">
        <v>14924</v>
      </c>
      <c r="P273" s="656">
        <v>1.4305981595092025</v>
      </c>
      <c r="Q273" s="643">
        <v>91</v>
      </c>
    </row>
    <row r="274" spans="1:17" ht="14.4" customHeight="1" x14ac:dyDescent="0.3">
      <c r="A274" s="638" t="s">
        <v>2734</v>
      </c>
      <c r="B274" s="639" t="s">
        <v>2735</v>
      </c>
      <c r="C274" s="639" t="s">
        <v>1910</v>
      </c>
      <c r="D274" s="639" t="s">
        <v>2756</v>
      </c>
      <c r="E274" s="639" t="s">
        <v>2757</v>
      </c>
      <c r="F274" s="642">
        <v>18</v>
      </c>
      <c r="G274" s="642">
        <v>1745</v>
      </c>
      <c r="H274" s="642">
        <v>1</v>
      </c>
      <c r="I274" s="642">
        <v>96.944444444444443</v>
      </c>
      <c r="J274" s="642">
        <v>30</v>
      </c>
      <c r="K274" s="642">
        <v>2940</v>
      </c>
      <c r="L274" s="642">
        <v>1.6848137535816619</v>
      </c>
      <c r="M274" s="642">
        <v>98</v>
      </c>
      <c r="N274" s="642">
        <v>27</v>
      </c>
      <c r="O274" s="642">
        <v>2673</v>
      </c>
      <c r="P274" s="656">
        <v>1.5318051575931233</v>
      </c>
      <c r="Q274" s="643">
        <v>99</v>
      </c>
    </row>
    <row r="275" spans="1:17" ht="14.4" customHeight="1" x14ac:dyDescent="0.3">
      <c r="A275" s="638" t="s">
        <v>2734</v>
      </c>
      <c r="B275" s="639" t="s">
        <v>2735</v>
      </c>
      <c r="C275" s="639" t="s">
        <v>1910</v>
      </c>
      <c r="D275" s="639" t="s">
        <v>2758</v>
      </c>
      <c r="E275" s="639" t="s">
        <v>2759</v>
      </c>
      <c r="F275" s="642">
        <v>227</v>
      </c>
      <c r="G275" s="642">
        <v>4767</v>
      </c>
      <c r="H275" s="642">
        <v>1</v>
      </c>
      <c r="I275" s="642">
        <v>21</v>
      </c>
      <c r="J275" s="642">
        <v>111</v>
      </c>
      <c r="K275" s="642">
        <v>2331</v>
      </c>
      <c r="L275" s="642">
        <v>0.48898678414096919</v>
      </c>
      <c r="M275" s="642">
        <v>21</v>
      </c>
      <c r="N275" s="642">
        <v>88</v>
      </c>
      <c r="O275" s="642">
        <v>1848</v>
      </c>
      <c r="P275" s="656">
        <v>0.38766519823788548</v>
      </c>
      <c r="Q275" s="643">
        <v>21</v>
      </c>
    </row>
    <row r="276" spans="1:17" ht="14.4" customHeight="1" x14ac:dyDescent="0.3">
      <c r="A276" s="638" t="s">
        <v>2734</v>
      </c>
      <c r="B276" s="639" t="s">
        <v>2735</v>
      </c>
      <c r="C276" s="639" t="s">
        <v>1910</v>
      </c>
      <c r="D276" s="639" t="s">
        <v>2675</v>
      </c>
      <c r="E276" s="639" t="s">
        <v>2676</v>
      </c>
      <c r="F276" s="642">
        <v>209</v>
      </c>
      <c r="G276" s="642">
        <v>101731</v>
      </c>
      <c r="H276" s="642">
        <v>1</v>
      </c>
      <c r="I276" s="642">
        <v>486.7511961722488</v>
      </c>
      <c r="J276" s="642">
        <v>365</v>
      </c>
      <c r="K276" s="642">
        <v>177755</v>
      </c>
      <c r="L276" s="642">
        <v>1.7473041649054861</v>
      </c>
      <c r="M276" s="642">
        <v>487</v>
      </c>
      <c r="N276" s="642">
        <v>170</v>
      </c>
      <c r="O276" s="642">
        <v>82960</v>
      </c>
      <c r="P276" s="656">
        <v>0.81548397243711357</v>
      </c>
      <c r="Q276" s="643">
        <v>488</v>
      </c>
    </row>
    <row r="277" spans="1:17" ht="14.4" customHeight="1" x14ac:dyDescent="0.3">
      <c r="A277" s="638" t="s">
        <v>2734</v>
      </c>
      <c r="B277" s="639" t="s">
        <v>2735</v>
      </c>
      <c r="C277" s="639" t="s">
        <v>1910</v>
      </c>
      <c r="D277" s="639" t="s">
        <v>2760</v>
      </c>
      <c r="E277" s="639" t="s">
        <v>2761</v>
      </c>
      <c r="F277" s="642"/>
      <c r="G277" s="642"/>
      <c r="H277" s="642"/>
      <c r="I277" s="642"/>
      <c r="J277" s="642">
        <v>0</v>
      </c>
      <c r="K277" s="642">
        <v>0</v>
      </c>
      <c r="L277" s="642"/>
      <c r="M277" s="642"/>
      <c r="N277" s="642"/>
      <c r="O277" s="642"/>
      <c r="P277" s="656"/>
      <c r="Q277" s="643"/>
    </row>
    <row r="278" spans="1:17" ht="14.4" customHeight="1" x14ac:dyDescent="0.3">
      <c r="A278" s="638" t="s">
        <v>2734</v>
      </c>
      <c r="B278" s="639" t="s">
        <v>2735</v>
      </c>
      <c r="C278" s="639" t="s">
        <v>1910</v>
      </c>
      <c r="D278" s="639" t="s">
        <v>2762</v>
      </c>
      <c r="E278" s="639" t="s">
        <v>2763</v>
      </c>
      <c r="F278" s="642"/>
      <c r="G278" s="642"/>
      <c r="H278" s="642"/>
      <c r="I278" s="642"/>
      <c r="J278" s="642">
        <v>0</v>
      </c>
      <c r="K278" s="642">
        <v>0</v>
      </c>
      <c r="L278" s="642"/>
      <c r="M278" s="642"/>
      <c r="N278" s="642"/>
      <c r="O278" s="642"/>
      <c r="P278" s="656"/>
      <c r="Q278" s="643"/>
    </row>
    <row r="279" spans="1:17" ht="14.4" customHeight="1" x14ac:dyDescent="0.3">
      <c r="A279" s="638" t="s">
        <v>2734</v>
      </c>
      <c r="B279" s="639" t="s">
        <v>2735</v>
      </c>
      <c r="C279" s="639" t="s">
        <v>1910</v>
      </c>
      <c r="D279" s="639" t="s">
        <v>2764</v>
      </c>
      <c r="E279" s="639" t="s">
        <v>2765</v>
      </c>
      <c r="F279" s="642">
        <v>79</v>
      </c>
      <c r="G279" s="642">
        <v>3227</v>
      </c>
      <c r="H279" s="642">
        <v>1</v>
      </c>
      <c r="I279" s="642">
        <v>40.848101265822784</v>
      </c>
      <c r="J279" s="642">
        <v>144</v>
      </c>
      <c r="K279" s="642">
        <v>5904</v>
      </c>
      <c r="L279" s="642">
        <v>1.8295630616671832</v>
      </c>
      <c r="M279" s="642">
        <v>41</v>
      </c>
      <c r="N279" s="642">
        <v>137</v>
      </c>
      <c r="O279" s="642">
        <v>5617</v>
      </c>
      <c r="P279" s="656">
        <v>1.7406259683916951</v>
      </c>
      <c r="Q279" s="643">
        <v>41</v>
      </c>
    </row>
    <row r="280" spans="1:17" ht="14.4" customHeight="1" x14ac:dyDescent="0.3">
      <c r="A280" s="638" t="s">
        <v>2734</v>
      </c>
      <c r="B280" s="639" t="s">
        <v>2735</v>
      </c>
      <c r="C280" s="639" t="s">
        <v>1910</v>
      </c>
      <c r="D280" s="639" t="s">
        <v>2766</v>
      </c>
      <c r="E280" s="639" t="s">
        <v>2767</v>
      </c>
      <c r="F280" s="642">
        <v>5</v>
      </c>
      <c r="G280" s="642">
        <v>3032</v>
      </c>
      <c r="H280" s="642">
        <v>1</v>
      </c>
      <c r="I280" s="642">
        <v>606.4</v>
      </c>
      <c r="J280" s="642">
        <v>12</v>
      </c>
      <c r="K280" s="642">
        <v>7296</v>
      </c>
      <c r="L280" s="642">
        <v>2.4063324538258577</v>
      </c>
      <c r="M280" s="642">
        <v>608</v>
      </c>
      <c r="N280" s="642">
        <v>19</v>
      </c>
      <c r="O280" s="642">
        <v>11666</v>
      </c>
      <c r="P280" s="656">
        <v>3.8476253298153034</v>
      </c>
      <c r="Q280" s="643">
        <v>614</v>
      </c>
    </row>
    <row r="281" spans="1:17" ht="14.4" customHeight="1" x14ac:dyDescent="0.3">
      <c r="A281" s="638" t="s">
        <v>2734</v>
      </c>
      <c r="B281" s="639" t="s">
        <v>2735</v>
      </c>
      <c r="C281" s="639" t="s">
        <v>1910</v>
      </c>
      <c r="D281" s="639" t="s">
        <v>2768</v>
      </c>
      <c r="E281" s="639" t="s">
        <v>2769</v>
      </c>
      <c r="F281" s="642">
        <v>4</v>
      </c>
      <c r="G281" s="642">
        <v>982</v>
      </c>
      <c r="H281" s="642">
        <v>1</v>
      </c>
      <c r="I281" s="642">
        <v>245.5</v>
      </c>
      <c r="J281" s="642">
        <v>13</v>
      </c>
      <c r="K281" s="642">
        <v>3224</v>
      </c>
      <c r="L281" s="642">
        <v>3.2830957230142568</v>
      </c>
      <c r="M281" s="642">
        <v>248</v>
      </c>
      <c r="N281" s="642">
        <v>18</v>
      </c>
      <c r="O281" s="642">
        <v>4482</v>
      </c>
      <c r="P281" s="656">
        <v>4.5641547861507128</v>
      </c>
      <c r="Q281" s="643">
        <v>249</v>
      </c>
    </row>
    <row r="282" spans="1:17" ht="14.4" customHeight="1" x14ac:dyDescent="0.3">
      <c r="A282" s="638" t="s">
        <v>2734</v>
      </c>
      <c r="B282" s="639" t="s">
        <v>2735</v>
      </c>
      <c r="C282" s="639" t="s">
        <v>1910</v>
      </c>
      <c r="D282" s="639" t="s">
        <v>2770</v>
      </c>
      <c r="E282" s="639" t="s">
        <v>2771</v>
      </c>
      <c r="F282" s="642">
        <v>288</v>
      </c>
      <c r="G282" s="642">
        <v>7776</v>
      </c>
      <c r="H282" s="642">
        <v>1</v>
      </c>
      <c r="I282" s="642">
        <v>27</v>
      </c>
      <c r="J282" s="642">
        <v>274</v>
      </c>
      <c r="K282" s="642">
        <v>7398</v>
      </c>
      <c r="L282" s="642">
        <v>0.95138888888888884</v>
      </c>
      <c r="M282" s="642">
        <v>27</v>
      </c>
      <c r="N282" s="642">
        <v>424</v>
      </c>
      <c r="O282" s="642">
        <v>11448</v>
      </c>
      <c r="P282" s="656">
        <v>1.4722222222222223</v>
      </c>
      <c r="Q282" s="643">
        <v>27</v>
      </c>
    </row>
    <row r="283" spans="1:17" ht="14.4" customHeight="1" x14ac:dyDescent="0.3">
      <c r="A283" s="638" t="s">
        <v>2772</v>
      </c>
      <c r="B283" s="639" t="s">
        <v>2563</v>
      </c>
      <c r="C283" s="639" t="s">
        <v>1910</v>
      </c>
      <c r="D283" s="639" t="s">
        <v>2773</v>
      </c>
      <c r="E283" s="639" t="s">
        <v>2774</v>
      </c>
      <c r="F283" s="642"/>
      <c r="G283" s="642"/>
      <c r="H283" s="642"/>
      <c r="I283" s="642"/>
      <c r="J283" s="642">
        <v>1</v>
      </c>
      <c r="K283" s="642">
        <v>167</v>
      </c>
      <c r="L283" s="642"/>
      <c r="M283" s="642">
        <v>167</v>
      </c>
      <c r="N283" s="642"/>
      <c r="O283" s="642"/>
      <c r="P283" s="656"/>
      <c r="Q283" s="643"/>
    </row>
    <row r="284" spans="1:17" ht="14.4" customHeight="1" x14ac:dyDescent="0.3">
      <c r="A284" s="638" t="s">
        <v>2772</v>
      </c>
      <c r="B284" s="639" t="s">
        <v>2563</v>
      </c>
      <c r="C284" s="639" t="s">
        <v>1910</v>
      </c>
      <c r="D284" s="639" t="s">
        <v>2775</v>
      </c>
      <c r="E284" s="639" t="s">
        <v>2776</v>
      </c>
      <c r="F284" s="642"/>
      <c r="G284" s="642"/>
      <c r="H284" s="642"/>
      <c r="I284" s="642"/>
      <c r="J284" s="642">
        <v>1</v>
      </c>
      <c r="K284" s="642">
        <v>173</v>
      </c>
      <c r="L284" s="642"/>
      <c r="M284" s="642">
        <v>173</v>
      </c>
      <c r="N284" s="642"/>
      <c r="O284" s="642"/>
      <c r="P284" s="656"/>
      <c r="Q284" s="643"/>
    </row>
    <row r="285" spans="1:17" ht="14.4" customHeight="1" x14ac:dyDescent="0.3">
      <c r="A285" s="638" t="s">
        <v>2772</v>
      </c>
      <c r="B285" s="639" t="s">
        <v>2563</v>
      </c>
      <c r="C285" s="639" t="s">
        <v>1910</v>
      </c>
      <c r="D285" s="639" t="s">
        <v>2777</v>
      </c>
      <c r="E285" s="639" t="s">
        <v>2778</v>
      </c>
      <c r="F285" s="642">
        <v>4</v>
      </c>
      <c r="G285" s="642">
        <v>2183</v>
      </c>
      <c r="H285" s="642">
        <v>1</v>
      </c>
      <c r="I285" s="642">
        <v>545.75</v>
      </c>
      <c r="J285" s="642">
        <v>11</v>
      </c>
      <c r="K285" s="642">
        <v>6017</v>
      </c>
      <c r="L285" s="642">
        <v>2.756298671552909</v>
      </c>
      <c r="M285" s="642">
        <v>547</v>
      </c>
      <c r="N285" s="642">
        <v>2</v>
      </c>
      <c r="O285" s="642">
        <v>1098</v>
      </c>
      <c r="P285" s="656">
        <v>0.50297755382501141</v>
      </c>
      <c r="Q285" s="643">
        <v>549</v>
      </c>
    </row>
    <row r="286" spans="1:17" ht="14.4" customHeight="1" x14ac:dyDescent="0.3">
      <c r="A286" s="638" t="s">
        <v>2772</v>
      </c>
      <c r="B286" s="639" t="s">
        <v>2563</v>
      </c>
      <c r="C286" s="639" t="s">
        <v>1910</v>
      </c>
      <c r="D286" s="639" t="s">
        <v>2779</v>
      </c>
      <c r="E286" s="639" t="s">
        <v>2780</v>
      </c>
      <c r="F286" s="642">
        <v>7</v>
      </c>
      <c r="G286" s="642">
        <v>4555</v>
      </c>
      <c r="H286" s="642">
        <v>1</v>
      </c>
      <c r="I286" s="642">
        <v>650.71428571428567</v>
      </c>
      <c r="J286" s="642">
        <v>10</v>
      </c>
      <c r="K286" s="642">
        <v>6520</v>
      </c>
      <c r="L286" s="642">
        <v>1.4313940724478595</v>
      </c>
      <c r="M286" s="642">
        <v>652</v>
      </c>
      <c r="N286" s="642">
        <v>6</v>
      </c>
      <c r="O286" s="642">
        <v>3924</v>
      </c>
      <c r="P286" s="656">
        <v>0.86147091108671792</v>
      </c>
      <c r="Q286" s="643">
        <v>654</v>
      </c>
    </row>
    <row r="287" spans="1:17" ht="14.4" customHeight="1" x14ac:dyDescent="0.3">
      <c r="A287" s="638" t="s">
        <v>2772</v>
      </c>
      <c r="B287" s="639" t="s">
        <v>2563</v>
      </c>
      <c r="C287" s="639" t="s">
        <v>1910</v>
      </c>
      <c r="D287" s="639" t="s">
        <v>2781</v>
      </c>
      <c r="E287" s="639" t="s">
        <v>2782</v>
      </c>
      <c r="F287" s="642">
        <v>7</v>
      </c>
      <c r="G287" s="642">
        <v>4555</v>
      </c>
      <c r="H287" s="642">
        <v>1</v>
      </c>
      <c r="I287" s="642">
        <v>650.71428571428567</v>
      </c>
      <c r="J287" s="642">
        <v>10</v>
      </c>
      <c r="K287" s="642">
        <v>6520</v>
      </c>
      <c r="L287" s="642">
        <v>1.4313940724478595</v>
      </c>
      <c r="M287" s="642">
        <v>652</v>
      </c>
      <c r="N287" s="642">
        <v>6</v>
      </c>
      <c r="O287" s="642">
        <v>3924</v>
      </c>
      <c r="P287" s="656">
        <v>0.86147091108671792</v>
      </c>
      <c r="Q287" s="643">
        <v>654</v>
      </c>
    </row>
    <row r="288" spans="1:17" ht="14.4" customHeight="1" x14ac:dyDescent="0.3">
      <c r="A288" s="638" t="s">
        <v>2772</v>
      </c>
      <c r="B288" s="639" t="s">
        <v>2563</v>
      </c>
      <c r="C288" s="639" t="s">
        <v>1910</v>
      </c>
      <c r="D288" s="639" t="s">
        <v>2783</v>
      </c>
      <c r="E288" s="639" t="s">
        <v>2784</v>
      </c>
      <c r="F288" s="642"/>
      <c r="G288" s="642"/>
      <c r="H288" s="642"/>
      <c r="I288" s="642"/>
      <c r="J288" s="642">
        <v>1</v>
      </c>
      <c r="K288" s="642">
        <v>347</v>
      </c>
      <c r="L288" s="642"/>
      <c r="M288" s="642">
        <v>347</v>
      </c>
      <c r="N288" s="642">
        <v>1</v>
      </c>
      <c r="O288" s="642">
        <v>349</v>
      </c>
      <c r="P288" s="656"/>
      <c r="Q288" s="643">
        <v>349</v>
      </c>
    </row>
    <row r="289" spans="1:17" ht="14.4" customHeight="1" x14ac:dyDescent="0.3">
      <c r="A289" s="638" t="s">
        <v>2772</v>
      </c>
      <c r="B289" s="639" t="s">
        <v>2563</v>
      </c>
      <c r="C289" s="639" t="s">
        <v>1910</v>
      </c>
      <c r="D289" s="639" t="s">
        <v>2785</v>
      </c>
      <c r="E289" s="639" t="s">
        <v>2786</v>
      </c>
      <c r="F289" s="642">
        <v>2</v>
      </c>
      <c r="G289" s="642">
        <v>1002</v>
      </c>
      <c r="H289" s="642">
        <v>1</v>
      </c>
      <c r="I289" s="642">
        <v>501</v>
      </c>
      <c r="J289" s="642"/>
      <c r="K289" s="642"/>
      <c r="L289" s="642"/>
      <c r="M289" s="642"/>
      <c r="N289" s="642"/>
      <c r="O289" s="642"/>
      <c r="P289" s="656"/>
      <c r="Q289" s="643"/>
    </row>
    <row r="290" spans="1:17" ht="14.4" customHeight="1" x14ac:dyDescent="0.3">
      <c r="A290" s="638" t="s">
        <v>2772</v>
      </c>
      <c r="B290" s="639" t="s">
        <v>2563</v>
      </c>
      <c r="C290" s="639" t="s">
        <v>1910</v>
      </c>
      <c r="D290" s="639" t="s">
        <v>2787</v>
      </c>
      <c r="E290" s="639" t="s">
        <v>2788</v>
      </c>
      <c r="F290" s="642">
        <v>7</v>
      </c>
      <c r="G290" s="642">
        <v>2175</v>
      </c>
      <c r="H290" s="642">
        <v>1</v>
      </c>
      <c r="I290" s="642">
        <v>310.71428571428572</v>
      </c>
      <c r="J290" s="642">
        <v>17</v>
      </c>
      <c r="K290" s="642">
        <v>5287</v>
      </c>
      <c r="L290" s="642">
        <v>2.4308045977011492</v>
      </c>
      <c r="M290" s="642">
        <v>311</v>
      </c>
      <c r="N290" s="642">
        <v>6</v>
      </c>
      <c r="O290" s="642">
        <v>1872</v>
      </c>
      <c r="P290" s="656">
        <v>0.8606896551724138</v>
      </c>
      <c r="Q290" s="643">
        <v>312</v>
      </c>
    </row>
    <row r="291" spans="1:17" ht="14.4" customHeight="1" x14ac:dyDescent="0.3">
      <c r="A291" s="638" t="s">
        <v>2772</v>
      </c>
      <c r="B291" s="639" t="s">
        <v>2563</v>
      </c>
      <c r="C291" s="639" t="s">
        <v>1910</v>
      </c>
      <c r="D291" s="639" t="s">
        <v>2241</v>
      </c>
      <c r="E291" s="639" t="s">
        <v>2242</v>
      </c>
      <c r="F291" s="642">
        <v>6</v>
      </c>
      <c r="G291" s="642">
        <v>138</v>
      </c>
      <c r="H291" s="642">
        <v>1</v>
      </c>
      <c r="I291" s="642">
        <v>23</v>
      </c>
      <c r="J291" s="642">
        <v>5</v>
      </c>
      <c r="K291" s="642">
        <v>115</v>
      </c>
      <c r="L291" s="642">
        <v>0.83333333333333337</v>
      </c>
      <c r="M291" s="642">
        <v>23</v>
      </c>
      <c r="N291" s="642">
        <v>5</v>
      </c>
      <c r="O291" s="642">
        <v>115</v>
      </c>
      <c r="P291" s="656">
        <v>0.83333333333333337</v>
      </c>
      <c r="Q291" s="643">
        <v>23</v>
      </c>
    </row>
    <row r="292" spans="1:17" ht="14.4" customHeight="1" x14ac:dyDescent="0.3">
      <c r="A292" s="638" t="s">
        <v>2772</v>
      </c>
      <c r="B292" s="639" t="s">
        <v>2563</v>
      </c>
      <c r="C292" s="639" t="s">
        <v>1910</v>
      </c>
      <c r="D292" s="639" t="s">
        <v>2270</v>
      </c>
      <c r="E292" s="639" t="s">
        <v>2271</v>
      </c>
      <c r="F292" s="642">
        <v>4</v>
      </c>
      <c r="G292" s="642">
        <v>1396</v>
      </c>
      <c r="H292" s="642">
        <v>1</v>
      </c>
      <c r="I292" s="642">
        <v>349</v>
      </c>
      <c r="J292" s="642">
        <v>5</v>
      </c>
      <c r="K292" s="642">
        <v>1745</v>
      </c>
      <c r="L292" s="642">
        <v>1.25</v>
      </c>
      <c r="M292" s="642">
        <v>349</v>
      </c>
      <c r="N292" s="642">
        <v>9</v>
      </c>
      <c r="O292" s="642">
        <v>3150</v>
      </c>
      <c r="P292" s="656">
        <v>2.2564469914040113</v>
      </c>
      <c r="Q292" s="643">
        <v>350</v>
      </c>
    </row>
    <row r="293" spans="1:17" ht="14.4" customHeight="1" x14ac:dyDescent="0.3">
      <c r="A293" s="638" t="s">
        <v>2772</v>
      </c>
      <c r="B293" s="639" t="s">
        <v>2563</v>
      </c>
      <c r="C293" s="639" t="s">
        <v>1910</v>
      </c>
      <c r="D293" s="639" t="s">
        <v>2232</v>
      </c>
      <c r="E293" s="639" t="s">
        <v>2233</v>
      </c>
      <c r="F293" s="642">
        <v>6</v>
      </c>
      <c r="G293" s="642">
        <v>7566</v>
      </c>
      <c r="H293" s="642">
        <v>1</v>
      </c>
      <c r="I293" s="642">
        <v>1261</v>
      </c>
      <c r="J293" s="642">
        <v>5</v>
      </c>
      <c r="K293" s="642">
        <v>6340</v>
      </c>
      <c r="L293" s="642">
        <v>0.83795929156753901</v>
      </c>
      <c r="M293" s="642">
        <v>1268</v>
      </c>
      <c r="N293" s="642">
        <v>5</v>
      </c>
      <c r="O293" s="642">
        <v>6415</v>
      </c>
      <c r="P293" s="656">
        <v>0.84787205921226538</v>
      </c>
      <c r="Q293" s="643">
        <v>1283</v>
      </c>
    </row>
    <row r="294" spans="1:17" ht="14.4" customHeight="1" x14ac:dyDescent="0.3">
      <c r="A294" s="638" t="s">
        <v>2772</v>
      </c>
      <c r="B294" s="639" t="s">
        <v>2563</v>
      </c>
      <c r="C294" s="639" t="s">
        <v>1910</v>
      </c>
      <c r="D294" s="639" t="s">
        <v>2789</v>
      </c>
      <c r="E294" s="639" t="s">
        <v>2790</v>
      </c>
      <c r="F294" s="642"/>
      <c r="G294" s="642"/>
      <c r="H294" s="642"/>
      <c r="I294" s="642"/>
      <c r="J294" s="642">
        <v>1</v>
      </c>
      <c r="K294" s="642">
        <v>39</v>
      </c>
      <c r="L294" s="642"/>
      <c r="M294" s="642">
        <v>39</v>
      </c>
      <c r="N294" s="642"/>
      <c r="O294" s="642"/>
      <c r="P294" s="656"/>
      <c r="Q294" s="643"/>
    </row>
    <row r="295" spans="1:17" ht="14.4" customHeight="1" x14ac:dyDescent="0.3">
      <c r="A295" s="638" t="s">
        <v>2772</v>
      </c>
      <c r="B295" s="639" t="s">
        <v>2563</v>
      </c>
      <c r="C295" s="639" t="s">
        <v>1910</v>
      </c>
      <c r="D295" s="639" t="s">
        <v>2791</v>
      </c>
      <c r="E295" s="639" t="s">
        <v>2792</v>
      </c>
      <c r="F295" s="642">
        <v>2</v>
      </c>
      <c r="G295" s="642">
        <v>10000</v>
      </c>
      <c r="H295" s="642">
        <v>1</v>
      </c>
      <c r="I295" s="642">
        <v>5000</v>
      </c>
      <c r="J295" s="642">
        <v>2</v>
      </c>
      <c r="K295" s="642">
        <v>10006</v>
      </c>
      <c r="L295" s="642">
        <v>1.0005999999999999</v>
      </c>
      <c r="M295" s="642">
        <v>5003</v>
      </c>
      <c r="N295" s="642">
        <v>1</v>
      </c>
      <c r="O295" s="642">
        <v>5022</v>
      </c>
      <c r="P295" s="656">
        <v>0.50219999999999998</v>
      </c>
      <c r="Q295" s="643">
        <v>5022</v>
      </c>
    </row>
    <row r="296" spans="1:17" ht="14.4" customHeight="1" x14ac:dyDescent="0.3">
      <c r="A296" s="638" t="s">
        <v>2772</v>
      </c>
      <c r="B296" s="639" t="s">
        <v>2563</v>
      </c>
      <c r="C296" s="639" t="s">
        <v>1910</v>
      </c>
      <c r="D296" s="639" t="s">
        <v>2460</v>
      </c>
      <c r="E296" s="639" t="s">
        <v>2461</v>
      </c>
      <c r="F296" s="642">
        <v>4</v>
      </c>
      <c r="G296" s="642">
        <v>680</v>
      </c>
      <c r="H296" s="642">
        <v>1</v>
      </c>
      <c r="I296" s="642">
        <v>170</v>
      </c>
      <c r="J296" s="642">
        <v>3</v>
      </c>
      <c r="K296" s="642">
        <v>510</v>
      </c>
      <c r="L296" s="642">
        <v>0.75</v>
      </c>
      <c r="M296" s="642">
        <v>170</v>
      </c>
      <c r="N296" s="642">
        <v>1</v>
      </c>
      <c r="O296" s="642">
        <v>171</v>
      </c>
      <c r="P296" s="656">
        <v>0.25147058823529411</v>
      </c>
      <c r="Q296" s="643">
        <v>171</v>
      </c>
    </row>
    <row r="297" spans="1:17" ht="14.4" customHeight="1" x14ac:dyDescent="0.3">
      <c r="A297" s="638" t="s">
        <v>2772</v>
      </c>
      <c r="B297" s="639" t="s">
        <v>2563</v>
      </c>
      <c r="C297" s="639" t="s">
        <v>1910</v>
      </c>
      <c r="D297" s="639" t="s">
        <v>2793</v>
      </c>
      <c r="E297" s="639" t="s">
        <v>2794</v>
      </c>
      <c r="F297" s="642">
        <v>7</v>
      </c>
      <c r="G297" s="642">
        <v>4807</v>
      </c>
      <c r="H297" s="642">
        <v>1</v>
      </c>
      <c r="I297" s="642">
        <v>686.71428571428567</v>
      </c>
      <c r="J297" s="642">
        <v>10</v>
      </c>
      <c r="K297" s="642">
        <v>6880</v>
      </c>
      <c r="L297" s="642">
        <v>1.4312460994383192</v>
      </c>
      <c r="M297" s="642">
        <v>688</v>
      </c>
      <c r="N297" s="642">
        <v>6</v>
      </c>
      <c r="O297" s="642">
        <v>4140</v>
      </c>
      <c r="P297" s="656">
        <v>0.86124401913875603</v>
      </c>
      <c r="Q297" s="643">
        <v>690</v>
      </c>
    </row>
    <row r="298" spans="1:17" ht="14.4" customHeight="1" x14ac:dyDescent="0.3">
      <c r="A298" s="638" t="s">
        <v>2772</v>
      </c>
      <c r="B298" s="639" t="s">
        <v>2563</v>
      </c>
      <c r="C298" s="639" t="s">
        <v>1910</v>
      </c>
      <c r="D298" s="639" t="s">
        <v>2795</v>
      </c>
      <c r="E298" s="639" t="s">
        <v>2796</v>
      </c>
      <c r="F298" s="642"/>
      <c r="G298" s="642"/>
      <c r="H298" s="642"/>
      <c r="I298" s="642"/>
      <c r="J298" s="642">
        <v>1</v>
      </c>
      <c r="K298" s="642">
        <v>348</v>
      </c>
      <c r="L298" s="642"/>
      <c r="M298" s="642">
        <v>348</v>
      </c>
      <c r="N298" s="642">
        <v>1</v>
      </c>
      <c r="O298" s="642">
        <v>350</v>
      </c>
      <c r="P298" s="656"/>
      <c r="Q298" s="643">
        <v>350</v>
      </c>
    </row>
    <row r="299" spans="1:17" ht="14.4" customHeight="1" x14ac:dyDescent="0.3">
      <c r="A299" s="638" t="s">
        <v>2772</v>
      </c>
      <c r="B299" s="639" t="s">
        <v>2563</v>
      </c>
      <c r="C299" s="639" t="s">
        <v>1910</v>
      </c>
      <c r="D299" s="639" t="s">
        <v>2797</v>
      </c>
      <c r="E299" s="639" t="s">
        <v>2798</v>
      </c>
      <c r="F299" s="642">
        <v>1</v>
      </c>
      <c r="G299" s="642">
        <v>173</v>
      </c>
      <c r="H299" s="642">
        <v>1</v>
      </c>
      <c r="I299" s="642">
        <v>173</v>
      </c>
      <c r="J299" s="642">
        <v>1</v>
      </c>
      <c r="K299" s="642">
        <v>173</v>
      </c>
      <c r="L299" s="642">
        <v>1</v>
      </c>
      <c r="M299" s="642">
        <v>173</v>
      </c>
      <c r="N299" s="642">
        <v>1</v>
      </c>
      <c r="O299" s="642">
        <v>174</v>
      </c>
      <c r="P299" s="656">
        <v>1.0057803468208093</v>
      </c>
      <c r="Q299" s="643">
        <v>174</v>
      </c>
    </row>
    <row r="300" spans="1:17" ht="14.4" customHeight="1" x14ac:dyDescent="0.3">
      <c r="A300" s="638" t="s">
        <v>2772</v>
      </c>
      <c r="B300" s="639" t="s">
        <v>2563</v>
      </c>
      <c r="C300" s="639" t="s">
        <v>1910</v>
      </c>
      <c r="D300" s="639" t="s">
        <v>2799</v>
      </c>
      <c r="E300" s="639" t="s">
        <v>2800</v>
      </c>
      <c r="F300" s="642">
        <v>7</v>
      </c>
      <c r="G300" s="642">
        <v>4555</v>
      </c>
      <c r="H300" s="642">
        <v>1</v>
      </c>
      <c r="I300" s="642">
        <v>650.71428571428567</v>
      </c>
      <c r="J300" s="642">
        <v>10</v>
      </c>
      <c r="K300" s="642">
        <v>6520</v>
      </c>
      <c r="L300" s="642">
        <v>1.4313940724478595</v>
      </c>
      <c r="M300" s="642">
        <v>652</v>
      </c>
      <c r="N300" s="642">
        <v>6</v>
      </c>
      <c r="O300" s="642">
        <v>3924</v>
      </c>
      <c r="P300" s="656">
        <v>0.86147091108671792</v>
      </c>
      <c r="Q300" s="643">
        <v>654</v>
      </c>
    </row>
    <row r="301" spans="1:17" ht="14.4" customHeight="1" x14ac:dyDescent="0.3">
      <c r="A301" s="638" t="s">
        <v>2772</v>
      </c>
      <c r="B301" s="639" t="s">
        <v>2563</v>
      </c>
      <c r="C301" s="639" t="s">
        <v>1910</v>
      </c>
      <c r="D301" s="639" t="s">
        <v>2801</v>
      </c>
      <c r="E301" s="639" t="s">
        <v>2802</v>
      </c>
      <c r="F301" s="642">
        <v>7</v>
      </c>
      <c r="G301" s="642">
        <v>4555</v>
      </c>
      <c r="H301" s="642">
        <v>1</v>
      </c>
      <c r="I301" s="642">
        <v>650.71428571428567</v>
      </c>
      <c r="J301" s="642">
        <v>10</v>
      </c>
      <c r="K301" s="642">
        <v>6520</v>
      </c>
      <c r="L301" s="642">
        <v>1.4313940724478595</v>
      </c>
      <c r="M301" s="642">
        <v>652</v>
      </c>
      <c r="N301" s="642">
        <v>6</v>
      </c>
      <c r="O301" s="642">
        <v>3924</v>
      </c>
      <c r="P301" s="656">
        <v>0.86147091108671792</v>
      </c>
      <c r="Q301" s="643">
        <v>654</v>
      </c>
    </row>
    <row r="302" spans="1:17" ht="14.4" customHeight="1" x14ac:dyDescent="0.3">
      <c r="A302" s="638" t="s">
        <v>2772</v>
      </c>
      <c r="B302" s="639" t="s">
        <v>2563</v>
      </c>
      <c r="C302" s="639" t="s">
        <v>1910</v>
      </c>
      <c r="D302" s="639" t="s">
        <v>2243</v>
      </c>
      <c r="E302" s="639" t="s">
        <v>2244</v>
      </c>
      <c r="F302" s="642">
        <v>22</v>
      </c>
      <c r="G302" s="642">
        <v>9460</v>
      </c>
      <c r="H302" s="642">
        <v>1</v>
      </c>
      <c r="I302" s="642">
        <v>430</v>
      </c>
      <c r="J302" s="642">
        <v>20</v>
      </c>
      <c r="K302" s="642">
        <v>8640</v>
      </c>
      <c r="L302" s="642">
        <v>0.91331923890063427</v>
      </c>
      <c r="M302" s="642">
        <v>432</v>
      </c>
      <c r="N302" s="642">
        <v>17</v>
      </c>
      <c r="O302" s="642">
        <v>7395</v>
      </c>
      <c r="P302" s="656">
        <v>0.78171247357293872</v>
      </c>
      <c r="Q302" s="643">
        <v>435</v>
      </c>
    </row>
    <row r="303" spans="1:17" ht="14.4" customHeight="1" x14ac:dyDescent="0.3">
      <c r="A303" s="638" t="s">
        <v>2772</v>
      </c>
      <c r="B303" s="639" t="s">
        <v>2563</v>
      </c>
      <c r="C303" s="639" t="s">
        <v>1910</v>
      </c>
      <c r="D303" s="639" t="s">
        <v>2803</v>
      </c>
      <c r="E303" s="639" t="s">
        <v>2804</v>
      </c>
      <c r="F303" s="642"/>
      <c r="G303" s="642"/>
      <c r="H303" s="642"/>
      <c r="I303" s="642"/>
      <c r="J303" s="642">
        <v>1</v>
      </c>
      <c r="K303" s="642">
        <v>475</v>
      </c>
      <c r="L303" s="642"/>
      <c r="M303" s="642">
        <v>475</v>
      </c>
      <c r="N303" s="642"/>
      <c r="O303" s="642"/>
      <c r="P303" s="656"/>
      <c r="Q303" s="643"/>
    </row>
    <row r="304" spans="1:17" ht="14.4" customHeight="1" x14ac:dyDescent="0.3">
      <c r="A304" s="638" t="s">
        <v>2772</v>
      </c>
      <c r="B304" s="639" t="s">
        <v>2563</v>
      </c>
      <c r="C304" s="639" t="s">
        <v>1910</v>
      </c>
      <c r="D304" s="639" t="s">
        <v>2245</v>
      </c>
      <c r="E304" s="639" t="s">
        <v>2246</v>
      </c>
      <c r="F304" s="642">
        <v>22</v>
      </c>
      <c r="G304" s="642">
        <v>22132</v>
      </c>
      <c r="H304" s="642">
        <v>1</v>
      </c>
      <c r="I304" s="642">
        <v>1006</v>
      </c>
      <c r="J304" s="642">
        <v>20</v>
      </c>
      <c r="K304" s="642">
        <v>20160</v>
      </c>
      <c r="L304" s="642">
        <v>0.91089824688234233</v>
      </c>
      <c r="M304" s="642">
        <v>1008</v>
      </c>
      <c r="N304" s="642">
        <v>20</v>
      </c>
      <c r="O304" s="642">
        <v>20220</v>
      </c>
      <c r="P304" s="656">
        <v>0.91360925356949219</v>
      </c>
      <c r="Q304" s="643">
        <v>1011</v>
      </c>
    </row>
    <row r="305" spans="1:17" ht="14.4" customHeight="1" x14ac:dyDescent="0.3">
      <c r="A305" s="638" t="s">
        <v>2772</v>
      </c>
      <c r="B305" s="639" t="s">
        <v>2563</v>
      </c>
      <c r="C305" s="639" t="s">
        <v>1910</v>
      </c>
      <c r="D305" s="639" t="s">
        <v>2805</v>
      </c>
      <c r="E305" s="639" t="s">
        <v>2806</v>
      </c>
      <c r="F305" s="642"/>
      <c r="G305" s="642"/>
      <c r="H305" s="642"/>
      <c r="I305" s="642"/>
      <c r="J305" s="642">
        <v>1</v>
      </c>
      <c r="K305" s="642">
        <v>167</v>
      </c>
      <c r="L305" s="642"/>
      <c r="M305" s="642">
        <v>167</v>
      </c>
      <c r="N305" s="642"/>
      <c r="O305" s="642"/>
      <c r="P305" s="656"/>
      <c r="Q305" s="643"/>
    </row>
    <row r="306" spans="1:17" ht="14.4" customHeight="1" x14ac:dyDescent="0.3">
      <c r="A306" s="638" t="s">
        <v>2772</v>
      </c>
      <c r="B306" s="639" t="s">
        <v>2563</v>
      </c>
      <c r="C306" s="639" t="s">
        <v>1910</v>
      </c>
      <c r="D306" s="639" t="s">
        <v>2807</v>
      </c>
      <c r="E306" s="639" t="s">
        <v>2808</v>
      </c>
      <c r="F306" s="642">
        <v>7</v>
      </c>
      <c r="G306" s="642">
        <v>9770</v>
      </c>
      <c r="H306" s="642">
        <v>1</v>
      </c>
      <c r="I306" s="642">
        <v>1395.7142857142858</v>
      </c>
      <c r="J306" s="642">
        <v>10</v>
      </c>
      <c r="K306" s="642">
        <v>13970</v>
      </c>
      <c r="L306" s="642">
        <v>1.4298874104401229</v>
      </c>
      <c r="M306" s="642">
        <v>1397</v>
      </c>
      <c r="N306" s="642">
        <v>6</v>
      </c>
      <c r="O306" s="642">
        <v>8394</v>
      </c>
      <c r="P306" s="656">
        <v>0.85916069600818834</v>
      </c>
      <c r="Q306" s="643">
        <v>1399</v>
      </c>
    </row>
    <row r="307" spans="1:17" ht="14.4" customHeight="1" x14ac:dyDescent="0.3">
      <c r="A307" s="638" t="s">
        <v>2772</v>
      </c>
      <c r="B307" s="639" t="s">
        <v>2563</v>
      </c>
      <c r="C307" s="639" t="s">
        <v>1910</v>
      </c>
      <c r="D307" s="639" t="s">
        <v>2809</v>
      </c>
      <c r="E307" s="639" t="s">
        <v>2810</v>
      </c>
      <c r="F307" s="642">
        <v>6</v>
      </c>
      <c r="G307" s="642">
        <v>6102</v>
      </c>
      <c r="H307" s="642">
        <v>1</v>
      </c>
      <c r="I307" s="642">
        <v>1017</v>
      </c>
      <c r="J307" s="642">
        <v>7</v>
      </c>
      <c r="K307" s="642">
        <v>7126</v>
      </c>
      <c r="L307" s="642">
        <v>1.1678138315306457</v>
      </c>
      <c r="M307" s="642">
        <v>1018</v>
      </c>
      <c r="N307" s="642">
        <v>5</v>
      </c>
      <c r="O307" s="642">
        <v>5110</v>
      </c>
      <c r="P307" s="656">
        <v>0.83743035070468697</v>
      </c>
      <c r="Q307" s="643">
        <v>1022</v>
      </c>
    </row>
    <row r="308" spans="1:17" ht="14.4" customHeight="1" x14ac:dyDescent="0.3">
      <c r="A308" s="638" t="s">
        <v>2772</v>
      </c>
      <c r="B308" s="639" t="s">
        <v>2563</v>
      </c>
      <c r="C308" s="639" t="s">
        <v>1910</v>
      </c>
      <c r="D308" s="639" t="s">
        <v>2811</v>
      </c>
      <c r="E308" s="639" t="s">
        <v>2812</v>
      </c>
      <c r="F308" s="642">
        <v>5</v>
      </c>
      <c r="G308" s="642">
        <v>945</v>
      </c>
      <c r="H308" s="642">
        <v>1</v>
      </c>
      <c r="I308" s="642">
        <v>189</v>
      </c>
      <c r="J308" s="642"/>
      <c r="K308" s="642"/>
      <c r="L308" s="642"/>
      <c r="M308" s="642"/>
      <c r="N308" s="642">
        <v>5</v>
      </c>
      <c r="O308" s="642">
        <v>950</v>
      </c>
      <c r="P308" s="656">
        <v>1.0052910052910053</v>
      </c>
      <c r="Q308" s="643">
        <v>190</v>
      </c>
    </row>
    <row r="309" spans="1:17" ht="14.4" customHeight="1" x14ac:dyDescent="0.3">
      <c r="A309" s="638" t="s">
        <v>2813</v>
      </c>
      <c r="B309" s="639" t="s">
        <v>2229</v>
      </c>
      <c r="C309" s="639" t="s">
        <v>1910</v>
      </c>
      <c r="D309" s="639" t="s">
        <v>2504</v>
      </c>
      <c r="E309" s="639" t="s">
        <v>2505</v>
      </c>
      <c r="F309" s="642"/>
      <c r="G309" s="642"/>
      <c r="H309" s="642"/>
      <c r="I309" s="642"/>
      <c r="J309" s="642"/>
      <c r="K309" s="642"/>
      <c r="L309" s="642"/>
      <c r="M309" s="642"/>
      <c r="N309" s="642">
        <v>28</v>
      </c>
      <c r="O309" s="642">
        <v>16212</v>
      </c>
      <c r="P309" s="656"/>
      <c r="Q309" s="643">
        <v>579</v>
      </c>
    </row>
    <row r="310" spans="1:17" ht="14.4" customHeight="1" x14ac:dyDescent="0.3">
      <c r="A310" s="638" t="s">
        <v>2813</v>
      </c>
      <c r="B310" s="639" t="s">
        <v>2229</v>
      </c>
      <c r="C310" s="639" t="s">
        <v>1910</v>
      </c>
      <c r="D310" s="639" t="s">
        <v>2236</v>
      </c>
      <c r="E310" s="639" t="s">
        <v>2237</v>
      </c>
      <c r="F310" s="642"/>
      <c r="G310" s="642"/>
      <c r="H310" s="642"/>
      <c r="I310" s="642"/>
      <c r="J310" s="642"/>
      <c r="K310" s="642"/>
      <c r="L310" s="642"/>
      <c r="M310" s="642"/>
      <c r="N310" s="642">
        <v>28</v>
      </c>
      <c r="O310" s="642">
        <v>64232</v>
      </c>
      <c r="P310" s="656"/>
      <c r="Q310" s="643">
        <v>2294</v>
      </c>
    </row>
    <row r="311" spans="1:17" ht="14.4" customHeight="1" thickBot="1" x14ac:dyDescent="0.35">
      <c r="A311" s="644" t="s">
        <v>2813</v>
      </c>
      <c r="B311" s="645" t="s">
        <v>2229</v>
      </c>
      <c r="C311" s="645" t="s">
        <v>1910</v>
      </c>
      <c r="D311" s="645" t="s">
        <v>2814</v>
      </c>
      <c r="E311" s="645" t="s">
        <v>2815</v>
      </c>
      <c r="F311" s="648"/>
      <c r="G311" s="648"/>
      <c r="H311" s="648"/>
      <c r="I311" s="648"/>
      <c r="J311" s="648"/>
      <c r="K311" s="648"/>
      <c r="L311" s="648"/>
      <c r="M311" s="648"/>
      <c r="N311" s="648">
        <v>1</v>
      </c>
      <c r="O311" s="648">
        <v>391</v>
      </c>
      <c r="P311" s="657"/>
      <c r="Q311" s="649">
        <v>391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44" bestFit="1" customWidth="1"/>
    <col min="2" max="3" width="9.5546875" style="244" customWidth="1"/>
    <col min="4" max="4" width="2.21875" style="244" customWidth="1"/>
    <col min="5" max="8" width="9.5546875" style="244" customWidth="1"/>
    <col min="9" max="16384" width="8.88671875" style="244"/>
  </cols>
  <sheetData>
    <row r="1" spans="1:8" ht="18.600000000000001" customHeight="1" thickBot="1" x14ac:dyDescent="0.4">
      <c r="A1" s="464" t="s">
        <v>167</v>
      </c>
      <c r="B1" s="464"/>
      <c r="C1" s="464"/>
      <c r="D1" s="464"/>
      <c r="E1" s="464"/>
      <c r="F1" s="464"/>
      <c r="G1" s="465"/>
      <c r="H1" s="465"/>
    </row>
    <row r="2" spans="1:8" ht="14.4" customHeight="1" thickBot="1" x14ac:dyDescent="0.35">
      <c r="A2" s="368" t="s">
        <v>301</v>
      </c>
      <c r="B2" s="214"/>
      <c r="C2" s="214"/>
      <c r="D2" s="214"/>
      <c r="E2" s="214"/>
      <c r="F2" s="214"/>
    </row>
    <row r="3" spans="1:8" ht="14.4" customHeight="1" x14ac:dyDescent="0.3">
      <c r="A3" s="466"/>
      <c r="B3" s="210">
        <v>2014</v>
      </c>
      <c r="C3" s="44">
        <v>2015</v>
      </c>
      <c r="D3" s="11"/>
      <c r="E3" s="470">
        <v>2016</v>
      </c>
      <c r="F3" s="471"/>
      <c r="G3" s="471"/>
      <c r="H3" s="472"/>
    </row>
    <row r="4" spans="1:8" ht="14.4" customHeight="1" thickBot="1" x14ac:dyDescent="0.35">
      <c r="A4" s="467"/>
      <c r="B4" s="468" t="s">
        <v>87</v>
      </c>
      <c r="C4" s="469"/>
      <c r="D4" s="11"/>
      <c r="E4" s="231" t="s">
        <v>87</v>
      </c>
      <c r="F4" s="212" t="s">
        <v>88</v>
      </c>
      <c r="G4" s="212" t="s">
        <v>62</v>
      </c>
      <c r="H4" s="213" t="s">
        <v>89</v>
      </c>
    </row>
    <row r="5" spans="1:8" ht="14.4" customHeight="1" x14ac:dyDescent="0.3">
      <c r="A5" s="215" t="str">
        <f>HYPERLINK("#'Léky Žádanky'!A1","Léky (Kč)")</f>
        <v>Léky (Kč)</v>
      </c>
      <c r="B5" s="31">
        <v>2250.1859599999998</v>
      </c>
      <c r="C5" s="33">
        <v>2466.0529000000001</v>
      </c>
      <c r="D5" s="12"/>
      <c r="E5" s="220">
        <v>7597.7264100000029</v>
      </c>
      <c r="F5" s="32">
        <v>7718.1817008941034</v>
      </c>
      <c r="G5" s="219">
        <f>E5-F5</f>
        <v>-120.45529089410047</v>
      </c>
      <c r="H5" s="225">
        <f>IF(F5&lt;0.00000001,"",E5/F5)</f>
        <v>0.98439330718527307</v>
      </c>
    </row>
    <row r="6" spans="1:8" ht="14.4" customHeight="1" x14ac:dyDescent="0.3">
      <c r="A6" s="215" t="str">
        <f>HYPERLINK("#'Materiál Žádanky'!A1","Materiál - SZM (Kč)")</f>
        <v>Materiál - SZM (Kč)</v>
      </c>
      <c r="B6" s="14">
        <v>3809.4697400000005</v>
      </c>
      <c r="C6" s="35">
        <v>4730.497080000001</v>
      </c>
      <c r="D6" s="12"/>
      <c r="E6" s="221">
        <v>4635.6786000000011</v>
      </c>
      <c r="F6" s="34">
        <v>4812.2083351891688</v>
      </c>
      <c r="G6" s="222">
        <f>E6-F6</f>
        <v>-176.5297351891677</v>
      </c>
      <c r="H6" s="226">
        <f>IF(F6&lt;0.00000001,"",E6/F6)</f>
        <v>0.96331627334205427</v>
      </c>
    </row>
    <row r="7" spans="1:8" ht="14.4" customHeight="1" x14ac:dyDescent="0.3">
      <c r="A7" s="215" t="str">
        <f>HYPERLINK("#'Osobní náklady'!A1","Osobní náklady (Kč) *")</f>
        <v>Osobní náklady (Kč) *</v>
      </c>
      <c r="B7" s="14">
        <v>41337.253610000022</v>
      </c>
      <c r="C7" s="35">
        <v>46094.253930000006</v>
      </c>
      <c r="D7" s="12"/>
      <c r="E7" s="221">
        <v>48915.81577000003</v>
      </c>
      <c r="F7" s="34">
        <v>45907.004144460661</v>
      </c>
      <c r="G7" s="222">
        <f>E7-F7</f>
        <v>3008.8116255393688</v>
      </c>
      <c r="H7" s="226">
        <f>IF(F7&lt;0.00000001,"",E7/F7)</f>
        <v>1.0655414501907206</v>
      </c>
    </row>
    <row r="8" spans="1:8" ht="14.4" customHeight="1" thickBot="1" x14ac:dyDescent="0.35">
      <c r="A8" s="1" t="s">
        <v>90</v>
      </c>
      <c r="B8" s="15">
        <v>8968.8493499999931</v>
      </c>
      <c r="C8" s="37">
        <v>9864.6630000000096</v>
      </c>
      <c r="D8" s="12"/>
      <c r="E8" s="223">
        <v>10268.14805999999</v>
      </c>
      <c r="F8" s="36">
        <v>9455.7249656883996</v>
      </c>
      <c r="G8" s="224">
        <f>E8-F8</f>
        <v>812.42309431159083</v>
      </c>
      <c r="H8" s="227">
        <f>IF(F8&lt;0.00000001,"",E8/F8)</f>
        <v>1.0859186468789646</v>
      </c>
    </row>
    <row r="9" spans="1:8" ht="14.4" customHeight="1" thickBot="1" x14ac:dyDescent="0.35">
      <c r="A9" s="2" t="s">
        <v>91</v>
      </c>
      <c r="B9" s="3">
        <v>56365.758660000021</v>
      </c>
      <c r="C9" s="39">
        <v>63155.466910000017</v>
      </c>
      <c r="D9" s="12"/>
      <c r="E9" s="3">
        <v>71417.368840000025</v>
      </c>
      <c r="F9" s="38">
        <v>67893.119146232333</v>
      </c>
      <c r="G9" s="38">
        <f>E9-F9</f>
        <v>3524.2496937676915</v>
      </c>
      <c r="H9" s="228">
        <f>IF(F9&lt;0.00000001,"",E9/F9)</f>
        <v>1.0519087904354041</v>
      </c>
    </row>
    <row r="10" spans="1:8" ht="14.4" customHeight="1" thickBot="1" x14ac:dyDescent="0.35">
      <c r="A10" s="16"/>
      <c r="B10" s="16"/>
      <c r="C10" s="211"/>
      <c r="D10" s="12"/>
      <c r="E10" s="16"/>
      <c r="F10" s="17"/>
    </row>
    <row r="11" spans="1:8" ht="14.4" customHeight="1" x14ac:dyDescent="0.3">
      <c r="A11" s="247" t="str">
        <f>HYPERLINK("#'ZV Vykáz.-A'!A1","Ambulance *")</f>
        <v>Ambulance *</v>
      </c>
      <c r="B11" s="13">
        <f>IF(ISERROR(VLOOKUP("Celkem:",'ZV Vykáz.-A'!A:F,2,0)),0,VLOOKUP("Celkem:",'ZV Vykáz.-A'!A:F,2,0)/1000)</f>
        <v>0</v>
      </c>
      <c r="C11" s="33">
        <f>IF(ISERROR(VLOOKUP("Celkem:",'ZV Vykáz.-A'!A:F,4,0)),0,VLOOKUP("Celkem:",'ZV Vykáz.-A'!A:F,4,0)/1000)</f>
        <v>156.523</v>
      </c>
      <c r="D11" s="12"/>
      <c r="E11" s="220">
        <f>IF(ISERROR(VLOOKUP("Celkem:",'ZV Vykáz.-A'!A:F,6,0)),0,VLOOKUP("Celkem:",'ZV Vykáz.-A'!A:F,6,0)/1000)</f>
        <v>376.02499999999998</v>
      </c>
      <c r="F11" s="32">
        <f>B11</f>
        <v>0</v>
      </c>
      <c r="G11" s="219">
        <f>E11-F11</f>
        <v>376.02499999999998</v>
      </c>
      <c r="H11" s="225" t="str">
        <f>IF(F11&lt;0.00000001,"",E11/F11)</f>
        <v/>
      </c>
    </row>
    <row r="12" spans="1:8" ht="14.4" customHeight="1" thickBot="1" x14ac:dyDescent="0.35">
      <c r="A12" s="248" t="str">
        <f>HYPERLINK("#CaseMix!A1","Hospitalizace *")</f>
        <v>Hospitalizace *</v>
      </c>
      <c r="B12" s="15">
        <f>IF(ISERROR(VLOOKUP("Celkem",CaseMix!A:D,2,0)),0,VLOOKUP("Celkem",CaseMix!A:D,2,0)*30)</f>
        <v>82987.08</v>
      </c>
      <c r="C12" s="37">
        <f>IF(ISERROR(VLOOKUP("Celkem",CaseMix!A:D,3,0)),0,VLOOKUP("Celkem",CaseMix!A:D,3,0)*30)</f>
        <v>99219.03</v>
      </c>
      <c r="D12" s="12"/>
      <c r="E12" s="223">
        <f>IF(ISERROR(VLOOKUP("Celkem",CaseMix!A:D,4,0)),0,VLOOKUP("Celkem",CaseMix!A:D,4,0)*30)</f>
        <v>88198.05</v>
      </c>
      <c r="F12" s="36">
        <f>B12</f>
        <v>82987.08</v>
      </c>
      <c r="G12" s="224">
        <f>E12-F12</f>
        <v>5210.9700000000012</v>
      </c>
      <c r="H12" s="227">
        <f>IF(F12&lt;0.00000001,"",E12/F12)</f>
        <v>1.062792545538414</v>
      </c>
    </row>
    <row r="13" spans="1:8" ht="14.4" customHeight="1" thickBot="1" x14ac:dyDescent="0.35">
      <c r="A13" s="4" t="s">
        <v>94</v>
      </c>
      <c r="B13" s="9">
        <f>SUM(B11:B12)</f>
        <v>82987.08</v>
      </c>
      <c r="C13" s="41">
        <f>SUM(C11:C12)</f>
        <v>99375.553</v>
      </c>
      <c r="D13" s="12"/>
      <c r="E13" s="9">
        <f>SUM(E11:E12)</f>
        <v>88574.074999999997</v>
      </c>
      <c r="F13" s="40">
        <f>SUM(F11:F12)</f>
        <v>82987.08</v>
      </c>
      <c r="G13" s="40">
        <f>E13-F13</f>
        <v>5586.9949999999953</v>
      </c>
      <c r="H13" s="229">
        <f>IF(F13&lt;0.00000001,"",E13/F13)</f>
        <v>1.067323672552402</v>
      </c>
    </row>
    <row r="14" spans="1:8" ht="14.4" customHeight="1" thickBot="1" x14ac:dyDescent="0.35">
      <c r="A14" s="16"/>
      <c r="B14" s="16"/>
      <c r="C14" s="211"/>
      <c r="D14" s="12"/>
      <c r="E14" s="16"/>
      <c r="F14" s="17"/>
    </row>
    <row r="15" spans="1:8" ht="14.4" customHeight="1" thickBot="1" x14ac:dyDescent="0.35">
      <c r="A15" s="249" t="str">
        <f>HYPERLINK("#'HI Graf'!A1","Hospodářský index (Výnosy / Náklady) *")</f>
        <v>Hospodářský index (Výnosy / Náklady) *</v>
      </c>
      <c r="B15" s="10">
        <f>IF(B9=0,"",B13/B9)</f>
        <v>1.472295982044358</v>
      </c>
      <c r="C15" s="43">
        <f>IF(C9=0,"",C13/C9)</f>
        <v>1.5735067423635007</v>
      </c>
      <c r="D15" s="12"/>
      <c r="E15" s="10">
        <f>IF(E9=0,"",E13/E9)</f>
        <v>1.2402315632551097</v>
      </c>
      <c r="F15" s="42">
        <f>IF(F9=0,"",F13/F9)</f>
        <v>1.2223194492104181</v>
      </c>
      <c r="G15" s="42">
        <f>IF(ISERROR(F15-E15),"",E15-F15)</f>
        <v>1.7912114044691618E-2</v>
      </c>
      <c r="H15" s="230">
        <f>IF(ISERROR(F15-E15),"",IF(F15&lt;0.00000001,"",E15/F15))</f>
        <v>1.0146542003043986</v>
      </c>
    </row>
    <row r="17" spans="1:8" ht="14.4" customHeight="1" x14ac:dyDescent="0.3">
      <c r="A17" s="216" t="s">
        <v>193</v>
      </c>
    </row>
    <row r="18" spans="1:8" ht="14.4" customHeight="1" x14ac:dyDescent="0.3">
      <c r="A18" s="421" t="s">
        <v>233</v>
      </c>
      <c r="B18" s="422"/>
      <c r="C18" s="422"/>
      <c r="D18" s="422"/>
      <c r="E18" s="422"/>
      <c r="F18" s="422"/>
      <c r="G18" s="422"/>
      <c r="H18" s="422"/>
    </row>
    <row r="19" spans="1:8" x14ac:dyDescent="0.3">
      <c r="A19" s="420" t="s">
        <v>232</v>
      </c>
      <c r="B19" s="422"/>
      <c r="C19" s="422"/>
      <c r="D19" s="422"/>
      <c r="E19" s="422"/>
      <c r="F19" s="422"/>
      <c r="G19" s="422"/>
      <c r="H19" s="422"/>
    </row>
    <row r="20" spans="1:8" ht="14.4" customHeight="1" x14ac:dyDescent="0.3">
      <c r="A20" s="217" t="s">
        <v>261</v>
      </c>
    </row>
    <row r="21" spans="1:8" ht="14.4" customHeight="1" x14ac:dyDescent="0.3">
      <c r="A21" s="217" t="s">
        <v>194</v>
      </c>
    </row>
    <row r="22" spans="1:8" ht="14.4" customHeight="1" x14ac:dyDescent="0.3">
      <c r="A22" s="218" t="s">
        <v>300</v>
      </c>
    </row>
    <row r="23" spans="1:8" ht="14.4" customHeight="1" x14ac:dyDescent="0.3">
      <c r="A23" s="218" t="s">
        <v>195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4" operator="greaterThan">
      <formula>0</formula>
    </cfRule>
  </conditionalFormatting>
  <conditionalFormatting sqref="G11:G13 G15">
    <cfRule type="cellIs" dxfId="79" priority="3" operator="lessThan">
      <formula>0</formula>
    </cfRule>
  </conditionalFormatting>
  <conditionalFormatting sqref="H5:H9">
    <cfRule type="cellIs" dxfId="78" priority="2" operator="greaterThan">
      <formula>1</formula>
    </cfRule>
  </conditionalFormatting>
  <conditionalFormatting sqref="H11:H13 H15">
    <cfRule type="cellIs" dxfId="7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82" bestFit="1" customWidth="1"/>
    <col min="2" max="2" width="15.6640625" style="182" bestFit="1" customWidth="1"/>
    <col min="3" max="5" width="8.33203125" style="190" customWidth="1"/>
    <col min="6" max="6" width="6.109375" style="191" customWidth="1"/>
    <col min="7" max="9" width="8.33203125" style="190" customWidth="1"/>
    <col min="10" max="10" width="6.109375" style="191" customWidth="1"/>
    <col min="11" max="14" width="8.33203125" style="190" customWidth="1"/>
    <col min="15" max="16384" width="8.88671875" style="182"/>
  </cols>
  <sheetData>
    <row r="1" spans="1:14" ht="18.600000000000001" customHeight="1" thickBot="1" x14ac:dyDescent="0.4">
      <c r="A1" s="583" t="s">
        <v>173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</row>
    <row r="2" spans="1:14" ht="14.4" customHeight="1" thickBot="1" x14ac:dyDescent="0.35">
      <c r="A2" s="368" t="s">
        <v>301</v>
      </c>
      <c r="B2" s="183"/>
      <c r="C2" s="183"/>
      <c r="D2" s="183"/>
      <c r="E2" s="183"/>
      <c r="F2" s="183"/>
      <c r="G2" s="436"/>
      <c r="H2" s="436"/>
      <c r="I2" s="436"/>
      <c r="J2" s="183"/>
      <c r="K2" s="436"/>
      <c r="L2" s="436"/>
      <c r="M2" s="436"/>
      <c r="N2" s="183"/>
    </row>
    <row r="3" spans="1:14" ht="14.4" customHeight="1" thickBot="1" x14ac:dyDescent="0.35">
      <c r="A3" s="184"/>
      <c r="B3" s="185" t="s">
        <v>151</v>
      </c>
      <c r="C3" s="186">
        <f>SUBTOTAL(9,C6:C1048576)</f>
        <v>15038</v>
      </c>
      <c r="D3" s="187">
        <f>SUBTOTAL(9,D6:D1048576)</f>
        <v>15559</v>
      </c>
      <c r="E3" s="187">
        <f>SUBTOTAL(9,E6:E1048576)</f>
        <v>15993</v>
      </c>
      <c r="F3" s="188">
        <f>IF(OR(E3=0,C3=0),"",E3/C3)</f>
        <v>1.0635057853437957</v>
      </c>
      <c r="G3" s="437">
        <f>SUBTOTAL(9,G6:G1048576)</f>
        <v>60072.024999999994</v>
      </c>
      <c r="H3" s="438">
        <f>SUBTOTAL(9,H6:H1048576)</f>
        <v>65477.563999999998</v>
      </c>
      <c r="I3" s="438">
        <f>SUBTOTAL(9,I6:I1048576)</f>
        <v>68357.056100000002</v>
      </c>
      <c r="J3" s="188">
        <f>IF(OR(I3=0,G3=0),"",I3/G3)</f>
        <v>1.1379182922500117</v>
      </c>
      <c r="K3" s="437">
        <f>SUBTOTAL(9,K6:K1048576)</f>
        <v>13813.48</v>
      </c>
      <c r="L3" s="438">
        <f>SUBTOTAL(9,L6:L1048576)</f>
        <v>15224.32</v>
      </c>
      <c r="M3" s="438">
        <f>SUBTOTAL(9,M6:M1048576)</f>
        <v>16015.18</v>
      </c>
      <c r="N3" s="189">
        <f>IF(OR(M3=0,E3=0),"",M3/E3)</f>
        <v>1.0013868567498281</v>
      </c>
    </row>
    <row r="4" spans="1:14" ht="14.4" customHeight="1" x14ac:dyDescent="0.3">
      <c r="A4" s="585" t="s">
        <v>83</v>
      </c>
      <c r="B4" s="586" t="s">
        <v>11</v>
      </c>
      <c r="C4" s="587" t="s">
        <v>84</v>
      </c>
      <c r="D4" s="587"/>
      <c r="E4" s="587"/>
      <c r="F4" s="588"/>
      <c r="G4" s="589" t="s">
        <v>14</v>
      </c>
      <c r="H4" s="587"/>
      <c r="I4" s="587"/>
      <c r="J4" s="588"/>
      <c r="K4" s="589" t="s">
        <v>85</v>
      </c>
      <c r="L4" s="587"/>
      <c r="M4" s="587"/>
      <c r="N4" s="590"/>
    </row>
    <row r="5" spans="1:14" ht="14.4" customHeight="1" thickBot="1" x14ac:dyDescent="0.35">
      <c r="A5" s="860"/>
      <c r="B5" s="861"/>
      <c r="C5" s="868">
        <v>2014</v>
      </c>
      <c r="D5" s="868">
        <v>2015</v>
      </c>
      <c r="E5" s="868">
        <v>2016</v>
      </c>
      <c r="F5" s="869" t="s">
        <v>2</v>
      </c>
      <c r="G5" s="879">
        <v>2014</v>
      </c>
      <c r="H5" s="868">
        <v>2015</v>
      </c>
      <c r="I5" s="868">
        <v>2016</v>
      </c>
      <c r="J5" s="869" t="s">
        <v>2</v>
      </c>
      <c r="K5" s="879">
        <v>2014</v>
      </c>
      <c r="L5" s="868">
        <v>2015</v>
      </c>
      <c r="M5" s="868">
        <v>2016</v>
      </c>
      <c r="N5" s="880" t="s">
        <v>86</v>
      </c>
    </row>
    <row r="6" spans="1:14" ht="14.4" customHeight="1" x14ac:dyDescent="0.3">
      <c r="A6" s="862" t="s">
        <v>2010</v>
      </c>
      <c r="B6" s="865" t="s">
        <v>2817</v>
      </c>
      <c r="C6" s="870">
        <v>9802</v>
      </c>
      <c r="D6" s="871">
        <v>10045</v>
      </c>
      <c r="E6" s="871">
        <v>10015</v>
      </c>
      <c r="F6" s="876">
        <v>1.0217302591307897</v>
      </c>
      <c r="G6" s="870">
        <v>8377.6771000000008</v>
      </c>
      <c r="H6" s="871">
        <v>8582.1865999999973</v>
      </c>
      <c r="I6" s="871">
        <v>8556.9431999999979</v>
      </c>
      <c r="J6" s="876">
        <v>1.0213980674905694</v>
      </c>
      <c r="K6" s="870">
        <v>588.12</v>
      </c>
      <c r="L6" s="871">
        <v>602.70000000000005</v>
      </c>
      <c r="M6" s="871">
        <v>600.9</v>
      </c>
      <c r="N6" s="881">
        <v>60</v>
      </c>
    </row>
    <row r="7" spans="1:14" ht="14.4" customHeight="1" x14ac:dyDescent="0.3">
      <c r="A7" s="863" t="s">
        <v>1988</v>
      </c>
      <c r="B7" s="866" t="s">
        <v>2817</v>
      </c>
      <c r="C7" s="872">
        <v>806</v>
      </c>
      <c r="D7" s="873">
        <v>727</v>
      </c>
      <c r="E7" s="873">
        <v>988</v>
      </c>
      <c r="F7" s="877">
        <v>1.2258064516129032</v>
      </c>
      <c r="G7" s="872">
        <v>127.17910000000005</v>
      </c>
      <c r="H7" s="873">
        <v>115.8111</v>
      </c>
      <c r="I7" s="873">
        <v>157.49459999999996</v>
      </c>
      <c r="J7" s="877">
        <v>1.2383685684204393</v>
      </c>
      <c r="K7" s="872">
        <v>48.36</v>
      </c>
      <c r="L7" s="873">
        <v>43.62</v>
      </c>
      <c r="M7" s="873">
        <v>59.28</v>
      </c>
      <c r="N7" s="882">
        <v>60</v>
      </c>
    </row>
    <row r="8" spans="1:14" ht="14.4" customHeight="1" x14ac:dyDescent="0.3">
      <c r="A8" s="863" t="s">
        <v>2065</v>
      </c>
      <c r="B8" s="866" t="s">
        <v>2818</v>
      </c>
      <c r="C8" s="872">
        <v>235</v>
      </c>
      <c r="D8" s="873">
        <v>392</v>
      </c>
      <c r="E8" s="873">
        <v>369</v>
      </c>
      <c r="F8" s="877">
        <v>1.5702127659574467</v>
      </c>
      <c r="G8" s="872">
        <v>6143.4764999999998</v>
      </c>
      <c r="H8" s="873">
        <v>10218.852000000001</v>
      </c>
      <c r="I8" s="873">
        <v>9619.2764999999999</v>
      </c>
      <c r="J8" s="877">
        <v>1.5657708628005658</v>
      </c>
      <c r="K8" s="872">
        <v>1880</v>
      </c>
      <c r="L8" s="873">
        <v>3136</v>
      </c>
      <c r="M8" s="873">
        <v>2952</v>
      </c>
      <c r="N8" s="882">
        <v>8000</v>
      </c>
    </row>
    <row r="9" spans="1:14" ht="14.4" customHeight="1" x14ac:dyDescent="0.3">
      <c r="A9" s="863" t="s">
        <v>2079</v>
      </c>
      <c r="B9" s="866" t="s">
        <v>2818</v>
      </c>
      <c r="C9" s="872">
        <v>1055</v>
      </c>
      <c r="D9" s="873">
        <v>1089</v>
      </c>
      <c r="E9" s="873">
        <v>1182</v>
      </c>
      <c r="F9" s="877">
        <v>1.1203791469194313</v>
      </c>
      <c r="G9" s="872">
        <v>23520.511500000001</v>
      </c>
      <c r="H9" s="873">
        <v>24242.773499999999</v>
      </c>
      <c r="I9" s="873">
        <v>26313.093000000001</v>
      </c>
      <c r="J9" s="877">
        <v>1.1187296245662004</v>
      </c>
      <c r="K9" s="872">
        <v>6330</v>
      </c>
      <c r="L9" s="873">
        <v>6534</v>
      </c>
      <c r="M9" s="873">
        <v>7092</v>
      </c>
      <c r="N9" s="882">
        <v>6000</v>
      </c>
    </row>
    <row r="10" spans="1:14" ht="14.4" customHeight="1" x14ac:dyDescent="0.3">
      <c r="A10" s="863" t="s">
        <v>2067</v>
      </c>
      <c r="B10" s="866" t="s">
        <v>2818</v>
      </c>
      <c r="C10" s="872">
        <v>609</v>
      </c>
      <c r="D10" s="873">
        <v>534</v>
      </c>
      <c r="E10" s="873">
        <v>624</v>
      </c>
      <c r="F10" s="877">
        <v>1.0246305418719213</v>
      </c>
      <c r="G10" s="872">
        <v>7500.4591999999975</v>
      </c>
      <c r="H10" s="873">
        <v>6570.7631999999967</v>
      </c>
      <c r="I10" s="873">
        <v>7697.3359999999984</v>
      </c>
      <c r="J10" s="877">
        <v>1.0262486328837042</v>
      </c>
      <c r="K10" s="872">
        <v>2436</v>
      </c>
      <c r="L10" s="873">
        <v>2136</v>
      </c>
      <c r="M10" s="873">
        <v>2496</v>
      </c>
      <c r="N10" s="882">
        <v>4000</v>
      </c>
    </row>
    <row r="11" spans="1:14" ht="14.4" customHeight="1" thickBot="1" x14ac:dyDescent="0.35">
      <c r="A11" s="864" t="s">
        <v>2077</v>
      </c>
      <c r="B11" s="867" t="s">
        <v>2818</v>
      </c>
      <c r="C11" s="874">
        <v>2531</v>
      </c>
      <c r="D11" s="875">
        <v>2772</v>
      </c>
      <c r="E11" s="875">
        <v>2815</v>
      </c>
      <c r="F11" s="878">
        <v>1.1122086131963651</v>
      </c>
      <c r="G11" s="874">
        <v>14402.721599999995</v>
      </c>
      <c r="H11" s="875">
        <v>15747.177599999999</v>
      </c>
      <c r="I11" s="875">
        <v>16012.9128</v>
      </c>
      <c r="J11" s="878">
        <v>1.1117977035673594</v>
      </c>
      <c r="K11" s="874">
        <v>2531</v>
      </c>
      <c r="L11" s="875">
        <v>2772</v>
      </c>
      <c r="M11" s="875">
        <v>2815</v>
      </c>
      <c r="N11" s="883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4"/>
    <col min="2" max="13" width="8.88671875" style="244" customWidth="1"/>
    <col min="14" max="16384" width="8.88671875" style="244"/>
  </cols>
  <sheetData>
    <row r="1" spans="1:13" ht="18.600000000000001" customHeight="1" thickBot="1" x14ac:dyDescent="0.4">
      <c r="A1" s="464" t="s">
        <v>121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</row>
    <row r="2" spans="1:13" ht="14.4" customHeight="1" x14ac:dyDescent="0.3">
      <c r="A2" s="368" t="s">
        <v>301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3" spans="1:13" ht="14.4" customHeight="1" x14ac:dyDescent="0.3">
      <c r="A3" s="317"/>
      <c r="B3" s="318" t="s">
        <v>96</v>
      </c>
      <c r="C3" s="319" t="s">
        <v>97</v>
      </c>
      <c r="D3" s="319" t="s">
        <v>98</v>
      </c>
      <c r="E3" s="318" t="s">
        <v>99</v>
      </c>
      <c r="F3" s="319" t="s">
        <v>100</v>
      </c>
      <c r="G3" s="319" t="s">
        <v>101</v>
      </c>
      <c r="H3" s="319" t="s">
        <v>102</v>
      </c>
      <c r="I3" s="319" t="s">
        <v>103</v>
      </c>
      <c r="J3" s="319" t="s">
        <v>104</v>
      </c>
      <c r="K3" s="319" t="s">
        <v>105</v>
      </c>
      <c r="L3" s="319" t="s">
        <v>106</v>
      </c>
      <c r="M3" s="319" t="s">
        <v>107</v>
      </c>
    </row>
    <row r="4" spans="1:13" ht="14.4" customHeight="1" x14ac:dyDescent="0.3">
      <c r="A4" s="317" t="s">
        <v>95</v>
      </c>
      <c r="B4" s="320">
        <f>(B10+B8)/B6</f>
        <v>0.92407282367320764</v>
      </c>
      <c r="C4" s="320">
        <f t="shared" ref="C4:M4" si="0">(C10+C8)/C6</f>
        <v>0.83760205992276693</v>
      </c>
      <c r="D4" s="320">
        <f t="shared" si="0"/>
        <v>1.1046924145957431</v>
      </c>
      <c r="E4" s="320">
        <f t="shared" si="0"/>
        <v>1.138513825073477</v>
      </c>
      <c r="F4" s="320">
        <f t="shared" si="0"/>
        <v>1.2111866814535064</v>
      </c>
      <c r="G4" s="320">
        <f t="shared" si="0"/>
        <v>1.2058688477698412</v>
      </c>
      <c r="H4" s="320">
        <f t="shared" si="0"/>
        <v>1.1795309122411117</v>
      </c>
      <c r="I4" s="320">
        <f t="shared" si="0"/>
        <v>1.2343680515733786</v>
      </c>
      <c r="J4" s="320">
        <f t="shared" si="0"/>
        <v>1.3002472318954026</v>
      </c>
      <c r="K4" s="320">
        <f t="shared" si="0"/>
        <v>1.2765909336244325</v>
      </c>
      <c r="L4" s="320">
        <f t="shared" si="0"/>
        <v>1.2722529249560914</v>
      </c>
      <c r="M4" s="320">
        <f t="shared" si="0"/>
        <v>1.2402315632551097</v>
      </c>
    </row>
    <row r="5" spans="1:13" ht="14.4" customHeight="1" x14ac:dyDescent="0.3">
      <c r="A5" s="321" t="s">
        <v>46</v>
      </c>
      <c r="B5" s="320">
        <f>IF(ISERROR(VLOOKUP($A5,'Man Tab'!$A:$Q,COLUMN()+2,0)),0,VLOOKUP($A5,'Man Tab'!$A:$Q,COLUMN()+2,0))</f>
        <v>6184.6240399999997</v>
      </c>
      <c r="C5" s="320">
        <f>IF(ISERROR(VLOOKUP($A5,'Man Tab'!$A:$Q,COLUMN()+2,0)),0,VLOOKUP($A5,'Man Tab'!$A:$Q,COLUMN()+2,0))</f>
        <v>5565.8747599999997</v>
      </c>
      <c r="D5" s="320">
        <f>IF(ISERROR(VLOOKUP($A5,'Man Tab'!$A:$Q,COLUMN()+2,0)),0,VLOOKUP($A5,'Man Tab'!$A:$Q,COLUMN()+2,0))</f>
        <v>5580.1452300000001</v>
      </c>
      <c r="E5" s="320">
        <f>IF(ISERROR(VLOOKUP($A5,'Man Tab'!$A:$Q,COLUMN()+2,0)),0,VLOOKUP($A5,'Man Tab'!$A:$Q,COLUMN()+2,0))</f>
        <v>5317.7010600000003</v>
      </c>
      <c r="F5" s="320">
        <f>IF(ISERROR(VLOOKUP($A5,'Man Tab'!$A:$Q,COLUMN()+2,0)),0,VLOOKUP($A5,'Man Tab'!$A:$Q,COLUMN()+2,0))</f>
        <v>5451.2629399999996</v>
      </c>
      <c r="G5" s="320">
        <f>IF(ISERROR(VLOOKUP($A5,'Man Tab'!$A:$Q,COLUMN()+2,0)),0,VLOOKUP($A5,'Man Tab'!$A:$Q,COLUMN()+2,0))</f>
        <v>5522.02261000001</v>
      </c>
      <c r="H5" s="320">
        <f>IF(ISERROR(VLOOKUP($A5,'Man Tab'!$A:$Q,COLUMN()+2,0)),0,VLOOKUP($A5,'Man Tab'!$A:$Q,COLUMN()+2,0))</f>
        <v>6628.1521400000001</v>
      </c>
      <c r="I5" s="320">
        <f>IF(ISERROR(VLOOKUP($A5,'Man Tab'!$A:$Q,COLUMN()+2,0)),0,VLOOKUP($A5,'Man Tab'!$A:$Q,COLUMN()+2,0))</f>
        <v>5605.1799499999997</v>
      </c>
      <c r="J5" s="320">
        <f>IF(ISERROR(VLOOKUP($A5,'Man Tab'!$A:$Q,COLUMN()+2,0)),0,VLOOKUP($A5,'Man Tab'!$A:$Q,COLUMN()+2,0))</f>
        <v>5656.3440099999998</v>
      </c>
      <c r="K5" s="320">
        <f>IF(ISERROR(VLOOKUP($A5,'Man Tab'!$A:$Q,COLUMN()+2,0)),0,VLOOKUP($A5,'Man Tab'!$A:$Q,COLUMN()+2,0))</f>
        <v>6749.8833100000002</v>
      </c>
      <c r="L5" s="320">
        <f>IF(ISERROR(VLOOKUP($A5,'Man Tab'!$A:$Q,COLUMN()+2,0)),0,VLOOKUP($A5,'Man Tab'!$A:$Q,COLUMN()+2,0))</f>
        <v>6496.4453099999901</v>
      </c>
      <c r="M5" s="320">
        <f>IF(ISERROR(VLOOKUP($A5,'Man Tab'!$A:$Q,COLUMN()+2,0)),0,VLOOKUP($A5,'Man Tab'!$A:$Q,COLUMN()+2,0))</f>
        <v>6659.7334800000299</v>
      </c>
    </row>
    <row r="6" spans="1:13" ht="14.4" customHeight="1" x14ac:dyDescent="0.3">
      <c r="A6" s="321" t="s">
        <v>91</v>
      </c>
      <c r="B6" s="322">
        <f>B5</f>
        <v>6184.6240399999997</v>
      </c>
      <c r="C6" s="322">
        <f t="shared" ref="C6:M6" si="1">C5+B6</f>
        <v>11750.498799999999</v>
      </c>
      <c r="D6" s="322">
        <f t="shared" si="1"/>
        <v>17330.644029999999</v>
      </c>
      <c r="E6" s="322">
        <f t="shared" si="1"/>
        <v>22648.345089999999</v>
      </c>
      <c r="F6" s="322">
        <f t="shared" si="1"/>
        <v>28099.608029999999</v>
      </c>
      <c r="G6" s="322">
        <f t="shared" si="1"/>
        <v>33621.63064000001</v>
      </c>
      <c r="H6" s="322">
        <f t="shared" si="1"/>
        <v>40249.782780000009</v>
      </c>
      <c r="I6" s="322">
        <f t="shared" si="1"/>
        <v>45854.962730000007</v>
      </c>
      <c r="J6" s="322">
        <f t="shared" si="1"/>
        <v>51511.306740000007</v>
      </c>
      <c r="K6" s="322">
        <f t="shared" si="1"/>
        <v>58261.190050000005</v>
      </c>
      <c r="L6" s="322">
        <f t="shared" si="1"/>
        <v>64757.635359999993</v>
      </c>
      <c r="M6" s="322">
        <f t="shared" si="1"/>
        <v>71417.368840000025</v>
      </c>
    </row>
    <row r="7" spans="1:13" ht="14.4" customHeight="1" x14ac:dyDescent="0.3">
      <c r="A7" s="321" t="s">
        <v>119</v>
      </c>
      <c r="B7" s="321">
        <v>188.899</v>
      </c>
      <c r="C7" s="321">
        <v>325.346</v>
      </c>
      <c r="D7" s="321">
        <v>634.30600000000004</v>
      </c>
      <c r="E7" s="321">
        <v>854.65099999999995</v>
      </c>
      <c r="F7" s="321">
        <v>1128.355</v>
      </c>
      <c r="G7" s="321">
        <v>1344.066</v>
      </c>
      <c r="H7" s="321">
        <v>1574.587</v>
      </c>
      <c r="I7" s="321">
        <v>1878.259</v>
      </c>
      <c r="J7" s="321">
        <v>2223.1239999999998</v>
      </c>
      <c r="K7" s="321">
        <v>2468.8470000000002</v>
      </c>
      <c r="L7" s="321">
        <v>2734.837</v>
      </c>
      <c r="M7" s="321">
        <v>2939.9349999999999</v>
      </c>
    </row>
    <row r="8" spans="1:13" ht="14.4" customHeight="1" x14ac:dyDescent="0.3">
      <c r="A8" s="321" t="s">
        <v>92</v>
      </c>
      <c r="B8" s="322">
        <f>B7*30</f>
        <v>5666.97</v>
      </c>
      <c r="C8" s="322">
        <f t="shared" ref="C8:M8" si="2">C7*30</f>
        <v>9760.380000000001</v>
      </c>
      <c r="D8" s="322">
        <f t="shared" si="2"/>
        <v>19029.18</v>
      </c>
      <c r="E8" s="322">
        <f t="shared" si="2"/>
        <v>25639.53</v>
      </c>
      <c r="F8" s="322">
        <f t="shared" si="2"/>
        <v>33850.65</v>
      </c>
      <c r="G8" s="322">
        <f t="shared" si="2"/>
        <v>40321.980000000003</v>
      </c>
      <c r="H8" s="322">
        <f t="shared" si="2"/>
        <v>47237.61</v>
      </c>
      <c r="I8" s="322">
        <f t="shared" si="2"/>
        <v>56347.770000000004</v>
      </c>
      <c r="J8" s="322">
        <f t="shared" si="2"/>
        <v>66693.72</v>
      </c>
      <c r="K8" s="322">
        <f t="shared" si="2"/>
        <v>74065.41</v>
      </c>
      <c r="L8" s="322">
        <f t="shared" si="2"/>
        <v>82045.11</v>
      </c>
      <c r="M8" s="322">
        <f t="shared" si="2"/>
        <v>88198.05</v>
      </c>
    </row>
    <row r="9" spans="1:13" ht="14.4" customHeight="1" x14ac:dyDescent="0.3">
      <c r="A9" s="321" t="s">
        <v>120</v>
      </c>
      <c r="B9" s="321">
        <v>48073</v>
      </c>
      <c r="C9" s="321">
        <v>33789</v>
      </c>
      <c r="D9" s="321">
        <v>33989</v>
      </c>
      <c r="E9" s="321">
        <v>30073</v>
      </c>
      <c r="F9" s="321">
        <v>37297</v>
      </c>
      <c r="G9" s="321">
        <v>38076</v>
      </c>
      <c r="H9" s="321">
        <v>16956</v>
      </c>
      <c r="I9" s="321">
        <v>15878</v>
      </c>
      <c r="J9" s="321">
        <v>29583</v>
      </c>
      <c r="K9" s="321">
        <v>26583</v>
      </c>
      <c r="L9" s="321">
        <v>32684</v>
      </c>
      <c r="M9" s="321">
        <v>33044</v>
      </c>
    </row>
    <row r="10" spans="1:13" ht="14.4" customHeight="1" x14ac:dyDescent="0.3">
      <c r="A10" s="321" t="s">
        <v>93</v>
      </c>
      <c r="B10" s="322">
        <f>B9/1000</f>
        <v>48.073</v>
      </c>
      <c r="C10" s="322">
        <f t="shared" ref="C10:M10" si="3">C9/1000+B10</f>
        <v>81.861999999999995</v>
      </c>
      <c r="D10" s="322">
        <f t="shared" si="3"/>
        <v>115.851</v>
      </c>
      <c r="E10" s="322">
        <f t="shared" si="3"/>
        <v>145.92400000000001</v>
      </c>
      <c r="F10" s="322">
        <f t="shared" si="3"/>
        <v>183.221</v>
      </c>
      <c r="G10" s="322">
        <f t="shared" si="3"/>
        <v>221.297</v>
      </c>
      <c r="H10" s="322">
        <f t="shared" si="3"/>
        <v>238.25299999999999</v>
      </c>
      <c r="I10" s="322">
        <f t="shared" si="3"/>
        <v>254.13099999999997</v>
      </c>
      <c r="J10" s="322">
        <f t="shared" si="3"/>
        <v>283.71399999999994</v>
      </c>
      <c r="K10" s="322">
        <f t="shared" si="3"/>
        <v>310.29699999999991</v>
      </c>
      <c r="L10" s="322">
        <f t="shared" si="3"/>
        <v>342.98099999999988</v>
      </c>
      <c r="M10" s="322">
        <f t="shared" si="3"/>
        <v>376.02499999999986</v>
      </c>
    </row>
    <row r="11" spans="1:13" ht="14.4" customHeight="1" x14ac:dyDescent="0.3">
      <c r="A11" s="317"/>
      <c r="B11" s="317" t="s">
        <v>109</v>
      </c>
      <c r="C11" s="317">
        <f ca="1">IF(MONTH(TODAY())=1,12,MONTH(TODAY())-1)</f>
        <v>12</v>
      </c>
      <c r="D11" s="317"/>
      <c r="E11" s="317"/>
      <c r="F11" s="317"/>
      <c r="G11" s="317"/>
      <c r="H11" s="317"/>
      <c r="I11" s="317"/>
      <c r="J11" s="317"/>
      <c r="K11" s="317"/>
      <c r="L11" s="317"/>
      <c r="M11" s="317"/>
    </row>
    <row r="12" spans="1:13" ht="14.4" customHeight="1" x14ac:dyDescent="0.3">
      <c r="A12" s="317">
        <v>0</v>
      </c>
      <c r="B12" s="320">
        <f>IF(ISERROR(HI!F15),#REF!,HI!F15)</f>
        <v>1.2223194492104181</v>
      </c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317"/>
    </row>
    <row r="13" spans="1:13" ht="14.4" customHeight="1" x14ac:dyDescent="0.3">
      <c r="A13" s="317">
        <v>1</v>
      </c>
      <c r="B13" s="320">
        <f>IF(ISERROR(HI!F15),#REF!,HI!F15)</f>
        <v>1.2223194492104181</v>
      </c>
      <c r="C13" s="317"/>
      <c r="D13" s="317"/>
      <c r="E13" s="317"/>
      <c r="F13" s="317"/>
      <c r="G13" s="317"/>
      <c r="H13" s="317"/>
      <c r="I13" s="317"/>
      <c r="J13" s="317"/>
      <c r="K13" s="317"/>
      <c r="L13" s="317"/>
      <c r="M13" s="31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4" bestFit="1" customWidth="1"/>
    <col min="2" max="2" width="12.77734375" style="244" bestFit="1" customWidth="1"/>
    <col min="3" max="3" width="13.6640625" style="244" bestFit="1" customWidth="1"/>
    <col min="4" max="15" width="7.77734375" style="244" bestFit="1" customWidth="1"/>
    <col min="16" max="16" width="8.88671875" style="244" customWidth="1"/>
    <col min="17" max="17" width="6.6640625" style="244" bestFit="1" customWidth="1"/>
    <col min="18" max="16384" width="8.88671875" style="244"/>
  </cols>
  <sheetData>
    <row r="1" spans="1:17" s="323" customFormat="1" ht="18.600000000000001" customHeight="1" thickBot="1" x14ac:dyDescent="0.4">
      <c r="A1" s="473" t="s">
        <v>303</v>
      </c>
      <c r="B1" s="473"/>
      <c r="C1" s="473"/>
      <c r="D1" s="473"/>
      <c r="E1" s="473"/>
      <c r="F1" s="473"/>
      <c r="G1" s="473"/>
      <c r="H1" s="464"/>
      <c r="I1" s="464"/>
      <c r="J1" s="464"/>
      <c r="K1" s="464"/>
      <c r="L1" s="464"/>
      <c r="M1" s="464"/>
      <c r="N1" s="464"/>
      <c r="O1" s="464"/>
      <c r="P1" s="464"/>
      <c r="Q1" s="464"/>
    </row>
    <row r="2" spans="1:17" s="323" customFormat="1" ht="14.4" customHeight="1" thickBot="1" x14ac:dyDescent="0.3">
      <c r="A2" s="368" t="s">
        <v>301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</row>
    <row r="3" spans="1:17" ht="14.4" customHeight="1" x14ac:dyDescent="0.3">
      <c r="A3" s="93"/>
      <c r="B3" s="474" t="s">
        <v>22</v>
      </c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253"/>
      <c r="Q3" s="255"/>
    </row>
    <row r="4" spans="1:17" ht="14.4" customHeight="1" x14ac:dyDescent="0.3">
      <c r="A4" s="94"/>
      <c r="B4" s="24">
        <v>2016</v>
      </c>
      <c r="C4" s="254" t="s">
        <v>23</v>
      </c>
      <c r="D4" s="232" t="s">
        <v>276</v>
      </c>
      <c r="E4" s="232" t="s">
        <v>277</v>
      </c>
      <c r="F4" s="232" t="s">
        <v>278</v>
      </c>
      <c r="G4" s="232" t="s">
        <v>279</v>
      </c>
      <c r="H4" s="232" t="s">
        <v>280</v>
      </c>
      <c r="I4" s="232" t="s">
        <v>281</v>
      </c>
      <c r="J4" s="232" t="s">
        <v>282</v>
      </c>
      <c r="K4" s="232" t="s">
        <v>283</v>
      </c>
      <c r="L4" s="232" t="s">
        <v>284</v>
      </c>
      <c r="M4" s="232" t="s">
        <v>285</v>
      </c>
      <c r="N4" s="232" t="s">
        <v>286</v>
      </c>
      <c r="O4" s="232" t="s">
        <v>287</v>
      </c>
      <c r="P4" s="476" t="s">
        <v>3</v>
      </c>
      <c r="Q4" s="477"/>
    </row>
    <row r="5" spans="1:17" ht="14.4" customHeight="1" thickBot="1" x14ac:dyDescent="0.35">
      <c r="A5" s="95"/>
      <c r="B5" s="25" t="s">
        <v>24</v>
      </c>
      <c r="C5" s="26" t="s">
        <v>24</v>
      </c>
      <c r="D5" s="26" t="s">
        <v>25</v>
      </c>
      <c r="E5" s="26" t="s">
        <v>25</v>
      </c>
      <c r="F5" s="26" t="s">
        <v>25</v>
      </c>
      <c r="G5" s="26" t="s">
        <v>25</v>
      </c>
      <c r="H5" s="26" t="s">
        <v>25</v>
      </c>
      <c r="I5" s="26" t="s">
        <v>25</v>
      </c>
      <c r="J5" s="26" t="s">
        <v>25</v>
      </c>
      <c r="K5" s="26" t="s">
        <v>25</v>
      </c>
      <c r="L5" s="26" t="s">
        <v>25</v>
      </c>
      <c r="M5" s="26" t="s">
        <v>25</v>
      </c>
      <c r="N5" s="26" t="s">
        <v>25</v>
      </c>
      <c r="O5" s="26" t="s">
        <v>25</v>
      </c>
      <c r="P5" s="26" t="s">
        <v>25</v>
      </c>
      <c r="Q5" s="27" t="s">
        <v>26</v>
      </c>
    </row>
    <row r="6" spans="1:17" ht="14.4" customHeight="1" x14ac:dyDescent="0.3">
      <c r="A6" s="18" t="s">
        <v>27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8" t="s">
        <v>302</v>
      </c>
    </row>
    <row r="7" spans="1:17" ht="14.4" customHeight="1" x14ac:dyDescent="0.3">
      <c r="A7" s="19" t="s">
        <v>28</v>
      </c>
      <c r="B7" s="55">
        <v>7718.1817008940998</v>
      </c>
      <c r="C7" s="56">
        <v>643.18180840784203</v>
      </c>
      <c r="D7" s="56">
        <v>1412.6644799999999</v>
      </c>
      <c r="E7" s="56">
        <v>965.40796999999998</v>
      </c>
      <c r="F7" s="56">
        <v>918.91965000000005</v>
      </c>
      <c r="G7" s="56">
        <v>262.18756000000002</v>
      </c>
      <c r="H7" s="56">
        <v>228.33688000000001</v>
      </c>
      <c r="I7" s="56">
        <v>247.42975999999999</v>
      </c>
      <c r="J7" s="56">
        <v>344.16446000000002</v>
      </c>
      <c r="K7" s="56">
        <v>248.26533000000001</v>
      </c>
      <c r="L7" s="56">
        <v>233.34676999999999</v>
      </c>
      <c r="M7" s="56">
        <v>1429.8881699999999</v>
      </c>
      <c r="N7" s="56">
        <v>597.53633999999897</v>
      </c>
      <c r="O7" s="56">
        <v>709.57904000000303</v>
      </c>
      <c r="P7" s="57">
        <v>7597.7264100000002</v>
      </c>
      <c r="Q7" s="179">
        <v>0.98439330718499995</v>
      </c>
    </row>
    <row r="8" spans="1:17" ht="14.4" customHeight="1" x14ac:dyDescent="0.3">
      <c r="A8" s="19" t="s">
        <v>29</v>
      </c>
      <c r="B8" s="55">
        <v>314.01570877864401</v>
      </c>
      <c r="C8" s="56">
        <v>26.167975731553</v>
      </c>
      <c r="D8" s="56">
        <v>16.329000000000001</v>
      </c>
      <c r="E8" s="56">
        <v>10.23</v>
      </c>
      <c r="F8" s="56">
        <v>1.7050000000000001</v>
      </c>
      <c r="G8" s="56">
        <v>15.345000000000001</v>
      </c>
      <c r="H8" s="56">
        <v>18.286999999999999</v>
      </c>
      <c r="I8" s="56">
        <v>0</v>
      </c>
      <c r="J8" s="56">
        <v>0</v>
      </c>
      <c r="K8" s="56">
        <v>51.841999999999999</v>
      </c>
      <c r="L8" s="56">
        <v>115.90300000000001</v>
      </c>
      <c r="M8" s="56">
        <v>30.724</v>
      </c>
      <c r="N8" s="56">
        <v>19.55</v>
      </c>
      <c r="O8" s="56">
        <v>13.677</v>
      </c>
      <c r="P8" s="57">
        <v>293.59199999999998</v>
      </c>
      <c r="Q8" s="179">
        <v>0.93495959530700001</v>
      </c>
    </row>
    <row r="9" spans="1:17" ht="14.4" customHeight="1" x14ac:dyDescent="0.3">
      <c r="A9" s="19" t="s">
        <v>30</v>
      </c>
      <c r="B9" s="55">
        <v>4812.2083351891697</v>
      </c>
      <c r="C9" s="56">
        <v>401.01736126576401</v>
      </c>
      <c r="D9" s="56">
        <v>385.59906000000001</v>
      </c>
      <c r="E9" s="56">
        <v>295.95907</v>
      </c>
      <c r="F9" s="56">
        <v>274.82668000000001</v>
      </c>
      <c r="G9" s="56">
        <v>361.43488000000002</v>
      </c>
      <c r="H9" s="56">
        <v>472.39159999999998</v>
      </c>
      <c r="I9" s="56">
        <v>360.51476000000099</v>
      </c>
      <c r="J9" s="56">
        <v>416.22368999999998</v>
      </c>
      <c r="K9" s="56">
        <v>412.34733</v>
      </c>
      <c r="L9" s="56">
        <v>412.24520000000001</v>
      </c>
      <c r="M9" s="56">
        <v>451.10059999999999</v>
      </c>
      <c r="N9" s="56">
        <v>414.23455999999902</v>
      </c>
      <c r="O9" s="56">
        <v>378.801170000002</v>
      </c>
      <c r="P9" s="57">
        <v>4635.6786000000002</v>
      </c>
      <c r="Q9" s="179">
        <v>0.96331627334199998</v>
      </c>
    </row>
    <row r="10" spans="1:17" ht="14.4" customHeight="1" x14ac:dyDescent="0.3">
      <c r="A10" s="19" t="s">
        <v>31</v>
      </c>
      <c r="B10" s="55">
        <v>293.67424206094199</v>
      </c>
      <c r="C10" s="56">
        <v>24.472853505078</v>
      </c>
      <c r="D10" s="56">
        <v>21.398769999999999</v>
      </c>
      <c r="E10" s="56">
        <v>21.08531</v>
      </c>
      <c r="F10" s="56">
        <v>28.464700000000001</v>
      </c>
      <c r="G10" s="56">
        <v>19.169730000000001</v>
      </c>
      <c r="H10" s="56">
        <v>28.919219999999999</v>
      </c>
      <c r="I10" s="56">
        <v>19.253740000000001</v>
      </c>
      <c r="J10" s="56">
        <v>15.76606</v>
      </c>
      <c r="K10" s="56">
        <v>30.389980000000001</v>
      </c>
      <c r="L10" s="56">
        <v>25.528179999999999</v>
      </c>
      <c r="M10" s="56">
        <v>17.466899999999999</v>
      </c>
      <c r="N10" s="56">
        <v>29.112169999999999</v>
      </c>
      <c r="O10" s="56">
        <v>19.049869999999999</v>
      </c>
      <c r="P10" s="57">
        <v>275.60462999999999</v>
      </c>
      <c r="Q10" s="179">
        <v>0.93847055862200002</v>
      </c>
    </row>
    <row r="11" spans="1:17" ht="14.4" customHeight="1" x14ac:dyDescent="0.3">
      <c r="A11" s="19" t="s">
        <v>32</v>
      </c>
      <c r="B11" s="55">
        <v>867.17670131139698</v>
      </c>
      <c r="C11" s="56">
        <v>72.264725109283006</v>
      </c>
      <c r="D11" s="56">
        <v>73.118319999999997</v>
      </c>
      <c r="E11" s="56">
        <v>65.029520000000005</v>
      </c>
      <c r="F11" s="56">
        <v>34.483719999999998</v>
      </c>
      <c r="G11" s="56">
        <v>98.429119999999998</v>
      </c>
      <c r="H11" s="56">
        <v>67.359690000000001</v>
      </c>
      <c r="I11" s="56">
        <v>138.52694</v>
      </c>
      <c r="J11" s="56">
        <v>67.552719999999994</v>
      </c>
      <c r="K11" s="56">
        <v>65.344139999999996</v>
      </c>
      <c r="L11" s="56">
        <v>66.257429999999999</v>
      </c>
      <c r="M11" s="56">
        <v>66.685630000000003</v>
      </c>
      <c r="N11" s="56">
        <v>67.080759999999003</v>
      </c>
      <c r="O11" s="56">
        <v>66.078159999999997</v>
      </c>
      <c r="P11" s="57">
        <v>875.94615000000101</v>
      </c>
      <c r="Q11" s="179">
        <v>1.010112643334</v>
      </c>
    </row>
    <row r="12" spans="1:17" ht="14.4" customHeight="1" x14ac:dyDescent="0.3">
      <c r="A12" s="19" t="s">
        <v>33</v>
      </c>
      <c r="B12" s="55">
        <v>373.321581508073</v>
      </c>
      <c r="C12" s="56">
        <v>31.110131792339001</v>
      </c>
      <c r="D12" s="56">
        <v>11.586919999999999</v>
      </c>
      <c r="E12" s="56">
        <v>9.12317</v>
      </c>
      <c r="F12" s="56">
        <v>1.4493400000000001</v>
      </c>
      <c r="G12" s="56">
        <v>58.54468</v>
      </c>
      <c r="H12" s="56">
        <v>5.6332399999999998</v>
      </c>
      <c r="I12" s="56">
        <v>8.6320499999999996</v>
      </c>
      <c r="J12" s="56">
        <v>56.518090000000001</v>
      </c>
      <c r="K12" s="56">
        <v>17.65577</v>
      </c>
      <c r="L12" s="56">
        <v>25.305820000000001</v>
      </c>
      <c r="M12" s="56">
        <v>16.35012</v>
      </c>
      <c r="N12" s="56">
        <v>24.855650000000001</v>
      </c>
      <c r="O12" s="56">
        <v>21.69323</v>
      </c>
      <c r="P12" s="57">
        <v>257.34807999999998</v>
      </c>
      <c r="Q12" s="179">
        <v>0.68934691361900002</v>
      </c>
    </row>
    <row r="13" spans="1:17" ht="14.4" customHeight="1" x14ac:dyDescent="0.3">
      <c r="A13" s="19" t="s">
        <v>34</v>
      </c>
      <c r="B13" s="55">
        <v>452.16818384597599</v>
      </c>
      <c r="C13" s="56">
        <v>37.680681987164</v>
      </c>
      <c r="D13" s="56">
        <v>43.169240000000002</v>
      </c>
      <c r="E13" s="56">
        <v>38.921129999999998</v>
      </c>
      <c r="F13" s="56">
        <v>28.538509999999999</v>
      </c>
      <c r="G13" s="56">
        <v>79.818920000000006</v>
      </c>
      <c r="H13" s="56">
        <v>43.9041</v>
      </c>
      <c r="I13" s="56">
        <v>40.733429999999998</v>
      </c>
      <c r="J13" s="56">
        <v>32.378979999999999</v>
      </c>
      <c r="K13" s="56">
        <v>80.135210000000001</v>
      </c>
      <c r="L13" s="56">
        <v>45.709800000000001</v>
      </c>
      <c r="M13" s="56">
        <v>51.130090000000003</v>
      </c>
      <c r="N13" s="56">
        <v>51.329769999999002</v>
      </c>
      <c r="O13" s="56">
        <v>48.776260000000001</v>
      </c>
      <c r="P13" s="57">
        <v>584.54543999999999</v>
      </c>
      <c r="Q13" s="179">
        <v>1.2927611027999999</v>
      </c>
    </row>
    <row r="14" spans="1:17" ht="14.4" customHeight="1" x14ac:dyDescent="0.3">
      <c r="A14" s="19" t="s">
        <v>35</v>
      </c>
      <c r="B14" s="55">
        <v>925.83345453418599</v>
      </c>
      <c r="C14" s="56">
        <v>77.152787877847999</v>
      </c>
      <c r="D14" s="56">
        <v>122.322</v>
      </c>
      <c r="E14" s="56">
        <v>92.24</v>
      </c>
      <c r="F14" s="56">
        <v>97.555999999999997</v>
      </c>
      <c r="G14" s="56">
        <v>76.013000000000005</v>
      </c>
      <c r="H14" s="56">
        <v>55.009</v>
      </c>
      <c r="I14" s="56">
        <v>48.991</v>
      </c>
      <c r="J14" s="56">
        <v>49.878999999999998</v>
      </c>
      <c r="K14" s="56">
        <v>44.494</v>
      </c>
      <c r="L14" s="56">
        <v>47.735999999999997</v>
      </c>
      <c r="M14" s="56">
        <v>80.167000000000002</v>
      </c>
      <c r="N14" s="56">
        <v>90.736999999999</v>
      </c>
      <c r="O14" s="56">
        <v>107.29</v>
      </c>
      <c r="P14" s="57">
        <v>912.43400000000099</v>
      </c>
      <c r="Q14" s="179">
        <v>0.98552714371100003</v>
      </c>
    </row>
    <row r="15" spans="1:17" ht="14.4" customHeight="1" x14ac:dyDescent="0.3">
      <c r="A15" s="19" t="s">
        <v>36</v>
      </c>
      <c r="B15" s="55">
        <v>160.00001444471701</v>
      </c>
      <c r="C15" s="56">
        <v>13.333334537059001</v>
      </c>
      <c r="D15" s="56">
        <v>13.120660000000001</v>
      </c>
      <c r="E15" s="56">
        <v>1.44</v>
      </c>
      <c r="F15" s="56">
        <v>7.2049599999999998</v>
      </c>
      <c r="G15" s="56">
        <v>25.30742</v>
      </c>
      <c r="H15" s="56">
        <v>3.14</v>
      </c>
      <c r="I15" s="56">
        <v>8.7008299999999998</v>
      </c>
      <c r="J15" s="56">
        <v>22.10164</v>
      </c>
      <c r="K15" s="56">
        <v>14.7043</v>
      </c>
      <c r="L15" s="56">
        <v>7.8842999999999996</v>
      </c>
      <c r="M15" s="56">
        <v>22.734110000000001</v>
      </c>
      <c r="N15" s="56">
        <v>28.147919999999999</v>
      </c>
      <c r="O15" s="56">
        <v>12.3124</v>
      </c>
      <c r="P15" s="57">
        <v>166.79854</v>
      </c>
      <c r="Q15" s="179">
        <v>1.042490780884</v>
      </c>
    </row>
    <row r="16" spans="1:17" ht="14.4" customHeight="1" x14ac:dyDescent="0.3">
      <c r="A16" s="19" t="s">
        <v>37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9" t="s">
        <v>302</v>
      </c>
    </row>
    <row r="17" spans="1:17" ht="14.4" customHeight="1" x14ac:dyDescent="0.3">
      <c r="A17" s="19" t="s">
        <v>38</v>
      </c>
      <c r="B17" s="55">
        <v>706.461813989235</v>
      </c>
      <c r="C17" s="56">
        <v>58.871817832436001</v>
      </c>
      <c r="D17" s="56">
        <v>58.19191</v>
      </c>
      <c r="E17" s="56">
        <v>80.530630000000002</v>
      </c>
      <c r="F17" s="56">
        <v>74.359750000000005</v>
      </c>
      <c r="G17" s="56">
        <v>83.61645</v>
      </c>
      <c r="H17" s="56">
        <v>86.736729999999994</v>
      </c>
      <c r="I17" s="56">
        <v>38.284039999999997</v>
      </c>
      <c r="J17" s="56">
        <v>104.15724</v>
      </c>
      <c r="K17" s="56">
        <v>86.450919999999996</v>
      </c>
      <c r="L17" s="56">
        <v>71.361459999999994</v>
      </c>
      <c r="M17" s="56">
        <v>20.19999</v>
      </c>
      <c r="N17" s="56">
        <v>64.430079999998995</v>
      </c>
      <c r="O17" s="56">
        <v>56.42022</v>
      </c>
      <c r="P17" s="57">
        <v>824.73942</v>
      </c>
      <c r="Q17" s="179">
        <v>1.1674225041870001</v>
      </c>
    </row>
    <row r="18" spans="1:17" ht="14.4" customHeight="1" x14ac:dyDescent="0.3">
      <c r="A18" s="19" t="s">
        <v>39</v>
      </c>
      <c r="B18" s="55">
        <v>0</v>
      </c>
      <c r="C18" s="56">
        <v>0</v>
      </c>
      <c r="D18" s="56">
        <v>0.3</v>
      </c>
      <c r="E18" s="56">
        <v>1.746</v>
      </c>
      <c r="F18" s="56">
        <v>6.73</v>
      </c>
      <c r="G18" s="56">
        <v>27.26</v>
      </c>
      <c r="H18" s="56">
        <v>8.7460000000000004</v>
      </c>
      <c r="I18" s="56">
        <v>23.626000000000001</v>
      </c>
      <c r="J18" s="56">
        <v>0</v>
      </c>
      <c r="K18" s="56">
        <v>0</v>
      </c>
      <c r="L18" s="56">
        <v>5.4660000000000002</v>
      </c>
      <c r="M18" s="56">
        <v>15.178000000000001</v>
      </c>
      <c r="N18" s="56">
        <v>22.709</v>
      </c>
      <c r="O18" s="56">
        <v>3.6779999999999999</v>
      </c>
      <c r="P18" s="57">
        <v>115.43899999999999</v>
      </c>
      <c r="Q18" s="179" t="s">
        <v>302</v>
      </c>
    </row>
    <row r="19" spans="1:17" ht="14.4" customHeight="1" x14ac:dyDescent="0.3">
      <c r="A19" s="19" t="s">
        <v>40</v>
      </c>
      <c r="B19" s="55">
        <v>2186.2351695409002</v>
      </c>
      <c r="C19" s="56">
        <v>182.186264128408</v>
      </c>
      <c r="D19" s="56">
        <v>189.09662</v>
      </c>
      <c r="E19" s="56">
        <v>184.86668</v>
      </c>
      <c r="F19" s="56">
        <v>187.11069000000001</v>
      </c>
      <c r="G19" s="56">
        <v>221.92153999999999</v>
      </c>
      <c r="H19" s="56">
        <v>168.19050999999999</v>
      </c>
      <c r="I19" s="56">
        <v>244.64236</v>
      </c>
      <c r="J19" s="56">
        <v>159.48197999999999</v>
      </c>
      <c r="K19" s="56">
        <v>145.71171000000001</v>
      </c>
      <c r="L19" s="56">
        <v>142.95823999999999</v>
      </c>
      <c r="M19" s="56">
        <v>202.30367000000001</v>
      </c>
      <c r="N19" s="56">
        <v>143.11488</v>
      </c>
      <c r="O19" s="56">
        <v>283.93452000000099</v>
      </c>
      <c r="P19" s="57">
        <v>2273.3334</v>
      </c>
      <c r="Q19" s="179">
        <v>1.039839369374</v>
      </c>
    </row>
    <row r="20" spans="1:17" ht="14.4" customHeight="1" x14ac:dyDescent="0.3">
      <c r="A20" s="19" t="s">
        <v>41</v>
      </c>
      <c r="B20" s="55">
        <v>45907.004144460698</v>
      </c>
      <c r="C20" s="56">
        <v>3825.5836787050598</v>
      </c>
      <c r="D20" s="56">
        <v>3572.4527699999999</v>
      </c>
      <c r="E20" s="56">
        <v>3527.1629800000001</v>
      </c>
      <c r="F20" s="56">
        <v>3649.1549</v>
      </c>
      <c r="G20" s="56">
        <v>3682.78206</v>
      </c>
      <c r="H20" s="56">
        <v>3960.5900999999999</v>
      </c>
      <c r="I20" s="56">
        <v>3856.24831000001</v>
      </c>
      <c r="J20" s="56">
        <v>5070.4834600000004</v>
      </c>
      <c r="K20" s="56">
        <v>4136.9283100000002</v>
      </c>
      <c r="L20" s="56">
        <v>4090.3840700000001</v>
      </c>
      <c r="M20" s="56">
        <v>4041.6868899999999</v>
      </c>
      <c r="N20" s="56">
        <v>4688.8964099999903</v>
      </c>
      <c r="O20" s="56">
        <v>4639.0455100000199</v>
      </c>
      <c r="P20" s="57">
        <v>48915.815770000001</v>
      </c>
      <c r="Q20" s="179">
        <v>1.06554145019</v>
      </c>
    </row>
    <row r="21" spans="1:17" ht="14.4" customHeight="1" x14ac:dyDescent="0.3">
      <c r="A21" s="20" t="s">
        <v>42</v>
      </c>
      <c r="B21" s="55">
        <v>3059.0070640252802</v>
      </c>
      <c r="C21" s="56">
        <v>254.91725533543999</v>
      </c>
      <c r="D21" s="56">
        <v>262.791</v>
      </c>
      <c r="E21" s="56">
        <v>262.78800000000001</v>
      </c>
      <c r="F21" s="56">
        <v>262.78800000000001</v>
      </c>
      <c r="G21" s="56">
        <v>262.77999999999997</v>
      </c>
      <c r="H21" s="56">
        <v>262.77999999999997</v>
      </c>
      <c r="I21" s="56">
        <v>262.77999999999997</v>
      </c>
      <c r="J21" s="56">
        <v>262.779</v>
      </c>
      <c r="K21" s="56">
        <v>244.77500000000001</v>
      </c>
      <c r="L21" s="56">
        <v>244.77500000000001</v>
      </c>
      <c r="M21" s="56">
        <v>245.57400000000001</v>
      </c>
      <c r="N21" s="56">
        <v>245.57400000000001</v>
      </c>
      <c r="O21" s="56">
        <v>242.870000000001</v>
      </c>
      <c r="P21" s="57">
        <v>3063.0540000000001</v>
      </c>
      <c r="Q21" s="179">
        <v>1.0013229573810001</v>
      </c>
    </row>
    <row r="22" spans="1:17" ht="14.4" customHeight="1" x14ac:dyDescent="0.3">
      <c r="A22" s="19" t="s">
        <v>43</v>
      </c>
      <c r="B22" s="55">
        <v>117.83103164909301</v>
      </c>
      <c r="C22" s="56">
        <v>9.8192526374240003</v>
      </c>
      <c r="D22" s="56">
        <v>0</v>
      </c>
      <c r="E22" s="56">
        <v>9.3439999999999994</v>
      </c>
      <c r="F22" s="56">
        <v>4.4527999999999999</v>
      </c>
      <c r="G22" s="56">
        <v>24.26135</v>
      </c>
      <c r="H22" s="56">
        <v>39.338200000000001</v>
      </c>
      <c r="I22" s="56">
        <v>199.10441</v>
      </c>
      <c r="J22" s="56">
        <v>26.666899999999998</v>
      </c>
      <c r="K22" s="56">
        <v>26.135999999999999</v>
      </c>
      <c r="L22" s="56">
        <v>109.90131</v>
      </c>
      <c r="M22" s="56">
        <v>48.6541</v>
      </c>
      <c r="N22" s="56">
        <v>5.1229999999990001</v>
      </c>
      <c r="O22" s="56">
        <v>11.08</v>
      </c>
      <c r="P22" s="57">
        <v>504.06207000000001</v>
      </c>
      <c r="Q22" s="179">
        <v>4.2778380444049997</v>
      </c>
    </row>
    <row r="23" spans="1:17" ht="14.4" customHeight="1" x14ac:dyDescent="0.3">
      <c r="A23" s="20" t="s">
        <v>44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9" t="s">
        <v>302</v>
      </c>
    </row>
    <row r="24" spans="1:17" ht="14.4" customHeight="1" x14ac:dyDescent="0.3">
      <c r="A24" s="20" t="s">
        <v>45</v>
      </c>
      <c r="B24" s="55">
        <v>-1.45519152283669E-11</v>
      </c>
      <c r="C24" s="56">
        <v>0</v>
      </c>
      <c r="D24" s="56">
        <v>2.4832900000000002</v>
      </c>
      <c r="E24" s="56">
        <v>2.9999999899999998E-4</v>
      </c>
      <c r="F24" s="56">
        <v>2.4005299999990002</v>
      </c>
      <c r="G24" s="56">
        <v>18.829350000000002</v>
      </c>
      <c r="H24" s="56">
        <v>1.900669999999</v>
      </c>
      <c r="I24" s="56">
        <v>24.55498</v>
      </c>
      <c r="J24" s="56">
        <v>-1.079999999E-3</v>
      </c>
      <c r="K24" s="56">
        <v>-5.0000000555883202E-5</v>
      </c>
      <c r="L24" s="56">
        <v>11.581429999999999</v>
      </c>
      <c r="M24" s="56">
        <v>10.040040000000999</v>
      </c>
      <c r="N24" s="56">
        <v>4.0137700000010001</v>
      </c>
      <c r="O24" s="56">
        <v>45.448099999999997</v>
      </c>
      <c r="P24" s="57">
        <v>121.251330000004</v>
      </c>
      <c r="Q24" s="179"/>
    </row>
    <row r="25" spans="1:17" ht="14.4" customHeight="1" x14ac:dyDescent="0.3">
      <c r="A25" s="21" t="s">
        <v>46</v>
      </c>
      <c r="B25" s="58">
        <v>67893.119146232406</v>
      </c>
      <c r="C25" s="59">
        <v>5657.7599288526999</v>
      </c>
      <c r="D25" s="59">
        <v>6184.6240399999997</v>
      </c>
      <c r="E25" s="59">
        <v>5565.8747599999997</v>
      </c>
      <c r="F25" s="59">
        <v>5580.1452300000001</v>
      </c>
      <c r="G25" s="59">
        <v>5317.7010600000003</v>
      </c>
      <c r="H25" s="59">
        <v>5451.2629399999996</v>
      </c>
      <c r="I25" s="59">
        <v>5522.02261000001</v>
      </c>
      <c r="J25" s="59">
        <v>6628.1521400000001</v>
      </c>
      <c r="K25" s="59">
        <v>5605.1799499999997</v>
      </c>
      <c r="L25" s="59">
        <v>5656.3440099999998</v>
      </c>
      <c r="M25" s="59">
        <v>6749.8833100000002</v>
      </c>
      <c r="N25" s="59">
        <v>6496.4453099999901</v>
      </c>
      <c r="O25" s="59">
        <v>6659.7334800000299</v>
      </c>
      <c r="P25" s="60">
        <v>71417.368839999996</v>
      </c>
      <c r="Q25" s="180">
        <v>1.051908790435</v>
      </c>
    </row>
    <row r="26" spans="1:17" ht="14.4" customHeight="1" x14ac:dyDescent="0.3">
      <c r="A26" s="19" t="s">
        <v>47</v>
      </c>
      <c r="B26" s="55">
        <v>6417.9805649107302</v>
      </c>
      <c r="C26" s="56">
        <v>534.83171374256096</v>
      </c>
      <c r="D26" s="56">
        <v>634.53602999999998</v>
      </c>
      <c r="E26" s="56">
        <v>541.26225999999997</v>
      </c>
      <c r="F26" s="56">
        <v>614.05322999999999</v>
      </c>
      <c r="G26" s="56">
        <v>648.56831999999997</v>
      </c>
      <c r="H26" s="56">
        <v>634.88439000000005</v>
      </c>
      <c r="I26" s="56">
        <v>704.86099000000002</v>
      </c>
      <c r="J26" s="56">
        <v>837.57973000000004</v>
      </c>
      <c r="K26" s="56">
        <v>773.18790999999999</v>
      </c>
      <c r="L26" s="56">
        <v>714.14979000000005</v>
      </c>
      <c r="M26" s="56">
        <v>576.67786999999998</v>
      </c>
      <c r="N26" s="56">
        <v>754.39544999999998</v>
      </c>
      <c r="O26" s="56">
        <v>748.51049999999998</v>
      </c>
      <c r="P26" s="57">
        <v>8182.6664700000001</v>
      </c>
      <c r="Q26" s="179">
        <v>1.274959683539</v>
      </c>
    </row>
    <row r="27" spans="1:17" ht="14.4" customHeight="1" x14ac:dyDescent="0.3">
      <c r="A27" s="22" t="s">
        <v>48</v>
      </c>
      <c r="B27" s="58">
        <v>74311.099711143106</v>
      </c>
      <c r="C27" s="59">
        <v>6192.5916425952601</v>
      </c>
      <c r="D27" s="59">
        <v>6819.1600699999999</v>
      </c>
      <c r="E27" s="59">
        <v>6107.1370200000001</v>
      </c>
      <c r="F27" s="59">
        <v>6194.1984599999996</v>
      </c>
      <c r="G27" s="59">
        <v>5966.2693799999997</v>
      </c>
      <c r="H27" s="59">
        <v>6086.1473299999998</v>
      </c>
      <c r="I27" s="59">
        <v>6226.8836000000101</v>
      </c>
      <c r="J27" s="59">
        <v>7465.7318699999996</v>
      </c>
      <c r="K27" s="59">
        <v>6378.3678600000003</v>
      </c>
      <c r="L27" s="59">
        <v>6370.4938000000002</v>
      </c>
      <c r="M27" s="59">
        <v>7326.5611799999997</v>
      </c>
      <c r="N27" s="59">
        <v>7250.84075999999</v>
      </c>
      <c r="O27" s="59">
        <v>7408.2439800000302</v>
      </c>
      <c r="P27" s="60">
        <v>79600.035310000007</v>
      </c>
      <c r="Q27" s="180">
        <v>1.071172888295</v>
      </c>
    </row>
    <row r="28" spans="1:17" ht="14.4" customHeight="1" x14ac:dyDescent="0.3">
      <c r="A28" s="20" t="s">
        <v>49</v>
      </c>
      <c r="B28" s="55">
        <v>14.886281056014999</v>
      </c>
      <c r="C28" s="56">
        <v>1.240523421334</v>
      </c>
      <c r="D28" s="56">
        <v>7.4999999999999997E-2</v>
      </c>
      <c r="E28" s="56">
        <v>0</v>
      </c>
      <c r="F28" s="56">
        <v>6.1569599999999998</v>
      </c>
      <c r="G28" s="56">
        <v>5.4980000000000002</v>
      </c>
      <c r="H28" s="56">
        <v>14.577070000000001</v>
      </c>
      <c r="I28" s="56">
        <v>0</v>
      </c>
      <c r="J28" s="56">
        <v>6.1569599999999998</v>
      </c>
      <c r="K28" s="56">
        <v>0.46592</v>
      </c>
      <c r="L28" s="56">
        <v>15.35492</v>
      </c>
      <c r="M28" s="56">
        <v>0</v>
      </c>
      <c r="N28" s="56">
        <v>0</v>
      </c>
      <c r="O28" s="56">
        <v>0</v>
      </c>
      <c r="P28" s="57">
        <v>48.284829999999999</v>
      </c>
      <c r="Q28" s="179">
        <v>3.243579092609</v>
      </c>
    </row>
    <row r="29" spans="1:17" ht="14.4" customHeight="1" x14ac:dyDescent="0.3">
      <c r="A29" s="20" t="s">
        <v>50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9" t="s">
        <v>302</v>
      </c>
    </row>
    <row r="30" spans="1:17" ht="14.4" customHeight="1" x14ac:dyDescent="0.3">
      <c r="A30" s="20" t="s">
        <v>51</v>
      </c>
      <c r="B30" s="55">
        <v>166.000016644597</v>
      </c>
      <c r="C30" s="56">
        <v>13.833334720383</v>
      </c>
      <c r="D30" s="56">
        <v>15.533010000000001</v>
      </c>
      <c r="E30" s="56">
        <v>7.6566000000000001</v>
      </c>
      <c r="F30" s="56">
        <v>10.858890000000001</v>
      </c>
      <c r="G30" s="56">
        <v>7.3888400000000001</v>
      </c>
      <c r="H30" s="56">
        <v>12.853820000000001</v>
      </c>
      <c r="I30" s="56">
        <v>7.3128099999999998</v>
      </c>
      <c r="J30" s="56">
        <v>18.070889999999999</v>
      </c>
      <c r="K30" s="56">
        <v>11.792730000000001</v>
      </c>
      <c r="L30" s="56">
        <v>13.20669</v>
      </c>
      <c r="M30" s="56">
        <v>15.923080000000001</v>
      </c>
      <c r="N30" s="56">
        <v>21.914480000000001</v>
      </c>
      <c r="O30" s="56">
        <v>9.8523399999999999</v>
      </c>
      <c r="P30" s="57">
        <v>152.36418</v>
      </c>
      <c r="Q30" s="179">
        <v>0.91785641399100004</v>
      </c>
    </row>
    <row r="31" spans="1:17" ht="14.4" customHeight="1" thickBot="1" x14ac:dyDescent="0.35">
      <c r="A31" s="23" t="s">
        <v>52</v>
      </c>
      <c r="B31" s="61">
        <v>0</v>
      </c>
      <c r="C31" s="62">
        <v>0</v>
      </c>
      <c r="D31" s="62">
        <v>0</v>
      </c>
      <c r="E31" s="62">
        <v>18.149999999999999</v>
      </c>
      <c r="F31" s="62">
        <v>0</v>
      </c>
      <c r="G31" s="62">
        <v>0</v>
      </c>
      <c r="H31" s="62">
        <v>0</v>
      </c>
      <c r="I31" s="62">
        <v>30.498999999999999</v>
      </c>
      <c r="J31" s="62">
        <v>0</v>
      </c>
      <c r="K31" s="62">
        <v>0</v>
      </c>
      <c r="L31" s="62">
        <v>3.38</v>
      </c>
      <c r="M31" s="62">
        <v>0</v>
      </c>
      <c r="N31" s="62">
        <v>5.1230000000000002</v>
      </c>
      <c r="O31" s="62">
        <v>45.037799999999997</v>
      </c>
      <c r="P31" s="63">
        <v>102.18980000000001</v>
      </c>
      <c r="Q31" s="181" t="s">
        <v>302</v>
      </c>
    </row>
    <row r="32" spans="1:17" ht="14.4" customHeight="1" x14ac:dyDescent="0.3"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</row>
    <row r="33" spans="1:17" ht="14.4" customHeight="1" x14ac:dyDescent="0.3">
      <c r="A33" s="216" t="s">
        <v>193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</row>
    <row r="34" spans="1:17" ht="14.4" customHeight="1" x14ac:dyDescent="0.3">
      <c r="A34" s="250" t="s">
        <v>288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</row>
    <row r="35" spans="1:17" ht="14.4" customHeight="1" x14ac:dyDescent="0.3">
      <c r="A35" s="251" t="s">
        <v>53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5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4" customWidth="1"/>
    <col min="2" max="11" width="10" style="244" customWidth="1"/>
    <col min="12" max="16384" width="8.88671875" style="244"/>
  </cols>
  <sheetData>
    <row r="1" spans="1:11" s="64" customFormat="1" ht="18.600000000000001" customHeight="1" thickBot="1" x14ac:dyDescent="0.4">
      <c r="A1" s="473" t="s">
        <v>54</v>
      </c>
      <c r="B1" s="473"/>
      <c r="C1" s="473"/>
      <c r="D1" s="473"/>
      <c r="E1" s="473"/>
      <c r="F1" s="473"/>
      <c r="G1" s="473"/>
      <c r="H1" s="478"/>
      <c r="I1" s="478"/>
      <c r="J1" s="478"/>
      <c r="K1" s="478"/>
    </row>
    <row r="2" spans="1:11" s="64" customFormat="1" ht="14.4" customHeight="1" thickBot="1" x14ac:dyDescent="0.35">
      <c r="A2" s="368" t="s">
        <v>301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3"/>
      <c r="B3" s="474" t="s">
        <v>55</v>
      </c>
      <c r="C3" s="475"/>
      <c r="D3" s="475"/>
      <c r="E3" s="475"/>
      <c r="F3" s="481" t="s">
        <v>56</v>
      </c>
      <c r="G3" s="475"/>
      <c r="H3" s="475"/>
      <c r="I3" s="475"/>
      <c r="J3" s="475"/>
      <c r="K3" s="482"/>
    </row>
    <row r="4" spans="1:11" ht="14.4" customHeight="1" x14ac:dyDescent="0.3">
      <c r="A4" s="94"/>
      <c r="B4" s="479"/>
      <c r="C4" s="480"/>
      <c r="D4" s="480"/>
      <c r="E4" s="480"/>
      <c r="F4" s="483" t="s">
        <v>293</v>
      </c>
      <c r="G4" s="485" t="s">
        <v>57</v>
      </c>
      <c r="H4" s="256" t="s">
        <v>175</v>
      </c>
      <c r="I4" s="483" t="s">
        <v>58</v>
      </c>
      <c r="J4" s="485" t="s">
        <v>264</v>
      </c>
      <c r="K4" s="486" t="s">
        <v>295</v>
      </c>
    </row>
    <row r="5" spans="1:11" ht="42" thickBot="1" x14ac:dyDescent="0.35">
      <c r="A5" s="95"/>
      <c r="B5" s="28" t="s">
        <v>289</v>
      </c>
      <c r="C5" s="29" t="s">
        <v>290</v>
      </c>
      <c r="D5" s="30" t="s">
        <v>291</v>
      </c>
      <c r="E5" s="30" t="s">
        <v>292</v>
      </c>
      <c r="F5" s="484"/>
      <c r="G5" s="484"/>
      <c r="H5" s="29" t="s">
        <v>294</v>
      </c>
      <c r="I5" s="484"/>
      <c r="J5" s="484"/>
      <c r="K5" s="487"/>
    </row>
    <row r="6" spans="1:11" ht="14.4" customHeight="1" thickBot="1" x14ac:dyDescent="0.35">
      <c r="A6" s="609" t="s">
        <v>304</v>
      </c>
      <c r="B6" s="591">
        <v>56598.625534100102</v>
      </c>
      <c r="C6" s="591">
        <v>63155.466910000003</v>
      </c>
      <c r="D6" s="592">
        <v>6556.8413758999304</v>
      </c>
      <c r="E6" s="593">
        <v>1.115848067228</v>
      </c>
      <c r="F6" s="591">
        <v>67893.119146232406</v>
      </c>
      <c r="G6" s="592">
        <v>67893.119146232406</v>
      </c>
      <c r="H6" s="594">
        <v>6659.7334800000299</v>
      </c>
      <c r="I6" s="591">
        <v>71417.368839999996</v>
      </c>
      <c r="J6" s="592">
        <v>3524.2496937676201</v>
      </c>
      <c r="K6" s="595">
        <v>1.051908790435</v>
      </c>
    </row>
    <row r="7" spans="1:11" ht="14.4" customHeight="1" thickBot="1" x14ac:dyDescent="0.35">
      <c r="A7" s="610" t="s">
        <v>305</v>
      </c>
      <c r="B7" s="591">
        <v>10269.135564845999</v>
      </c>
      <c r="C7" s="591">
        <v>10625.49166</v>
      </c>
      <c r="D7" s="592">
        <v>356.35609515404201</v>
      </c>
      <c r="E7" s="593">
        <v>1.0347016643119999</v>
      </c>
      <c r="F7" s="591">
        <v>15916.5799225672</v>
      </c>
      <c r="G7" s="592">
        <v>15916.5799225672</v>
      </c>
      <c r="H7" s="594">
        <v>1418.0962300000101</v>
      </c>
      <c r="I7" s="591">
        <v>15652.932280000001</v>
      </c>
      <c r="J7" s="592">
        <v>-263.647642567199</v>
      </c>
      <c r="K7" s="595">
        <v>0.98343565993100002</v>
      </c>
    </row>
    <row r="8" spans="1:11" ht="14.4" customHeight="1" thickBot="1" x14ac:dyDescent="0.35">
      <c r="A8" s="611" t="s">
        <v>306</v>
      </c>
      <c r="B8" s="591">
        <v>9208.4042108811209</v>
      </c>
      <c r="C8" s="591">
        <v>9532.8365099999992</v>
      </c>
      <c r="D8" s="592">
        <v>324.43229911888</v>
      </c>
      <c r="E8" s="593">
        <v>1.035232195686</v>
      </c>
      <c r="F8" s="591">
        <v>14830.746453588299</v>
      </c>
      <c r="G8" s="592">
        <v>14830.746453588299</v>
      </c>
      <c r="H8" s="594">
        <v>1298.4938300000099</v>
      </c>
      <c r="I8" s="591">
        <v>14573.69974</v>
      </c>
      <c r="J8" s="592">
        <v>-257.04671358829501</v>
      </c>
      <c r="K8" s="595">
        <v>0.98266798543099998</v>
      </c>
    </row>
    <row r="9" spans="1:11" ht="14.4" customHeight="1" thickBot="1" x14ac:dyDescent="0.35">
      <c r="A9" s="612" t="s">
        <v>307</v>
      </c>
      <c r="B9" s="596">
        <v>0</v>
      </c>
      <c r="C9" s="596">
        <v>2.0500000000000002E-3</v>
      </c>
      <c r="D9" s="597">
        <v>2.0500000000000002E-3</v>
      </c>
      <c r="E9" s="598" t="s">
        <v>302</v>
      </c>
      <c r="F9" s="596">
        <v>0</v>
      </c>
      <c r="G9" s="597">
        <v>0</v>
      </c>
      <c r="H9" s="599">
        <v>1.2999999999999999E-3</v>
      </c>
      <c r="I9" s="596">
        <v>4.0629999999999999E-2</v>
      </c>
      <c r="J9" s="597">
        <v>4.0629999999999999E-2</v>
      </c>
      <c r="K9" s="600" t="s">
        <v>302</v>
      </c>
    </row>
    <row r="10" spans="1:11" ht="14.4" customHeight="1" thickBot="1" x14ac:dyDescent="0.35">
      <c r="A10" s="613" t="s">
        <v>308</v>
      </c>
      <c r="B10" s="591">
        <v>0</v>
      </c>
      <c r="C10" s="591">
        <v>2.0500000000000002E-3</v>
      </c>
      <c r="D10" s="592">
        <v>2.0500000000000002E-3</v>
      </c>
      <c r="E10" s="601" t="s">
        <v>302</v>
      </c>
      <c r="F10" s="591">
        <v>0</v>
      </c>
      <c r="G10" s="592">
        <v>0</v>
      </c>
      <c r="H10" s="594">
        <v>1.2999999999999999E-3</v>
      </c>
      <c r="I10" s="591">
        <v>4.0629999999999999E-2</v>
      </c>
      <c r="J10" s="592">
        <v>4.0629999999999999E-2</v>
      </c>
      <c r="K10" s="602" t="s">
        <v>302</v>
      </c>
    </row>
    <row r="11" spans="1:11" ht="14.4" customHeight="1" thickBot="1" x14ac:dyDescent="0.35">
      <c r="A11" s="612" t="s">
        <v>309</v>
      </c>
      <c r="B11" s="596">
        <v>2575.5677927823399</v>
      </c>
      <c r="C11" s="596">
        <v>2466.0529000000001</v>
      </c>
      <c r="D11" s="597">
        <v>-109.514892782342</v>
      </c>
      <c r="E11" s="603">
        <v>0.95747932044700002</v>
      </c>
      <c r="F11" s="596">
        <v>7718.1817008940998</v>
      </c>
      <c r="G11" s="597">
        <v>7718.1817008940998</v>
      </c>
      <c r="H11" s="599">
        <v>709.57904000000303</v>
      </c>
      <c r="I11" s="596">
        <v>7597.7264100000002</v>
      </c>
      <c r="J11" s="597">
        <v>-120.455290894098</v>
      </c>
      <c r="K11" s="604">
        <v>0.98439330718499995</v>
      </c>
    </row>
    <row r="12" spans="1:11" ht="14.4" customHeight="1" thickBot="1" x14ac:dyDescent="0.35">
      <c r="A12" s="613" t="s">
        <v>310</v>
      </c>
      <c r="B12" s="591">
        <v>1757.22088036533</v>
      </c>
      <c r="C12" s="591">
        <v>1818.6002699999999</v>
      </c>
      <c r="D12" s="592">
        <v>61.379389634671</v>
      </c>
      <c r="E12" s="593">
        <v>1.0349298089500001</v>
      </c>
      <c r="F12" s="591">
        <v>1979.97903215056</v>
      </c>
      <c r="G12" s="592">
        <v>1979.97903215056</v>
      </c>
      <c r="H12" s="594">
        <v>153.816470000001</v>
      </c>
      <c r="I12" s="591">
        <v>2069.1677800000002</v>
      </c>
      <c r="J12" s="592">
        <v>89.188747849443999</v>
      </c>
      <c r="K12" s="595">
        <v>1.0450452991670001</v>
      </c>
    </row>
    <row r="13" spans="1:11" ht="14.4" customHeight="1" thickBot="1" x14ac:dyDescent="0.35">
      <c r="A13" s="613" t="s">
        <v>311</v>
      </c>
      <c r="B13" s="591">
        <v>125</v>
      </c>
      <c r="C13" s="591">
        <v>103.71765000000001</v>
      </c>
      <c r="D13" s="592">
        <v>-21.282350000000001</v>
      </c>
      <c r="E13" s="593">
        <v>0.82974119999999996</v>
      </c>
      <c r="F13" s="591">
        <v>125.00001128493599</v>
      </c>
      <c r="G13" s="592">
        <v>125.00001128493599</v>
      </c>
      <c r="H13" s="594">
        <v>6.38</v>
      </c>
      <c r="I13" s="591">
        <v>63.283000000000001</v>
      </c>
      <c r="J13" s="592">
        <v>-61.717011284934998</v>
      </c>
      <c r="K13" s="595">
        <v>0.50626395429399995</v>
      </c>
    </row>
    <row r="14" spans="1:11" ht="14.4" customHeight="1" thickBot="1" x14ac:dyDescent="0.35">
      <c r="A14" s="613" t="s">
        <v>312</v>
      </c>
      <c r="B14" s="591">
        <v>0</v>
      </c>
      <c r="C14" s="591">
        <v>59.692889999999998</v>
      </c>
      <c r="D14" s="592">
        <v>59.692889999999998</v>
      </c>
      <c r="E14" s="601" t="s">
        <v>313</v>
      </c>
      <c r="F14" s="591">
        <v>27.000022560405998</v>
      </c>
      <c r="G14" s="592">
        <v>27.000022560405998</v>
      </c>
      <c r="H14" s="594">
        <v>15.27844</v>
      </c>
      <c r="I14" s="591">
        <v>171.30408</v>
      </c>
      <c r="J14" s="592">
        <v>144.304057439594</v>
      </c>
      <c r="K14" s="595">
        <v>6.3445902542020001</v>
      </c>
    </row>
    <row r="15" spans="1:11" ht="14.4" customHeight="1" thickBot="1" x14ac:dyDescent="0.35">
      <c r="A15" s="613" t="s">
        <v>314</v>
      </c>
      <c r="B15" s="591">
        <v>57.692740704507003</v>
      </c>
      <c r="C15" s="591">
        <v>20.559059999999999</v>
      </c>
      <c r="D15" s="592">
        <v>-37.133680704505998</v>
      </c>
      <c r="E15" s="593">
        <v>0.35635436536600001</v>
      </c>
      <c r="F15" s="591">
        <v>98.203018580404006</v>
      </c>
      <c r="G15" s="592">
        <v>98.203018580404006</v>
      </c>
      <c r="H15" s="594">
        <v>3.0796800000000002</v>
      </c>
      <c r="I15" s="591">
        <v>70.193070000000006</v>
      </c>
      <c r="J15" s="592">
        <v>-28.009948580404</v>
      </c>
      <c r="K15" s="595">
        <v>0.71477507529399997</v>
      </c>
    </row>
    <row r="16" spans="1:11" ht="14.4" customHeight="1" thickBot="1" x14ac:dyDescent="0.35">
      <c r="A16" s="613" t="s">
        <v>315</v>
      </c>
      <c r="B16" s="591">
        <v>25.825966599986</v>
      </c>
      <c r="C16" s="591">
        <v>25.319700000000001</v>
      </c>
      <c r="D16" s="592">
        <v>-0.50626659998599999</v>
      </c>
      <c r="E16" s="593">
        <v>0.98039699315700002</v>
      </c>
      <c r="F16" s="591">
        <v>30.000002708383999</v>
      </c>
      <c r="G16" s="592">
        <v>30.000002708383999</v>
      </c>
      <c r="H16" s="594">
        <v>3.69204</v>
      </c>
      <c r="I16" s="591">
        <v>29.309809999999999</v>
      </c>
      <c r="J16" s="592">
        <v>-0.69019270838400004</v>
      </c>
      <c r="K16" s="595">
        <v>0.97699357846400003</v>
      </c>
    </row>
    <row r="17" spans="1:11" ht="14.4" customHeight="1" thickBot="1" x14ac:dyDescent="0.35">
      <c r="A17" s="613" t="s">
        <v>316</v>
      </c>
      <c r="B17" s="591">
        <v>147.30004187562</v>
      </c>
      <c r="C17" s="591">
        <v>126.76953</v>
      </c>
      <c r="D17" s="592">
        <v>-20.53051187562</v>
      </c>
      <c r="E17" s="593">
        <v>0.86062114026400005</v>
      </c>
      <c r="F17" s="591">
        <v>130.00001173633299</v>
      </c>
      <c r="G17" s="592">
        <v>130.00001173633299</v>
      </c>
      <c r="H17" s="594">
        <v>8.4159699999999997</v>
      </c>
      <c r="I17" s="591">
        <v>92.456389999999999</v>
      </c>
      <c r="J17" s="592">
        <v>-37.543621736332</v>
      </c>
      <c r="K17" s="595">
        <v>0.711202935792</v>
      </c>
    </row>
    <row r="18" spans="1:11" ht="14.4" customHeight="1" thickBot="1" x14ac:dyDescent="0.35">
      <c r="A18" s="613" t="s">
        <v>317</v>
      </c>
      <c r="B18" s="591">
        <v>6.6956635651919996</v>
      </c>
      <c r="C18" s="591">
        <v>10.291930000000001</v>
      </c>
      <c r="D18" s="592">
        <v>3.5962664348070001</v>
      </c>
      <c r="E18" s="593">
        <v>1.537103813504</v>
      </c>
      <c r="F18" s="591">
        <v>12.999573435041</v>
      </c>
      <c r="G18" s="592">
        <v>12.999573435041</v>
      </c>
      <c r="H18" s="594">
        <v>2.16797</v>
      </c>
      <c r="I18" s="591">
        <v>10.350580000000001</v>
      </c>
      <c r="J18" s="592">
        <v>-2.648993435041</v>
      </c>
      <c r="K18" s="595">
        <v>0.79622458780799998</v>
      </c>
    </row>
    <row r="19" spans="1:11" ht="14.4" customHeight="1" thickBot="1" x14ac:dyDescent="0.35">
      <c r="A19" s="613" t="s">
        <v>318</v>
      </c>
      <c r="B19" s="591">
        <v>0</v>
      </c>
      <c r="C19" s="591">
        <v>0</v>
      </c>
      <c r="D19" s="592">
        <v>0</v>
      </c>
      <c r="E19" s="593">
        <v>1</v>
      </c>
      <c r="F19" s="591">
        <v>5000</v>
      </c>
      <c r="G19" s="592">
        <v>5000</v>
      </c>
      <c r="H19" s="594">
        <v>491.70350000000201</v>
      </c>
      <c r="I19" s="591">
        <v>4803.4582300000002</v>
      </c>
      <c r="J19" s="592">
        <v>-196.541769999997</v>
      </c>
      <c r="K19" s="595">
        <v>0.96069164600000001</v>
      </c>
    </row>
    <row r="20" spans="1:11" ht="14.4" customHeight="1" thickBot="1" x14ac:dyDescent="0.35">
      <c r="A20" s="613" t="s">
        <v>319</v>
      </c>
      <c r="B20" s="591">
        <v>455.83249967170798</v>
      </c>
      <c r="C20" s="591">
        <v>301.10187000000002</v>
      </c>
      <c r="D20" s="592">
        <v>-154.73062967170699</v>
      </c>
      <c r="E20" s="593">
        <v>0.66055375651500003</v>
      </c>
      <c r="F20" s="591">
        <v>315.00002843803799</v>
      </c>
      <c r="G20" s="592">
        <v>315.00002843803799</v>
      </c>
      <c r="H20" s="594">
        <v>25.044969999999999</v>
      </c>
      <c r="I20" s="591">
        <v>288.20346999999998</v>
      </c>
      <c r="J20" s="592">
        <v>-26.796558438038002</v>
      </c>
      <c r="K20" s="595">
        <v>0.91493156819400001</v>
      </c>
    </row>
    <row r="21" spans="1:11" ht="14.4" customHeight="1" thickBot="1" x14ac:dyDescent="0.35">
      <c r="A21" s="612" t="s">
        <v>320</v>
      </c>
      <c r="B21" s="596">
        <v>329.06808144206298</v>
      </c>
      <c r="C21" s="596">
        <v>322.50599999999997</v>
      </c>
      <c r="D21" s="597">
        <v>-6.5620814420620004</v>
      </c>
      <c r="E21" s="603">
        <v>0.98005859026700004</v>
      </c>
      <c r="F21" s="596">
        <v>314.01570877864401</v>
      </c>
      <c r="G21" s="597">
        <v>314.01570877864401</v>
      </c>
      <c r="H21" s="599">
        <v>13.677</v>
      </c>
      <c r="I21" s="596">
        <v>293.59199999999998</v>
      </c>
      <c r="J21" s="597">
        <v>-20.423708778643999</v>
      </c>
      <c r="K21" s="604">
        <v>0.93495959530700001</v>
      </c>
    </row>
    <row r="22" spans="1:11" ht="14.4" customHeight="1" thickBot="1" x14ac:dyDescent="0.35">
      <c r="A22" s="613" t="s">
        <v>321</v>
      </c>
      <c r="B22" s="591">
        <v>309.99999023575299</v>
      </c>
      <c r="C22" s="591">
        <v>311.91800000000001</v>
      </c>
      <c r="D22" s="592">
        <v>1.918009764247</v>
      </c>
      <c r="E22" s="593">
        <v>1.006187128466</v>
      </c>
      <c r="F22" s="591">
        <v>302.46518458488401</v>
      </c>
      <c r="G22" s="592">
        <v>302.46518458488401</v>
      </c>
      <c r="H22" s="594">
        <v>13.185</v>
      </c>
      <c r="I22" s="591">
        <v>276.24</v>
      </c>
      <c r="J22" s="592">
        <v>-26.225184584882999</v>
      </c>
      <c r="K22" s="595">
        <v>0.91329519587200003</v>
      </c>
    </row>
    <row r="23" spans="1:11" ht="14.4" customHeight="1" thickBot="1" x14ac:dyDescent="0.35">
      <c r="A23" s="613" t="s">
        <v>322</v>
      </c>
      <c r="B23" s="591">
        <v>19.068091206310001</v>
      </c>
      <c r="C23" s="591">
        <v>10.587999999999999</v>
      </c>
      <c r="D23" s="592">
        <v>-8.48009120631</v>
      </c>
      <c r="E23" s="593">
        <v>0.55527319884500004</v>
      </c>
      <c r="F23" s="591">
        <v>11.550524193759999</v>
      </c>
      <c r="G23" s="592">
        <v>11.550524193759999</v>
      </c>
      <c r="H23" s="594">
        <v>0.49199999999999999</v>
      </c>
      <c r="I23" s="591">
        <v>17.352</v>
      </c>
      <c r="J23" s="592">
        <v>5.8014758062389999</v>
      </c>
      <c r="K23" s="595">
        <v>1.5022694822260001</v>
      </c>
    </row>
    <row r="24" spans="1:11" ht="14.4" customHeight="1" thickBot="1" x14ac:dyDescent="0.35">
      <c r="A24" s="612" t="s">
        <v>323</v>
      </c>
      <c r="B24" s="596">
        <v>4477.3819741076704</v>
      </c>
      <c r="C24" s="596">
        <v>4730.4970800000001</v>
      </c>
      <c r="D24" s="597">
        <v>253.11510589233501</v>
      </c>
      <c r="E24" s="603">
        <v>1.0565319437459999</v>
      </c>
      <c r="F24" s="596">
        <v>4812.2083351891697</v>
      </c>
      <c r="G24" s="597">
        <v>4812.2083351891697</v>
      </c>
      <c r="H24" s="599">
        <v>378.801170000002</v>
      </c>
      <c r="I24" s="596">
        <v>4635.6786000000002</v>
      </c>
      <c r="J24" s="597">
        <v>-176.52973518917</v>
      </c>
      <c r="K24" s="604">
        <v>0.96331627334199998</v>
      </c>
    </row>
    <row r="25" spans="1:11" ht="14.4" customHeight="1" thickBot="1" x14ac:dyDescent="0.35">
      <c r="A25" s="613" t="s">
        <v>324</v>
      </c>
      <c r="B25" s="591">
        <v>0.49499998440800003</v>
      </c>
      <c r="C25" s="591">
        <v>0</v>
      </c>
      <c r="D25" s="592">
        <v>-0.49499998440800003</v>
      </c>
      <c r="E25" s="593">
        <v>0</v>
      </c>
      <c r="F25" s="591">
        <v>0</v>
      </c>
      <c r="G25" s="592">
        <v>0</v>
      </c>
      <c r="H25" s="594">
        <v>0</v>
      </c>
      <c r="I25" s="591">
        <v>0</v>
      </c>
      <c r="J25" s="592">
        <v>0</v>
      </c>
      <c r="K25" s="595">
        <v>0</v>
      </c>
    </row>
    <row r="26" spans="1:11" ht="14.4" customHeight="1" thickBot="1" x14ac:dyDescent="0.35">
      <c r="A26" s="613" t="s">
        <v>325</v>
      </c>
      <c r="B26" s="591">
        <v>505.99998721198398</v>
      </c>
      <c r="C26" s="591">
        <v>494.22196000000002</v>
      </c>
      <c r="D26" s="592">
        <v>-11.778027211983</v>
      </c>
      <c r="E26" s="593">
        <v>0.97672326579099999</v>
      </c>
      <c r="F26" s="591">
        <v>707.86102641381206</v>
      </c>
      <c r="G26" s="592">
        <v>707.86102641381206</v>
      </c>
      <c r="H26" s="594">
        <v>100.85202</v>
      </c>
      <c r="I26" s="591">
        <v>677.15760000000103</v>
      </c>
      <c r="J26" s="592">
        <v>-30.703426413810998</v>
      </c>
      <c r="K26" s="595">
        <v>0.95662506442899997</v>
      </c>
    </row>
    <row r="27" spans="1:11" ht="14.4" customHeight="1" thickBot="1" x14ac:dyDescent="0.35">
      <c r="A27" s="613" t="s">
        <v>326</v>
      </c>
      <c r="B27" s="591">
        <v>4.9999998425119996</v>
      </c>
      <c r="C27" s="591">
        <v>0.8236</v>
      </c>
      <c r="D27" s="592">
        <v>-4.1763998425119997</v>
      </c>
      <c r="E27" s="593">
        <v>0.16472000518800001</v>
      </c>
      <c r="F27" s="591">
        <v>2.0000001805580001</v>
      </c>
      <c r="G27" s="592">
        <v>2.0000001805580001</v>
      </c>
      <c r="H27" s="594">
        <v>0</v>
      </c>
      <c r="I27" s="591">
        <v>0.12451</v>
      </c>
      <c r="J27" s="592">
        <v>-1.875490180558</v>
      </c>
      <c r="K27" s="595">
        <v>6.2254994378999999E-2</v>
      </c>
    </row>
    <row r="28" spans="1:11" ht="14.4" customHeight="1" thickBot="1" x14ac:dyDescent="0.35">
      <c r="A28" s="613" t="s">
        <v>327</v>
      </c>
      <c r="B28" s="591">
        <v>163.999994834397</v>
      </c>
      <c r="C28" s="591">
        <v>161.64782</v>
      </c>
      <c r="D28" s="592">
        <v>-2.3521748343970001</v>
      </c>
      <c r="E28" s="593">
        <v>0.98565747007000004</v>
      </c>
      <c r="F28" s="591">
        <v>165.000014896115</v>
      </c>
      <c r="G28" s="592">
        <v>165.000014896115</v>
      </c>
      <c r="H28" s="594">
        <v>14.38991</v>
      </c>
      <c r="I28" s="591">
        <v>225.80352999999999</v>
      </c>
      <c r="J28" s="592">
        <v>60.803515103884997</v>
      </c>
      <c r="K28" s="595">
        <v>1.3685061188759999</v>
      </c>
    </row>
    <row r="29" spans="1:11" ht="14.4" customHeight="1" thickBot="1" x14ac:dyDescent="0.35">
      <c r="A29" s="613" t="s">
        <v>328</v>
      </c>
      <c r="B29" s="591">
        <v>3527.27634017432</v>
      </c>
      <c r="C29" s="591">
        <v>3449.40841</v>
      </c>
      <c r="D29" s="592">
        <v>-77.867930174323007</v>
      </c>
      <c r="E29" s="593">
        <v>0.97792406302599999</v>
      </c>
      <c r="F29" s="591">
        <v>3356.76561128407</v>
      </c>
      <c r="G29" s="592">
        <v>3356.76561128407</v>
      </c>
      <c r="H29" s="594">
        <v>234.700320000001</v>
      </c>
      <c r="I29" s="591">
        <v>3136.4930800000002</v>
      </c>
      <c r="J29" s="592">
        <v>-220.27253128407301</v>
      </c>
      <c r="K29" s="595">
        <v>0.93437953172999999</v>
      </c>
    </row>
    <row r="30" spans="1:11" ht="14.4" customHeight="1" thickBot="1" x14ac:dyDescent="0.35">
      <c r="A30" s="613" t="s">
        <v>329</v>
      </c>
      <c r="B30" s="591">
        <v>27.999999118066999</v>
      </c>
      <c r="C30" s="591">
        <v>35.215989999999998</v>
      </c>
      <c r="D30" s="592">
        <v>7.215990881932</v>
      </c>
      <c r="E30" s="593">
        <v>1.2577139681859999</v>
      </c>
      <c r="F30" s="591">
        <v>35.000003159781997</v>
      </c>
      <c r="G30" s="592">
        <v>35.000003159781997</v>
      </c>
      <c r="H30" s="594">
        <v>2.4876800000000001</v>
      </c>
      <c r="I30" s="591">
        <v>39.521479999999997</v>
      </c>
      <c r="J30" s="592">
        <v>4.5214768402179999</v>
      </c>
      <c r="K30" s="595">
        <v>1.1291850409140001</v>
      </c>
    </row>
    <row r="31" spans="1:11" ht="14.4" customHeight="1" thickBot="1" x14ac:dyDescent="0.35">
      <c r="A31" s="613" t="s">
        <v>330</v>
      </c>
      <c r="B31" s="591">
        <v>7.9999997480190004</v>
      </c>
      <c r="C31" s="591">
        <v>5.2876599999999998</v>
      </c>
      <c r="D31" s="592">
        <v>-2.7123397480190001</v>
      </c>
      <c r="E31" s="593">
        <v>0.66095752081799997</v>
      </c>
      <c r="F31" s="591">
        <v>7.0000006319560004</v>
      </c>
      <c r="G31" s="592">
        <v>7.0000006319560004</v>
      </c>
      <c r="H31" s="594">
        <v>0.59823000000000004</v>
      </c>
      <c r="I31" s="591">
        <v>5.3840700000000004</v>
      </c>
      <c r="J31" s="592">
        <v>-1.6159306319560001</v>
      </c>
      <c r="K31" s="595">
        <v>0.76915278770399997</v>
      </c>
    </row>
    <row r="32" spans="1:11" ht="14.4" customHeight="1" thickBot="1" x14ac:dyDescent="0.35">
      <c r="A32" s="613" t="s">
        <v>331</v>
      </c>
      <c r="B32" s="591">
        <v>6.9999997795160001</v>
      </c>
      <c r="C32" s="591">
        <v>9.6019100000000002</v>
      </c>
      <c r="D32" s="592">
        <v>2.601910220483</v>
      </c>
      <c r="E32" s="593">
        <v>1.3717014717760001</v>
      </c>
      <c r="F32" s="591">
        <v>9.5816308650239996</v>
      </c>
      <c r="G32" s="592">
        <v>9.5816308650239996</v>
      </c>
      <c r="H32" s="594">
        <v>0.56862000000000001</v>
      </c>
      <c r="I32" s="591">
        <v>9.7072500000000002</v>
      </c>
      <c r="J32" s="592">
        <v>0.12561913497499999</v>
      </c>
      <c r="K32" s="595">
        <v>1.013110412699</v>
      </c>
    </row>
    <row r="33" spans="1:11" ht="14.4" customHeight="1" thickBot="1" x14ac:dyDescent="0.35">
      <c r="A33" s="613" t="s">
        <v>332</v>
      </c>
      <c r="B33" s="591">
        <v>144.610655839749</v>
      </c>
      <c r="C33" s="591">
        <v>166.04875999999999</v>
      </c>
      <c r="D33" s="592">
        <v>21.438104160249999</v>
      </c>
      <c r="E33" s="593">
        <v>1.1482470571459999</v>
      </c>
      <c r="F33" s="591">
        <v>145.00001309052499</v>
      </c>
      <c r="G33" s="592">
        <v>145.00001309052499</v>
      </c>
      <c r="H33" s="594">
        <v>9.66</v>
      </c>
      <c r="I33" s="591">
        <v>190.92587</v>
      </c>
      <c r="J33" s="592">
        <v>45.925856909474</v>
      </c>
      <c r="K33" s="595">
        <v>1.3167300190569999</v>
      </c>
    </row>
    <row r="34" spans="1:11" ht="14.4" customHeight="1" thickBot="1" x14ac:dyDescent="0.35">
      <c r="A34" s="613" t="s">
        <v>333</v>
      </c>
      <c r="B34" s="591">
        <v>86.999997574686006</v>
      </c>
      <c r="C34" s="591">
        <v>97.480170000000001</v>
      </c>
      <c r="D34" s="592">
        <v>10.480172425313</v>
      </c>
      <c r="E34" s="593">
        <v>1.1204617553730001</v>
      </c>
      <c r="F34" s="591">
        <v>84.000007583476005</v>
      </c>
      <c r="G34" s="592">
        <v>84.000007583476005</v>
      </c>
      <c r="H34" s="594">
        <v>0</v>
      </c>
      <c r="I34" s="591">
        <v>109.142</v>
      </c>
      <c r="J34" s="592">
        <v>25.141992416522999</v>
      </c>
      <c r="K34" s="595">
        <v>1.299309406508</v>
      </c>
    </row>
    <row r="35" spans="1:11" ht="14.4" customHeight="1" thickBot="1" x14ac:dyDescent="0.35">
      <c r="A35" s="613" t="s">
        <v>334</v>
      </c>
      <c r="B35" s="591">
        <v>0</v>
      </c>
      <c r="C35" s="591">
        <v>310.76080000000002</v>
      </c>
      <c r="D35" s="592">
        <v>310.76080000000002</v>
      </c>
      <c r="E35" s="601" t="s">
        <v>313</v>
      </c>
      <c r="F35" s="591">
        <v>300.000027083845</v>
      </c>
      <c r="G35" s="592">
        <v>300.000027083845</v>
      </c>
      <c r="H35" s="594">
        <v>15.54439</v>
      </c>
      <c r="I35" s="591">
        <v>241.41920999999999</v>
      </c>
      <c r="J35" s="592">
        <v>-58.580817083844998</v>
      </c>
      <c r="K35" s="595">
        <v>0.80473062734900003</v>
      </c>
    </row>
    <row r="36" spans="1:11" ht="14.4" customHeight="1" thickBot="1" x14ac:dyDescent="0.35">
      <c r="A36" s="612" t="s">
        <v>335</v>
      </c>
      <c r="B36" s="596">
        <v>296.336027406401</v>
      </c>
      <c r="C36" s="596">
        <v>298.37628000000001</v>
      </c>
      <c r="D36" s="597">
        <v>2.0402525935989999</v>
      </c>
      <c r="E36" s="603">
        <v>1.006884929286</v>
      </c>
      <c r="F36" s="596">
        <v>293.67424206094199</v>
      </c>
      <c r="G36" s="597">
        <v>293.67424206094199</v>
      </c>
      <c r="H36" s="599">
        <v>19.049869999999999</v>
      </c>
      <c r="I36" s="596">
        <v>275.60462999999999</v>
      </c>
      <c r="J36" s="597">
        <v>-18.069612060941001</v>
      </c>
      <c r="K36" s="604">
        <v>0.93847055862200002</v>
      </c>
    </row>
    <row r="37" spans="1:11" ht="14.4" customHeight="1" thickBot="1" x14ac:dyDescent="0.35">
      <c r="A37" s="613" t="s">
        <v>336</v>
      </c>
      <c r="B37" s="591">
        <v>89.999997165218005</v>
      </c>
      <c r="C37" s="591">
        <v>84.0411</v>
      </c>
      <c r="D37" s="592">
        <v>-5.9588971652179996</v>
      </c>
      <c r="E37" s="593">
        <v>0.93379002941199996</v>
      </c>
      <c r="F37" s="591">
        <v>89.738950642150002</v>
      </c>
      <c r="G37" s="592">
        <v>89.738950642150002</v>
      </c>
      <c r="H37" s="594">
        <v>8.02074</v>
      </c>
      <c r="I37" s="591">
        <v>94.652370000000005</v>
      </c>
      <c r="J37" s="592">
        <v>4.9134193578490004</v>
      </c>
      <c r="K37" s="595">
        <v>1.0547523602919999</v>
      </c>
    </row>
    <row r="38" spans="1:11" ht="14.4" customHeight="1" thickBot="1" x14ac:dyDescent="0.35">
      <c r="A38" s="613" t="s">
        <v>337</v>
      </c>
      <c r="B38" s="591">
        <v>24.999999212559999</v>
      </c>
      <c r="C38" s="591">
        <v>21.30939</v>
      </c>
      <c r="D38" s="592">
        <v>-3.6906092125600001</v>
      </c>
      <c r="E38" s="593">
        <v>0.85237562684699997</v>
      </c>
      <c r="F38" s="591">
        <v>14.70256815546</v>
      </c>
      <c r="G38" s="592">
        <v>14.70256815546</v>
      </c>
      <c r="H38" s="594">
        <v>1.9838199999999999</v>
      </c>
      <c r="I38" s="591">
        <v>26.296720000000001</v>
      </c>
      <c r="J38" s="592">
        <v>11.594151844539001</v>
      </c>
      <c r="K38" s="595">
        <v>1.788580044108</v>
      </c>
    </row>
    <row r="39" spans="1:11" ht="14.4" customHeight="1" thickBot="1" x14ac:dyDescent="0.35">
      <c r="A39" s="613" t="s">
        <v>338</v>
      </c>
      <c r="B39" s="591">
        <v>181.33603102862199</v>
      </c>
      <c r="C39" s="591">
        <v>193.02579</v>
      </c>
      <c r="D39" s="592">
        <v>11.689758971378</v>
      </c>
      <c r="E39" s="593">
        <v>1.0644646235220001</v>
      </c>
      <c r="F39" s="591">
        <v>189.23272326333</v>
      </c>
      <c r="G39" s="592">
        <v>189.23272326333</v>
      </c>
      <c r="H39" s="594">
        <v>9.0453100000000006</v>
      </c>
      <c r="I39" s="591">
        <v>154.65554</v>
      </c>
      <c r="J39" s="592">
        <v>-34.577183263329999</v>
      </c>
      <c r="K39" s="595">
        <v>0.817276934628</v>
      </c>
    </row>
    <row r="40" spans="1:11" ht="14.4" customHeight="1" thickBot="1" x14ac:dyDescent="0.35">
      <c r="A40" s="612" t="s">
        <v>339</v>
      </c>
      <c r="B40" s="596">
        <v>679.98212091450705</v>
      </c>
      <c r="C40" s="596">
        <v>803.77279999999996</v>
      </c>
      <c r="D40" s="597">
        <v>123.790679085493</v>
      </c>
      <c r="E40" s="603">
        <v>1.182049902898</v>
      </c>
      <c r="F40" s="596">
        <v>867.17670131139698</v>
      </c>
      <c r="G40" s="597">
        <v>867.17670131139698</v>
      </c>
      <c r="H40" s="599">
        <v>66.078159999999997</v>
      </c>
      <c r="I40" s="596">
        <v>875.94615000000101</v>
      </c>
      <c r="J40" s="597">
        <v>8.7694486886029992</v>
      </c>
      <c r="K40" s="604">
        <v>1.010112643334</v>
      </c>
    </row>
    <row r="41" spans="1:11" ht="14.4" customHeight="1" thickBot="1" x14ac:dyDescent="0.35">
      <c r="A41" s="613" t="s">
        <v>340</v>
      </c>
      <c r="B41" s="591">
        <v>31.153518621806999</v>
      </c>
      <c r="C41" s="591">
        <v>45.135199999999998</v>
      </c>
      <c r="D41" s="592">
        <v>13.981681378192</v>
      </c>
      <c r="E41" s="593">
        <v>1.448799429301</v>
      </c>
      <c r="F41" s="591">
        <v>24.488634471798001</v>
      </c>
      <c r="G41" s="592">
        <v>24.488634471798001</v>
      </c>
      <c r="H41" s="594">
        <v>4.96</v>
      </c>
      <c r="I41" s="591">
        <v>53.140610000000002</v>
      </c>
      <c r="J41" s="592">
        <v>28.651975528201</v>
      </c>
      <c r="K41" s="595">
        <v>2.1700111560400002</v>
      </c>
    </row>
    <row r="42" spans="1:11" ht="14.4" customHeight="1" thickBot="1" x14ac:dyDescent="0.35">
      <c r="A42" s="613" t="s">
        <v>341</v>
      </c>
      <c r="B42" s="591">
        <v>11.999999622029</v>
      </c>
      <c r="C42" s="591">
        <v>18.500050000000002</v>
      </c>
      <c r="D42" s="592">
        <v>6.5000503779700001</v>
      </c>
      <c r="E42" s="593">
        <v>1.541670881892</v>
      </c>
      <c r="F42" s="591">
        <v>20.814601511618001</v>
      </c>
      <c r="G42" s="592">
        <v>20.814601511618001</v>
      </c>
      <c r="H42" s="594">
        <v>1.8131699999999999</v>
      </c>
      <c r="I42" s="591">
        <v>22.811319999999998</v>
      </c>
      <c r="J42" s="592">
        <v>1.9967184883810001</v>
      </c>
      <c r="K42" s="595">
        <v>1.0959287396040001</v>
      </c>
    </row>
    <row r="43" spans="1:11" ht="14.4" customHeight="1" thickBot="1" x14ac:dyDescent="0.35">
      <c r="A43" s="613" t="s">
        <v>342</v>
      </c>
      <c r="B43" s="591">
        <v>388.31930531415202</v>
      </c>
      <c r="C43" s="591">
        <v>515.86523999999997</v>
      </c>
      <c r="D43" s="592">
        <v>127.54593468584901</v>
      </c>
      <c r="E43" s="593">
        <v>1.328456332045</v>
      </c>
      <c r="F43" s="591">
        <v>522.94176561862196</v>
      </c>
      <c r="G43" s="592">
        <v>522.94176561862196</v>
      </c>
      <c r="H43" s="594">
        <v>37.151670000000003</v>
      </c>
      <c r="I43" s="591">
        <v>479.47944000000001</v>
      </c>
      <c r="J43" s="592">
        <v>-43.462325618621001</v>
      </c>
      <c r="K43" s="595">
        <v>0.916888784801</v>
      </c>
    </row>
    <row r="44" spans="1:11" ht="14.4" customHeight="1" thickBot="1" x14ac:dyDescent="0.35">
      <c r="A44" s="613" t="s">
        <v>343</v>
      </c>
      <c r="B44" s="591">
        <v>49.999998425120999</v>
      </c>
      <c r="C44" s="591">
        <v>56.362479999999998</v>
      </c>
      <c r="D44" s="592">
        <v>6.3624815748780001</v>
      </c>
      <c r="E44" s="593">
        <v>1.1272496355049999</v>
      </c>
      <c r="F44" s="591">
        <v>71.920741599017006</v>
      </c>
      <c r="G44" s="592">
        <v>71.920741599017006</v>
      </c>
      <c r="H44" s="594">
        <v>6.9376499999999997</v>
      </c>
      <c r="I44" s="591">
        <v>72.773250000000004</v>
      </c>
      <c r="J44" s="592">
        <v>0.85250840098199998</v>
      </c>
      <c r="K44" s="595">
        <v>1.011853442859</v>
      </c>
    </row>
    <row r="45" spans="1:11" ht="14.4" customHeight="1" thickBot="1" x14ac:dyDescent="0.35">
      <c r="A45" s="613" t="s">
        <v>344</v>
      </c>
      <c r="B45" s="591">
        <v>13.999999559034</v>
      </c>
      <c r="C45" s="591">
        <v>5.3458800000000002</v>
      </c>
      <c r="D45" s="592">
        <v>-8.6541195590329991</v>
      </c>
      <c r="E45" s="593">
        <v>0.381848583455</v>
      </c>
      <c r="F45" s="591">
        <v>7.9866137102010004</v>
      </c>
      <c r="G45" s="592">
        <v>7.9866137102010004</v>
      </c>
      <c r="H45" s="594">
        <v>0</v>
      </c>
      <c r="I45" s="591">
        <v>3.9954399999999999</v>
      </c>
      <c r="J45" s="592">
        <v>-3.9911737102010001</v>
      </c>
      <c r="K45" s="595">
        <v>0.50026709003000003</v>
      </c>
    </row>
    <row r="46" spans="1:11" ht="14.4" customHeight="1" thickBot="1" x14ac:dyDescent="0.35">
      <c r="A46" s="613" t="s">
        <v>345</v>
      </c>
      <c r="B46" s="591">
        <v>18.257129319158</v>
      </c>
      <c r="C46" s="591">
        <v>9.3217700000000008</v>
      </c>
      <c r="D46" s="592">
        <v>-8.9353593191579996</v>
      </c>
      <c r="E46" s="593">
        <v>0.51058245998200003</v>
      </c>
      <c r="F46" s="591">
        <v>0</v>
      </c>
      <c r="G46" s="592">
        <v>0</v>
      </c>
      <c r="H46" s="594">
        <v>0.37265999999999999</v>
      </c>
      <c r="I46" s="591">
        <v>5.2745899999999999</v>
      </c>
      <c r="J46" s="592">
        <v>5.2745899999999999</v>
      </c>
      <c r="K46" s="602" t="s">
        <v>302</v>
      </c>
    </row>
    <row r="47" spans="1:11" ht="14.4" customHeight="1" thickBot="1" x14ac:dyDescent="0.35">
      <c r="A47" s="613" t="s">
        <v>346</v>
      </c>
      <c r="B47" s="591">
        <v>0</v>
      </c>
      <c r="C47" s="591">
        <v>0</v>
      </c>
      <c r="D47" s="592">
        <v>0</v>
      </c>
      <c r="E47" s="593">
        <v>1</v>
      </c>
      <c r="F47" s="591">
        <v>0</v>
      </c>
      <c r="G47" s="592">
        <v>0</v>
      </c>
      <c r="H47" s="594">
        <v>1.7363500000000001</v>
      </c>
      <c r="I47" s="591">
        <v>1.7363500000000001</v>
      </c>
      <c r="J47" s="592">
        <v>1.7363500000000001</v>
      </c>
      <c r="K47" s="602" t="s">
        <v>313</v>
      </c>
    </row>
    <row r="48" spans="1:11" ht="14.4" customHeight="1" thickBot="1" x14ac:dyDescent="0.35">
      <c r="A48" s="613" t="s">
        <v>347</v>
      </c>
      <c r="B48" s="591">
        <v>6.9999997795160001</v>
      </c>
      <c r="C48" s="591">
        <v>4.5362900000000002</v>
      </c>
      <c r="D48" s="592">
        <v>-2.4637097795159999</v>
      </c>
      <c r="E48" s="593">
        <v>0.64804144898299998</v>
      </c>
      <c r="F48" s="591">
        <v>4.9932434567869999</v>
      </c>
      <c r="G48" s="592">
        <v>4.9932434567869999</v>
      </c>
      <c r="H48" s="594">
        <v>0</v>
      </c>
      <c r="I48" s="591">
        <v>4.7190000000000003</v>
      </c>
      <c r="J48" s="592">
        <v>-0.27424345678700002</v>
      </c>
      <c r="K48" s="595">
        <v>0.94507709084000002</v>
      </c>
    </row>
    <row r="49" spans="1:11" ht="14.4" customHeight="1" thickBot="1" x14ac:dyDescent="0.35">
      <c r="A49" s="613" t="s">
        <v>348</v>
      </c>
      <c r="B49" s="591">
        <v>56.252173013977</v>
      </c>
      <c r="C49" s="591">
        <v>41.915900000000001</v>
      </c>
      <c r="D49" s="592">
        <v>-14.336273013976999</v>
      </c>
      <c r="E49" s="593">
        <v>0.74514276967699999</v>
      </c>
      <c r="F49" s="591">
        <v>46.860268338032</v>
      </c>
      <c r="G49" s="592">
        <v>46.860268338032</v>
      </c>
      <c r="H49" s="594">
        <v>2.698</v>
      </c>
      <c r="I49" s="591">
        <v>45.694159999999997</v>
      </c>
      <c r="J49" s="592">
        <v>-1.1661083380320001</v>
      </c>
      <c r="K49" s="595">
        <v>0.97511520143999997</v>
      </c>
    </row>
    <row r="50" spans="1:11" ht="14.4" customHeight="1" thickBot="1" x14ac:dyDescent="0.35">
      <c r="A50" s="613" t="s">
        <v>349</v>
      </c>
      <c r="B50" s="591">
        <v>0</v>
      </c>
      <c r="C50" s="591">
        <v>0.84399999999999997</v>
      </c>
      <c r="D50" s="592">
        <v>0.84399999999999997</v>
      </c>
      <c r="E50" s="601" t="s">
        <v>313</v>
      </c>
      <c r="F50" s="591">
        <v>0</v>
      </c>
      <c r="G50" s="592">
        <v>0</v>
      </c>
      <c r="H50" s="594">
        <v>0</v>
      </c>
      <c r="I50" s="591">
        <v>0.68899999999999995</v>
      </c>
      <c r="J50" s="592">
        <v>0.68899999999999995</v>
      </c>
      <c r="K50" s="602" t="s">
        <v>302</v>
      </c>
    </row>
    <row r="51" spans="1:11" ht="14.4" customHeight="1" thickBot="1" x14ac:dyDescent="0.35">
      <c r="A51" s="613" t="s">
        <v>350</v>
      </c>
      <c r="B51" s="591">
        <v>0</v>
      </c>
      <c r="C51" s="591">
        <v>0</v>
      </c>
      <c r="D51" s="592">
        <v>0</v>
      </c>
      <c r="E51" s="593">
        <v>1</v>
      </c>
      <c r="F51" s="591">
        <v>0</v>
      </c>
      <c r="G51" s="592">
        <v>0</v>
      </c>
      <c r="H51" s="594">
        <v>0</v>
      </c>
      <c r="I51" s="591">
        <v>2.9830100000000002</v>
      </c>
      <c r="J51" s="592">
        <v>2.9830100000000002</v>
      </c>
      <c r="K51" s="602" t="s">
        <v>313</v>
      </c>
    </row>
    <row r="52" spans="1:11" ht="14.4" customHeight="1" thickBot="1" x14ac:dyDescent="0.35">
      <c r="A52" s="613" t="s">
        <v>351</v>
      </c>
      <c r="B52" s="591">
        <v>0</v>
      </c>
      <c r="C52" s="591">
        <v>0</v>
      </c>
      <c r="D52" s="592">
        <v>0</v>
      </c>
      <c r="E52" s="593">
        <v>1</v>
      </c>
      <c r="F52" s="591">
        <v>0</v>
      </c>
      <c r="G52" s="592">
        <v>0</v>
      </c>
      <c r="H52" s="594">
        <v>0</v>
      </c>
      <c r="I52" s="591">
        <v>4.1718400000000004</v>
      </c>
      <c r="J52" s="592">
        <v>4.1718400000000004</v>
      </c>
      <c r="K52" s="602" t="s">
        <v>313</v>
      </c>
    </row>
    <row r="53" spans="1:11" ht="14.4" customHeight="1" thickBot="1" x14ac:dyDescent="0.35">
      <c r="A53" s="613" t="s">
        <v>352</v>
      </c>
      <c r="B53" s="591">
        <v>0</v>
      </c>
      <c r="C53" s="591">
        <v>0</v>
      </c>
      <c r="D53" s="592">
        <v>0</v>
      </c>
      <c r="E53" s="593">
        <v>1</v>
      </c>
      <c r="F53" s="591">
        <v>0</v>
      </c>
      <c r="G53" s="592">
        <v>0</v>
      </c>
      <c r="H53" s="594">
        <v>0</v>
      </c>
      <c r="I53" s="591">
        <v>2.6825999999999999</v>
      </c>
      <c r="J53" s="592">
        <v>2.6825999999999999</v>
      </c>
      <c r="K53" s="602" t="s">
        <v>313</v>
      </c>
    </row>
    <row r="54" spans="1:11" ht="14.4" customHeight="1" thickBot="1" x14ac:dyDescent="0.35">
      <c r="A54" s="613" t="s">
        <v>353</v>
      </c>
      <c r="B54" s="591">
        <v>102.99999725971099</v>
      </c>
      <c r="C54" s="591">
        <v>105.77809000000001</v>
      </c>
      <c r="D54" s="592">
        <v>2.7780927402889999</v>
      </c>
      <c r="E54" s="593">
        <v>1.026971774895</v>
      </c>
      <c r="F54" s="591">
        <v>167.17083260531999</v>
      </c>
      <c r="G54" s="592">
        <v>167.17083260531999</v>
      </c>
      <c r="H54" s="594">
        <v>10.408659999999999</v>
      </c>
      <c r="I54" s="591">
        <v>175.79553999999999</v>
      </c>
      <c r="J54" s="592">
        <v>8.6247073946799997</v>
      </c>
      <c r="K54" s="595">
        <v>1.0515921782540001</v>
      </c>
    </row>
    <row r="55" spans="1:11" ht="14.4" customHeight="1" thickBot="1" x14ac:dyDescent="0.35">
      <c r="A55" s="613" t="s">
        <v>354</v>
      </c>
      <c r="B55" s="591">
        <v>0</v>
      </c>
      <c r="C55" s="591">
        <v>0.16789999999999999</v>
      </c>
      <c r="D55" s="592">
        <v>0.16789999999999999</v>
      </c>
      <c r="E55" s="601" t="s">
        <v>302</v>
      </c>
      <c r="F55" s="591">
        <v>0</v>
      </c>
      <c r="G55" s="592">
        <v>0</v>
      </c>
      <c r="H55" s="594">
        <v>0</v>
      </c>
      <c r="I55" s="591">
        <v>0</v>
      </c>
      <c r="J55" s="592">
        <v>0</v>
      </c>
      <c r="K55" s="602" t="s">
        <v>302</v>
      </c>
    </row>
    <row r="56" spans="1:11" ht="14.4" customHeight="1" thickBot="1" x14ac:dyDescent="0.35">
      <c r="A56" s="612" t="s">
        <v>355</v>
      </c>
      <c r="B56" s="596">
        <v>305.06823129983297</v>
      </c>
      <c r="C56" s="596">
        <v>398.55112000000003</v>
      </c>
      <c r="D56" s="597">
        <v>93.482888700166001</v>
      </c>
      <c r="E56" s="603">
        <v>1.3064327226129999</v>
      </c>
      <c r="F56" s="596">
        <v>373.321581508073</v>
      </c>
      <c r="G56" s="597">
        <v>373.321581508073</v>
      </c>
      <c r="H56" s="599">
        <v>21.69323</v>
      </c>
      <c r="I56" s="596">
        <v>257.34807999999998</v>
      </c>
      <c r="J56" s="597">
        <v>-115.973501508073</v>
      </c>
      <c r="K56" s="604">
        <v>0.68934691361900002</v>
      </c>
    </row>
    <row r="57" spans="1:11" ht="14.4" customHeight="1" thickBot="1" x14ac:dyDescent="0.35">
      <c r="A57" s="613" t="s">
        <v>356</v>
      </c>
      <c r="B57" s="591">
        <v>0</v>
      </c>
      <c r="C57" s="591">
        <v>0</v>
      </c>
      <c r="D57" s="592">
        <v>0</v>
      </c>
      <c r="E57" s="593">
        <v>1</v>
      </c>
      <c r="F57" s="591">
        <v>0</v>
      </c>
      <c r="G57" s="592">
        <v>0</v>
      </c>
      <c r="H57" s="594">
        <v>0</v>
      </c>
      <c r="I57" s="591">
        <v>9.1959999999989996</v>
      </c>
      <c r="J57" s="592">
        <v>9.1959999999989996</v>
      </c>
      <c r="K57" s="602" t="s">
        <v>313</v>
      </c>
    </row>
    <row r="58" spans="1:11" ht="14.4" customHeight="1" thickBot="1" x14ac:dyDescent="0.35">
      <c r="A58" s="613" t="s">
        <v>357</v>
      </c>
      <c r="B58" s="591">
        <v>0.40410194688599999</v>
      </c>
      <c r="C58" s="591">
        <v>0.36499999999999999</v>
      </c>
      <c r="D58" s="592">
        <v>-3.9101946886000001E-2</v>
      </c>
      <c r="E58" s="593">
        <v>0.90323742018999997</v>
      </c>
      <c r="F58" s="591">
        <v>0.328626770545</v>
      </c>
      <c r="G58" s="592">
        <v>0.328626770545</v>
      </c>
      <c r="H58" s="594">
        <v>0</v>
      </c>
      <c r="I58" s="591">
        <v>3.3679999999999999</v>
      </c>
      <c r="J58" s="592">
        <v>3.0393732294540001</v>
      </c>
      <c r="K58" s="595">
        <v>0</v>
      </c>
    </row>
    <row r="59" spans="1:11" ht="14.4" customHeight="1" thickBot="1" x14ac:dyDescent="0.35">
      <c r="A59" s="613" t="s">
        <v>358</v>
      </c>
      <c r="B59" s="591">
        <v>298.66412954193203</v>
      </c>
      <c r="C59" s="591">
        <v>386.96249999999998</v>
      </c>
      <c r="D59" s="592">
        <v>88.298370458066998</v>
      </c>
      <c r="E59" s="593">
        <v>1.2956443768229999</v>
      </c>
      <c r="F59" s="591">
        <v>365.85681527725302</v>
      </c>
      <c r="G59" s="592">
        <v>365.85681527725302</v>
      </c>
      <c r="H59" s="594">
        <v>21.543510000000001</v>
      </c>
      <c r="I59" s="591">
        <v>222.26857000000001</v>
      </c>
      <c r="J59" s="592">
        <v>-143.58824527725301</v>
      </c>
      <c r="K59" s="595">
        <v>0.60752884931600004</v>
      </c>
    </row>
    <row r="60" spans="1:11" ht="14.4" customHeight="1" thickBot="1" x14ac:dyDescent="0.35">
      <c r="A60" s="613" t="s">
        <v>359</v>
      </c>
      <c r="B60" s="591">
        <v>0</v>
      </c>
      <c r="C60" s="591">
        <v>4.0655999999999999</v>
      </c>
      <c r="D60" s="592">
        <v>4.0655999999999999</v>
      </c>
      <c r="E60" s="601" t="s">
        <v>302</v>
      </c>
      <c r="F60" s="591">
        <v>0</v>
      </c>
      <c r="G60" s="592">
        <v>0</v>
      </c>
      <c r="H60" s="594">
        <v>0</v>
      </c>
      <c r="I60" s="591">
        <v>7.4335999999990001</v>
      </c>
      <c r="J60" s="592">
        <v>7.4335999999990001</v>
      </c>
      <c r="K60" s="602" t="s">
        <v>302</v>
      </c>
    </row>
    <row r="61" spans="1:11" ht="14.4" customHeight="1" thickBot="1" x14ac:dyDescent="0.35">
      <c r="A61" s="613" t="s">
        <v>360</v>
      </c>
      <c r="B61" s="591">
        <v>5.9999998110139998</v>
      </c>
      <c r="C61" s="591">
        <v>7.1580199999999996</v>
      </c>
      <c r="D61" s="592">
        <v>1.1580201889849999</v>
      </c>
      <c r="E61" s="593">
        <v>1.1930033709100001</v>
      </c>
      <c r="F61" s="591">
        <v>7.1361394602740003</v>
      </c>
      <c r="G61" s="592">
        <v>7.1361394602740003</v>
      </c>
      <c r="H61" s="594">
        <v>0.14971999999999999</v>
      </c>
      <c r="I61" s="591">
        <v>15.081910000000001</v>
      </c>
      <c r="J61" s="592">
        <v>7.9457705397250002</v>
      </c>
      <c r="K61" s="595">
        <v>2.1134550528270002</v>
      </c>
    </row>
    <row r="62" spans="1:11" ht="14.4" customHeight="1" thickBot="1" x14ac:dyDescent="0.35">
      <c r="A62" s="612" t="s">
        <v>361</v>
      </c>
      <c r="B62" s="596">
        <v>544.99998292831299</v>
      </c>
      <c r="C62" s="596">
        <v>468.50927999999999</v>
      </c>
      <c r="D62" s="597">
        <v>-76.490702928312999</v>
      </c>
      <c r="E62" s="603">
        <v>0.85965008197299997</v>
      </c>
      <c r="F62" s="596">
        <v>452.16818384597599</v>
      </c>
      <c r="G62" s="597">
        <v>452.16818384597599</v>
      </c>
      <c r="H62" s="599">
        <v>48.776260000000001</v>
      </c>
      <c r="I62" s="596">
        <v>584.54543999999999</v>
      </c>
      <c r="J62" s="597">
        <v>132.377256154024</v>
      </c>
      <c r="K62" s="604">
        <v>1.2927611027999999</v>
      </c>
    </row>
    <row r="63" spans="1:11" ht="14.4" customHeight="1" thickBot="1" x14ac:dyDescent="0.35">
      <c r="A63" s="613" t="s">
        <v>362</v>
      </c>
      <c r="B63" s="591">
        <v>0</v>
      </c>
      <c r="C63" s="591">
        <v>0.1</v>
      </c>
      <c r="D63" s="592">
        <v>0.1</v>
      </c>
      <c r="E63" s="601" t="s">
        <v>302</v>
      </c>
      <c r="F63" s="591">
        <v>0</v>
      </c>
      <c r="G63" s="592">
        <v>0</v>
      </c>
      <c r="H63" s="594">
        <v>0</v>
      </c>
      <c r="I63" s="591">
        <v>38.923000000000002</v>
      </c>
      <c r="J63" s="592">
        <v>38.923000000000002</v>
      </c>
      <c r="K63" s="602" t="s">
        <v>302</v>
      </c>
    </row>
    <row r="64" spans="1:11" ht="14.4" customHeight="1" thickBot="1" x14ac:dyDescent="0.35">
      <c r="A64" s="613" t="s">
        <v>363</v>
      </c>
      <c r="B64" s="591">
        <v>15.999999496038001</v>
      </c>
      <c r="C64" s="591">
        <v>22.406289999999998</v>
      </c>
      <c r="D64" s="592">
        <v>6.4062905039610003</v>
      </c>
      <c r="E64" s="593">
        <v>1.4003931691089999</v>
      </c>
      <c r="F64" s="591">
        <v>0</v>
      </c>
      <c r="G64" s="592">
        <v>0</v>
      </c>
      <c r="H64" s="594">
        <v>0</v>
      </c>
      <c r="I64" s="591">
        <v>29.239450000000001</v>
      </c>
      <c r="J64" s="592">
        <v>29.239450000000001</v>
      </c>
      <c r="K64" s="602" t="s">
        <v>302</v>
      </c>
    </row>
    <row r="65" spans="1:11" ht="14.4" customHeight="1" thickBot="1" x14ac:dyDescent="0.35">
      <c r="A65" s="613" t="s">
        <v>364</v>
      </c>
      <c r="B65" s="591">
        <v>20.999999338550001</v>
      </c>
      <c r="C65" s="591">
        <v>0</v>
      </c>
      <c r="D65" s="592">
        <v>-20.999999338550001</v>
      </c>
      <c r="E65" s="593">
        <v>0</v>
      </c>
      <c r="F65" s="591">
        <v>0</v>
      </c>
      <c r="G65" s="592">
        <v>0</v>
      </c>
      <c r="H65" s="594">
        <v>0</v>
      </c>
      <c r="I65" s="591">
        <v>35.915999999999997</v>
      </c>
      <c r="J65" s="592">
        <v>35.915999999999997</v>
      </c>
      <c r="K65" s="602" t="s">
        <v>313</v>
      </c>
    </row>
    <row r="66" spans="1:11" ht="14.4" customHeight="1" thickBot="1" x14ac:dyDescent="0.35">
      <c r="A66" s="613" t="s">
        <v>365</v>
      </c>
      <c r="B66" s="591">
        <v>16.999999464540998</v>
      </c>
      <c r="C66" s="591">
        <v>7.2895899999999996</v>
      </c>
      <c r="D66" s="592">
        <v>-9.7104094645399996</v>
      </c>
      <c r="E66" s="593">
        <v>0.42879942526999998</v>
      </c>
      <c r="F66" s="591">
        <v>0</v>
      </c>
      <c r="G66" s="592">
        <v>0</v>
      </c>
      <c r="H66" s="594">
        <v>0.29158000000000001</v>
      </c>
      <c r="I66" s="591">
        <v>13.802490000000001</v>
      </c>
      <c r="J66" s="592">
        <v>13.802490000000001</v>
      </c>
      <c r="K66" s="602" t="s">
        <v>302</v>
      </c>
    </row>
    <row r="67" spans="1:11" ht="14.4" customHeight="1" thickBot="1" x14ac:dyDescent="0.35">
      <c r="A67" s="613" t="s">
        <v>366</v>
      </c>
      <c r="B67" s="591">
        <v>51.999998456618002</v>
      </c>
      <c r="C67" s="591">
        <v>77.891210000000001</v>
      </c>
      <c r="D67" s="592">
        <v>25.891211543381001</v>
      </c>
      <c r="E67" s="593">
        <v>1.497907929073</v>
      </c>
      <c r="F67" s="591">
        <v>76.201055811116007</v>
      </c>
      <c r="G67" s="592">
        <v>76.201055811116007</v>
      </c>
      <c r="H67" s="594">
        <v>7.5956000000000001</v>
      </c>
      <c r="I67" s="591">
        <v>83.102119999999999</v>
      </c>
      <c r="J67" s="592">
        <v>6.9010641888829998</v>
      </c>
      <c r="K67" s="595">
        <v>1.0905638920009999</v>
      </c>
    </row>
    <row r="68" spans="1:11" ht="14.4" customHeight="1" thickBot="1" x14ac:dyDescent="0.35">
      <c r="A68" s="613" t="s">
        <v>367</v>
      </c>
      <c r="B68" s="591">
        <v>284.999991023191</v>
      </c>
      <c r="C68" s="591">
        <v>215.52062000000001</v>
      </c>
      <c r="D68" s="592">
        <v>-69.479371023191007</v>
      </c>
      <c r="E68" s="593">
        <v>0.75621272557300001</v>
      </c>
      <c r="F68" s="591">
        <v>228.21025698049201</v>
      </c>
      <c r="G68" s="592">
        <v>228.21025698049201</v>
      </c>
      <c r="H68" s="594">
        <v>24.554649999999999</v>
      </c>
      <c r="I68" s="591">
        <v>235.13235</v>
      </c>
      <c r="J68" s="592">
        <v>6.9220930195079999</v>
      </c>
      <c r="K68" s="595">
        <v>1.030332085468</v>
      </c>
    </row>
    <row r="69" spans="1:11" ht="14.4" customHeight="1" thickBot="1" x14ac:dyDescent="0.35">
      <c r="A69" s="613" t="s">
        <v>368</v>
      </c>
      <c r="B69" s="591">
        <v>153.99999514937301</v>
      </c>
      <c r="C69" s="591">
        <v>145.30157</v>
      </c>
      <c r="D69" s="592">
        <v>-8.6984251493729996</v>
      </c>
      <c r="E69" s="593">
        <v>0.94351671803000003</v>
      </c>
      <c r="F69" s="591">
        <v>147.756871054367</v>
      </c>
      <c r="G69" s="592">
        <v>147.756871054367</v>
      </c>
      <c r="H69" s="594">
        <v>16.334430000000001</v>
      </c>
      <c r="I69" s="591">
        <v>148.43002999999999</v>
      </c>
      <c r="J69" s="592">
        <v>0.67315894563199996</v>
      </c>
      <c r="K69" s="595">
        <v>1.004555855445</v>
      </c>
    </row>
    <row r="70" spans="1:11" ht="14.4" customHeight="1" thickBot="1" x14ac:dyDescent="0.35">
      <c r="A70" s="612" t="s">
        <v>369</v>
      </c>
      <c r="B70" s="596">
        <v>0</v>
      </c>
      <c r="C70" s="596">
        <v>44.569000000000003</v>
      </c>
      <c r="D70" s="597">
        <v>44.569000000000003</v>
      </c>
      <c r="E70" s="598" t="s">
        <v>302</v>
      </c>
      <c r="F70" s="596">
        <v>0</v>
      </c>
      <c r="G70" s="597">
        <v>0</v>
      </c>
      <c r="H70" s="599">
        <v>40.837800000000001</v>
      </c>
      <c r="I70" s="596">
        <v>53.217799999999997</v>
      </c>
      <c r="J70" s="597">
        <v>53.217799999999997</v>
      </c>
      <c r="K70" s="600" t="s">
        <v>302</v>
      </c>
    </row>
    <row r="71" spans="1:11" ht="14.4" customHeight="1" thickBot="1" x14ac:dyDescent="0.35">
      <c r="A71" s="613" t="s">
        <v>370</v>
      </c>
      <c r="B71" s="591">
        <v>0</v>
      </c>
      <c r="C71" s="591">
        <v>44.569000000000003</v>
      </c>
      <c r="D71" s="592">
        <v>44.569000000000003</v>
      </c>
      <c r="E71" s="601" t="s">
        <v>302</v>
      </c>
      <c r="F71" s="591">
        <v>0</v>
      </c>
      <c r="G71" s="592">
        <v>0</v>
      </c>
      <c r="H71" s="594">
        <v>40.837800000000001</v>
      </c>
      <c r="I71" s="591">
        <v>53.217799999999997</v>
      </c>
      <c r="J71" s="592">
        <v>53.217799999999997</v>
      </c>
      <c r="K71" s="602" t="s">
        <v>302</v>
      </c>
    </row>
    <row r="72" spans="1:11" ht="14.4" customHeight="1" thickBot="1" x14ac:dyDescent="0.35">
      <c r="A72" s="611" t="s">
        <v>35</v>
      </c>
      <c r="B72" s="591">
        <v>900.27926435130496</v>
      </c>
      <c r="C72" s="591">
        <v>940.53899999999999</v>
      </c>
      <c r="D72" s="592">
        <v>40.259735648694999</v>
      </c>
      <c r="E72" s="593">
        <v>1.044719163533</v>
      </c>
      <c r="F72" s="591">
        <v>925.83345453418599</v>
      </c>
      <c r="G72" s="592">
        <v>925.83345453418599</v>
      </c>
      <c r="H72" s="594">
        <v>107.29</v>
      </c>
      <c r="I72" s="591">
        <v>912.43400000000099</v>
      </c>
      <c r="J72" s="592">
        <v>-13.399454534184001</v>
      </c>
      <c r="K72" s="595">
        <v>0.98552714371100003</v>
      </c>
    </row>
    <row r="73" spans="1:11" ht="14.4" customHeight="1" thickBot="1" x14ac:dyDescent="0.35">
      <c r="A73" s="612" t="s">
        <v>371</v>
      </c>
      <c r="B73" s="596">
        <v>900.27926435130496</v>
      </c>
      <c r="C73" s="596">
        <v>940.53899999999999</v>
      </c>
      <c r="D73" s="597">
        <v>40.259735648694999</v>
      </c>
      <c r="E73" s="603">
        <v>1.044719163533</v>
      </c>
      <c r="F73" s="596">
        <v>925.83345453418599</v>
      </c>
      <c r="G73" s="597">
        <v>925.83345453418599</v>
      </c>
      <c r="H73" s="599">
        <v>107.29</v>
      </c>
      <c r="I73" s="596">
        <v>912.43400000000099</v>
      </c>
      <c r="J73" s="597">
        <v>-13.399454534184001</v>
      </c>
      <c r="K73" s="604">
        <v>0.98552714371100003</v>
      </c>
    </row>
    <row r="74" spans="1:11" ht="14.4" customHeight="1" thickBot="1" x14ac:dyDescent="0.35">
      <c r="A74" s="613" t="s">
        <v>372</v>
      </c>
      <c r="B74" s="591">
        <v>269.27928422627298</v>
      </c>
      <c r="C74" s="591">
        <v>284.40499999999997</v>
      </c>
      <c r="D74" s="592">
        <v>15.125715773726</v>
      </c>
      <c r="E74" s="593">
        <v>1.0561711080639999</v>
      </c>
      <c r="F74" s="591">
        <v>277.309548879305</v>
      </c>
      <c r="G74" s="592">
        <v>277.309548879305</v>
      </c>
      <c r="H74" s="594">
        <v>21.29</v>
      </c>
      <c r="I74" s="591">
        <v>248.16800000000001</v>
      </c>
      <c r="J74" s="592">
        <v>-29.141548879304999</v>
      </c>
      <c r="K74" s="595">
        <v>0.89491328734499997</v>
      </c>
    </row>
    <row r="75" spans="1:11" ht="14.4" customHeight="1" thickBot="1" x14ac:dyDescent="0.35">
      <c r="A75" s="613" t="s">
        <v>373</v>
      </c>
      <c r="B75" s="591">
        <v>76.999997574686006</v>
      </c>
      <c r="C75" s="591">
        <v>68.748999999999995</v>
      </c>
      <c r="D75" s="592">
        <v>-8.250997574686</v>
      </c>
      <c r="E75" s="593">
        <v>0.89284418396599996</v>
      </c>
      <c r="F75" s="591">
        <v>68.842428629005994</v>
      </c>
      <c r="G75" s="592">
        <v>68.842428629005994</v>
      </c>
      <c r="H75" s="594">
        <v>3.657</v>
      </c>
      <c r="I75" s="591">
        <v>71.634</v>
      </c>
      <c r="J75" s="592">
        <v>2.7915713709930001</v>
      </c>
      <c r="K75" s="595">
        <v>1.0405501581879999</v>
      </c>
    </row>
    <row r="76" spans="1:11" ht="14.4" customHeight="1" thickBot="1" x14ac:dyDescent="0.35">
      <c r="A76" s="613" t="s">
        <v>374</v>
      </c>
      <c r="B76" s="591">
        <v>553.99998255034495</v>
      </c>
      <c r="C76" s="591">
        <v>587.38499999999999</v>
      </c>
      <c r="D76" s="592">
        <v>33.385017449654001</v>
      </c>
      <c r="E76" s="593">
        <v>1.060261766247</v>
      </c>
      <c r="F76" s="591">
        <v>579.68147702587396</v>
      </c>
      <c r="G76" s="592">
        <v>579.68147702587396</v>
      </c>
      <c r="H76" s="594">
        <v>82.343000000000004</v>
      </c>
      <c r="I76" s="591">
        <v>592.63199999999995</v>
      </c>
      <c r="J76" s="592">
        <v>12.950522974126001</v>
      </c>
      <c r="K76" s="595">
        <v>1.0223407569280001</v>
      </c>
    </row>
    <row r="77" spans="1:11" ht="14.4" customHeight="1" thickBot="1" x14ac:dyDescent="0.35">
      <c r="A77" s="611" t="s">
        <v>36</v>
      </c>
      <c r="B77" s="591">
        <v>160.45208961352799</v>
      </c>
      <c r="C77" s="591">
        <v>152.11615</v>
      </c>
      <c r="D77" s="592">
        <v>-8.3359396135279997</v>
      </c>
      <c r="E77" s="593">
        <v>0.94804717324800003</v>
      </c>
      <c r="F77" s="591">
        <v>160.00001444471701</v>
      </c>
      <c r="G77" s="592">
        <v>160.00001444471701</v>
      </c>
      <c r="H77" s="594">
        <v>12.3124</v>
      </c>
      <c r="I77" s="591">
        <v>166.79854</v>
      </c>
      <c r="J77" s="592">
        <v>6.7985255552819996</v>
      </c>
      <c r="K77" s="595">
        <v>1.042490780884</v>
      </c>
    </row>
    <row r="78" spans="1:11" ht="14.4" customHeight="1" thickBot="1" x14ac:dyDescent="0.35">
      <c r="A78" s="612" t="s">
        <v>375</v>
      </c>
      <c r="B78" s="596">
        <v>160.45208961352799</v>
      </c>
      <c r="C78" s="596">
        <v>152.11615</v>
      </c>
      <c r="D78" s="597">
        <v>-8.3359396135279997</v>
      </c>
      <c r="E78" s="603">
        <v>0.94804717324800003</v>
      </c>
      <c r="F78" s="596">
        <v>160.00001444471701</v>
      </c>
      <c r="G78" s="597">
        <v>160.00001444471701</v>
      </c>
      <c r="H78" s="599">
        <v>12.3124</v>
      </c>
      <c r="I78" s="596">
        <v>166.79854</v>
      </c>
      <c r="J78" s="597">
        <v>6.7985255552819996</v>
      </c>
      <c r="K78" s="604">
        <v>1.042490780884</v>
      </c>
    </row>
    <row r="79" spans="1:11" ht="14.4" customHeight="1" thickBot="1" x14ac:dyDescent="0.35">
      <c r="A79" s="613" t="s">
        <v>376</v>
      </c>
      <c r="B79" s="591">
        <v>160.45208961352799</v>
      </c>
      <c r="C79" s="591">
        <v>152.11615</v>
      </c>
      <c r="D79" s="592">
        <v>-8.3359396135279997</v>
      </c>
      <c r="E79" s="593">
        <v>0.94804717324800003</v>
      </c>
      <c r="F79" s="591">
        <v>160.00001444471701</v>
      </c>
      <c r="G79" s="592">
        <v>160.00001444471701</v>
      </c>
      <c r="H79" s="594">
        <v>12.3124</v>
      </c>
      <c r="I79" s="591">
        <v>166.79854</v>
      </c>
      <c r="J79" s="592">
        <v>6.7985255552819996</v>
      </c>
      <c r="K79" s="595">
        <v>1.042490780884</v>
      </c>
    </row>
    <row r="80" spans="1:11" ht="14.4" customHeight="1" thickBot="1" x14ac:dyDescent="0.35">
      <c r="A80" s="614" t="s">
        <v>377</v>
      </c>
      <c r="B80" s="596">
        <v>2642.4908003574901</v>
      </c>
      <c r="C80" s="596">
        <v>3005.0704000000001</v>
      </c>
      <c r="D80" s="597">
        <v>362.57959964251398</v>
      </c>
      <c r="E80" s="603">
        <v>1.137211300638</v>
      </c>
      <c r="F80" s="596">
        <v>2892.6969835301302</v>
      </c>
      <c r="G80" s="597">
        <v>2892.6969835301302</v>
      </c>
      <c r="H80" s="599">
        <v>344.03274000000198</v>
      </c>
      <c r="I80" s="596">
        <v>3213.5118200000002</v>
      </c>
      <c r="J80" s="597">
        <v>320.81483646987101</v>
      </c>
      <c r="K80" s="604">
        <v>1.110905095935</v>
      </c>
    </row>
    <row r="81" spans="1:11" ht="14.4" customHeight="1" thickBot="1" x14ac:dyDescent="0.35">
      <c r="A81" s="611" t="s">
        <v>38</v>
      </c>
      <c r="B81" s="591">
        <v>901.75626412193401</v>
      </c>
      <c r="C81" s="591">
        <v>767.25742000000002</v>
      </c>
      <c r="D81" s="592">
        <v>-134.49884412193401</v>
      </c>
      <c r="E81" s="593">
        <v>0.85084789596300003</v>
      </c>
      <c r="F81" s="591">
        <v>706.461813989235</v>
      </c>
      <c r="G81" s="592">
        <v>706.461813989235</v>
      </c>
      <c r="H81" s="594">
        <v>56.42022</v>
      </c>
      <c r="I81" s="591">
        <v>824.73942</v>
      </c>
      <c r="J81" s="592">
        <v>118.27760601076599</v>
      </c>
      <c r="K81" s="595">
        <v>1.1674225041870001</v>
      </c>
    </row>
    <row r="82" spans="1:11" ht="14.4" customHeight="1" thickBot="1" x14ac:dyDescent="0.35">
      <c r="A82" s="615" t="s">
        <v>378</v>
      </c>
      <c r="B82" s="591">
        <v>901.75626412193401</v>
      </c>
      <c r="C82" s="591">
        <v>767.25742000000002</v>
      </c>
      <c r="D82" s="592">
        <v>-134.49884412193401</v>
      </c>
      <c r="E82" s="593">
        <v>0.85084789596300003</v>
      </c>
      <c r="F82" s="591">
        <v>706.461813989235</v>
      </c>
      <c r="G82" s="592">
        <v>706.461813989235</v>
      </c>
      <c r="H82" s="594">
        <v>56.42022</v>
      </c>
      <c r="I82" s="591">
        <v>824.73942</v>
      </c>
      <c r="J82" s="592">
        <v>118.27760601076599</v>
      </c>
      <c r="K82" s="595">
        <v>1.1674225041870001</v>
      </c>
    </row>
    <row r="83" spans="1:11" ht="14.4" customHeight="1" thickBot="1" x14ac:dyDescent="0.35">
      <c r="A83" s="613" t="s">
        <v>379</v>
      </c>
      <c r="B83" s="591">
        <v>355.27395909866198</v>
      </c>
      <c r="C83" s="591">
        <v>600.13576</v>
      </c>
      <c r="D83" s="592">
        <v>244.861800901338</v>
      </c>
      <c r="E83" s="593">
        <v>1.689219670145</v>
      </c>
      <c r="F83" s="591">
        <v>466.17534985731498</v>
      </c>
      <c r="G83" s="592">
        <v>466.17534985731498</v>
      </c>
      <c r="H83" s="594">
        <v>42.621720000000003</v>
      </c>
      <c r="I83" s="591">
        <v>624.38832000000002</v>
      </c>
      <c r="J83" s="592">
        <v>158.212970142686</v>
      </c>
      <c r="K83" s="595">
        <v>1.339385105177</v>
      </c>
    </row>
    <row r="84" spans="1:11" ht="14.4" customHeight="1" thickBot="1" x14ac:dyDescent="0.35">
      <c r="A84" s="613" t="s">
        <v>380</v>
      </c>
      <c r="B84" s="591">
        <v>1.703490986941</v>
      </c>
      <c r="C84" s="591">
        <v>0</v>
      </c>
      <c r="D84" s="592">
        <v>-1.703490986941</v>
      </c>
      <c r="E84" s="593">
        <v>0</v>
      </c>
      <c r="F84" s="591">
        <v>0</v>
      </c>
      <c r="G84" s="592">
        <v>0</v>
      </c>
      <c r="H84" s="594">
        <v>0</v>
      </c>
      <c r="I84" s="591">
        <v>0</v>
      </c>
      <c r="J84" s="592">
        <v>0</v>
      </c>
      <c r="K84" s="595">
        <v>0</v>
      </c>
    </row>
    <row r="85" spans="1:11" ht="14.4" customHeight="1" thickBot="1" x14ac:dyDescent="0.35">
      <c r="A85" s="613" t="s">
        <v>381</v>
      </c>
      <c r="B85" s="591">
        <v>85.850568143909996</v>
      </c>
      <c r="C85" s="591">
        <v>56.276560000000003</v>
      </c>
      <c r="D85" s="592">
        <v>-29.57400814391</v>
      </c>
      <c r="E85" s="593">
        <v>0.65551761877199999</v>
      </c>
      <c r="F85" s="591">
        <v>96.022053474914003</v>
      </c>
      <c r="G85" s="592">
        <v>96.022053474914003</v>
      </c>
      <c r="H85" s="594">
        <v>0.13683000000000001</v>
      </c>
      <c r="I85" s="591">
        <v>38.38008</v>
      </c>
      <c r="J85" s="592">
        <v>-57.641973474914003</v>
      </c>
      <c r="K85" s="595">
        <v>0.39970067928199998</v>
      </c>
    </row>
    <row r="86" spans="1:11" ht="14.4" customHeight="1" thickBot="1" x14ac:dyDescent="0.35">
      <c r="A86" s="613" t="s">
        <v>382</v>
      </c>
      <c r="B86" s="591">
        <v>335.99998941681503</v>
      </c>
      <c r="C86" s="591">
        <v>49.867190000000001</v>
      </c>
      <c r="D86" s="592">
        <v>-286.13279941681498</v>
      </c>
      <c r="E86" s="593">
        <v>0.148414260627</v>
      </c>
      <c r="F86" s="591">
        <v>49.295563715653998</v>
      </c>
      <c r="G86" s="592">
        <v>49.295563715653998</v>
      </c>
      <c r="H86" s="594">
        <v>8.5922099999999997</v>
      </c>
      <c r="I86" s="591">
        <v>83.652159999999995</v>
      </c>
      <c r="J86" s="592">
        <v>34.356596284345002</v>
      </c>
      <c r="K86" s="595">
        <v>1.6969510782449999</v>
      </c>
    </row>
    <row r="87" spans="1:11" ht="14.4" customHeight="1" thickBot="1" x14ac:dyDescent="0.35">
      <c r="A87" s="613" t="s">
        <v>383</v>
      </c>
      <c r="B87" s="591">
        <v>122.928256475605</v>
      </c>
      <c r="C87" s="591">
        <v>57.654040000000002</v>
      </c>
      <c r="D87" s="592">
        <v>-65.274216475604007</v>
      </c>
      <c r="E87" s="593">
        <v>0.46900559442500001</v>
      </c>
      <c r="F87" s="591">
        <v>93.001059138816998</v>
      </c>
      <c r="G87" s="592">
        <v>93.001059138816998</v>
      </c>
      <c r="H87" s="594">
        <v>5.0694600000000003</v>
      </c>
      <c r="I87" s="591">
        <v>78.318860000000001</v>
      </c>
      <c r="J87" s="592">
        <v>-14.682199138816999</v>
      </c>
      <c r="K87" s="595">
        <v>0.84212868891199999</v>
      </c>
    </row>
    <row r="88" spans="1:11" ht="14.4" customHeight="1" thickBot="1" x14ac:dyDescent="0.35">
      <c r="A88" s="613" t="s">
        <v>384</v>
      </c>
      <c r="B88" s="591">
        <v>0</v>
      </c>
      <c r="C88" s="591">
        <v>3.3238699999999999</v>
      </c>
      <c r="D88" s="592">
        <v>3.3238699999999999</v>
      </c>
      <c r="E88" s="601" t="s">
        <v>313</v>
      </c>
      <c r="F88" s="591">
        <v>1.967787802533</v>
      </c>
      <c r="G88" s="592">
        <v>1.967787802533</v>
      </c>
      <c r="H88" s="594">
        <v>0</v>
      </c>
      <c r="I88" s="591">
        <v>0</v>
      </c>
      <c r="J88" s="592">
        <v>-1.967787802533</v>
      </c>
      <c r="K88" s="595">
        <v>0</v>
      </c>
    </row>
    <row r="89" spans="1:11" ht="14.4" customHeight="1" thickBot="1" x14ac:dyDescent="0.35">
      <c r="A89" s="616" t="s">
        <v>39</v>
      </c>
      <c r="B89" s="596">
        <v>0</v>
      </c>
      <c r="C89" s="596">
        <v>73.94</v>
      </c>
      <c r="D89" s="597">
        <v>73.94</v>
      </c>
      <c r="E89" s="598" t="s">
        <v>302</v>
      </c>
      <c r="F89" s="596">
        <v>0</v>
      </c>
      <c r="G89" s="597">
        <v>0</v>
      </c>
      <c r="H89" s="599">
        <v>3.6779999999999999</v>
      </c>
      <c r="I89" s="596">
        <v>115.43899999999999</v>
      </c>
      <c r="J89" s="597">
        <v>115.43899999999999</v>
      </c>
      <c r="K89" s="600" t="s">
        <v>302</v>
      </c>
    </row>
    <row r="90" spans="1:11" ht="14.4" customHeight="1" thickBot="1" x14ac:dyDescent="0.35">
      <c r="A90" s="612" t="s">
        <v>385</v>
      </c>
      <c r="B90" s="596">
        <v>0</v>
      </c>
      <c r="C90" s="596">
        <v>73.94</v>
      </c>
      <c r="D90" s="597">
        <v>73.94</v>
      </c>
      <c r="E90" s="598" t="s">
        <v>302</v>
      </c>
      <c r="F90" s="596">
        <v>0</v>
      </c>
      <c r="G90" s="597">
        <v>0</v>
      </c>
      <c r="H90" s="599">
        <v>3.6779999999999999</v>
      </c>
      <c r="I90" s="596">
        <v>91.724000000000004</v>
      </c>
      <c r="J90" s="597">
        <v>91.724000000000004</v>
      </c>
      <c r="K90" s="600" t="s">
        <v>302</v>
      </c>
    </row>
    <row r="91" spans="1:11" ht="14.4" customHeight="1" thickBot="1" x14ac:dyDescent="0.35">
      <c r="A91" s="613" t="s">
        <v>386</v>
      </c>
      <c r="B91" s="591">
        <v>0</v>
      </c>
      <c r="C91" s="591">
        <v>73.94</v>
      </c>
      <c r="D91" s="592">
        <v>73.94</v>
      </c>
      <c r="E91" s="601" t="s">
        <v>302</v>
      </c>
      <c r="F91" s="591">
        <v>0</v>
      </c>
      <c r="G91" s="592">
        <v>0</v>
      </c>
      <c r="H91" s="594">
        <v>3.6779999999999999</v>
      </c>
      <c r="I91" s="591">
        <v>86.603999999999999</v>
      </c>
      <c r="J91" s="592">
        <v>86.603999999999999</v>
      </c>
      <c r="K91" s="602" t="s">
        <v>302</v>
      </c>
    </row>
    <row r="92" spans="1:11" ht="14.4" customHeight="1" thickBot="1" x14ac:dyDescent="0.35">
      <c r="A92" s="613" t="s">
        <v>387</v>
      </c>
      <c r="B92" s="591">
        <v>0</v>
      </c>
      <c r="C92" s="591">
        <v>0</v>
      </c>
      <c r="D92" s="592">
        <v>0</v>
      </c>
      <c r="E92" s="601" t="s">
        <v>302</v>
      </c>
      <c r="F92" s="591">
        <v>0</v>
      </c>
      <c r="G92" s="592">
        <v>0</v>
      </c>
      <c r="H92" s="594">
        <v>0</v>
      </c>
      <c r="I92" s="591">
        <v>5.12</v>
      </c>
      <c r="J92" s="592">
        <v>5.12</v>
      </c>
      <c r="K92" s="602" t="s">
        <v>313</v>
      </c>
    </row>
    <row r="93" spans="1:11" ht="14.4" customHeight="1" thickBot="1" x14ac:dyDescent="0.35">
      <c r="A93" s="612" t="s">
        <v>388</v>
      </c>
      <c r="B93" s="596">
        <v>0</v>
      </c>
      <c r="C93" s="596">
        <v>0</v>
      </c>
      <c r="D93" s="597">
        <v>0</v>
      </c>
      <c r="E93" s="603">
        <v>1</v>
      </c>
      <c r="F93" s="596">
        <v>0</v>
      </c>
      <c r="G93" s="597">
        <v>0</v>
      </c>
      <c r="H93" s="599">
        <v>0</v>
      </c>
      <c r="I93" s="596">
        <v>23.715</v>
      </c>
      <c r="J93" s="597">
        <v>23.715</v>
      </c>
      <c r="K93" s="600" t="s">
        <v>313</v>
      </c>
    </row>
    <row r="94" spans="1:11" ht="14.4" customHeight="1" thickBot="1" x14ac:dyDescent="0.35">
      <c r="A94" s="613" t="s">
        <v>389</v>
      </c>
      <c r="B94" s="591">
        <v>0</v>
      </c>
      <c r="C94" s="591">
        <v>0</v>
      </c>
      <c r="D94" s="592">
        <v>0</v>
      </c>
      <c r="E94" s="593">
        <v>1</v>
      </c>
      <c r="F94" s="591">
        <v>0</v>
      </c>
      <c r="G94" s="592">
        <v>0</v>
      </c>
      <c r="H94" s="594">
        <v>0</v>
      </c>
      <c r="I94" s="591">
        <v>23.715</v>
      </c>
      <c r="J94" s="592">
        <v>23.715</v>
      </c>
      <c r="K94" s="602" t="s">
        <v>313</v>
      </c>
    </row>
    <row r="95" spans="1:11" ht="14.4" customHeight="1" thickBot="1" x14ac:dyDescent="0.35">
      <c r="A95" s="611" t="s">
        <v>40</v>
      </c>
      <c r="B95" s="591">
        <v>1740.73453623555</v>
      </c>
      <c r="C95" s="591">
        <v>2163.8729800000001</v>
      </c>
      <c r="D95" s="592">
        <v>423.138443764447</v>
      </c>
      <c r="E95" s="593">
        <v>1.2430803979330001</v>
      </c>
      <c r="F95" s="591">
        <v>2186.2351695409002</v>
      </c>
      <c r="G95" s="592">
        <v>2186.2351695409002</v>
      </c>
      <c r="H95" s="594">
        <v>283.93452000000099</v>
      </c>
      <c r="I95" s="591">
        <v>2273.3334</v>
      </c>
      <c r="J95" s="592">
        <v>87.098230459106006</v>
      </c>
      <c r="K95" s="595">
        <v>1.039839369374</v>
      </c>
    </row>
    <row r="96" spans="1:11" ht="14.4" customHeight="1" thickBot="1" x14ac:dyDescent="0.35">
      <c r="A96" s="612" t="s">
        <v>390</v>
      </c>
      <c r="B96" s="596">
        <v>0.87865861429600001</v>
      </c>
      <c r="C96" s="596">
        <v>2.0750000000000002</v>
      </c>
      <c r="D96" s="597">
        <v>1.1963413857030001</v>
      </c>
      <c r="E96" s="603">
        <v>2.3615542671940002</v>
      </c>
      <c r="F96" s="596">
        <v>1.9125733208619999</v>
      </c>
      <c r="G96" s="597">
        <v>1.9125733208619999</v>
      </c>
      <c r="H96" s="599">
        <v>0</v>
      </c>
      <c r="I96" s="596">
        <v>0.40967999999999999</v>
      </c>
      <c r="J96" s="597">
        <v>-1.5028933208619999</v>
      </c>
      <c r="K96" s="604">
        <v>0.21420355263300001</v>
      </c>
    </row>
    <row r="97" spans="1:11" ht="14.4" customHeight="1" thickBot="1" x14ac:dyDescent="0.35">
      <c r="A97" s="613" t="s">
        <v>391</v>
      </c>
      <c r="B97" s="591">
        <v>0.87865861429600001</v>
      </c>
      <c r="C97" s="591">
        <v>2.0750000000000002</v>
      </c>
      <c r="D97" s="592">
        <v>1.1963413857030001</v>
      </c>
      <c r="E97" s="593">
        <v>2.3615542671940002</v>
      </c>
      <c r="F97" s="591">
        <v>1.9125733208619999</v>
      </c>
      <c r="G97" s="592">
        <v>1.9125733208619999</v>
      </c>
      <c r="H97" s="594">
        <v>0</v>
      </c>
      <c r="I97" s="591">
        <v>0.40967999999999999</v>
      </c>
      <c r="J97" s="592">
        <v>-1.5028933208619999</v>
      </c>
      <c r="K97" s="595">
        <v>0.21420355263300001</v>
      </c>
    </row>
    <row r="98" spans="1:11" ht="14.4" customHeight="1" thickBot="1" x14ac:dyDescent="0.35">
      <c r="A98" s="612" t="s">
        <v>392</v>
      </c>
      <c r="B98" s="596">
        <v>30.439567756462001</v>
      </c>
      <c r="C98" s="596">
        <v>32.125900000000001</v>
      </c>
      <c r="D98" s="597">
        <v>1.6863322435370001</v>
      </c>
      <c r="E98" s="603">
        <v>1.0553993491960001</v>
      </c>
      <c r="F98" s="596">
        <v>28.627799549561001</v>
      </c>
      <c r="G98" s="597">
        <v>28.627799549561001</v>
      </c>
      <c r="H98" s="599">
        <v>3.94963</v>
      </c>
      <c r="I98" s="596">
        <v>46.295589999999997</v>
      </c>
      <c r="J98" s="597">
        <v>17.667790450438002</v>
      </c>
      <c r="K98" s="604">
        <v>1.6171550286230001</v>
      </c>
    </row>
    <row r="99" spans="1:11" ht="14.4" customHeight="1" thickBot="1" x14ac:dyDescent="0.35">
      <c r="A99" s="613" t="s">
        <v>393</v>
      </c>
      <c r="B99" s="591">
        <v>13.421645294081999</v>
      </c>
      <c r="C99" s="591">
        <v>13.994300000000001</v>
      </c>
      <c r="D99" s="592">
        <v>0.57265470591699996</v>
      </c>
      <c r="E99" s="593">
        <v>1.042666505735</v>
      </c>
      <c r="F99" s="591">
        <v>9.1531969115620004</v>
      </c>
      <c r="G99" s="592">
        <v>9.1531969115620004</v>
      </c>
      <c r="H99" s="594">
        <v>1.5172000000000001</v>
      </c>
      <c r="I99" s="591">
        <v>17.452999999999999</v>
      </c>
      <c r="J99" s="592">
        <v>8.2998030884370007</v>
      </c>
      <c r="K99" s="595">
        <v>1.90676549064</v>
      </c>
    </row>
    <row r="100" spans="1:11" ht="14.4" customHeight="1" thickBot="1" x14ac:dyDescent="0.35">
      <c r="A100" s="613" t="s">
        <v>394</v>
      </c>
      <c r="B100" s="591">
        <v>17.017922462379001</v>
      </c>
      <c r="C100" s="591">
        <v>18.131599999999999</v>
      </c>
      <c r="D100" s="592">
        <v>1.1136775376200001</v>
      </c>
      <c r="E100" s="593">
        <v>1.065441450922</v>
      </c>
      <c r="F100" s="591">
        <v>19.474602637998998</v>
      </c>
      <c r="G100" s="592">
        <v>19.474602637998998</v>
      </c>
      <c r="H100" s="594">
        <v>2.4324300000000001</v>
      </c>
      <c r="I100" s="591">
        <v>28.842590000000001</v>
      </c>
      <c r="J100" s="592">
        <v>9.3679873619999992</v>
      </c>
      <c r="K100" s="595">
        <v>1.4810361236180001</v>
      </c>
    </row>
    <row r="101" spans="1:11" ht="14.4" customHeight="1" thickBot="1" x14ac:dyDescent="0.35">
      <c r="A101" s="612" t="s">
        <v>395</v>
      </c>
      <c r="B101" s="596">
        <v>64.999997952656003</v>
      </c>
      <c r="C101" s="596">
        <v>95.332120000000003</v>
      </c>
      <c r="D101" s="597">
        <v>30.332122047342999</v>
      </c>
      <c r="E101" s="603">
        <v>1.466648046195</v>
      </c>
      <c r="F101" s="596">
        <v>107.600604492887</v>
      </c>
      <c r="G101" s="597">
        <v>107.600604492887</v>
      </c>
      <c r="H101" s="599">
        <v>0.97901000000000005</v>
      </c>
      <c r="I101" s="596">
        <v>94.261110000000002</v>
      </c>
      <c r="J101" s="597">
        <v>-13.339494492887001</v>
      </c>
      <c r="K101" s="604">
        <v>0.876027699326</v>
      </c>
    </row>
    <row r="102" spans="1:11" ht="14.4" customHeight="1" thickBot="1" x14ac:dyDescent="0.35">
      <c r="A102" s="613" t="s">
        <v>396</v>
      </c>
      <c r="B102" s="591">
        <v>15.999999496038001</v>
      </c>
      <c r="C102" s="591">
        <v>16.739999999999998</v>
      </c>
      <c r="D102" s="592">
        <v>0.74000050396100003</v>
      </c>
      <c r="E102" s="593">
        <v>1.0462500329540001</v>
      </c>
      <c r="F102" s="591">
        <v>14.999976126967001</v>
      </c>
      <c r="G102" s="592">
        <v>14.999976126967001</v>
      </c>
      <c r="H102" s="594">
        <v>0</v>
      </c>
      <c r="I102" s="591">
        <v>18.36</v>
      </c>
      <c r="J102" s="592">
        <v>3.360023873032</v>
      </c>
      <c r="K102" s="595">
        <v>1.2240019480419999</v>
      </c>
    </row>
    <row r="103" spans="1:11" ht="14.4" customHeight="1" thickBot="1" x14ac:dyDescent="0.35">
      <c r="A103" s="613" t="s">
        <v>397</v>
      </c>
      <c r="B103" s="591">
        <v>48.999998456618002</v>
      </c>
      <c r="C103" s="591">
        <v>78.592119999999994</v>
      </c>
      <c r="D103" s="592">
        <v>29.592121543381001</v>
      </c>
      <c r="E103" s="593">
        <v>1.6039208668460001</v>
      </c>
      <c r="F103" s="591">
        <v>92.600628365918993</v>
      </c>
      <c r="G103" s="592">
        <v>92.600628365918993</v>
      </c>
      <c r="H103" s="594">
        <v>0.97901000000000005</v>
      </c>
      <c r="I103" s="591">
        <v>75.901110000000003</v>
      </c>
      <c r="J103" s="592">
        <v>-16.699518365919001</v>
      </c>
      <c r="K103" s="595">
        <v>0.81966085262400001</v>
      </c>
    </row>
    <row r="104" spans="1:11" ht="14.4" customHeight="1" thickBot="1" x14ac:dyDescent="0.35">
      <c r="A104" s="612" t="s">
        <v>398</v>
      </c>
      <c r="B104" s="596">
        <v>0</v>
      </c>
      <c r="C104" s="596">
        <v>7.6</v>
      </c>
      <c r="D104" s="597">
        <v>7.6</v>
      </c>
      <c r="E104" s="598" t="s">
        <v>313</v>
      </c>
      <c r="F104" s="596">
        <v>3.6262425408209999</v>
      </c>
      <c r="G104" s="597">
        <v>3.6262425408209999</v>
      </c>
      <c r="H104" s="599">
        <v>0</v>
      </c>
      <c r="I104" s="596">
        <v>0</v>
      </c>
      <c r="J104" s="597">
        <v>-3.6262425408209999</v>
      </c>
      <c r="K104" s="604">
        <v>0</v>
      </c>
    </row>
    <row r="105" spans="1:11" ht="14.4" customHeight="1" thickBot="1" x14ac:dyDescent="0.35">
      <c r="A105" s="613" t="s">
        <v>399</v>
      </c>
      <c r="B105" s="591">
        <v>0</v>
      </c>
      <c r="C105" s="591">
        <v>7.6</v>
      </c>
      <c r="D105" s="592">
        <v>7.6</v>
      </c>
      <c r="E105" s="601" t="s">
        <v>313</v>
      </c>
      <c r="F105" s="591">
        <v>3.6262425408209999</v>
      </c>
      <c r="G105" s="592">
        <v>3.6262425408209999</v>
      </c>
      <c r="H105" s="594">
        <v>0</v>
      </c>
      <c r="I105" s="591">
        <v>0</v>
      </c>
      <c r="J105" s="592">
        <v>-3.6262425408209999</v>
      </c>
      <c r="K105" s="595">
        <v>0</v>
      </c>
    </row>
    <row r="106" spans="1:11" ht="14.4" customHeight="1" thickBot="1" x14ac:dyDescent="0.35">
      <c r="A106" s="612" t="s">
        <v>400</v>
      </c>
      <c r="B106" s="596">
        <v>792.09001372198099</v>
      </c>
      <c r="C106" s="596">
        <v>947.66579999999999</v>
      </c>
      <c r="D106" s="597">
        <v>155.575786278019</v>
      </c>
      <c r="E106" s="603">
        <v>1.1964117506630001</v>
      </c>
      <c r="F106" s="596">
        <v>940.91985121241305</v>
      </c>
      <c r="G106" s="597">
        <v>940.91985121241305</v>
      </c>
      <c r="H106" s="599">
        <v>76.743809999999996</v>
      </c>
      <c r="I106" s="596">
        <v>937.43306000000098</v>
      </c>
      <c r="J106" s="597">
        <v>-3.4867912124120002</v>
      </c>
      <c r="K106" s="604">
        <v>0.99629427394000003</v>
      </c>
    </row>
    <row r="107" spans="1:11" ht="14.4" customHeight="1" thickBot="1" x14ac:dyDescent="0.35">
      <c r="A107" s="613" t="s">
        <v>401</v>
      </c>
      <c r="B107" s="591">
        <v>636.110810397264</v>
      </c>
      <c r="C107" s="591">
        <v>765.50822000000005</v>
      </c>
      <c r="D107" s="592">
        <v>129.39740960273701</v>
      </c>
      <c r="E107" s="593">
        <v>1.203419604709</v>
      </c>
      <c r="F107" s="591">
        <v>783.69933827571003</v>
      </c>
      <c r="G107" s="592">
        <v>783.69933827571003</v>
      </c>
      <c r="H107" s="594">
        <v>65.282089999999997</v>
      </c>
      <c r="I107" s="591">
        <v>782.98336000000097</v>
      </c>
      <c r="J107" s="592">
        <v>-0.71597827570899997</v>
      </c>
      <c r="K107" s="595">
        <v>0.99908641204500004</v>
      </c>
    </row>
    <row r="108" spans="1:11" ht="14.4" customHeight="1" thickBot="1" x14ac:dyDescent="0.35">
      <c r="A108" s="613" t="s">
        <v>402</v>
      </c>
      <c r="B108" s="591">
        <v>155.97920332471699</v>
      </c>
      <c r="C108" s="591">
        <v>182.15758</v>
      </c>
      <c r="D108" s="592">
        <v>26.178376675281999</v>
      </c>
      <c r="E108" s="593">
        <v>1.16783248098</v>
      </c>
      <c r="F108" s="591">
        <v>157.22051293670401</v>
      </c>
      <c r="G108" s="592">
        <v>157.22051293670401</v>
      </c>
      <c r="H108" s="594">
        <v>11.46172</v>
      </c>
      <c r="I108" s="591">
        <v>154.44970000000001</v>
      </c>
      <c r="J108" s="592">
        <v>-2.7708129367029999</v>
      </c>
      <c r="K108" s="595">
        <v>0.98237626321799998</v>
      </c>
    </row>
    <row r="109" spans="1:11" ht="14.4" customHeight="1" thickBot="1" x14ac:dyDescent="0.35">
      <c r="A109" s="612" t="s">
        <v>403</v>
      </c>
      <c r="B109" s="596">
        <v>0</v>
      </c>
      <c r="C109" s="596">
        <v>0</v>
      </c>
      <c r="D109" s="597">
        <v>0</v>
      </c>
      <c r="E109" s="603">
        <v>1</v>
      </c>
      <c r="F109" s="596">
        <v>0</v>
      </c>
      <c r="G109" s="597">
        <v>0</v>
      </c>
      <c r="H109" s="599">
        <v>0</v>
      </c>
      <c r="I109" s="596">
        <v>29.75</v>
      </c>
      <c r="J109" s="597">
        <v>29.75</v>
      </c>
      <c r="K109" s="600" t="s">
        <v>313</v>
      </c>
    </row>
    <row r="110" spans="1:11" ht="14.4" customHeight="1" thickBot="1" x14ac:dyDescent="0.35">
      <c r="A110" s="613" t="s">
        <v>404</v>
      </c>
      <c r="B110" s="591">
        <v>0</v>
      </c>
      <c r="C110" s="591">
        <v>0</v>
      </c>
      <c r="D110" s="592">
        <v>0</v>
      </c>
      <c r="E110" s="593">
        <v>1</v>
      </c>
      <c r="F110" s="591">
        <v>0</v>
      </c>
      <c r="G110" s="592">
        <v>0</v>
      </c>
      <c r="H110" s="594">
        <v>0</v>
      </c>
      <c r="I110" s="591">
        <v>29.75</v>
      </c>
      <c r="J110" s="592">
        <v>29.75</v>
      </c>
      <c r="K110" s="602" t="s">
        <v>313</v>
      </c>
    </row>
    <row r="111" spans="1:11" ht="14.4" customHeight="1" thickBot="1" x14ac:dyDescent="0.35">
      <c r="A111" s="612" t="s">
        <v>405</v>
      </c>
      <c r="B111" s="596">
        <v>852.32629819015699</v>
      </c>
      <c r="C111" s="596">
        <v>1070.85996</v>
      </c>
      <c r="D111" s="597">
        <v>218.53366180984301</v>
      </c>
      <c r="E111" s="603">
        <v>1.2563967136450001</v>
      </c>
      <c r="F111" s="596">
        <v>1103.3333590126399</v>
      </c>
      <c r="G111" s="597">
        <v>1103.3333590126399</v>
      </c>
      <c r="H111" s="599">
        <v>195.83667000000099</v>
      </c>
      <c r="I111" s="596">
        <v>1093.6331499999999</v>
      </c>
      <c r="J111" s="597">
        <v>-9.7002090126430005</v>
      </c>
      <c r="K111" s="604">
        <v>0.99120826998099998</v>
      </c>
    </row>
    <row r="112" spans="1:11" ht="14.4" customHeight="1" thickBot="1" x14ac:dyDescent="0.35">
      <c r="A112" s="613" t="s">
        <v>406</v>
      </c>
      <c r="B112" s="591">
        <v>19.999999370047998</v>
      </c>
      <c r="C112" s="591">
        <v>8.6329999999999991</v>
      </c>
      <c r="D112" s="592">
        <v>-11.366999370047999</v>
      </c>
      <c r="E112" s="593">
        <v>0.43165001359499999</v>
      </c>
      <c r="F112" s="591">
        <v>0</v>
      </c>
      <c r="G112" s="592">
        <v>0</v>
      </c>
      <c r="H112" s="594">
        <v>0</v>
      </c>
      <c r="I112" s="591">
        <v>0</v>
      </c>
      <c r="J112" s="592">
        <v>0</v>
      </c>
      <c r="K112" s="602" t="s">
        <v>302</v>
      </c>
    </row>
    <row r="113" spans="1:11" ht="14.4" customHeight="1" thickBot="1" x14ac:dyDescent="0.35">
      <c r="A113" s="613" t="s">
        <v>407</v>
      </c>
      <c r="B113" s="591">
        <v>659.89001860855603</v>
      </c>
      <c r="C113" s="591">
        <v>879.29943000000003</v>
      </c>
      <c r="D113" s="592">
        <v>219.409411391444</v>
      </c>
      <c r="E113" s="593">
        <v>1.332493908385</v>
      </c>
      <c r="F113" s="591">
        <v>828.32696041884003</v>
      </c>
      <c r="G113" s="592">
        <v>828.32696041884003</v>
      </c>
      <c r="H113" s="594">
        <v>191.43290000000101</v>
      </c>
      <c r="I113" s="591">
        <v>1004.3595299999999</v>
      </c>
      <c r="J113" s="592">
        <v>176.032569581161</v>
      </c>
      <c r="K113" s="595">
        <v>1.2125158035320001</v>
      </c>
    </row>
    <row r="114" spans="1:11" ht="14.4" customHeight="1" thickBot="1" x14ac:dyDescent="0.35">
      <c r="A114" s="613" t="s">
        <v>408</v>
      </c>
      <c r="B114" s="591">
        <v>1.999999937004</v>
      </c>
      <c r="C114" s="591">
        <v>3.2864</v>
      </c>
      <c r="D114" s="592">
        <v>1.2864000629950001</v>
      </c>
      <c r="E114" s="593">
        <v>1.6432000517559999</v>
      </c>
      <c r="F114" s="591">
        <v>1.999996816928</v>
      </c>
      <c r="G114" s="592">
        <v>1.999996816928</v>
      </c>
      <c r="H114" s="594">
        <v>0</v>
      </c>
      <c r="I114" s="591">
        <v>2.2067999999999999</v>
      </c>
      <c r="J114" s="592">
        <v>0.20680318307100001</v>
      </c>
      <c r="K114" s="595">
        <v>1.1034017561030001</v>
      </c>
    </row>
    <row r="115" spans="1:11" ht="14.4" customHeight="1" thickBot="1" x14ac:dyDescent="0.35">
      <c r="A115" s="613" t="s">
        <v>409</v>
      </c>
      <c r="B115" s="591">
        <v>1.9600447279769999</v>
      </c>
      <c r="C115" s="591">
        <v>32.903260000000003</v>
      </c>
      <c r="D115" s="592">
        <v>30.943215272022002</v>
      </c>
      <c r="E115" s="593">
        <v>16.786994465147998</v>
      </c>
      <c r="F115" s="591">
        <v>38.625818272111999</v>
      </c>
      <c r="G115" s="592">
        <v>38.625818272111999</v>
      </c>
      <c r="H115" s="594">
        <v>0</v>
      </c>
      <c r="I115" s="591">
        <v>3.0540400000000001</v>
      </c>
      <c r="J115" s="592">
        <v>-35.571778272111999</v>
      </c>
      <c r="K115" s="595">
        <v>7.9067321718999994E-2</v>
      </c>
    </row>
    <row r="116" spans="1:11" ht="14.4" customHeight="1" thickBot="1" x14ac:dyDescent="0.35">
      <c r="A116" s="613" t="s">
        <v>410</v>
      </c>
      <c r="B116" s="591">
        <v>168.47623554657</v>
      </c>
      <c r="C116" s="591">
        <v>146.73786999999999</v>
      </c>
      <c r="D116" s="592">
        <v>-21.738365546569</v>
      </c>
      <c r="E116" s="593">
        <v>0.87097073082099996</v>
      </c>
      <c r="F116" s="591">
        <v>234.38058350476399</v>
      </c>
      <c r="G116" s="592">
        <v>234.38058350476399</v>
      </c>
      <c r="H116" s="594">
        <v>4.4037699999999997</v>
      </c>
      <c r="I116" s="591">
        <v>84.012780000000006</v>
      </c>
      <c r="J116" s="592">
        <v>-150.367803504764</v>
      </c>
      <c r="K116" s="595">
        <v>0.35844598875700001</v>
      </c>
    </row>
    <row r="117" spans="1:11" ht="14.4" customHeight="1" thickBot="1" x14ac:dyDescent="0.35">
      <c r="A117" s="612" t="s">
        <v>411</v>
      </c>
      <c r="B117" s="596">
        <v>0</v>
      </c>
      <c r="C117" s="596">
        <v>0</v>
      </c>
      <c r="D117" s="597">
        <v>0</v>
      </c>
      <c r="E117" s="603">
        <v>1</v>
      </c>
      <c r="F117" s="596">
        <v>0</v>
      </c>
      <c r="G117" s="597">
        <v>0</v>
      </c>
      <c r="H117" s="599">
        <v>0</v>
      </c>
      <c r="I117" s="596">
        <v>5.5175999999999998</v>
      </c>
      <c r="J117" s="597">
        <v>5.5175999999999998</v>
      </c>
      <c r="K117" s="600" t="s">
        <v>313</v>
      </c>
    </row>
    <row r="118" spans="1:11" ht="14.4" customHeight="1" thickBot="1" x14ac:dyDescent="0.35">
      <c r="A118" s="613" t="s">
        <v>412</v>
      </c>
      <c r="B118" s="591">
        <v>0</v>
      </c>
      <c r="C118" s="591">
        <v>0</v>
      </c>
      <c r="D118" s="592">
        <v>0</v>
      </c>
      <c r="E118" s="593">
        <v>1</v>
      </c>
      <c r="F118" s="591">
        <v>0</v>
      </c>
      <c r="G118" s="592">
        <v>0</v>
      </c>
      <c r="H118" s="594">
        <v>0</v>
      </c>
      <c r="I118" s="591">
        <v>5.5175999999999998</v>
      </c>
      <c r="J118" s="592">
        <v>5.5175999999999998</v>
      </c>
      <c r="K118" s="602" t="s">
        <v>313</v>
      </c>
    </row>
    <row r="119" spans="1:11" ht="14.4" customHeight="1" thickBot="1" x14ac:dyDescent="0.35">
      <c r="A119" s="612" t="s">
        <v>413</v>
      </c>
      <c r="B119" s="596">
        <v>0</v>
      </c>
      <c r="C119" s="596">
        <v>8.2141999999999999</v>
      </c>
      <c r="D119" s="597">
        <v>8.2141999999999999</v>
      </c>
      <c r="E119" s="598" t="s">
        <v>302</v>
      </c>
      <c r="F119" s="596">
        <v>0.21473941170499999</v>
      </c>
      <c r="G119" s="597">
        <v>0.21473941170499999</v>
      </c>
      <c r="H119" s="599">
        <v>6.4253999999999998</v>
      </c>
      <c r="I119" s="596">
        <v>47.883209999999998</v>
      </c>
      <c r="J119" s="597">
        <v>47.668470588293999</v>
      </c>
      <c r="K119" s="604">
        <v>0</v>
      </c>
    </row>
    <row r="120" spans="1:11" ht="14.4" customHeight="1" thickBot="1" x14ac:dyDescent="0.35">
      <c r="A120" s="613" t="s">
        <v>414</v>
      </c>
      <c r="B120" s="591">
        <v>0</v>
      </c>
      <c r="C120" s="591">
        <v>0</v>
      </c>
      <c r="D120" s="592">
        <v>0</v>
      </c>
      <c r="E120" s="593">
        <v>1</v>
      </c>
      <c r="F120" s="591">
        <v>0</v>
      </c>
      <c r="G120" s="592">
        <v>0</v>
      </c>
      <c r="H120" s="594">
        <v>0</v>
      </c>
      <c r="I120" s="591">
        <v>18.149999999999999</v>
      </c>
      <c r="J120" s="592">
        <v>18.149999999999999</v>
      </c>
      <c r="K120" s="602" t="s">
        <v>313</v>
      </c>
    </row>
    <row r="121" spans="1:11" ht="14.4" customHeight="1" thickBot="1" x14ac:dyDescent="0.35">
      <c r="A121" s="613" t="s">
        <v>415</v>
      </c>
      <c r="B121" s="591">
        <v>0</v>
      </c>
      <c r="C121" s="591">
        <v>0.40920000000000001</v>
      </c>
      <c r="D121" s="592">
        <v>0.40920000000000001</v>
      </c>
      <c r="E121" s="601" t="s">
        <v>302</v>
      </c>
      <c r="F121" s="591">
        <v>0.21473941170499999</v>
      </c>
      <c r="G121" s="592">
        <v>0.21473941170499999</v>
      </c>
      <c r="H121" s="594">
        <v>0</v>
      </c>
      <c r="I121" s="591">
        <v>4.55281</v>
      </c>
      <c r="J121" s="592">
        <v>4.3380705882940003</v>
      </c>
      <c r="K121" s="595">
        <v>0</v>
      </c>
    </row>
    <row r="122" spans="1:11" ht="14.4" customHeight="1" thickBot="1" x14ac:dyDescent="0.35">
      <c r="A122" s="613" t="s">
        <v>416</v>
      </c>
      <c r="B122" s="591">
        <v>0</v>
      </c>
      <c r="C122" s="591">
        <v>7.8049999999999997</v>
      </c>
      <c r="D122" s="592">
        <v>7.8049999999999997</v>
      </c>
      <c r="E122" s="601" t="s">
        <v>313</v>
      </c>
      <c r="F122" s="591">
        <v>0</v>
      </c>
      <c r="G122" s="592">
        <v>0</v>
      </c>
      <c r="H122" s="594">
        <v>6.4253999999999998</v>
      </c>
      <c r="I122" s="591">
        <v>6.4253999999999998</v>
      </c>
      <c r="J122" s="592">
        <v>6.4253999999999998</v>
      </c>
      <c r="K122" s="602" t="s">
        <v>302</v>
      </c>
    </row>
    <row r="123" spans="1:11" ht="14.4" customHeight="1" thickBot="1" x14ac:dyDescent="0.35">
      <c r="A123" s="613" t="s">
        <v>417</v>
      </c>
      <c r="B123" s="591">
        <v>0</v>
      </c>
      <c r="C123" s="591">
        <v>0</v>
      </c>
      <c r="D123" s="592">
        <v>0</v>
      </c>
      <c r="E123" s="593">
        <v>1</v>
      </c>
      <c r="F123" s="591">
        <v>0</v>
      </c>
      <c r="G123" s="592">
        <v>0</v>
      </c>
      <c r="H123" s="594">
        <v>0</v>
      </c>
      <c r="I123" s="591">
        <v>18.754999999999999</v>
      </c>
      <c r="J123" s="592">
        <v>18.754999999999999</v>
      </c>
      <c r="K123" s="602" t="s">
        <v>313</v>
      </c>
    </row>
    <row r="124" spans="1:11" ht="14.4" customHeight="1" thickBot="1" x14ac:dyDescent="0.35">
      <c r="A124" s="612" t="s">
        <v>418</v>
      </c>
      <c r="B124" s="596">
        <v>0</v>
      </c>
      <c r="C124" s="596">
        <v>0</v>
      </c>
      <c r="D124" s="597">
        <v>0</v>
      </c>
      <c r="E124" s="603">
        <v>1</v>
      </c>
      <c r="F124" s="596">
        <v>0</v>
      </c>
      <c r="G124" s="597">
        <v>0</v>
      </c>
      <c r="H124" s="599">
        <v>0</v>
      </c>
      <c r="I124" s="596">
        <v>18.149999999999999</v>
      </c>
      <c r="J124" s="597">
        <v>18.149999999999999</v>
      </c>
      <c r="K124" s="600" t="s">
        <v>313</v>
      </c>
    </row>
    <row r="125" spans="1:11" ht="14.4" customHeight="1" thickBot="1" x14ac:dyDescent="0.35">
      <c r="A125" s="613" t="s">
        <v>419</v>
      </c>
      <c r="B125" s="591">
        <v>0</v>
      </c>
      <c r="C125" s="591">
        <v>0</v>
      </c>
      <c r="D125" s="592">
        <v>0</v>
      </c>
      <c r="E125" s="593">
        <v>1</v>
      </c>
      <c r="F125" s="591">
        <v>0</v>
      </c>
      <c r="G125" s="592">
        <v>0</v>
      </c>
      <c r="H125" s="594">
        <v>0</v>
      </c>
      <c r="I125" s="591">
        <v>18.149999999999999</v>
      </c>
      <c r="J125" s="592">
        <v>18.149999999999999</v>
      </c>
      <c r="K125" s="602" t="s">
        <v>313</v>
      </c>
    </row>
    <row r="126" spans="1:11" ht="14.4" customHeight="1" thickBot="1" x14ac:dyDescent="0.35">
      <c r="A126" s="610" t="s">
        <v>41</v>
      </c>
      <c r="B126" s="591">
        <v>40706.998777704997</v>
      </c>
      <c r="C126" s="591">
        <v>46094.253929999999</v>
      </c>
      <c r="D126" s="592">
        <v>5387.2551522949798</v>
      </c>
      <c r="E126" s="593">
        <v>1.1323422338669999</v>
      </c>
      <c r="F126" s="591">
        <v>45907.004144460698</v>
      </c>
      <c r="G126" s="592">
        <v>45907.004144460698</v>
      </c>
      <c r="H126" s="594">
        <v>4639.0455100000199</v>
      </c>
      <c r="I126" s="591">
        <v>48915.815770000001</v>
      </c>
      <c r="J126" s="592">
        <v>3008.8116255393102</v>
      </c>
      <c r="K126" s="595">
        <v>1.06554145019</v>
      </c>
    </row>
    <row r="127" spans="1:11" ht="14.4" customHeight="1" thickBot="1" x14ac:dyDescent="0.35">
      <c r="A127" s="616" t="s">
        <v>420</v>
      </c>
      <c r="B127" s="596">
        <v>30208.999092838301</v>
      </c>
      <c r="C127" s="596">
        <v>34282.629999999997</v>
      </c>
      <c r="D127" s="597">
        <v>4073.6309071617202</v>
      </c>
      <c r="E127" s="603">
        <v>1.1348482581179999</v>
      </c>
      <c r="F127" s="596">
        <v>33949.003064898498</v>
      </c>
      <c r="G127" s="597">
        <v>33949.003064898498</v>
      </c>
      <c r="H127" s="599">
        <v>3482.5240000000199</v>
      </c>
      <c r="I127" s="596">
        <v>36215.442000000003</v>
      </c>
      <c r="J127" s="597">
        <v>2266.4389351014902</v>
      </c>
      <c r="K127" s="604">
        <v>1.066760102815</v>
      </c>
    </row>
    <row r="128" spans="1:11" ht="14.4" customHeight="1" thickBot="1" x14ac:dyDescent="0.35">
      <c r="A128" s="612" t="s">
        <v>421</v>
      </c>
      <c r="B128" s="596">
        <v>29999.9990994213</v>
      </c>
      <c r="C128" s="596">
        <v>33838.754000000001</v>
      </c>
      <c r="D128" s="597">
        <v>3838.75490057872</v>
      </c>
      <c r="E128" s="603">
        <v>1.1279585005270001</v>
      </c>
      <c r="F128" s="596">
        <v>33685.003041064701</v>
      </c>
      <c r="G128" s="597">
        <v>33685.003041064701</v>
      </c>
      <c r="H128" s="599">
        <v>3462.1330000000198</v>
      </c>
      <c r="I128" s="596">
        <v>35985.260999999999</v>
      </c>
      <c r="J128" s="597">
        <v>2300.2579589352899</v>
      </c>
      <c r="K128" s="604">
        <v>1.068287301507</v>
      </c>
    </row>
    <row r="129" spans="1:11" ht="14.4" customHeight="1" thickBot="1" x14ac:dyDescent="0.35">
      <c r="A129" s="613" t="s">
        <v>422</v>
      </c>
      <c r="B129" s="591">
        <v>29999.9990994213</v>
      </c>
      <c r="C129" s="591">
        <v>33838.754000000001</v>
      </c>
      <c r="D129" s="592">
        <v>3838.75490057872</v>
      </c>
      <c r="E129" s="593">
        <v>1.1279585005270001</v>
      </c>
      <c r="F129" s="591">
        <v>33685.003041064701</v>
      </c>
      <c r="G129" s="592">
        <v>33685.003041064701</v>
      </c>
      <c r="H129" s="594">
        <v>3462.1330000000198</v>
      </c>
      <c r="I129" s="591">
        <v>35985.260999999999</v>
      </c>
      <c r="J129" s="592">
        <v>2300.2579589352899</v>
      </c>
      <c r="K129" s="595">
        <v>1.068287301507</v>
      </c>
    </row>
    <row r="130" spans="1:11" ht="14.4" customHeight="1" thickBot="1" x14ac:dyDescent="0.35">
      <c r="A130" s="612" t="s">
        <v>423</v>
      </c>
      <c r="B130" s="596">
        <v>114.999996377779</v>
      </c>
      <c r="C130" s="596">
        <v>343.18</v>
      </c>
      <c r="D130" s="597">
        <v>228.18000362222099</v>
      </c>
      <c r="E130" s="603">
        <v>2.9841740070370002</v>
      </c>
      <c r="F130" s="596">
        <v>168.000015166955</v>
      </c>
      <c r="G130" s="597">
        <v>168.000015166955</v>
      </c>
      <c r="H130" s="599">
        <v>8.625</v>
      </c>
      <c r="I130" s="596">
        <v>147.69</v>
      </c>
      <c r="J130" s="597">
        <v>-20.310015166953999</v>
      </c>
      <c r="K130" s="604">
        <v>0.87910706349099998</v>
      </c>
    </row>
    <row r="131" spans="1:11" ht="14.4" customHeight="1" thickBot="1" x14ac:dyDescent="0.35">
      <c r="A131" s="613" t="s">
        <v>424</v>
      </c>
      <c r="B131" s="591">
        <v>114.999996377779</v>
      </c>
      <c r="C131" s="591">
        <v>343.18</v>
      </c>
      <c r="D131" s="592">
        <v>228.18000362222099</v>
      </c>
      <c r="E131" s="593">
        <v>2.9841740070370002</v>
      </c>
      <c r="F131" s="591">
        <v>168.000015166955</v>
      </c>
      <c r="G131" s="592">
        <v>168.000015166955</v>
      </c>
      <c r="H131" s="594">
        <v>8.625</v>
      </c>
      <c r="I131" s="591">
        <v>147.69</v>
      </c>
      <c r="J131" s="592">
        <v>-20.310015166953999</v>
      </c>
      <c r="K131" s="595">
        <v>0.87910706349099998</v>
      </c>
    </row>
    <row r="132" spans="1:11" ht="14.4" customHeight="1" thickBot="1" x14ac:dyDescent="0.35">
      <c r="A132" s="612" t="s">
        <v>425</v>
      </c>
      <c r="B132" s="596">
        <v>93.999997039226997</v>
      </c>
      <c r="C132" s="596">
        <v>100.696</v>
      </c>
      <c r="D132" s="597">
        <v>6.6960029607719997</v>
      </c>
      <c r="E132" s="603">
        <v>1.071234076294</v>
      </c>
      <c r="F132" s="596">
        <v>96.000008666830993</v>
      </c>
      <c r="G132" s="597">
        <v>96.000008666830993</v>
      </c>
      <c r="H132" s="599">
        <v>11.766</v>
      </c>
      <c r="I132" s="596">
        <v>82.491</v>
      </c>
      <c r="J132" s="597">
        <v>-13.509008666831001</v>
      </c>
      <c r="K132" s="604">
        <v>0.85928117242400004</v>
      </c>
    </row>
    <row r="133" spans="1:11" ht="14.4" customHeight="1" thickBot="1" x14ac:dyDescent="0.35">
      <c r="A133" s="613" t="s">
        <v>426</v>
      </c>
      <c r="B133" s="591">
        <v>93.999997039226997</v>
      </c>
      <c r="C133" s="591">
        <v>100.696</v>
      </c>
      <c r="D133" s="592">
        <v>6.6960029607719997</v>
      </c>
      <c r="E133" s="593">
        <v>1.071234076294</v>
      </c>
      <c r="F133" s="591">
        <v>96.000008666830993</v>
      </c>
      <c r="G133" s="592">
        <v>96.000008666830993</v>
      </c>
      <c r="H133" s="594">
        <v>11.766</v>
      </c>
      <c r="I133" s="591">
        <v>82.491</v>
      </c>
      <c r="J133" s="592">
        <v>-13.509008666831001</v>
      </c>
      <c r="K133" s="595">
        <v>0.85928117242400004</v>
      </c>
    </row>
    <row r="134" spans="1:11" ht="14.4" customHeight="1" thickBot="1" x14ac:dyDescent="0.35">
      <c r="A134" s="611" t="s">
        <v>427</v>
      </c>
      <c r="B134" s="591">
        <v>10198.9996938436</v>
      </c>
      <c r="C134" s="591">
        <v>11472.22667</v>
      </c>
      <c r="D134" s="592">
        <v>1273.2269761564501</v>
      </c>
      <c r="E134" s="593">
        <v>1.1248384169400001</v>
      </c>
      <c r="F134" s="591">
        <v>11453.001033971001</v>
      </c>
      <c r="G134" s="592">
        <v>11453.001033971001</v>
      </c>
      <c r="H134" s="594">
        <v>1104.41146000001</v>
      </c>
      <c r="I134" s="591">
        <v>12159.36045</v>
      </c>
      <c r="J134" s="592">
        <v>706.35941602896696</v>
      </c>
      <c r="K134" s="595">
        <v>1.0616746138349999</v>
      </c>
    </row>
    <row r="135" spans="1:11" ht="14.4" customHeight="1" thickBot="1" x14ac:dyDescent="0.35">
      <c r="A135" s="612" t="s">
        <v>428</v>
      </c>
      <c r="B135" s="596">
        <v>2698.9999189882301</v>
      </c>
      <c r="C135" s="596">
        <v>3055.6196399999999</v>
      </c>
      <c r="D135" s="597">
        <v>356.61972101176701</v>
      </c>
      <c r="E135" s="603">
        <v>1.132130319272</v>
      </c>
      <c r="F135" s="596">
        <v>3032.0002737274199</v>
      </c>
      <c r="G135" s="597">
        <v>3032.0002737274199</v>
      </c>
      <c r="H135" s="599">
        <v>312.36696000000097</v>
      </c>
      <c r="I135" s="596">
        <v>3244.3694700000001</v>
      </c>
      <c r="J135" s="597">
        <v>212.36919627257799</v>
      </c>
      <c r="K135" s="604">
        <v>1.0700426045839999</v>
      </c>
    </row>
    <row r="136" spans="1:11" ht="14.4" customHeight="1" thickBot="1" x14ac:dyDescent="0.35">
      <c r="A136" s="613" t="s">
        <v>429</v>
      </c>
      <c r="B136" s="591">
        <v>2698.9999189882301</v>
      </c>
      <c r="C136" s="591">
        <v>3055.6196399999999</v>
      </c>
      <c r="D136" s="592">
        <v>356.61972101176701</v>
      </c>
      <c r="E136" s="593">
        <v>1.132130319272</v>
      </c>
      <c r="F136" s="591">
        <v>3032.0002737274199</v>
      </c>
      <c r="G136" s="592">
        <v>3032.0002737274199</v>
      </c>
      <c r="H136" s="594">
        <v>312.36696000000097</v>
      </c>
      <c r="I136" s="591">
        <v>3244.3694700000001</v>
      </c>
      <c r="J136" s="592">
        <v>212.36919627257799</v>
      </c>
      <c r="K136" s="595">
        <v>1.0700426045839999</v>
      </c>
    </row>
    <row r="137" spans="1:11" ht="14.4" customHeight="1" thickBot="1" x14ac:dyDescent="0.35">
      <c r="A137" s="612" t="s">
        <v>430</v>
      </c>
      <c r="B137" s="596">
        <v>7499.9997748553196</v>
      </c>
      <c r="C137" s="596">
        <v>8416.6070299999992</v>
      </c>
      <c r="D137" s="597">
        <v>916.60725514468004</v>
      </c>
      <c r="E137" s="603">
        <v>1.122214304354</v>
      </c>
      <c r="F137" s="596">
        <v>8421.0007602436108</v>
      </c>
      <c r="G137" s="597">
        <v>8421.0007602436108</v>
      </c>
      <c r="H137" s="599">
        <v>792.04450000000395</v>
      </c>
      <c r="I137" s="596">
        <v>8914.9909800000005</v>
      </c>
      <c r="J137" s="597">
        <v>493.99021975639198</v>
      </c>
      <c r="K137" s="604">
        <v>1.058661699935</v>
      </c>
    </row>
    <row r="138" spans="1:11" ht="14.4" customHeight="1" thickBot="1" x14ac:dyDescent="0.35">
      <c r="A138" s="613" t="s">
        <v>431</v>
      </c>
      <c r="B138" s="591">
        <v>7499.9997748553196</v>
      </c>
      <c r="C138" s="591">
        <v>8416.6070299999992</v>
      </c>
      <c r="D138" s="592">
        <v>916.60725514468004</v>
      </c>
      <c r="E138" s="593">
        <v>1.122214304354</v>
      </c>
      <c r="F138" s="591">
        <v>8421.0007602436108</v>
      </c>
      <c r="G138" s="592">
        <v>8421.0007602436108</v>
      </c>
      <c r="H138" s="594">
        <v>792.04450000000395</v>
      </c>
      <c r="I138" s="591">
        <v>8914.9909800000005</v>
      </c>
      <c r="J138" s="592">
        <v>493.99021975639198</v>
      </c>
      <c r="K138" s="595">
        <v>1.058661699935</v>
      </c>
    </row>
    <row r="139" spans="1:11" ht="14.4" customHeight="1" thickBot="1" x14ac:dyDescent="0.35">
      <c r="A139" s="611" t="s">
        <v>432</v>
      </c>
      <c r="B139" s="591">
        <v>298.999991023191</v>
      </c>
      <c r="C139" s="591">
        <v>339.39726000000002</v>
      </c>
      <c r="D139" s="592">
        <v>40.397268976809002</v>
      </c>
      <c r="E139" s="593">
        <v>1.135107927055</v>
      </c>
      <c r="F139" s="591">
        <v>505.00004559114399</v>
      </c>
      <c r="G139" s="592">
        <v>505.00004559114399</v>
      </c>
      <c r="H139" s="594">
        <v>52.110050000000001</v>
      </c>
      <c r="I139" s="591">
        <v>541.01332000000002</v>
      </c>
      <c r="J139" s="592">
        <v>36.013274408855999</v>
      </c>
      <c r="K139" s="595">
        <v>1.0713134082319999</v>
      </c>
    </row>
    <row r="140" spans="1:11" ht="14.4" customHeight="1" thickBot="1" x14ac:dyDescent="0.35">
      <c r="A140" s="612" t="s">
        <v>433</v>
      </c>
      <c r="B140" s="596">
        <v>298.999991023191</v>
      </c>
      <c r="C140" s="596">
        <v>339.39726000000002</v>
      </c>
      <c r="D140" s="597">
        <v>40.397268976809002</v>
      </c>
      <c r="E140" s="603">
        <v>1.135107927055</v>
      </c>
      <c r="F140" s="596">
        <v>505.00004559114399</v>
      </c>
      <c r="G140" s="597">
        <v>505.00004559114399</v>
      </c>
      <c r="H140" s="599">
        <v>52.110050000000001</v>
      </c>
      <c r="I140" s="596">
        <v>541.01332000000002</v>
      </c>
      <c r="J140" s="597">
        <v>36.013274408855999</v>
      </c>
      <c r="K140" s="604">
        <v>1.0713134082319999</v>
      </c>
    </row>
    <row r="141" spans="1:11" ht="14.4" customHeight="1" thickBot="1" x14ac:dyDescent="0.35">
      <c r="A141" s="613" t="s">
        <v>434</v>
      </c>
      <c r="B141" s="591">
        <v>298.999991023191</v>
      </c>
      <c r="C141" s="591">
        <v>339.39726000000002</v>
      </c>
      <c r="D141" s="592">
        <v>40.397268976809002</v>
      </c>
      <c r="E141" s="593">
        <v>1.135107927055</v>
      </c>
      <c r="F141" s="591">
        <v>505.00004559114399</v>
      </c>
      <c r="G141" s="592">
        <v>505.00004559114399</v>
      </c>
      <c r="H141" s="594">
        <v>52.110050000000001</v>
      </c>
      <c r="I141" s="591">
        <v>541.01332000000002</v>
      </c>
      <c r="J141" s="592">
        <v>36.013274408855999</v>
      </c>
      <c r="K141" s="595">
        <v>1.0713134082319999</v>
      </c>
    </row>
    <row r="142" spans="1:11" ht="14.4" customHeight="1" thickBot="1" x14ac:dyDescent="0.35">
      <c r="A142" s="610" t="s">
        <v>435</v>
      </c>
      <c r="B142" s="591">
        <v>0</v>
      </c>
      <c r="C142" s="591">
        <v>71.620050000000006</v>
      </c>
      <c r="D142" s="592">
        <v>71.620050000000006</v>
      </c>
      <c r="E142" s="601" t="s">
        <v>302</v>
      </c>
      <c r="F142" s="591">
        <v>0</v>
      </c>
      <c r="G142" s="592">
        <v>0</v>
      </c>
      <c r="H142" s="594">
        <v>4.609</v>
      </c>
      <c r="I142" s="591">
        <v>67.992900000000006</v>
      </c>
      <c r="J142" s="592">
        <v>67.992900000000006</v>
      </c>
      <c r="K142" s="602" t="s">
        <v>302</v>
      </c>
    </row>
    <row r="143" spans="1:11" ht="14.4" customHeight="1" thickBot="1" x14ac:dyDescent="0.35">
      <c r="A143" s="611" t="s">
        <v>436</v>
      </c>
      <c r="B143" s="591">
        <v>0</v>
      </c>
      <c r="C143" s="591">
        <v>71.620050000000006</v>
      </c>
      <c r="D143" s="592">
        <v>71.620050000000006</v>
      </c>
      <c r="E143" s="601" t="s">
        <v>302</v>
      </c>
      <c r="F143" s="591">
        <v>0</v>
      </c>
      <c r="G143" s="592">
        <v>0</v>
      </c>
      <c r="H143" s="594">
        <v>4.609</v>
      </c>
      <c r="I143" s="591">
        <v>67.992900000000006</v>
      </c>
      <c r="J143" s="592">
        <v>67.992900000000006</v>
      </c>
      <c r="K143" s="602" t="s">
        <v>302</v>
      </c>
    </row>
    <row r="144" spans="1:11" ht="14.4" customHeight="1" thickBot="1" x14ac:dyDescent="0.35">
      <c r="A144" s="612" t="s">
        <v>437</v>
      </c>
      <c r="B144" s="596">
        <v>0</v>
      </c>
      <c r="C144" s="596">
        <v>63.320050000000002</v>
      </c>
      <c r="D144" s="597">
        <v>63.320050000000002</v>
      </c>
      <c r="E144" s="598" t="s">
        <v>302</v>
      </c>
      <c r="F144" s="596">
        <v>0</v>
      </c>
      <c r="G144" s="597">
        <v>0</v>
      </c>
      <c r="H144" s="599">
        <v>3.609</v>
      </c>
      <c r="I144" s="596">
        <v>59.8249</v>
      </c>
      <c r="J144" s="597">
        <v>59.8249</v>
      </c>
      <c r="K144" s="600" t="s">
        <v>302</v>
      </c>
    </row>
    <row r="145" spans="1:11" ht="14.4" customHeight="1" thickBot="1" x14ac:dyDescent="0.35">
      <c r="A145" s="613" t="s">
        <v>438</v>
      </c>
      <c r="B145" s="591">
        <v>0</v>
      </c>
      <c r="C145" s="591">
        <v>3.0710500000000001</v>
      </c>
      <c r="D145" s="592">
        <v>3.0710500000000001</v>
      </c>
      <c r="E145" s="601" t="s">
        <v>302</v>
      </c>
      <c r="F145" s="591">
        <v>0</v>
      </c>
      <c r="G145" s="592">
        <v>0</v>
      </c>
      <c r="H145" s="594">
        <v>0</v>
      </c>
      <c r="I145" s="591">
        <v>4.0378999999999996</v>
      </c>
      <c r="J145" s="592">
        <v>4.0378999999999996</v>
      </c>
      <c r="K145" s="602" t="s">
        <v>302</v>
      </c>
    </row>
    <row r="146" spans="1:11" ht="14.4" customHeight="1" thickBot="1" x14ac:dyDescent="0.35">
      <c r="A146" s="613" t="s">
        <v>439</v>
      </c>
      <c r="B146" s="591">
        <v>0</v>
      </c>
      <c r="C146" s="591">
        <v>25.24</v>
      </c>
      <c r="D146" s="592">
        <v>25.24</v>
      </c>
      <c r="E146" s="601" t="s">
        <v>302</v>
      </c>
      <c r="F146" s="591">
        <v>0</v>
      </c>
      <c r="G146" s="592">
        <v>0</v>
      </c>
      <c r="H146" s="594">
        <v>1.9590000000000001</v>
      </c>
      <c r="I146" s="591">
        <v>4.9589999999999996</v>
      </c>
      <c r="J146" s="592">
        <v>4.9589999999999996</v>
      </c>
      <c r="K146" s="602" t="s">
        <v>302</v>
      </c>
    </row>
    <row r="147" spans="1:11" ht="14.4" customHeight="1" thickBot="1" x14ac:dyDescent="0.35">
      <c r="A147" s="613" t="s">
        <v>440</v>
      </c>
      <c r="B147" s="591">
        <v>0</v>
      </c>
      <c r="C147" s="591">
        <v>35.009</v>
      </c>
      <c r="D147" s="592">
        <v>35.009</v>
      </c>
      <c r="E147" s="601" t="s">
        <v>302</v>
      </c>
      <c r="F147" s="591">
        <v>0</v>
      </c>
      <c r="G147" s="592">
        <v>0</v>
      </c>
      <c r="H147" s="594">
        <v>1.65</v>
      </c>
      <c r="I147" s="591">
        <v>49.628</v>
      </c>
      <c r="J147" s="592">
        <v>49.628</v>
      </c>
      <c r="K147" s="602" t="s">
        <v>302</v>
      </c>
    </row>
    <row r="148" spans="1:11" ht="14.4" customHeight="1" thickBot="1" x14ac:dyDescent="0.35">
      <c r="A148" s="613" t="s">
        <v>441</v>
      </c>
      <c r="B148" s="591">
        <v>0</v>
      </c>
      <c r="C148" s="591">
        <v>0</v>
      </c>
      <c r="D148" s="592">
        <v>0</v>
      </c>
      <c r="E148" s="593">
        <v>1</v>
      </c>
      <c r="F148" s="591">
        <v>0</v>
      </c>
      <c r="G148" s="592">
        <v>0</v>
      </c>
      <c r="H148" s="594">
        <v>0</v>
      </c>
      <c r="I148" s="591">
        <v>1.2</v>
      </c>
      <c r="J148" s="592">
        <v>1.2</v>
      </c>
      <c r="K148" s="602" t="s">
        <v>313</v>
      </c>
    </row>
    <row r="149" spans="1:11" ht="14.4" customHeight="1" thickBot="1" x14ac:dyDescent="0.35">
      <c r="A149" s="615" t="s">
        <v>442</v>
      </c>
      <c r="B149" s="591">
        <v>0</v>
      </c>
      <c r="C149" s="591">
        <v>0</v>
      </c>
      <c r="D149" s="592">
        <v>0</v>
      </c>
      <c r="E149" s="593">
        <v>1</v>
      </c>
      <c r="F149" s="591">
        <v>0</v>
      </c>
      <c r="G149" s="592">
        <v>0</v>
      </c>
      <c r="H149" s="594">
        <v>0</v>
      </c>
      <c r="I149" s="591">
        <v>5.3680000000000003</v>
      </c>
      <c r="J149" s="592">
        <v>5.3680000000000003</v>
      </c>
      <c r="K149" s="602" t="s">
        <v>313</v>
      </c>
    </row>
    <row r="150" spans="1:11" ht="14.4" customHeight="1" thickBot="1" x14ac:dyDescent="0.35">
      <c r="A150" s="613" t="s">
        <v>443</v>
      </c>
      <c r="B150" s="591">
        <v>0</v>
      </c>
      <c r="C150" s="591">
        <v>0</v>
      </c>
      <c r="D150" s="592">
        <v>0</v>
      </c>
      <c r="E150" s="593">
        <v>1</v>
      </c>
      <c r="F150" s="591">
        <v>0</v>
      </c>
      <c r="G150" s="592">
        <v>0</v>
      </c>
      <c r="H150" s="594">
        <v>0</v>
      </c>
      <c r="I150" s="591">
        <v>5.3680000000000003</v>
      </c>
      <c r="J150" s="592">
        <v>5.3680000000000003</v>
      </c>
      <c r="K150" s="602" t="s">
        <v>313</v>
      </c>
    </row>
    <row r="151" spans="1:11" ht="14.4" customHeight="1" thickBot="1" x14ac:dyDescent="0.35">
      <c r="A151" s="615" t="s">
        <v>444</v>
      </c>
      <c r="B151" s="591">
        <v>0</v>
      </c>
      <c r="C151" s="591">
        <v>8.3000000000000007</v>
      </c>
      <c r="D151" s="592">
        <v>8.3000000000000007</v>
      </c>
      <c r="E151" s="601" t="s">
        <v>302</v>
      </c>
      <c r="F151" s="591">
        <v>0</v>
      </c>
      <c r="G151" s="592">
        <v>0</v>
      </c>
      <c r="H151" s="594">
        <v>0</v>
      </c>
      <c r="I151" s="591">
        <v>1.8</v>
      </c>
      <c r="J151" s="592">
        <v>1.8</v>
      </c>
      <c r="K151" s="602" t="s">
        <v>302</v>
      </c>
    </row>
    <row r="152" spans="1:11" ht="14.4" customHeight="1" thickBot="1" x14ac:dyDescent="0.35">
      <c r="A152" s="613" t="s">
        <v>445</v>
      </c>
      <c r="B152" s="591">
        <v>0</v>
      </c>
      <c r="C152" s="591">
        <v>8.3000000000000007</v>
      </c>
      <c r="D152" s="592">
        <v>8.3000000000000007</v>
      </c>
      <c r="E152" s="601" t="s">
        <v>302</v>
      </c>
      <c r="F152" s="591">
        <v>0</v>
      </c>
      <c r="G152" s="592">
        <v>0</v>
      </c>
      <c r="H152" s="594">
        <v>0</v>
      </c>
      <c r="I152" s="591">
        <v>1.8</v>
      </c>
      <c r="J152" s="592">
        <v>1.8</v>
      </c>
      <c r="K152" s="602" t="s">
        <v>302</v>
      </c>
    </row>
    <row r="153" spans="1:11" ht="14.4" customHeight="1" thickBot="1" x14ac:dyDescent="0.35">
      <c r="A153" s="615" t="s">
        <v>446</v>
      </c>
      <c r="B153" s="591">
        <v>0</v>
      </c>
      <c r="C153" s="591">
        <v>0</v>
      </c>
      <c r="D153" s="592">
        <v>0</v>
      </c>
      <c r="E153" s="593">
        <v>1</v>
      </c>
      <c r="F153" s="591">
        <v>0</v>
      </c>
      <c r="G153" s="592">
        <v>0</v>
      </c>
      <c r="H153" s="594">
        <v>1</v>
      </c>
      <c r="I153" s="591">
        <v>1</v>
      </c>
      <c r="J153" s="592">
        <v>1</v>
      </c>
      <c r="K153" s="602" t="s">
        <v>313</v>
      </c>
    </row>
    <row r="154" spans="1:11" ht="14.4" customHeight="1" thickBot="1" x14ac:dyDescent="0.35">
      <c r="A154" s="613" t="s">
        <v>447</v>
      </c>
      <c r="B154" s="591">
        <v>0</v>
      </c>
      <c r="C154" s="591">
        <v>0</v>
      </c>
      <c r="D154" s="592">
        <v>0</v>
      </c>
      <c r="E154" s="593">
        <v>1</v>
      </c>
      <c r="F154" s="591">
        <v>0</v>
      </c>
      <c r="G154" s="592">
        <v>0</v>
      </c>
      <c r="H154" s="594">
        <v>1</v>
      </c>
      <c r="I154" s="591">
        <v>1</v>
      </c>
      <c r="J154" s="592">
        <v>1</v>
      </c>
      <c r="K154" s="602" t="s">
        <v>313</v>
      </c>
    </row>
    <row r="155" spans="1:11" ht="14.4" customHeight="1" thickBot="1" x14ac:dyDescent="0.35">
      <c r="A155" s="610" t="s">
        <v>448</v>
      </c>
      <c r="B155" s="591">
        <v>2980.0003911916201</v>
      </c>
      <c r="C155" s="591">
        <v>3359.03087</v>
      </c>
      <c r="D155" s="592">
        <v>379.03047880838102</v>
      </c>
      <c r="E155" s="593">
        <v>1.1271914191450001</v>
      </c>
      <c r="F155" s="591">
        <v>3176.8380956743699</v>
      </c>
      <c r="G155" s="592">
        <v>3176.8380956743699</v>
      </c>
      <c r="H155" s="594">
        <v>253.95000000000101</v>
      </c>
      <c r="I155" s="591">
        <v>3567.11607</v>
      </c>
      <c r="J155" s="592">
        <v>390.27797432562699</v>
      </c>
      <c r="K155" s="595">
        <v>1.1228510747389999</v>
      </c>
    </row>
    <row r="156" spans="1:11" ht="14.4" customHeight="1" thickBot="1" x14ac:dyDescent="0.35">
      <c r="A156" s="611" t="s">
        <v>449</v>
      </c>
      <c r="B156" s="591">
        <v>2610.0003911916201</v>
      </c>
      <c r="C156" s="591">
        <v>2710.652</v>
      </c>
      <c r="D156" s="592">
        <v>100.651608808381</v>
      </c>
      <c r="E156" s="593">
        <v>1.0385638290120001</v>
      </c>
      <c r="F156" s="591">
        <v>3059.0070640252802</v>
      </c>
      <c r="G156" s="592">
        <v>3059.0070640252802</v>
      </c>
      <c r="H156" s="594">
        <v>242.870000000001</v>
      </c>
      <c r="I156" s="591">
        <v>3063.0540000000001</v>
      </c>
      <c r="J156" s="592">
        <v>4.0469359747190001</v>
      </c>
      <c r="K156" s="595">
        <v>1.0013229573810001</v>
      </c>
    </row>
    <row r="157" spans="1:11" ht="14.4" customHeight="1" thickBot="1" x14ac:dyDescent="0.35">
      <c r="A157" s="612" t="s">
        <v>450</v>
      </c>
      <c r="B157" s="596">
        <v>2610.0003911916201</v>
      </c>
      <c r="C157" s="596">
        <v>2710.652</v>
      </c>
      <c r="D157" s="597">
        <v>100.651608808381</v>
      </c>
      <c r="E157" s="603">
        <v>1.0385638290120001</v>
      </c>
      <c r="F157" s="596">
        <v>3059.0070640252802</v>
      </c>
      <c r="G157" s="597">
        <v>3059.0070640252802</v>
      </c>
      <c r="H157" s="599">
        <v>242.870000000001</v>
      </c>
      <c r="I157" s="596">
        <v>3063.0540000000001</v>
      </c>
      <c r="J157" s="597">
        <v>4.0469359747190001</v>
      </c>
      <c r="K157" s="604">
        <v>1.0013229573810001</v>
      </c>
    </row>
    <row r="158" spans="1:11" ht="14.4" customHeight="1" thickBot="1" x14ac:dyDescent="0.35">
      <c r="A158" s="613" t="s">
        <v>451</v>
      </c>
      <c r="B158" s="591">
        <v>112.99999644077199</v>
      </c>
      <c r="C158" s="591">
        <v>112.69499999999999</v>
      </c>
      <c r="D158" s="592">
        <v>-0.30499644077100002</v>
      </c>
      <c r="E158" s="593">
        <v>0.997300916368</v>
      </c>
      <c r="F158" s="591">
        <v>113.000260946341</v>
      </c>
      <c r="G158" s="592">
        <v>113.000260946341</v>
      </c>
      <c r="H158" s="594">
        <v>9.5380000000000003</v>
      </c>
      <c r="I158" s="591">
        <v>113.98699999999999</v>
      </c>
      <c r="J158" s="592">
        <v>0.98673905365900005</v>
      </c>
      <c r="K158" s="595">
        <v>1.008732183849</v>
      </c>
    </row>
    <row r="159" spans="1:11" ht="14.4" customHeight="1" thickBot="1" x14ac:dyDescent="0.35">
      <c r="A159" s="613" t="s">
        <v>452</v>
      </c>
      <c r="B159" s="591">
        <v>2019.99993637486</v>
      </c>
      <c r="C159" s="591">
        <v>2095.549</v>
      </c>
      <c r="D159" s="592">
        <v>75.549063625141997</v>
      </c>
      <c r="E159" s="593">
        <v>1.037400527725</v>
      </c>
      <c r="F159" s="591">
        <v>2236.0051635045902</v>
      </c>
      <c r="G159" s="592">
        <v>2236.0051635045902</v>
      </c>
      <c r="H159" s="594">
        <v>174.061000000001</v>
      </c>
      <c r="I159" s="591">
        <v>2237.8220000000001</v>
      </c>
      <c r="J159" s="592">
        <v>1.8168364954139999</v>
      </c>
      <c r="K159" s="595">
        <v>1.0008125368059999</v>
      </c>
    </row>
    <row r="160" spans="1:11" ht="14.4" customHeight="1" thickBot="1" x14ac:dyDescent="0.35">
      <c r="A160" s="613" t="s">
        <v>453</v>
      </c>
      <c r="B160" s="591">
        <v>61.000508432537998</v>
      </c>
      <c r="C160" s="591">
        <v>61.289000000000001</v>
      </c>
      <c r="D160" s="592">
        <v>0.28849156746100002</v>
      </c>
      <c r="E160" s="593">
        <v>1.0047293305389999</v>
      </c>
      <c r="F160" s="591">
        <v>61.000140864838002</v>
      </c>
      <c r="G160" s="592">
        <v>61.000140864838002</v>
      </c>
      <c r="H160" s="594">
        <v>5.1070000000000002</v>
      </c>
      <c r="I160" s="591">
        <v>61.283999999999999</v>
      </c>
      <c r="J160" s="592">
        <v>0.28385913516099998</v>
      </c>
      <c r="K160" s="595">
        <v>1.0046534176990001</v>
      </c>
    </row>
    <row r="161" spans="1:11" ht="14.4" customHeight="1" thickBot="1" x14ac:dyDescent="0.35">
      <c r="A161" s="613" t="s">
        <v>454</v>
      </c>
      <c r="B161" s="591">
        <v>2.999962951958</v>
      </c>
      <c r="C161" s="591">
        <v>3.3</v>
      </c>
      <c r="D161" s="592">
        <v>0.30003704804100001</v>
      </c>
      <c r="E161" s="593">
        <v>1.100013584449</v>
      </c>
      <c r="F161" s="591">
        <v>3.0000069277780002</v>
      </c>
      <c r="G161" s="592">
        <v>3.0000069277780002</v>
      </c>
      <c r="H161" s="594">
        <v>0.27600000000000002</v>
      </c>
      <c r="I161" s="591">
        <v>3.3050000000000002</v>
      </c>
      <c r="J161" s="592">
        <v>0.30499307222099997</v>
      </c>
      <c r="K161" s="595">
        <v>1.101664122638</v>
      </c>
    </row>
    <row r="162" spans="1:11" ht="14.4" customHeight="1" thickBot="1" x14ac:dyDescent="0.35">
      <c r="A162" s="613" t="s">
        <v>455</v>
      </c>
      <c r="B162" s="591">
        <v>412.99998699149302</v>
      </c>
      <c r="C162" s="591">
        <v>437.81900000000002</v>
      </c>
      <c r="D162" s="592">
        <v>24.819013008507</v>
      </c>
      <c r="E162" s="593">
        <v>1.0600944643829999</v>
      </c>
      <c r="F162" s="591">
        <v>646.00149178173604</v>
      </c>
      <c r="G162" s="592">
        <v>646.00149178173604</v>
      </c>
      <c r="H162" s="594">
        <v>53.887999999999998</v>
      </c>
      <c r="I162" s="591">
        <v>646.65599999999995</v>
      </c>
      <c r="J162" s="592">
        <v>0.65450821826299999</v>
      </c>
      <c r="K162" s="595">
        <v>1.001013168276</v>
      </c>
    </row>
    <row r="163" spans="1:11" ht="14.4" customHeight="1" thickBot="1" x14ac:dyDescent="0.35">
      <c r="A163" s="611" t="s">
        <v>456</v>
      </c>
      <c r="B163" s="591">
        <v>370</v>
      </c>
      <c r="C163" s="591">
        <v>648.37887000000001</v>
      </c>
      <c r="D163" s="592">
        <v>278.37887000000001</v>
      </c>
      <c r="E163" s="593">
        <v>1.7523753243239999</v>
      </c>
      <c r="F163" s="591">
        <v>117.83103164909301</v>
      </c>
      <c r="G163" s="592">
        <v>117.83103164909301</v>
      </c>
      <c r="H163" s="594">
        <v>11.08</v>
      </c>
      <c r="I163" s="591">
        <v>504.06207000000001</v>
      </c>
      <c r="J163" s="592">
        <v>386.23103835090802</v>
      </c>
      <c r="K163" s="595">
        <v>4.2778380444049997</v>
      </c>
    </row>
    <row r="164" spans="1:11" ht="14.4" customHeight="1" thickBot="1" x14ac:dyDescent="0.35">
      <c r="A164" s="612" t="s">
        <v>457</v>
      </c>
      <c r="B164" s="596">
        <v>370</v>
      </c>
      <c r="C164" s="596">
        <v>491.34156999999999</v>
      </c>
      <c r="D164" s="597">
        <v>121.34157</v>
      </c>
      <c r="E164" s="603">
        <v>1.327950189189</v>
      </c>
      <c r="F164" s="596">
        <v>42</v>
      </c>
      <c r="G164" s="597">
        <v>42</v>
      </c>
      <c r="H164" s="599">
        <v>6.88</v>
      </c>
      <c r="I164" s="596">
        <v>244.0608</v>
      </c>
      <c r="J164" s="597">
        <v>202.0608</v>
      </c>
      <c r="K164" s="604">
        <v>5.8109714285710004</v>
      </c>
    </row>
    <row r="165" spans="1:11" ht="14.4" customHeight="1" thickBot="1" x14ac:dyDescent="0.35">
      <c r="A165" s="613" t="s">
        <v>458</v>
      </c>
      <c r="B165" s="591">
        <v>370</v>
      </c>
      <c r="C165" s="591">
        <v>471.06117</v>
      </c>
      <c r="D165" s="592">
        <v>101.06117</v>
      </c>
      <c r="E165" s="593">
        <v>1.273138297297</v>
      </c>
      <c r="F165" s="591">
        <v>42</v>
      </c>
      <c r="G165" s="592">
        <v>42</v>
      </c>
      <c r="H165" s="594">
        <v>6.88</v>
      </c>
      <c r="I165" s="591">
        <v>235.85145</v>
      </c>
      <c r="J165" s="592">
        <v>193.85145</v>
      </c>
      <c r="K165" s="595">
        <v>5.6155107142849996</v>
      </c>
    </row>
    <row r="166" spans="1:11" ht="14.4" customHeight="1" thickBot="1" x14ac:dyDescent="0.35">
      <c r="A166" s="613" t="s">
        <v>459</v>
      </c>
      <c r="B166" s="591">
        <v>0</v>
      </c>
      <c r="C166" s="591">
        <v>3.1414</v>
      </c>
      <c r="D166" s="592">
        <v>3.1414</v>
      </c>
      <c r="E166" s="601" t="s">
        <v>313</v>
      </c>
      <c r="F166" s="591">
        <v>0</v>
      </c>
      <c r="G166" s="592">
        <v>0</v>
      </c>
      <c r="H166" s="594">
        <v>0</v>
      </c>
      <c r="I166" s="591">
        <v>3.0863499999999999</v>
      </c>
      <c r="J166" s="592">
        <v>3.0863499999999999</v>
      </c>
      <c r="K166" s="602" t="s">
        <v>302</v>
      </c>
    </row>
    <row r="167" spans="1:11" ht="14.4" customHeight="1" thickBot="1" x14ac:dyDescent="0.35">
      <c r="A167" s="613" t="s">
        <v>460</v>
      </c>
      <c r="B167" s="591">
        <v>0</v>
      </c>
      <c r="C167" s="591">
        <v>17.138999999999999</v>
      </c>
      <c r="D167" s="592">
        <v>17.138999999999999</v>
      </c>
      <c r="E167" s="601" t="s">
        <v>302</v>
      </c>
      <c r="F167" s="591">
        <v>0</v>
      </c>
      <c r="G167" s="592">
        <v>0</v>
      </c>
      <c r="H167" s="594">
        <v>0</v>
      </c>
      <c r="I167" s="591">
        <v>5.1229999999990001</v>
      </c>
      <c r="J167" s="592">
        <v>5.1229999999990001</v>
      </c>
      <c r="K167" s="602" t="s">
        <v>302</v>
      </c>
    </row>
    <row r="168" spans="1:11" ht="14.4" customHeight="1" thickBot="1" x14ac:dyDescent="0.35">
      <c r="A168" s="612" t="s">
        <v>461</v>
      </c>
      <c r="B168" s="596">
        <v>0</v>
      </c>
      <c r="C168" s="596">
        <v>9.7368699999999997</v>
      </c>
      <c r="D168" s="597">
        <v>9.7368699999999997</v>
      </c>
      <c r="E168" s="598" t="s">
        <v>313</v>
      </c>
      <c r="F168" s="596">
        <v>0</v>
      </c>
      <c r="G168" s="597">
        <v>0</v>
      </c>
      <c r="H168" s="599">
        <v>0</v>
      </c>
      <c r="I168" s="596">
        <v>7.2069999999999999</v>
      </c>
      <c r="J168" s="597">
        <v>7.2069999999999999</v>
      </c>
      <c r="K168" s="600" t="s">
        <v>302</v>
      </c>
    </row>
    <row r="169" spans="1:11" ht="14.4" customHeight="1" thickBot="1" x14ac:dyDescent="0.35">
      <c r="A169" s="613" t="s">
        <v>462</v>
      </c>
      <c r="B169" s="591">
        <v>0</v>
      </c>
      <c r="C169" s="591">
        <v>0</v>
      </c>
      <c r="D169" s="592">
        <v>0</v>
      </c>
      <c r="E169" s="593">
        <v>1</v>
      </c>
      <c r="F169" s="591">
        <v>0</v>
      </c>
      <c r="G169" s="592">
        <v>0</v>
      </c>
      <c r="H169" s="594">
        <v>0</v>
      </c>
      <c r="I169" s="591">
        <v>3.06</v>
      </c>
      <c r="J169" s="592">
        <v>3.06</v>
      </c>
      <c r="K169" s="602" t="s">
        <v>313</v>
      </c>
    </row>
    <row r="170" spans="1:11" ht="14.4" customHeight="1" thickBot="1" x14ac:dyDescent="0.35">
      <c r="A170" s="613" t="s">
        <v>463</v>
      </c>
      <c r="B170" s="591">
        <v>0</v>
      </c>
      <c r="C170" s="591">
        <v>5.4408700000000003</v>
      </c>
      <c r="D170" s="592">
        <v>5.4408700000000003</v>
      </c>
      <c r="E170" s="601" t="s">
        <v>313</v>
      </c>
      <c r="F170" s="591">
        <v>0</v>
      </c>
      <c r="G170" s="592">
        <v>0</v>
      </c>
      <c r="H170" s="594">
        <v>0</v>
      </c>
      <c r="I170" s="591">
        <v>4.1470000000000002</v>
      </c>
      <c r="J170" s="592">
        <v>4.1470000000000002</v>
      </c>
      <c r="K170" s="602" t="s">
        <v>302</v>
      </c>
    </row>
    <row r="171" spans="1:11" ht="14.4" customHeight="1" thickBot="1" x14ac:dyDescent="0.35">
      <c r="A171" s="613" t="s">
        <v>464</v>
      </c>
      <c r="B171" s="591">
        <v>0</v>
      </c>
      <c r="C171" s="591">
        <v>4.2960000000000003</v>
      </c>
      <c r="D171" s="592">
        <v>4.2960000000000003</v>
      </c>
      <c r="E171" s="601" t="s">
        <v>313</v>
      </c>
      <c r="F171" s="591">
        <v>0</v>
      </c>
      <c r="G171" s="592">
        <v>0</v>
      </c>
      <c r="H171" s="594">
        <v>0</v>
      </c>
      <c r="I171" s="591">
        <v>0</v>
      </c>
      <c r="J171" s="592">
        <v>0</v>
      </c>
      <c r="K171" s="602" t="s">
        <v>302</v>
      </c>
    </row>
    <row r="172" spans="1:11" ht="14.4" customHeight="1" thickBot="1" x14ac:dyDescent="0.35">
      <c r="A172" s="612" t="s">
        <v>465</v>
      </c>
      <c r="B172" s="596">
        <v>0</v>
      </c>
      <c r="C172" s="596">
        <v>51.206400000000002</v>
      </c>
      <c r="D172" s="597">
        <v>51.206400000000002</v>
      </c>
      <c r="E172" s="598" t="s">
        <v>302</v>
      </c>
      <c r="F172" s="596">
        <v>75.831031649091997</v>
      </c>
      <c r="G172" s="597">
        <v>75.831031649091997</v>
      </c>
      <c r="H172" s="599">
        <v>0</v>
      </c>
      <c r="I172" s="596">
        <v>13.0145</v>
      </c>
      <c r="J172" s="597">
        <v>-62.816531649091999</v>
      </c>
      <c r="K172" s="604">
        <v>0.17162498936000001</v>
      </c>
    </row>
    <row r="173" spans="1:11" ht="14.4" customHeight="1" thickBot="1" x14ac:dyDescent="0.35">
      <c r="A173" s="613" t="s">
        <v>466</v>
      </c>
      <c r="B173" s="591">
        <v>0</v>
      </c>
      <c r="C173" s="591">
        <v>30.6614</v>
      </c>
      <c r="D173" s="592">
        <v>30.6614</v>
      </c>
      <c r="E173" s="601" t="s">
        <v>302</v>
      </c>
      <c r="F173" s="591">
        <v>75.831031649091997</v>
      </c>
      <c r="G173" s="592">
        <v>75.831031649091997</v>
      </c>
      <c r="H173" s="594">
        <v>0</v>
      </c>
      <c r="I173" s="591">
        <v>9.0145</v>
      </c>
      <c r="J173" s="592">
        <v>-66.816531649091999</v>
      </c>
      <c r="K173" s="595">
        <v>0.11887613558600001</v>
      </c>
    </row>
    <row r="174" spans="1:11" ht="14.4" customHeight="1" thickBot="1" x14ac:dyDescent="0.35">
      <c r="A174" s="613" t="s">
        <v>467</v>
      </c>
      <c r="B174" s="591">
        <v>0</v>
      </c>
      <c r="C174" s="591">
        <v>20.545000000000002</v>
      </c>
      <c r="D174" s="592">
        <v>20.545000000000002</v>
      </c>
      <c r="E174" s="601" t="s">
        <v>313</v>
      </c>
      <c r="F174" s="591">
        <v>0</v>
      </c>
      <c r="G174" s="592">
        <v>0</v>
      </c>
      <c r="H174" s="594">
        <v>0</v>
      </c>
      <c r="I174" s="591">
        <v>4</v>
      </c>
      <c r="J174" s="592">
        <v>4</v>
      </c>
      <c r="K174" s="602" t="s">
        <v>302</v>
      </c>
    </row>
    <row r="175" spans="1:11" ht="14.4" customHeight="1" thickBot="1" x14ac:dyDescent="0.35">
      <c r="A175" s="612" t="s">
        <v>468</v>
      </c>
      <c r="B175" s="596">
        <v>0</v>
      </c>
      <c r="C175" s="596">
        <v>96.094030000000004</v>
      </c>
      <c r="D175" s="597">
        <v>96.094030000000004</v>
      </c>
      <c r="E175" s="598" t="s">
        <v>302</v>
      </c>
      <c r="F175" s="596">
        <v>0</v>
      </c>
      <c r="G175" s="597">
        <v>0</v>
      </c>
      <c r="H175" s="599">
        <v>0</v>
      </c>
      <c r="I175" s="596">
        <v>130.2021</v>
      </c>
      <c r="J175" s="597">
        <v>130.2021</v>
      </c>
      <c r="K175" s="600" t="s">
        <v>302</v>
      </c>
    </row>
    <row r="176" spans="1:11" ht="14.4" customHeight="1" thickBot="1" x14ac:dyDescent="0.35">
      <c r="A176" s="613" t="s">
        <v>469</v>
      </c>
      <c r="B176" s="591">
        <v>0</v>
      </c>
      <c r="C176" s="591">
        <v>96.094030000000004</v>
      </c>
      <c r="D176" s="592">
        <v>96.094030000000004</v>
      </c>
      <c r="E176" s="601" t="s">
        <v>302</v>
      </c>
      <c r="F176" s="591">
        <v>0</v>
      </c>
      <c r="G176" s="592">
        <v>0</v>
      </c>
      <c r="H176" s="594">
        <v>0</v>
      </c>
      <c r="I176" s="591">
        <v>130.2021</v>
      </c>
      <c r="J176" s="592">
        <v>130.2021</v>
      </c>
      <c r="K176" s="602" t="s">
        <v>302</v>
      </c>
    </row>
    <row r="177" spans="1:11" ht="14.4" customHeight="1" thickBot="1" x14ac:dyDescent="0.35">
      <c r="A177" s="612" t="s">
        <v>470</v>
      </c>
      <c r="B177" s="596">
        <v>0</v>
      </c>
      <c r="C177" s="596">
        <v>0</v>
      </c>
      <c r="D177" s="597">
        <v>0</v>
      </c>
      <c r="E177" s="598" t="s">
        <v>302</v>
      </c>
      <c r="F177" s="596">
        <v>0</v>
      </c>
      <c r="G177" s="597">
        <v>0</v>
      </c>
      <c r="H177" s="599">
        <v>4.2</v>
      </c>
      <c r="I177" s="596">
        <v>109.57767</v>
      </c>
      <c r="J177" s="597">
        <v>109.57767</v>
      </c>
      <c r="K177" s="600" t="s">
        <v>302</v>
      </c>
    </row>
    <row r="178" spans="1:11" ht="14.4" customHeight="1" thickBot="1" x14ac:dyDescent="0.35">
      <c r="A178" s="613" t="s">
        <v>471</v>
      </c>
      <c r="B178" s="591">
        <v>0</v>
      </c>
      <c r="C178" s="591">
        <v>0</v>
      </c>
      <c r="D178" s="592">
        <v>0</v>
      </c>
      <c r="E178" s="601" t="s">
        <v>302</v>
      </c>
      <c r="F178" s="591">
        <v>0</v>
      </c>
      <c r="G178" s="592">
        <v>0</v>
      </c>
      <c r="H178" s="594">
        <v>0</v>
      </c>
      <c r="I178" s="591">
        <v>87.87867</v>
      </c>
      <c r="J178" s="592">
        <v>87.87867</v>
      </c>
      <c r="K178" s="602" t="s">
        <v>302</v>
      </c>
    </row>
    <row r="179" spans="1:11" ht="14.4" customHeight="1" thickBot="1" x14ac:dyDescent="0.35">
      <c r="A179" s="613" t="s">
        <v>472</v>
      </c>
      <c r="B179" s="591">
        <v>0</v>
      </c>
      <c r="C179" s="591">
        <v>0</v>
      </c>
      <c r="D179" s="592">
        <v>0</v>
      </c>
      <c r="E179" s="601" t="s">
        <v>302</v>
      </c>
      <c r="F179" s="591">
        <v>0</v>
      </c>
      <c r="G179" s="592">
        <v>0</v>
      </c>
      <c r="H179" s="594">
        <v>4.2</v>
      </c>
      <c r="I179" s="591">
        <v>4.2</v>
      </c>
      <c r="J179" s="592">
        <v>4.2</v>
      </c>
      <c r="K179" s="602" t="s">
        <v>313</v>
      </c>
    </row>
    <row r="180" spans="1:11" ht="14.4" customHeight="1" thickBot="1" x14ac:dyDescent="0.35">
      <c r="A180" s="613" t="s">
        <v>473</v>
      </c>
      <c r="B180" s="591">
        <v>0</v>
      </c>
      <c r="C180" s="591">
        <v>0</v>
      </c>
      <c r="D180" s="592">
        <v>0</v>
      </c>
      <c r="E180" s="601" t="s">
        <v>302</v>
      </c>
      <c r="F180" s="591">
        <v>0</v>
      </c>
      <c r="G180" s="592">
        <v>0</v>
      </c>
      <c r="H180" s="594">
        <v>0</v>
      </c>
      <c r="I180" s="591">
        <v>17.498999999999999</v>
      </c>
      <c r="J180" s="592">
        <v>17.498999999999999</v>
      </c>
      <c r="K180" s="602" t="s">
        <v>313</v>
      </c>
    </row>
    <row r="181" spans="1:11" ht="14.4" customHeight="1" thickBot="1" x14ac:dyDescent="0.35">
      <c r="A181" s="609" t="s">
        <v>474</v>
      </c>
      <c r="B181" s="591">
        <v>68585.008519716503</v>
      </c>
      <c r="C181" s="591">
        <v>82610.70624</v>
      </c>
      <c r="D181" s="592">
        <v>14025.697720283501</v>
      </c>
      <c r="E181" s="593">
        <v>1.2045009255370001</v>
      </c>
      <c r="F181" s="591">
        <v>78620.302982781097</v>
      </c>
      <c r="G181" s="592">
        <v>78620.302982781097</v>
      </c>
      <c r="H181" s="594">
        <v>7459.6714000000002</v>
      </c>
      <c r="I181" s="591">
        <v>86446.428530000005</v>
      </c>
      <c r="J181" s="592">
        <v>7826.1255472189496</v>
      </c>
      <c r="K181" s="595">
        <v>1.0995433145160001</v>
      </c>
    </row>
    <row r="182" spans="1:11" ht="14.4" customHeight="1" thickBot="1" x14ac:dyDescent="0.35">
      <c r="A182" s="610" t="s">
        <v>475</v>
      </c>
      <c r="B182" s="591">
        <v>68492.585828731797</v>
      </c>
      <c r="C182" s="591">
        <v>82285.5965</v>
      </c>
      <c r="D182" s="592">
        <v>13793.010671268201</v>
      </c>
      <c r="E182" s="593">
        <v>1.201379616558</v>
      </c>
      <c r="F182" s="591">
        <v>78462.894146931605</v>
      </c>
      <c r="G182" s="592">
        <v>78462.894146931605</v>
      </c>
      <c r="H182" s="594">
        <v>7380.0488100000002</v>
      </c>
      <c r="I182" s="591">
        <v>85969.959730000002</v>
      </c>
      <c r="J182" s="592">
        <v>7507.06558306835</v>
      </c>
      <c r="K182" s="595">
        <v>1.095676633709</v>
      </c>
    </row>
    <row r="183" spans="1:11" ht="14.4" customHeight="1" thickBot="1" x14ac:dyDescent="0.35">
      <c r="A183" s="611" t="s">
        <v>476</v>
      </c>
      <c r="B183" s="591">
        <v>68316.585828731797</v>
      </c>
      <c r="C183" s="591">
        <v>82138.241110000003</v>
      </c>
      <c r="D183" s="592">
        <v>13821.6552812682</v>
      </c>
      <c r="E183" s="593">
        <v>1.2023177111909999</v>
      </c>
      <c r="F183" s="591">
        <v>78296.894130287095</v>
      </c>
      <c r="G183" s="592">
        <v>78296.894130287095</v>
      </c>
      <c r="H183" s="594">
        <v>7370.1964699999999</v>
      </c>
      <c r="I183" s="591">
        <v>85817.595549999998</v>
      </c>
      <c r="J183" s="592">
        <v>7520.7014197129502</v>
      </c>
      <c r="K183" s="595">
        <v>1.0960536366510001</v>
      </c>
    </row>
    <row r="184" spans="1:11" ht="14.4" customHeight="1" thickBot="1" x14ac:dyDescent="0.35">
      <c r="A184" s="612" t="s">
        <v>477</v>
      </c>
      <c r="B184" s="596">
        <v>1.58582871395</v>
      </c>
      <c r="C184" s="596">
        <v>17.858740000000001</v>
      </c>
      <c r="D184" s="597">
        <v>16.272911286048998</v>
      </c>
      <c r="E184" s="603">
        <v>11.261455819846001</v>
      </c>
      <c r="F184" s="596">
        <v>14.886281056014999</v>
      </c>
      <c r="G184" s="597">
        <v>14.886281056014999</v>
      </c>
      <c r="H184" s="599">
        <v>0</v>
      </c>
      <c r="I184" s="596">
        <v>48.284829999999999</v>
      </c>
      <c r="J184" s="597">
        <v>33.398548943983997</v>
      </c>
      <c r="K184" s="604">
        <v>3.243579092609</v>
      </c>
    </row>
    <row r="185" spans="1:11" ht="14.4" customHeight="1" thickBot="1" x14ac:dyDescent="0.35">
      <c r="A185" s="613" t="s">
        <v>478</v>
      </c>
      <c r="B185" s="591">
        <v>0</v>
      </c>
      <c r="C185" s="591">
        <v>0.19173000000000001</v>
      </c>
      <c r="D185" s="592">
        <v>0.19173000000000001</v>
      </c>
      <c r="E185" s="601" t="s">
        <v>313</v>
      </c>
      <c r="F185" s="591">
        <v>0.19687601368900001</v>
      </c>
      <c r="G185" s="592">
        <v>0.19687601368900001</v>
      </c>
      <c r="H185" s="594">
        <v>0</v>
      </c>
      <c r="I185" s="591">
        <v>0</v>
      </c>
      <c r="J185" s="592">
        <v>-0.19687601368900001</v>
      </c>
      <c r="K185" s="595">
        <v>0</v>
      </c>
    </row>
    <row r="186" spans="1:11" ht="14.4" customHeight="1" thickBot="1" x14ac:dyDescent="0.35">
      <c r="A186" s="613" t="s">
        <v>479</v>
      </c>
      <c r="B186" s="591">
        <v>0</v>
      </c>
      <c r="C186" s="591">
        <v>17.53314</v>
      </c>
      <c r="D186" s="592">
        <v>17.53314</v>
      </c>
      <c r="E186" s="601" t="s">
        <v>302</v>
      </c>
      <c r="F186" s="591">
        <v>14.428127646448999</v>
      </c>
      <c r="G186" s="592">
        <v>14.428127646448999</v>
      </c>
      <c r="H186" s="594">
        <v>0</v>
      </c>
      <c r="I186" s="591">
        <v>47.506630000000001</v>
      </c>
      <c r="J186" s="592">
        <v>33.07850235355</v>
      </c>
      <c r="K186" s="595">
        <v>3.2926399851810002</v>
      </c>
    </row>
    <row r="187" spans="1:11" ht="14.4" customHeight="1" thickBot="1" x14ac:dyDescent="0.35">
      <c r="A187" s="613" t="s">
        <v>480</v>
      </c>
      <c r="B187" s="591">
        <v>1.58582871395</v>
      </c>
      <c r="C187" s="591">
        <v>0.13386999999999999</v>
      </c>
      <c r="D187" s="592">
        <v>-1.4519587139500001</v>
      </c>
      <c r="E187" s="593">
        <v>8.4416430868000006E-2</v>
      </c>
      <c r="F187" s="591">
        <v>0.261277395877</v>
      </c>
      <c r="G187" s="592">
        <v>0.261277395877</v>
      </c>
      <c r="H187" s="594">
        <v>0</v>
      </c>
      <c r="I187" s="591">
        <v>0.7782</v>
      </c>
      <c r="J187" s="592">
        <v>0.51692260412199997</v>
      </c>
      <c r="K187" s="595">
        <v>0</v>
      </c>
    </row>
    <row r="188" spans="1:11" ht="14.4" customHeight="1" thickBot="1" x14ac:dyDescent="0.35">
      <c r="A188" s="612" t="s">
        <v>481</v>
      </c>
      <c r="B188" s="596">
        <v>463.00000000012102</v>
      </c>
      <c r="C188" s="596">
        <v>35.17812</v>
      </c>
      <c r="D188" s="597">
        <v>-427.82188000012098</v>
      </c>
      <c r="E188" s="603">
        <v>7.5978660907000006E-2</v>
      </c>
      <c r="F188" s="596">
        <v>4.0000004010739998</v>
      </c>
      <c r="G188" s="597">
        <v>4.0000004010739998</v>
      </c>
      <c r="H188" s="599">
        <v>102.20327</v>
      </c>
      <c r="I188" s="596">
        <v>445.78987999999998</v>
      </c>
      <c r="J188" s="597">
        <v>441.78987959892498</v>
      </c>
      <c r="K188" s="604">
        <v>111.44745882531301</v>
      </c>
    </row>
    <row r="189" spans="1:11" ht="14.4" customHeight="1" thickBot="1" x14ac:dyDescent="0.35">
      <c r="A189" s="613" t="s">
        <v>482</v>
      </c>
      <c r="B189" s="591">
        <v>463.00000000012102</v>
      </c>
      <c r="C189" s="591">
        <v>27.450320000000001</v>
      </c>
      <c r="D189" s="592">
        <v>-435.54968000012099</v>
      </c>
      <c r="E189" s="593">
        <v>5.9287948164000001E-2</v>
      </c>
      <c r="F189" s="591">
        <v>4.0000004010739998</v>
      </c>
      <c r="G189" s="592">
        <v>4.0000004010739998</v>
      </c>
      <c r="H189" s="594">
        <v>102.20327</v>
      </c>
      <c r="I189" s="591">
        <v>310.59107999999998</v>
      </c>
      <c r="J189" s="592">
        <v>306.59107959892498</v>
      </c>
      <c r="K189" s="595">
        <v>77.647762214362999</v>
      </c>
    </row>
    <row r="190" spans="1:11" ht="14.4" customHeight="1" thickBot="1" x14ac:dyDescent="0.35">
      <c r="A190" s="613" t="s">
        <v>483</v>
      </c>
      <c r="B190" s="591">
        <v>0</v>
      </c>
      <c r="C190" s="591">
        <v>7.7278000000000002</v>
      </c>
      <c r="D190" s="592">
        <v>7.7278000000000002</v>
      </c>
      <c r="E190" s="601" t="s">
        <v>302</v>
      </c>
      <c r="F190" s="591">
        <v>0</v>
      </c>
      <c r="G190" s="592">
        <v>0</v>
      </c>
      <c r="H190" s="594">
        <v>0</v>
      </c>
      <c r="I190" s="591">
        <v>135.19880000000001</v>
      </c>
      <c r="J190" s="592">
        <v>135.19880000000001</v>
      </c>
      <c r="K190" s="602" t="s">
        <v>302</v>
      </c>
    </row>
    <row r="191" spans="1:11" ht="14.4" customHeight="1" thickBot="1" x14ac:dyDescent="0.35">
      <c r="A191" s="612" t="s">
        <v>484</v>
      </c>
      <c r="B191" s="596">
        <v>786.00000000020498</v>
      </c>
      <c r="C191" s="596">
        <v>0</v>
      </c>
      <c r="D191" s="597">
        <v>-786.00000000020498</v>
      </c>
      <c r="E191" s="603">
        <v>0</v>
      </c>
      <c r="F191" s="596">
        <v>0</v>
      </c>
      <c r="G191" s="597">
        <v>0</v>
      </c>
      <c r="H191" s="599">
        <v>0</v>
      </c>
      <c r="I191" s="596">
        <v>10.202</v>
      </c>
      <c r="J191" s="597">
        <v>10.202</v>
      </c>
      <c r="K191" s="600" t="s">
        <v>302</v>
      </c>
    </row>
    <row r="192" spans="1:11" ht="14.4" customHeight="1" thickBot="1" x14ac:dyDescent="0.35">
      <c r="A192" s="613" t="s">
        <v>485</v>
      </c>
      <c r="B192" s="591">
        <v>786.00000000020498</v>
      </c>
      <c r="C192" s="591">
        <v>0</v>
      </c>
      <c r="D192" s="592">
        <v>-786.00000000020498</v>
      </c>
      <c r="E192" s="593">
        <v>0</v>
      </c>
      <c r="F192" s="591">
        <v>0</v>
      </c>
      <c r="G192" s="592">
        <v>0</v>
      </c>
      <c r="H192" s="594">
        <v>0</v>
      </c>
      <c r="I192" s="591">
        <v>0</v>
      </c>
      <c r="J192" s="592">
        <v>0</v>
      </c>
      <c r="K192" s="595">
        <v>0</v>
      </c>
    </row>
    <row r="193" spans="1:11" ht="14.4" customHeight="1" thickBot="1" x14ac:dyDescent="0.35">
      <c r="A193" s="613" t="s">
        <v>486</v>
      </c>
      <c r="B193" s="591">
        <v>0</v>
      </c>
      <c r="C193" s="591">
        <v>0</v>
      </c>
      <c r="D193" s="592">
        <v>0</v>
      </c>
      <c r="E193" s="593">
        <v>1</v>
      </c>
      <c r="F193" s="591">
        <v>0</v>
      </c>
      <c r="G193" s="592">
        <v>0</v>
      </c>
      <c r="H193" s="594">
        <v>0</v>
      </c>
      <c r="I193" s="591">
        <v>10.202</v>
      </c>
      <c r="J193" s="592">
        <v>10.202</v>
      </c>
      <c r="K193" s="602" t="s">
        <v>302</v>
      </c>
    </row>
    <row r="194" spans="1:11" ht="14.4" customHeight="1" thickBot="1" x14ac:dyDescent="0.35">
      <c r="A194" s="612" t="s">
        <v>487</v>
      </c>
      <c r="B194" s="596">
        <v>67066.000000017506</v>
      </c>
      <c r="C194" s="596">
        <v>78351.318499999994</v>
      </c>
      <c r="D194" s="597">
        <v>11285.318499982501</v>
      </c>
      <c r="E194" s="603">
        <v>1.168271829242</v>
      </c>
      <c r="F194" s="596">
        <v>78278.007848830006</v>
      </c>
      <c r="G194" s="597">
        <v>78278.007848830006</v>
      </c>
      <c r="H194" s="599">
        <v>4705.3011200000001</v>
      </c>
      <c r="I194" s="596">
        <v>80841.314970000007</v>
      </c>
      <c r="J194" s="597">
        <v>2563.3071211700299</v>
      </c>
      <c r="K194" s="604">
        <v>1.032746197707</v>
      </c>
    </row>
    <row r="195" spans="1:11" ht="14.4" customHeight="1" thickBot="1" x14ac:dyDescent="0.35">
      <c r="A195" s="613" t="s">
        <v>488</v>
      </c>
      <c r="B195" s="591">
        <v>17667.000000004598</v>
      </c>
      <c r="C195" s="591">
        <v>23669.16862</v>
      </c>
      <c r="D195" s="592">
        <v>6002.1686199953801</v>
      </c>
      <c r="E195" s="593">
        <v>1.339738983415</v>
      </c>
      <c r="F195" s="591">
        <v>25886.002595554499</v>
      </c>
      <c r="G195" s="592">
        <v>25886.002595554499</v>
      </c>
      <c r="H195" s="594">
        <v>2174.1574000000001</v>
      </c>
      <c r="I195" s="591">
        <v>22883.507679999999</v>
      </c>
      <c r="J195" s="592">
        <v>-3002.49491555446</v>
      </c>
      <c r="K195" s="595">
        <v>0.88401087018000002</v>
      </c>
    </row>
    <row r="196" spans="1:11" ht="14.4" customHeight="1" thickBot="1" x14ac:dyDescent="0.35">
      <c r="A196" s="613" t="s">
        <v>489</v>
      </c>
      <c r="B196" s="591">
        <v>49399.0000000129</v>
      </c>
      <c r="C196" s="591">
        <v>54682.149879999997</v>
      </c>
      <c r="D196" s="592">
        <v>5283.1498799870897</v>
      </c>
      <c r="E196" s="593">
        <v>1.1069485187949999</v>
      </c>
      <c r="F196" s="591">
        <v>52392.0052532755</v>
      </c>
      <c r="G196" s="592">
        <v>52392.0052532755</v>
      </c>
      <c r="H196" s="594">
        <v>1705.10968</v>
      </c>
      <c r="I196" s="591">
        <v>55362.561199999996</v>
      </c>
      <c r="J196" s="592">
        <v>2970.5559467244998</v>
      </c>
      <c r="K196" s="595">
        <v>1.056698649581</v>
      </c>
    </row>
    <row r="197" spans="1:11" ht="14.4" customHeight="1" thickBot="1" x14ac:dyDescent="0.35">
      <c r="A197" s="613" t="s">
        <v>490</v>
      </c>
      <c r="B197" s="591">
        <v>0</v>
      </c>
      <c r="C197" s="591">
        <v>0</v>
      </c>
      <c r="D197" s="592">
        <v>0</v>
      </c>
      <c r="E197" s="593">
        <v>1</v>
      </c>
      <c r="F197" s="591">
        <v>0</v>
      </c>
      <c r="G197" s="592">
        <v>0</v>
      </c>
      <c r="H197" s="594">
        <v>304.83181000000002</v>
      </c>
      <c r="I197" s="591">
        <v>1189.3770999999999</v>
      </c>
      <c r="J197" s="592">
        <v>1189.3770999999999</v>
      </c>
      <c r="K197" s="602" t="s">
        <v>313</v>
      </c>
    </row>
    <row r="198" spans="1:11" ht="14.4" customHeight="1" thickBot="1" x14ac:dyDescent="0.35">
      <c r="A198" s="613" t="s">
        <v>491</v>
      </c>
      <c r="B198" s="591">
        <v>0</v>
      </c>
      <c r="C198" s="591">
        <v>0</v>
      </c>
      <c r="D198" s="592">
        <v>0</v>
      </c>
      <c r="E198" s="593">
        <v>1</v>
      </c>
      <c r="F198" s="591">
        <v>0</v>
      </c>
      <c r="G198" s="592">
        <v>0</v>
      </c>
      <c r="H198" s="594">
        <v>521.20222999999999</v>
      </c>
      <c r="I198" s="591">
        <v>1405.8689899999999</v>
      </c>
      <c r="J198" s="592">
        <v>1405.8689899999999</v>
      </c>
      <c r="K198" s="602" t="s">
        <v>313</v>
      </c>
    </row>
    <row r="199" spans="1:11" ht="14.4" customHeight="1" thickBot="1" x14ac:dyDescent="0.35">
      <c r="A199" s="612" t="s">
        <v>492</v>
      </c>
      <c r="B199" s="596">
        <v>0</v>
      </c>
      <c r="C199" s="596">
        <v>3733.8857499999999</v>
      </c>
      <c r="D199" s="597">
        <v>3733.8857499999999</v>
      </c>
      <c r="E199" s="598" t="s">
        <v>302</v>
      </c>
      <c r="F199" s="596">
        <v>0</v>
      </c>
      <c r="G199" s="597">
        <v>0</v>
      </c>
      <c r="H199" s="599">
        <v>2562.6920799999998</v>
      </c>
      <c r="I199" s="596">
        <v>4472.0038699999996</v>
      </c>
      <c r="J199" s="597">
        <v>4472.0038699999996</v>
      </c>
      <c r="K199" s="600" t="s">
        <v>302</v>
      </c>
    </row>
    <row r="200" spans="1:11" ht="14.4" customHeight="1" thickBot="1" x14ac:dyDescent="0.35">
      <c r="A200" s="613" t="s">
        <v>493</v>
      </c>
      <c r="B200" s="591">
        <v>0</v>
      </c>
      <c r="C200" s="591">
        <v>445.0548</v>
      </c>
      <c r="D200" s="592">
        <v>445.0548</v>
      </c>
      <c r="E200" s="601" t="s">
        <v>302</v>
      </c>
      <c r="F200" s="591">
        <v>0</v>
      </c>
      <c r="G200" s="592">
        <v>0</v>
      </c>
      <c r="H200" s="594">
        <v>0</v>
      </c>
      <c r="I200" s="591">
        <v>447.44369</v>
      </c>
      <c r="J200" s="592">
        <v>447.44369</v>
      </c>
      <c r="K200" s="602" t="s">
        <v>302</v>
      </c>
    </row>
    <row r="201" spans="1:11" ht="14.4" customHeight="1" thickBot="1" x14ac:dyDescent="0.35">
      <c r="A201" s="613" t="s">
        <v>494</v>
      </c>
      <c r="B201" s="591">
        <v>0</v>
      </c>
      <c r="C201" s="591">
        <v>3288.83095</v>
      </c>
      <c r="D201" s="592">
        <v>3288.83095</v>
      </c>
      <c r="E201" s="601" t="s">
        <v>302</v>
      </c>
      <c r="F201" s="591">
        <v>0</v>
      </c>
      <c r="G201" s="592">
        <v>0</v>
      </c>
      <c r="H201" s="594">
        <v>2562.6920799999998</v>
      </c>
      <c r="I201" s="591">
        <v>4024.5601799999999</v>
      </c>
      <c r="J201" s="592">
        <v>4024.5601799999999</v>
      </c>
      <c r="K201" s="602" t="s">
        <v>302</v>
      </c>
    </row>
    <row r="202" spans="1:11" ht="14.4" customHeight="1" thickBot="1" x14ac:dyDescent="0.35">
      <c r="A202" s="611" t="s">
        <v>495</v>
      </c>
      <c r="B202" s="591">
        <v>176.00000000004599</v>
      </c>
      <c r="C202" s="591">
        <v>147.35539</v>
      </c>
      <c r="D202" s="592">
        <v>-28.644610000046001</v>
      </c>
      <c r="E202" s="593">
        <v>0.83724653409000005</v>
      </c>
      <c r="F202" s="591">
        <v>166.000016644597</v>
      </c>
      <c r="G202" s="592">
        <v>166.000016644597</v>
      </c>
      <c r="H202" s="594">
        <v>9.8523399999999999</v>
      </c>
      <c r="I202" s="591">
        <v>152.36418</v>
      </c>
      <c r="J202" s="592">
        <v>-13.635836644596999</v>
      </c>
      <c r="K202" s="595">
        <v>0.91785641399100004</v>
      </c>
    </row>
    <row r="203" spans="1:11" ht="14.4" customHeight="1" thickBot="1" x14ac:dyDescent="0.35">
      <c r="A203" s="612" t="s">
        <v>496</v>
      </c>
      <c r="B203" s="596">
        <v>176.00000000004599</v>
      </c>
      <c r="C203" s="596">
        <v>147.35539</v>
      </c>
      <c r="D203" s="597">
        <v>-28.644610000046001</v>
      </c>
      <c r="E203" s="603">
        <v>0.83724653409000005</v>
      </c>
      <c r="F203" s="596">
        <v>166.000016644597</v>
      </c>
      <c r="G203" s="597">
        <v>166.000016644597</v>
      </c>
      <c r="H203" s="599">
        <v>9.8523399999999999</v>
      </c>
      <c r="I203" s="596">
        <v>152.36418</v>
      </c>
      <c r="J203" s="597">
        <v>-13.635836644596999</v>
      </c>
      <c r="K203" s="604">
        <v>0.91785641399100004</v>
      </c>
    </row>
    <row r="204" spans="1:11" ht="14.4" customHeight="1" thickBot="1" x14ac:dyDescent="0.35">
      <c r="A204" s="613" t="s">
        <v>497</v>
      </c>
      <c r="B204" s="591">
        <v>176.00000000004599</v>
      </c>
      <c r="C204" s="591">
        <v>147.35539</v>
      </c>
      <c r="D204" s="592">
        <v>-28.644610000046001</v>
      </c>
      <c r="E204" s="593">
        <v>0.83724653409000005</v>
      </c>
      <c r="F204" s="591">
        <v>166.000016644597</v>
      </c>
      <c r="G204" s="592">
        <v>166.000016644597</v>
      </c>
      <c r="H204" s="594">
        <v>9.8523399999999999</v>
      </c>
      <c r="I204" s="591">
        <v>152.36418</v>
      </c>
      <c r="J204" s="592">
        <v>-13.635836644596999</v>
      </c>
      <c r="K204" s="595">
        <v>0.91785641399100004</v>
      </c>
    </row>
    <row r="205" spans="1:11" ht="14.4" customHeight="1" thickBot="1" x14ac:dyDescent="0.35">
      <c r="A205" s="610" t="s">
        <v>498</v>
      </c>
      <c r="B205" s="591">
        <v>63</v>
      </c>
      <c r="C205" s="591">
        <v>170.91874000000001</v>
      </c>
      <c r="D205" s="592">
        <v>107.91874</v>
      </c>
      <c r="E205" s="593">
        <v>2.7129958730150001</v>
      </c>
      <c r="F205" s="591">
        <v>54.6820090736</v>
      </c>
      <c r="G205" s="592">
        <v>54.6820090736</v>
      </c>
      <c r="H205" s="594">
        <v>77.55959</v>
      </c>
      <c r="I205" s="591">
        <v>245.98472000000001</v>
      </c>
      <c r="J205" s="592">
        <v>191.30271092640001</v>
      </c>
      <c r="K205" s="595">
        <v>4.4984579785439998</v>
      </c>
    </row>
    <row r="206" spans="1:11" ht="14.4" customHeight="1" thickBot="1" x14ac:dyDescent="0.35">
      <c r="A206" s="611" t="s">
        <v>499</v>
      </c>
      <c r="B206" s="591">
        <v>0</v>
      </c>
      <c r="C206" s="591">
        <v>0</v>
      </c>
      <c r="D206" s="592">
        <v>0</v>
      </c>
      <c r="E206" s="601" t="s">
        <v>302</v>
      </c>
      <c r="F206" s="591">
        <v>0</v>
      </c>
      <c r="G206" s="592">
        <v>0</v>
      </c>
      <c r="H206" s="594">
        <v>0</v>
      </c>
      <c r="I206" s="591">
        <v>35.649000000000001</v>
      </c>
      <c r="J206" s="592">
        <v>35.649000000000001</v>
      </c>
      <c r="K206" s="602" t="s">
        <v>313</v>
      </c>
    </row>
    <row r="207" spans="1:11" ht="14.4" customHeight="1" thickBot="1" x14ac:dyDescent="0.35">
      <c r="A207" s="612" t="s">
        <v>500</v>
      </c>
      <c r="B207" s="596">
        <v>0</v>
      </c>
      <c r="C207" s="596">
        <v>0</v>
      </c>
      <c r="D207" s="597">
        <v>0</v>
      </c>
      <c r="E207" s="598" t="s">
        <v>302</v>
      </c>
      <c r="F207" s="596">
        <v>0</v>
      </c>
      <c r="G207" s="597">
        <v>0</v>
      </c>
      <c r="H207" s="599">
        <v>0</v>
      </c>
      <c r="I207" s="596">
        <v>35.649000000000001</v>
      </c>
      <c r="J207" s="597">
        <v>35.649000000000001</v>
      </c>
      <c r="K207" s="600" t="s">
        <v>313</v>
      </c>
    </row>
    <row r="208" spans="1:11" ht="14.4" customHeight="1" thickBot="1" x14ac:dyDescent="0.35">
      <c r="A208" s="613" t="s">
        <v>501</v>
      </c>
      <c r="B208" s="591">
        <v>0</v>
      </c>
      <c r="C208" s="591">
        <v>0</v>
      </c>
      <c r="D208" s="592">
        <v>0</v>
      </c>
      <c r="E208" s="601" t="s">
        <v>302</v>
      </c>
      <c r="F208" s="591">
        <v>0</v>
      </c>
      <c r="G208" s="592">
        <v>0</v>
      </c>
      <c r="H208" s="594">
        <v>0</v>
      </c>
      <c r="I208" s="591">
        <v>35.649000000000001</v>
      </c>
      <c r="J208" s="592">
        <v>35.649000000000001</v>
      </c>
      <c r="K208" s="602" t="s">
        <v>313</v>
      </c>
    </row>
    <row r="209" spans="1:11" ht="14.4" customHeight="1" thickBot="1" x14ac:dyDescent="0.35">
      <c r="A209" s="616" t="s">
        <v>502</v>
      </c>
      <c r="B209" s="596">
        <v>63</v>
      </c>
      <c r="C209" s="596">
        <v>170.91874000000001</v>
      </c>
      <c r="D209" s="597">
        <v>107.91874</v>
      </c>
      <c r="E209" s="603">
        <v>2.7129958730150001</v>
      </c>
      <c r="F209" s="596">
        <v>54.6820090736</v>
      </c>
      <c r="G209" s="597">
        <v>54.6820090736</v>
      </c>
      <c r="H209" s="599">
        <v>77.55959</v>
      </c>
      <c r="I209" s="596">
        <v>210.33572000000001</v>
      </c>
      <c r="J209" s="597">
        <v>155.65371092640001</v>
      </c>
      <c r="K209" s="604">
        <v>3.8465250923180001</v>
      </c>
    </row>
    <row r="210" spans="1:11" ht="14.4" customHeight="1" thickBot="1" x14ac:dyDescent="0.35">
      <c r="A210" s="612" t="s">
        <v>503</v>
      </c>
      <c r="B210" s="596">
        <v>0</v>
      </c>
      <c r="C210" s="596">
        <v>3.6000000000000002E-4</v>
      </c>
      <c r="D210" s="597">
        <v>3.6000000000000002E-4</v>
      </c>
      <c r="E210" s="598" t="s">
        <v>302</v>
      </c>
      <c r="F210" s="596">
        <v>0</v>
      </c>
      <c r="G210" s="597">
        <v>0</v>
      </c>
      <c r="H210" s="599">
        <v>1.0000000000000001E-5</v>
      </c>
      <c r="I210" s="596">
        <v>5.37453</v>
      </c>
      <c r="J210" s="597">
        <v>5.37453</v>
      </c>
      <c r="K210" s="600" t="s">
        <v>302</v>
      </c>
    </row>
    <row r="211" spans="1:11" ht="14.4" customHeight="1" thickBot="1" x14ac:dyDescent="0.35">
      <c r="A211" s="613" t="s">
        <v>504</v>
      </c>
      <c r="B211" s="591">
        <v>0</v>
      </c>
      <c r="C211" s="591">
        <v>3.6000000000000002E-4</v>
      </c>
      <c r="D211" s="592">
        <v>3.6000000000000002E-4</v>
      </c>
      <c r="E211" s="601" t="s">
        <v>302</v>
      </c>
      <c r="F211" s="591">
        <v>0</v>
      </c>
      <c r="G211" s="592">
        <v>0</v>
      </c>
      <c r="H211" s="594">
        <v>1.0000000000000001E-5</v>
      </c>
      <c r="I211" s="591">
        <v>5.2999999999999998E-4</v>
      </c>
      <c r="J211" s="592">
        <v>5.2999999999999998E-4</v>
      </c>
      <c r="K211" s="602" t="s">
        <v>302</v>
      </c>
    </row>
    <row r="212" spans="1:11" ht="14.4" customHeight="1" thickBot="1" x14ac:dyDescent="0.35">
      <c r="A212" s="613" t="s">
        <v>505</v>
      </c>
      <c r="B212" s="591">
        <v>0</v>
      </c>
      <c r="C212" s="591">
        <v>0</v>
      </c>
      <c r="D212" s="592">
        <v>0</v>
      </c>
      <c r="E212" s="601" t="s">
        <v>302</v>
      </c>
      <c r="F212" s="591">
        <v>0</v>
      </c>
      <c r="G212" s="592">
        <v>0</v>
      </c>
      <c r="H212" s="594">
        <v>0</v>
      </c>
      <c r="I212" s="591">
        <v>6.0000000000000001E-3</v>
      </c>
      <c r="J212" s="592">
        <v>6.0000000000000001E-3</v>
      </c>
      <c r="K212" s="602" t="s">
        <v>313</v>
      </c>
    </row>
    <row r="213" spans="1:11" ht="14.4" customHeight="1" thickBot="1" x14ac:dyDescent="0.35">
      <c r="A213" s="613" t="s">
        <v>506</v>
      </c>
      <c r="B213" s="591">
        <v>0</v>
      </c>
      <c r="C213" s="591">
        <v>0</v>
      </c>
      <c r="D213" s="592">
        <v>0</v>
      </c>
      <c r="E213" s="593">
        <v>1</v>
      </c>
      <c r="F213" s="591">
        <v>0</v>
      </c>
      <c r="G213" s="592">
        <v>0</v>
      </c>
      <c r="H213" s="594">
        <v>0</v>
      </c>
      <c r="I213" s="591">
        <v>5.3680000000000003</v>
      </c>
      <c r="J213" s="592">
        <v>5.3680000000000003</v>
      </c>
      <c r="K213" s="602" t="s">
        <v>313</v>
      </c>
    </row>
    <row r="214" spans="1:11" ht="14.4" customHeight="1" thickBot="1" x14ac:dyDescent="0.35">
      <c r="A214" s="612" t="s">
        <v>507</v>
      </c>
      <c r="B214" s="596">
        <v>63</v>
      </c>
      <c r="C214" s="596">
        <v>88.665379999999999</v>
      </c>
      <c r="D214" s="597">
        <v>25.665379999999999</v>
      </c>
      <c r="E214" s="603">
        <v>1.4073869841260001</v>
      </c>
      <c r="F214" s="596">
        <v>54.6820090736</v>
      </c>
      <c r="G214" s="597">
        <v>54.6820090736</v>
      </c>
      <c r="H214" s="599">
        <v>32.52178</v>
      </c>
      <c r="I214" s="596">
        <v>138.42039</v>
      </c>
      <c r="J214" s="597">
        <v>83.738380926399003</v>
      </c>
      <c r="K214" s="604">
        <v>2.5313698663420001</v>
      </c>
    </row>
    <row r="215" spans="1:11" ht="14.4" customHeight="1" thickBot="1" x14ac:dyDescent="0.35">
      <c r="A215" s="613" t="s">
        <v>508</v>
      </c>
      <c r="B215" s="591">
        <v>0</v>
      </c>
      <c r="C215" s="591">
        <v>2.9000000000000001E-2</v>
      </c>
      <c r="D215" s="592">
        <v>2.9000000000000001E-2</v>
      </c>
      <c r="E215" s="601" t="s">
        <v>313</v>
      </c>
      <c r="F215" s="591">
        <v>2.8808908742999999E-2</v>
      </c>
      <c r="G215" s="592">
        <v>2.8808908742999999E-2</v>
      </c>
      <c r="H215" s="594">
        <v>0.497</v>
      </c>
      <c r="I215" s="591">
        <v>3.782</v>
      </c>
      <c r="J215" s="592">
        <v>3.7531910912559998</v>
      </c>
      <c r="K215" s="595">
        <v>0</v>
      </c>
    </row>
    <row r="216" spans="1:11" ht="14.4" customHeight="1" thickBot="1" x14ac:dyDescent="0.35">
      <c r="A216" s="613" t="s">
        <v>509</v>
      </c>
      <c r="B216" s="591">
        <v>0</v>
      </c>
      <c r="C216" s="591">
        <v>0</v>
      </c>
      <c r="D216" s="592">
        <v>0</v>
      </c>
      <c r="E216" s="593">
        <v>1</v>
      </c>
      <c r="F216" s="591">
        <v>0</v>
      </c>
      <c r="G216" s="592">
        <v>0</v>
      </c>
      <c r="H216" s="594">
        <v>0</v>
      </c>
      <c r="I216" s="591">
        <v>12.25</v>
      </c>
      <c r="J216" s="592">
        <v>12.25</v>
      </c>
      <c r="K216" s="602" t="s">
        <v>313</v>
      </c>
    </row>
    <row r="217" spans="1:11" ht="14.4" customHeight="1" thickBot="1" x14ac:dyDescent="0.35">
      <c r="A217" s="613" t="s">
        <v>510</v>
      </c>
      <c r="B217" s="591">
        <v>63</v>
      </c>
      <c r="C217" s="591">
        <v>88.636380000000003</v>
      </c>
      <c r="D217" s="592">
        <v>25.636379999999999</v>
      </c>
      <c r="E217" s="593">
        <v>1.4069266666660001</v>
      </c>
      <c r="F217" s="591">
        <v>54.653200164856003</v>
      </c>
      <c r="G217" s="592">
        <v>54.653200164856003</v>
      </c>
      <c r="H217" s="594">
        <v>32.02478</v>
      </c>
      <c r="I217" s="591">
        <v>122.38839</v>
      </c>
      <c r="J217" s="592">
        <v>67.735189835143004</v>
      </c>
      <c r="K217" s="595">
        <v>2.239363653561</v>
      </c>
    </row>
    <row r="218" spans="1:11" ht="14.4" customHeight="1" thickBot="1" x14ac:dyDescent="0.35">
      <c r="A218" s="612" t="s">
        <v>511</v>
      </c>
      <c r="B218" s="596">
        <v>0</v>
      </c>
      <c r="C218" s="596">
        <v>82.253</v>
      </c>
      <c r="D218" s="597">
        <v>82.253</v>
      </c>
      <c r="E218" s="598" t="s">
        <v>302</v>
      </c>
      <c r="F218" s="596">
        <v>0</v>
      </c>
      <c r="G218" s="597">
        <v>0</v>
      </c>
      <c r="H218" s="599">
        <v>45.037799999999997</v>
      </c>
      <c r="I218" s="596">
        <v>66.540800000000004</v>
      </c>
      <c r="J218" s="597">
        <v>66.540800000000004</v>
      </c>
      <c r="K218" s="600" t="s">
        <v>302</v>
      </c>
    </row>
    <row r="219" spans="1:11" ht="14.4" customHeight="1" thickBot="1" x14ac:dyDescent="0.35">
      <c r="A219" s="613" t="s">
        <v>512</v>
      </c>
      <c r="B219" s="591">
        <v>0</v>
      </c>
      <c r="C219" s="591">
        <v>82.253</v>
      </c>
      <c r="D219" s="592">
        <v>82.253</v>
      </c>
      <c r="E219" s="601" t="s">
        <v>302</v>
      </c>
      <c r="F219" s="591">
        <v>0</v>
      </c>
      <c r="G219" s="592">
        <v>0</v>
      </c>
      <c r="H219" s="594">
        <v>45.037799999999997</v>
      </c>
      <c r="I219" s="591">
        <v>66.540800000000004</v>
      </c>
      <c r="J219" s="592">
        <v>66.540800000000004</v>
      </c>
      <c r="K219" s="602" t="s">
        <v>302</v>
      </c>
    </row>
    <row r="220" spans="1:11" ht="14.4" customHeight="1" thickBot="1" x14ac:dyDescent="0.35">
      <c r="A220" s="610" t="s">
        <v>513</v>
      </c>
      <c r="B220" s="591">
        <v>29.422690984669</v>
      </c>
      <c r="C220" s="591">
        <v>154.191</v>
      </c>
      <c r="D220" s="592">
        <v>124.768309015331</v>
      </c>
      <c r="E220" s="593">
        <v>5.2405471709000002</v>
      </c>
      <c r="F220" s="591">
        <v>102.72682677580799</v>
      </c>
      <c r="G220" s="592">
        <v>102.72682677580799</v>
      </c>
      <c r="H220" s="594">
        <v>2.0630000000000002</v>
      </c>
      <c r="I220" s="591">
        <v>230.48408000000001</v>
      </c>
      <c r="J220" s="592">
        <v>127.757253224192</v>
      </c>
      <c r="K220" s="595">
        <v>2.2436600762809999</v>
      </c>
    </row>
    <row r="221" spans="1:11" ht="14.4" customHeight="1" thickBot="1" x14ac:dyDescent="0.35">
      <c r="A221" s="616" t="s">
        <v>514</v>
      </c>
      <c r="B221" s="596">
        <v>29.422690984669</v>
      </c>
      <c r="C221" s="596">
        <v>154.191</v>
      </c>
      <c r="D221" s="597">
        <v>124.768309015331</v>
      </c>
      <c r="E221" s="603">
        <v>5.2405471709000002</v>
      </c>
      <c r="F221" s="596">
        <v>102.72682677580799</v>
      </c>
      <c r="G221" s="597">
        <v>102.72682677580799</v>
      </c>
      <c r="H221" s="599">
        <v>2.0630000000000002</v>
      </c>
      <c r="I221" s="596">
        <v>230.48408000000001</v>
      </c>
      <c r="J221" s="597">
        <v>127.757253224192</v>
      </c>
      <c r="K221" s="604">
        <v>2.2436600762809999</v>
      </c>
    </row>
    <row r="222" spans="1:11" ht="14.4" customHeight="1" thickBot="1" x14ac:dyDescent="0.35">
      <c r="A222" s="612" t="s">
        <v>515</v>
      </c>
      <c r="B222" s="596">
        <v>0</v>
      </c>
      <c r="C222" s="596">
        <v>129.44399999999999</v>
      </c>
      <c r="D222" s="597">
        <v>129.44399999999999</v>
      </c>
      <c r="E222" s="598" t="s">
        <v>302</v>
      </c>
      <c r="F222" s="596">
        <v>79.585702606208002</v>
      </c>
      <c r="G222" s="597">
        <v>79.585702606208002</v>
      </c>
      <c r="H222" s="599">
        <v>0</v>
      </c>
      <c r="I222" s="596">
        <v>205.73808</v>
      </c>
      <c r="J222" s="597">
        <v>126.152377393791</v>
      </c>
      <c r="K222" s="604">
        <v>2.5851135726969998</v>
      </c>
    </row>
    <row r="223" spans="1:11" ht="14.4" customHeight="1" thickBot="1" x14ac:dyDescent="0.35">
      <c r="A223" s="613" t="s">
        <v>516</v>
      </c>
      <c r="B223" s="591">
        <v>0</v>
      </c>
      <c r="C223" s="591">
        <v>129.44399999999999</v>
      </c>
      <c r="D223" s="592">
        <v>129.44399999999999</v>
      </c>
      <c r="E223" s="601" t="s">
        <v>313</v>
      </c>
      <c r="F223" s="591">
        <v>79.585702606208002</v>
      </c>
      <c r="G223" s="592">
        <v>79.585702606208002</v>
      </c>
      <c r="H223" s="594">
        <v>0</v>
      </c>
      <c r="I223" s="591">
        <v>125.33808000000001</v>
      </c>
      <c r="J223" s="592">
        <v>45.752377393791001</v>
      </c>
      <c r="K223" s="595">
        <v>1.5748818681679999</v>
      </c>
    </row>
    <row r="224" spans="1:11" ht="14.4" customHeight="1" thickBot="1" x14ac:dyDescent="0.35">
      <c r="A224" s="613" t="s">
        <v>517</v>
      </c>
      <c r="B224" s="591">
        <v>0</v>
      </c>
      <c r="C224" s="591">
        <v>0</v>
      </c>
      <c r="D224" s="592">
        <v>0</v>
      </c>
      <c r="E224" s="601" t="s">
        <v>302</v>
      </c>
      <c r="F224" s="591">
        <v>0</v>
      </c>
      <c r="G224" s="592">
        <v>0</v>
      </c>
      <c r="H224" s="594">
        <v>0</v>
      </c>
      <c r="I224" s="591">
        <v>80.400000000000006</v>
      </c>
      <c r="J224" s="592">
        <v>80.400000000000006</v>
      </c>
      <c r="K224" s="602" t="s">
        <v>313</v>
      </c>
    </row>
    <row r="225" spans="1:11" ht="14.4" customHeight="1" thickBot="1" x14ac:dyDescent="0.35">
      <c r="A225" s="615" t="s">
        <v>518</v>
      </c>
      <c r="B225" s="591">
        <v>29.422690984669</v>
      </c>
      <c r="C225" s="591">
        <v>24.747</v>
      </c>
      <c r="D225" s="592">
        <v>-4.675690984669</v>
      </c>
      <c r="E225" s="593">
        <v>0.84108554220499998</v>
      </c>
      <c r="F225" s="591">
        <v>23.141124169598999</v>
      </c>
      <c r="G225" s="592">
        <v>23.141124169598999</v>
      </c>
      <c r="H225" s="594">
        <v>2.0630000000000002</v>
      </c>
      <c r="I225" s="591">
        <v>24.745999999999999</v>
      </c>
      <c r="J225" s="592">
        <v>1.6048758303999999</v>
      </c>
      <c r="K225" s="595">
        <v>1.06935167966</v>
      </c>
    </row>
    <row r="226" spans="1:11" ht="14.4" customHeight="1" thickBot="1" x14ac:dyDescent="0.35">
      <c r="A226" s="613" t="s">
        <v>519</v>
      </c>
      <c r="B226" s="591">
        <v>29.422690984669</v>
      </c>
      <c r="C226" s="591">
        <v>24.747</v>
      </c>
      <c r="D226" s="592">
        <v>-4.675690984669</v>
      </c>
      <c r="E226" s="593">
        <v>0.84108554220499998</v>
      </c>
      <c r="F226" s="591">
        <v>23.141124169598999</v>
      </c>
      <c r="G226" s="592">
        <v>23.141124169598999</v>
      </c>
      <c r="H226" s="594">
        <v>2.0630000000000002</v>
      </c>
      <c r="I226" s="591">
        <v>24.745999999999999</v>
      </c>
      <c r="J226" s="592">
        <v>1.6048758303999999</v>
      </c>
      <c r="K226" s="595">
        <v>1.06935167966</v>
      </c>
    </row>
    <row r="227" spans="1:11" ht="14.4" customHeight="1" thickBot="1" x14ac:dyDescent="0.35">
      <c r="A227" s="609" t="s">
        <v>520</v>
      </c>
      <c r="B227" s="591">
        <v>6076.8037259481498</v>
      </c>
      <c r="C227" s="591">
        <v>7834.17011000001</v>
      </c>
      <c r="D227" s="592">
        <v>1757.36638405186</v>
      </c>
      <c r="E227" s="593">
        <v>1.289192553076</v>
      </c>
      <c r="F227" s="591">
        <v>6417.9805649107302</v>
      </c>
      <c r="G227" s="592">
        <v>6417.9805649107302</v>
      </c>
      <c r="H227" s="594">
        <v>748.51049999999998</v>
      </c>
      <c r="I227" s="591">
        <v>8182.6664700000001</v>
      </c>
      <c r="J227" s="592">
        <v>1764.6859050892699</v>
      </c>
      <c r="K227" s="595">
        <v>1.274959683539</v>
      </c>
    </row>
    <row r="228" spans="1:11" ht="14.4" customHeight="1" thickBot="1" x14ac:dyDescent="0.35">
      <c r="A228" s="614" t="s">
        <v>521</v>
      </c>
      <c r="B228" s="596">
        <v>6076.8037259481498</v>
      </c>
      <c r="C228" s="596">
        <v>7834.17011000001</v>
      </c>
      <c r="D228" s="597">
        <v>1757.36638405186</v>
      </c>
      <c r="E228" s="603">
        <v>1.289192553076</v>
      </c>
      <c r="F228" s="596">
        <v>6417.9805649107302</v>
      </c>
      <c r="G228" s="597">
        <v>6417.9805649107302</v>
      </c>
      <c r="H228" s="599">
        <v>748.51049999999998</v>
      </c>
      <c r="I228" s="596">
        <v>8182.6664700000001</v>
      </c>
      <c r="J228" s="597">
        <v>1764.6859050892699</v>
      </c>
      <c r="K228" s="604">
        <v>1.274959683539</v>
      </c>
    </row>
    <row r="229" spans="1:11" ht="14.4" customHeight="1" thickBot="1" x14ac:dyDescent="0.35">
      <c r="A229" s="616" t="s">
        <v>47</v>
      </c>
      <c r="B229" s="596">
        <v>6076.8037259481498</v>
      </c>
      <c r="C229" s="596">
        <v>7834.17011000001</v>
      </c>
      <c r="D229" s="597">
        <v>1757.36638405186</v>
      </c>
      <c r="E229" s="603">
        <v>1.289192553076</v>
      </c>
      <c r="F229" s="596">
        <v>6417.9805649107302</v>
      </c>
      <c r="G229" s="597">
        <v>6417.9805649107302</v>
      </c>
      <c r="H229" s="599">
        <v>748.51049999999998</v>
      </c>
      <c r="I229" s="596">
        <v>8182.6664700000001</v>
      </c>
      <c r="J229" s="597">
        <v>1764.6859050892699</v>
      </c>
      <c r="K229" s="604">
        <v>1.274959683539</v>
      </c>
    </row>
    <row r="230" spans="1:11" ht="14.4" customHeight="1" thickBot="1" x14ac:dyDescent="0.35">
      <c r="A230" s="612" t="s">
        <v>522</v>
      </c>
      <c r="B230" s="596">
        <v>77.694224087486006</v>
      </c>
      <c r="C230" s="596">
        <v>93.231250000000003</v>
      </c>
      <c r="D230" s="597">
        <v>15.537025912513</v>
      </c>
      <c r="E230" s="603">
        <v>1.1999765889289999</v>
      </c>
      <c r="F230" s="596">
        <v>95.140157598238005</v>
      </c>
      <c r="G230" s="597">
        <v>95.140157598238005</v>
      </c>
      <c r="H230" s="599">
        <v>6.8150000000000004</v>
      </c>
      <c r="I230" s="596">
        <v>85.007999999999996</v>
      </c>
      <c r="J230" s="597">
        <v>-10.132157598238001</v>
      </c>
      <c r="K230" s="604">
        <v>0.89350282936199998</v>
      </c>
    </row>
    <row r="231" spans="1:11" ht="14.4" customHeight="1" thickBot="1" x14ac:dyDescent="0.35">
      <c r="A231" s="613" t="s">
        <v>523</v>
      </c>
      <c r="B231" s="591">
        <v>77.694224087486006</v>
      </c>
      <c r="C231" s="591">
        <v>93.231250000000003</v>
      </c>
      <c r="D231" s="592">
        <v>15.537025912513</v>
      </c>
      <c r="E231" s="593">
        <v>1.1999765889289999</v>
      </c>
      <c r="F231" s="591">
        <v>95.140157598238005</v>
      </c>
      <c r="G231" s="592">
        <v>95.140157598238005</v>
      </c>
      <c r="H231" s="594">
        <v>6.8150000000000004</v>
      </c>
      <c r="I231" s="591">
        <v>85.007999999999996</v>
      </c>
      <c r="J231" s="592">
        <v>-10.132157598238001</v>
      </c>
      <c r="K231" s="595">
        <v>0.89350282936199998</v>
      </c>
    </row>
    <row r="232" spans="1:11" ht="14.4" customHeight="1" thickBot="1" x14ac:dyDescent="0.35">
      <c r="A232" s="612" t="s">
        <v>524</v>
      </c>
      <c r="B232" s="596">
        <v>59.963499265674997</v>
      </c>
      <c r="C232" s="596">
        <v>75.321200000000005</v>
      </c>
      <c r="D232" s="597">
        <v>15.357700734325</v>
      </c>
      <c r="E232" s="603">
        <v>1.2561174868439999</v>
      </c>
      <c r="F232" s="596">
        <v>87.005825730732994</v>
      </c>
      <c r="G232" s="597">
        <v>87.005825730732994</v>
      </c>
      <c r="H232" s="599">
        <v>4.8328199999999999</v>
      </c>
      <c r="I232" s="596">
        <v>76.46754</v>
      </c>
      <c r="J232" s="597">
        <v>-10.538285730733</v>
      </c>
      <c r="K232" s="604">
        <v>0.87887838955300002</v>
      </c>
    </row>
    <row r="233" spans="1:11" ht="14.4" customHeight="1" thickBot="1" x14ac:dyDescent="0.35">
      <c r="A233" s="613" t="s">
        <v>525</v>
      </c>
      <c r="B233" s="591">
        <v>24.590413094310001</v>
      </c>
      <c r="C233" s="591">
        <v>31.161999999999999</v>
      </c>
      <c r="D233" s="592">
        <v>6.5715869056890002</v>
      </c>
      <c r="E233" s="593">
        <v>1.2672418263359999</v>
      </c>
      <c r="F233" s="591">
        <v>16.179514259771</v>
      </c>
      <c r="G233" s="592">
        <v>16.179514259771</v>
      </c>
      <c r="H233" s="594">
        <v>0.74</v>
      </c>
      <c r="I233" s="591">
        <v>13.914</v>
      </c>
      <c r="J233" s="592">
        <v>-2.2655142597709998</v>
      </c>
      <c r="K233" s="595">
        <v>0.85997637361599999</v>
      </c>
    </row>
    <row r="234" spans="1:11" ht="14.4" customHeight="1" thickBot="1" x14ac:dyDescent="0.35">
      <c r="A234" s="613" t="s">
        <v>526</v>
      </c>
      <c r="B234" s="591">
        <v>4.8727534148089999</v>
      </c>
      <c r="C234" s="591">
        <v>0</v>
      </c>
      <c r="D234" s="592">
        <v>-4.8727534148089999</v>
      </c>
      <c r="E234" s="593">
        <v>0</v>
      </c>
      <c r="F234" s="591">
        <v>1.374575619265</v>
      </c>
      <c r="G234" s="592">
        <v>1.374575619265</v>
      </c>
      <c r="H234" s="594">
        <v>0</v>
      </c>
      <c r="I234" s="591">
        <v>1.0230999999999999</v>
      </c>
      <c r="J234" s="592">
        <v>-0.35147561926499998</v>
      </c>
      <c r="K234" s="595">
        <v>0.74430244917800004</v>
      </c>
    </row>
    <row r="235" spans="1:11" ht="14.4" customHeight="1" thickBot="1" x14ac:dyDescent="0.35">
      <c r="A235" s="613" t="s">
        <v>527</v>
      </c>
      <c r="B235" s="591">
        <v>30.500332756555</v>
      </c>
      <c r="C235" s="591">
        <v>44.159199999999998</v>
      </c>
      <c r="D235" s="592">
        <v>13.658867243444</v>
      </c>
      <c r="E235" s="593">
        <v>1.447826827086</v>
      </c>
      <c r="F235" s="591">
        <v>69.451735851695005</v>
      </c>
      <c r="G235" s="592">
        <v>69.451735851695005</v>
      </c>
      <c r="H235" s="594">
        <v>4.0928199999999997</v>
      </c>
      <c r="I235" s="591">
        <v>61.530439999999999</v>
      </c>
      <c r="J235" s="592">
        <v>-7.9212958516949996</v>
      </c>
      <c r="K235" s="595">
        <v>0.88594531505100005</v>
      </c>
    </row>
    <row r="236" spans="1:11" ht="14.4" customHeight="1" thickBot="1" x14ac:dyDescent="0.35">
      <c r="A236" s="612" t="s">
        <v>528</v>
      </c>
      <c r="B236" s="596">
        <v>859.90845802579997</v>
      </c>
      <c r="C236" s="596">
        <v>883.14403000000095</v>
      </c>
      <c r="D236" s="597">
        <v>23.235571974199999</v>
      </c>
      <c r="E236" s="603">
        <v>1.0270209831720001</v>
      </c>
      <c r="F236" s="596">
        <v>836.55762799270099</v>
      </c>
      <c r="G236" s="597">
        <v>836.55762799270099</v>
      </c>
      <c r="H236" s="599">
        <v>71.722380000000001</v>
      </c>
      <c r="I236" s="596">
        <v>910.06523000000004</v>
      </c>
      <c r="J236" s="597">
        <v>73.507602007298999</v>
      </c>
      <c r="K236" s="604">
        <v>1.087869143197</v>
      </c>
    </row>
    <row r="237" spans="1:11" ht="14.4" customHeight="1" thickBot="1" x14ac:dyDescent="0.35">
      <c r="A237" s="613" t="s">
        <v>529</v>
      </c>
      <c r="B237" s="591">
        <v>859.90845802579997</v>
      </c>
      <c r="C237" s="591">
        <v>883.14403000000095</v>
      </c>
      <c r="D237" s="592">
        <v>23.235571974199999</v>
      </c>
      <c r="E237" s="593">
        <v>1.0270209831720001</v>
      </c>
      <c r="F237" s="591">
        <v>836.55762799270099</v>
      </c>
      <c r="G237" s="592">
        <v>836.55762799270099</v>
      </c>
      <c r="H237" s="594">
        <v>71.722380000000001</v>
      </c>
      <c r="I237" s="591">
        <v>910.06523000000004</v>
      </c>
      <c r="J237" s="592">
        <v>73.507602007298999</v>
      </c>
      <c r="K237" s="595">
        <v>1.087869143197</v>
      </c>
    </row>
    <row r="238" spans="1:11" ht="14.4" customHeight="1" thickBot="1" x14ac:dyDescent="0.35">
      <c r="A238" s="612" t="s">
        <v>530</v>
      </c>
      <c r="B238" s="596">
        <v>0</v>
      </c>
      <c r="C238" s="596">
        <v>9.7279999999999998</v>
      </c>
      <c r="D238" s="597">
        <v>9.7279999999999998</v>
      </c>
      <c r="E238" s="598" t="s">
        <v>302</v>
      </c>
      <c r="F238" s="596">
        <v>0</v>
      </c>
      <c r="G238" s="597">
        <v>0</v>
      </c>
      <c r="H238" s="599">
        <v>0.92800000000000005</v>
      </c>
      <c r="I238" s="596">
        <v>10.023</v>
      </c>
      <c r="J238" s="597">
        <v>10.023</v>
      </c>
      <c r="K238" s="600" t="s">
        <v>313</v>
      </c>
    </row>
    <row r="239" spans="1:11" ht="14.4" customHeight="1" thickBot="1" x14ac:dyDescent="0.35">
      <c r="A239" s="613" t="s">
        <v>531</v>
      </c>
      <c r="B239" s="591">
        <v>0</v>
      </c>
      <c r="C239" s="591">
        <v>9.7279999999999998</v>
      </c>
      <c r="D239" s="592">
        <v>9.7279999999999998</v>
      </c>
      <c r="E239" s="601" t="s">
        <v>302</v>
      </c>
      <c r="F239" s="591">
        <v>0</v>
      </c>
      <c r="G239" s="592">
        <v>0</v>
      </c>
      <c r="H239" s="594">
        <v>0.92800000000000005</v>
      </c>
      <c r="I239" s="591">
        <v>10.023</v>
      </c>
      <c r="J239" s="592">
        <v>10.023</v>
      </c>
      <c r="K239" s="602" t="s">
        <v>313</v>
      </c>
    </row>
    <row r="240" spans="1:11" ht="14.4" customHeight="1" thickBot="1" x14ac:dyDescent="0.35">
      <c r="A240" s="612" t="s">
        <v>532</v>
      </c>
      <c r="B240" s="596">
        <v>563</v>
      </c>
      <c r="C240" s="596">
        <v>514.34069</v>
      </c>
      <c r="D240" s="597">
        <v>-48.659309999999003</v>
      </c>
      <c r="E240" s="603">
        <v>0.91357138543500005</v>
      </c>
      <c r="F240" s="596">
        <v>609.20637217425406</v>
      </c>
      <c r="G240" s="597">
        <v>609.20637217425406</v>
      </c>
      <c r="H240" s="599">
        <v>60.842750000000002</v>
      </c>
      <c r="I240" s="596">
        <v>582.88121999999998</v>
      </c>
      <c r="J240" s="597">
        <v>-26.325152174254001</v>
      </c>
      <c r="K240" s="604">
        <v>0.95678779248400003</v>
      </c>
    </row>
    <row r="241" spans="1:11" ht="14.4" customHeight="1" thickBot="1" x14ac:dyDescent="0.35">
      <c r="A241" s="613" t="s">
        <v>533</v>
      </c>
      <c r="B241" s="591">
        <v>563</v>
      </c>
      <c r="C241" s="591">
        <v>514.34069</v>
      </c>
      <c r="D241" s="592">
        <v>-48.659309999999003</v>
      </c>
      <c r="E241" s="593">
        <v>0.91357138543500005</v>
      </c>
      <c r="F241" s="591">
        <v>609.20637217425406</v>
      </c>
      <c r="G241" s="592">
        <v>609.20637217425406</v>
      </c>
      <c r="H241" s="594">
        <v>60.842750000000002</v>
      </c>
      <c r="I241" s="591">
        <v>582.88121999999998</v>
      </c>
      <c r="J241" s="592">
        <v>-26.325152174254001</v>
      </c>
      <c r="K241" s="595">
        <v>0.95678779248400003</v>
      </c>
    </row>
    <row r="242" spans="1:11" ht="14.4" customHeight="1" thickBot="1" x14ac:dyDescent="0.35">
      <c r="A242" s="612" t="s">
        <v>534</v>
      </c>
      <c r="B242" s="596">
        <v>0</v>
      </c>
      <c r="C242" s="596">
        <v>1431.7002</v>
      </c>
      <c r="D242" s="597">
        <v>1431.7002</v>
      </c>
      <c r="E242" s="598" t="s">
        <v>302</v>
      </c>
      <c r="F242" s="596">
        <v>0</v>
      </c>
      <c r="G242" s="597">
        <v>0</v>
      </c>
      <c r="H242" s="599">
        <v>104.28017</v>
      </c>
      <c r="I242" s="596">
        <v>1554.5283899999999</v>
      </c>
      <c r="J242" s="597">
        <v>1554.5283899999999</v>
      </c>
      <c r="K242" s="600" t="s">
        <v>313</v>
      </c>
    </row>
    <row r="243" spans="1:11" ht="14.4" customHeight="1" thickBot="1" x14ac:dyDescent="0.35">
      <c r="A243" s="613" t="s">
        <v>535</v>
      </c>
      <c r="B243" s="591">
        <v>0</v>
      </c>
      <c r="C243" s="591">
        <v>1431.7002</v>
      </c>
      <c r="D243" s="592">
        <v>1431.7002</v>
      </c>
      <c r="E243" s="601" t="s">
        <v>302</v>
      </c>
      <c r="F243" s="591">
        <v>0</v>
      </c>
      <c r="G243" s="592">
        <v>0</v>
      </c>
      <c r="H243" s="594">
        <v>104.28017</v>
      </c>
      <c r="I243" s="591">
        <v>1554.5283899999999</v>
      </c>
      <c r="J243" s="592">
        <v>1554.5283899999999</v>
      </c>
      <c r="K243" s="602" t="s">
        <v>313</v>
      </c>
    </row>
    <row r="244" spans="1:11" ht="14.4" customHeight="1" thickBot="1" x14ac:dyDescent="0.35">
      <c r="A244" s="612" t="s">
        <v>536</v>
      </c>
      <c r="B244" s="596">
        <v>4516.2375445691896</v>
      </c>
      <c r="C244" s="596">
        <v>4826.7047400000001</v>
      </c>
      <c r="D244" s="597">
        <v>310.46719543081798</v>
      </c>
      <c r="E244" s="603">
        <v>1.0687446557810001</v>
      </c>
      <c r="F244" s="596">
        <v>4790.0705814147996</v>
      </c>
      <c r="G244" s="597">
        <v>4790.0705814147996</v>
      </c>
      <c r="H244" s="599">
        <v>499.08938000000001</v>
      </c>
      <c r="I244" s="596">
        <v>4963.6930899999998</v>
      </c>
      <c r="J244" s="597">
        <v>173.62250858519701</v>
      </c>
      <c r="K244" s="604">
        <v>1.036246336172</v>
      </c>
    </row>
    <row r="245" spans="1:11" ht="14.4" customHeight="1" thickBot="1" x14ac:dyDescent="0.35">
      <c r="A245" s="613" t="s">
        <v>537</v>
      </c>
      <c r="B245" s="591">
        <v>4516.2375445691896</v>
      </c>
      <c r="C245" s="591">
        <v>4826.7047400000001</v>
      </c>
      <c r="D245" s="592">
        <v>310.46719543081798</v>
      </c>
      <c r="E245" s="593">
        <v>1.0687446557810001</v>
      </c>
      <c r="F245" s="591">
        <v>4790.0705814147996</v>
      </c>
      <c r="G245" s="592">
        <v>4790.0705814147996</v>
      </c>
      <c r="H245" s="594">
        <v>499.08938000000001</v>
      </c>
      <c r="I245" s="591">
        <v>4963.6930899999998</v>
      </c>
      <c r="J245" s="592">
        <v>173.62250858519701</v>
      </c>
      <c r="K245" s="595">
        <v>1.036246336172</v>
      </c>
    </row>
    <row r="246" spans="1:11" ht="14.4" customHeight="1" thickBot="1" x14ac:dyDescent="0.35">
      <c r="A246" s="617" t="s">
        <v>538</v>
      </c>
      <c r="B246" s="596">
        <v>0</v>
      </c>
      <c r="C246" s="596">
        <v>0.11987</v>
      </c>
      <c r="D246" s="597">
        <v>0.11987</v>
      </c>
      <c r="E246" s="598" t="s">
        <v>302</v>
      </c>
      <c r="F246" s="596">
        <v>0</v>
      </c>
      <c r="G246" s="597">
        <v>0</v>
      </c>
      <c r="H246" s="599">
        <v>6.8459999999999993E-2</v>
      </c>
      <c r="I246" s="596">
        <v>0.69433999999999996</v>
      </c>
      <c r="J246" s="597">
        <v>0.69433999999999996</v>
      </c>
      <c r="K246" s="600" t="s">
        <v>313</v>
      </c>
    </row>
    <row r="247" spans="1:11" ht="14.4" customHeight="1" thickBot="1" x14ac:dyDescent="0.35">
      <c r="A247" s="614" t="s">
        <v>539</v>
      </c>
      <c r="B247" s="596">
        <v>0</v>
      </c>
      <c r="C247" s="596">
        <v>0.11987</v>
      </c>
      <c r="D247" s="597">
        <v>0.11987</v>
      </c>
      <c r="E247" s="598" t="s">
        <v>302</v>
      </c>
      <c r="F247" s="596">
        <v>0</v>
      </c>
      <c r="G247" s="597">
        <v>0</v>
      </c>
      <c r="H247" s="599">
        <v>6.8459999999999993E-2</v>
      </c>
      <c r="I247" s="596">
        <v>0.69433999999999996</v>
      </c>
      <c r="J247" s="597">
        <v>0.69433999999999996</v>
      </c>
      <c r="K247" s="600" t="s">
        <v>313</v>
      </c>
    </row>
    <row r="248" spans="1:11" ht="14.4" customHeight="1" thickBot="1" x14ac:dyDescent="0.35">
      <c r="A248" s="616" t="s">
        <v>540</v>
      </c>
      <c r="B248" s="596">
        <v>0</v>
      </c>
      <c r="C248" s="596">
        <v>0.11987</v>
      </c>
      <c r="D248" s="597">
        <v>0.11987</v>
      </c>
      <c r="E248" s="598" t="s">
        <v>302</v>
      </c>
      <c r="F248" s="596">
        <v>0</v>
      </c>
      <c r="G248" s="597">
        <v>0</v>
      </c>
      <c r="H248" s="599">
        <v>6.8459999999999993E-2</v>
      </c>
      <c r="I248" s="596">
        <v>0.69433999999999996</v>
      </c>
      <c r="J248" s="597">
        <v>0.69433999999999996</v>
      </c>
      <c r="K248" s="600" t="s">
        <v>313</v>
      </c>
    </row>
    <row r="249" spans="1:11" ht="14.4" customHeight="1" thickBot="1" x14ac:dyDescent="0.35">
      <c r="A249" s="612" t="s">
        <v>541</v>
      </c>
      <c r="B249" s="596">
        <v>0</v>
      </c>
      <c r="C249" s="596">
        <v>0.11987</v>
      </c>
      <c r="D249" s="597">
        <v>0.11987</v>
      </c>
      <c r="E249" s="598" t="s">
        <v>313</v>
      </c>
      <c r="F249" s="596">
        <v>0</v>
      </c>
      <c r="G249" s="597">
        <v>0</v>
      </c>
      <c r="H249" s="599">
        <v>6.8459999999999993E-2</v>
      </c>
      <c r="I249" s="596">
        <v>0.69433999999999996</v>
      </c>
      <c r="J249" s="597">
        <v>0.69433999999999996</v>
      </c>
      <c r="K249" s="600" t="s">
        <v>313</v>
      </c>
    </row>
    <row r="250" spans="1:11" ht="14.4" customHeight="1" thickBot="1" x14ac:dyDescent="0.35">
      <c r="A250" s="613" t="s">
        <v>542</v>
      </c>
      <c r="B250" s="591">
        <v>0</v>
      </c>
      <c r="C250" s="591">
        <v>0.11987</v>
      </c>
      <c r="D250" s="592">
        <v>0.11987</v>
      </c>
      <c r="E250" s="601" t="s">
        <v>313</v>
      </c>
      <c r="F250" s="591">
        <v>0</v>
      </c>
      <c r="G250" s="592">
        <v>0</v>
      </c>
      <c r="H250" s="594">
        <v>6.8459999999999993E-2</v>
      </c>
      <c r="I250" s="591">
        <v>0.69433999999999996</v>
      </c>
      <c r="J250" s="592">
        <v>0.69433999999999996</v>
      </c>
      <c r="K250" s="602" t="s">
        <v>313</v>
      </c>
    </row>
    <row r="251" spans="1:11" ht="14.4" customHeight="1" thickBot="1" x14ac:dyDescent="0.35">
      <c r="A251" s="618"/>
      <c r="B251" s="591">
        <v>5909.5792596682704</v>
      </c>
      <c r="C251" s="591">
        <v>11621.18909</v>
      </c>
      <c r="D251" s="592">
        <v>5711.6098303317003</v>
      </c>
      <c r="E251" s="593">
        <v>1.9665002497399999</v>
      </c>
      <c r="F251" s="591">
        <v>4309.2032716379199</v>
      </c>
      <c r="G251" s="592">
        <v>4309.2032716379199</v>
      </c>
      <c r="H251" s="594">
        <v>51.495879999968999</v>
      </c>
      <c r="I251" s="591">
        <v>6847.0875599999599</v>
      </c>
      <c r="J251" s="592">
        <v>2537.88428836205</v>
      </c>
      <c r="K251" s="595">
        <v>1.5889451317050001</v>
      </c>
    </row>
    <row r="252" spans="1:11" ht="14.4" customHeight="1" thickBot="1" x14ac:dyDescent="0.35">
      <c r="A252" s="619" t="s">
        <v>59</v>
      </c>
      <c r="B252" s="605">
        <v>5909.5792596682704</v>
      </c>
      <c r="C252" s="605">
        <v>11621.18909</v>
      </c>
      <c r="D252" s="606">
        <v>5711.6098303317103</v>
      </c>
      <c r="E252" s="607" t="s">
        <v>302</v>
      </c>
      <c r="F252" s="605">
        <v>4309.2032716379199</v>
      </c>
      <c r="G252" s="606">
        <v>4309.2032716379199</v>
      </c>
      <c r="H252" s="605">
        <v>51.495879999968999</v>
      </c>
      <c r="I252" s="605">
        <v>6847.0875599999899</v>
      </c>
      <c r="J252" s="606">
        <v>2537.88428836206</v>
      </c>
      <c r="K252" s="608">
        <v>1.5889451317050001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7" customWidth="1"/>
    <col min="2" max="2" width="61.109375" style="327" customWidth="1"/>
    <col min="3" max="3" width="9.5546875" style="244" customWidth="1"/>
    <col min="4" max="4" width="9.5546875" style="328" customWidth="1"/>
    <col min="5" max="5" width="2.21875" style="328" customWidth="1"/>
    <col min="6" max="6" width="9.5546875" style="329" customWidth="1"/>
    <col min="7" max="7" width="9.5546875" style="326" customWidth="1"/>
    <col min="8" max="9" width="9.5546875" style="244" customWidth="1"/>
    <col min="10" max="10" width="0" style="244" hidden="1" customWidth="1"/>
    <col min="11" max="16384" width="8.88671875" style="244"/>
  </cols>
  <sheetData>
    <row r="1" spans="1:10" ht="18.600000000000001" customHeight="1" thickBot="1" x14ac:dyDescent="0.4">
      <c r="A1" s="493" t="s">
        <v>168</v>
      </c>
      <c r="B1" s="494"/>
      <c r="C1" s="494"/>
      <c r="D1" s="494"/>
      <c r="E1" s="494"/>
      <c r="F1" s="494"/>
      <c r="G1" s="465"/>
      <c r="H1" s="495"/>
      <c r="I1" s="495"/>
    </row>
    <row r="2" spans="1:10" ht="14.4" customHeight="1" thickBot="1" x14ac:dyDescent="0.35">
      <c r="A2" s="368" t="s">
        <v>301</v>
      </c>
      <c r="B2" s="325"/>
      <c r="C2" s="325"/>
      <c r="D2" s="325"/>
      <c r="E2" s="325"/>
      <c r="F2" s="325"/>
    </row>
    <row r="3" spans="1:10" ht="14.4" customHeight="1" thickBot="1" x14ac:dyDescent="0.35">
      <c r="A3" s="368"/>
      <c r="B3" s="325"/>
      <c r="C3" s="426">
        <v>2014</v>
      </c>
      <c r="D3" s="427">
        <v>2015</v>
      </c>
      <c r="E3" s="11"/>
      <c r="F3" s="488">
        <v>2016</v>
      </c>
      <c r="G3" s="489"/>
      <c r="H3" s="489"/>
      <c r="I3" s="490"/>
    </row>
    <row r="4" spans="1:10" ht="14.4" customHeight="1" thickBot="1" x14ac:dyDescent="0.35">
      <c r="A4" s="431" t="s">
        <v>0</v>
      </c>
      <c r="B4" s="432" t="s">
        <v>247</v>
      </c>
      <c r="C4" s="491" t="s">
        <v>87</v>
      </c>
      <c r="D4" s="492"/>
      <c r="E4" s="433"/>
      <c r="F4" s="428" t="s">
        <v>87</v>
      </c>
      <c r="G4" s="429" t="s">
        <v>88</v>
      </c>
      <c r="H4" s="429" t="s">
        <v>62</v>
      </c>
      <c r="I4" s="430" t="s">
        <v>89</v>
      </c>
    </row>
    <row r="5" spans="1:10" ht="14.4" customHeight="1" x14ac:dyDescent="0.3">
      <c r="A5" s="620" t="s">
        <v>543</v>
      </c>
      <c r="B5" s="621" t="s">
        <v>544</v>
      </c>
      <c r="C5" s="622" t="s">
        <v>545</v>
      </c>
      <c r="D5" s="622" t="s">
        <v>545</v>
      </c>
      <c r="E5" s="622"/>
      <c r="F5" s="622" t="s">
        <v>545</v>
      </c>
      <c r="G5" s="622" t="s">
        <v>545</v>
      </c>
      <c r="H5" s="622" t="s">
        <v>545</v>
      </c>
      <c r="I5" s="623" t="s">
        <v>545</v>
      </c>
      <c r="J5" s="624" t="s">
        <v>67</v>
      </c>
    </row>
    <row r="6" spans="1:10" ht="14.4" customHeight="1" x14ac:dyDescent="0.3">
      <c r="A6" s="620" t="s">
        <v>543</v>
      </c>
      <c r="B6" s="621" t="s">
        <v>310</v>
      </c>
      <c r="C6" s="622">
        <v>1535.4266600000001</v>
      </c>
      <c r="D6" s="622">
        <v>1818.6002700000001</v>
      </c>
      <c r="E6" s="622"/>
      <c r="F6" s="622">
        <v>2069.1677799999998</v>
      </c>
      <c r="G6" s="622">
        <v>1979.979032150555</v>
      </c>
      <c r="H6" s="622">
        <v>89.188747849444781</v>
      </c>
      <c r="I6" s="623">
        <v>1.0450452991679273</v>
      </c>
      <c r="J6" s="624" t="s">
        <v>1</v>
      </c>
    </row>
    <row r="7" spans="1:10" ht="14.4" customHeight="1" x14ac:dyDescent="0.3">
      <c r="A7" s="620" t="s">
        <v>543</v>
      </c>
      <c r="B7" s="621" t="s">
        <v>311</v>
      </c>
      <c r="C7" s="622" t="s">
        <v>545</v>
      </c>
      <c r="D7" s="622">
        <v>103.71765000000001</v>
      </c>
      <c r="E7" s="622"/>
      <c r="F7" s="622">
        <v>63.282999999998999</v>
      </c>
      <c r="G7" s="622">
        <v>125.00001128493599</v>
      </c>
      <c r="H7" s="622">
        <v>-61.717011284936994</v>
      </c>
      <c r="I7" s="623">
        <v>0.50626395429474147</v>
      </c>
      <c r="J7" s="624" t="s">
        <v>1</v>
      </c>
    </row>
    <row r="8" spans="1:10" ht="14.4" customHeight="1" x14ac:dyDescent="0.3">
      <c r="A8" s="620" t="s">
        <v>543</v>
      </c>
      <c r="B8" s="621" t="s">
        <v>312</v>
      </c>
      <c r="C8" s="622" t="s">
        <v>545</v>
      </c>
      <c r="D8" s="622">
        <v>59.692889999999998</v>
      </c>
      <c r="E8" s="622"/>
      <c r="F8" s="622">
        <v>171.30408</v>
      </c>
      <c r="G8" s="622">
        <v>27.000022560405995</v>
      </c>
      <c r="H8" s="622">
        <v>144.304057439594</v>
      </c>
      <c r="I8" s="623">
        <v>6.3445902542025179</v>
      </c>
      <c r="J8" s="624" t="s">
        <v>1</v>
      </c>
    </row>
    <row r="9" spans="1:10" ht="14.4" customHeight="1" x14ac:dyDescent="0.3">
      <c r="A9" s="620" t="s">
        <v>543</v>
      </c>
      <c r="B9" s="621" t="s">
        <v>314</v>
      </c>
      <c r="C9" s="622">
        <v>118.41521999999901</v>
      </c>
      <c r="D9" s="622">
        <v>20.559059999999988</v>
      </c>
      <c r="E9" s="622"/>
      <c r="F9" s="622">
        <v>70.193069999999011</v>
      </c>
      <c r="G9" s="622">
        <v>98.203018580404006</v>
      </c>
      <c r="H9" s="622">
        <v>-28.009948580404995</v>
      </c>
      <c r="I9" s="623">
        <v>0.71477507529494355</v>
      </c>
      <c r="J9" s="624" t="s">
        <v>1</v>
      </c>
    </row>
    <row r="10" spans="1:10" ht="14.4" customHeight="1" x14ac:dyDescent="0.3">
      <c r="A10" s="620" t="s">
        <v>543</v>
      </c>
      <c r="B10" s="621" t="s">
        <v>315</v>
      </c>
      <c r="C10" s="622">
        <v>20.892779999999998</v>
      </c>
      <c r="D10" s="622">
        <v>25.319700000000001</v>
      </c>
      <c r="E10" s="622"/>
      <c r="F10" s="622">
        <v>29.309809999999999</v>
      </c>
      <c r="G10" s="622">
        <v>30.000002708384002</v>
      </c>
      <c r="H10" s="622">
        <v>-0.69019270838400359</v>
      </c>
      <c r="I10" s="623">
        <v>0.97699357846420731</v>
      </c>
      <c r="J10" s="624" t="s">
        <v>1</v>
      </c>
    </row>
    <row r="11" spans="1:10" ht="14.4" customHeight="1" x14ac:dyDescent="0.3">
      <c r="A11" s="620" t="s">
        <v>543</v>
      </c>
      <c r="B11" s="621" t="s">
        <v>316</v>
      </c>
      <c r="C11" s="622">
        <v>132.61711</v>
      </c>
      <c r="D11" s="622">
        <v>126.76953</v>
      </c>
      <c r="E11" s="622"/>
      <c r="F11" s="622">
        <v>92.456389999997981</v>
      </c>
      <c r="G11" s="622">
        <v>130.00001173633302</v>
      </c>
      <c r="H11" s="622">
        <v>-37.543621736335041</v>
      </c>
      <c r="I11" s="623">
        <v>0.7112029357929498</v>
      </c>
      <c r="J11" s="624" t="s">
        <v>1</v>
      </c>
    </row>
    <row r="12" spans="1:10" ht="14.4" customHeight="1" x14ac:dyDescent="0.3">
      <c r="A12" s="620" t="s">
        <v>543</v>
      </c>
      <c r="B12" s="621" t="s">
        <v>317</v>
      </c>
      <c r="C12" s="622">
        <v>8.4018800000000002</v>
      </c>
      <c r="D12" s="622">
        <v>10.291929999999999</v>
      </c>
      <c r="E12" s="622"/>
      <c r="F12" s="622">
        <v>10.350579999998999</v>
      </c>
      <c r="G12" s="622">
        <v>12.99957343504</v>
      </c>
      <c r="H12" s="622">
        <v>-2.6489934350410014</v>
      </c>
      <c r="I12" s="623">
        <v>0.79622458780834215</v>
      </c>
      <c r="J12" s="624" t="s">
        <v>1</v>
      </c>
    </row>
    <row r="13" spans="1:10" ht="14.4" customHeight="1" x14ac:dyDescent="0.3">
      <c r="A13" s="620" t="s">
        <v>543</v>
      </c>
      <c r="B13" s="621" t="s">
        <v>318</v>
      </c>
      <c r="C13" s="622" t="s">
        <v>545</v>
      </c>
      <c r="D13" s="622" t="s">
        <v>545</v>
      </c>
      <c r="E13" s="622"/>
      <c r="F13" s="622">
        <v>4803.458230000002</v>
      </c>
      <c r="G13" s="622">
        <v>5000</v>
      </c>
      <c r="H13" s="622">
        <v>-196.541769999998</v>
      </c>
      <c r="I13" s="623">
        <v>0.96069164600000045</v>
      </c>
      <c r="J13" s="624" t="s">
        <v>1</v>
      </c>
    </row>
    <row r="14" spans="1:10" ht="14.4" customHeight="1" x14ac:dyDescent="0.3">
      <c r="A14" s="620" t="s">
        <v>543</v>
      </c>
      <c r="B14" s="621" t="s">
        <v>319</v>
      </c>
      <c r="C14" s="622">
        <v>434.43230999999992</v>
      </c>
      <c r="D14" s="622">
        <v>301.101869999999</v>
      </c>
      <c r="E14" s="622"/>
      <c r="F14" s="622">
        <v>288.20346999999902</v>
      </c>
      <c r="G14" s="622">
        <v>315.00002843803799</v>
      </c>
      <c r="H14" s="622">
        <v>-26.796558438038971</v>
      </c>
      <c r="I14" s="623">
        <v>0.91493156819409627</v>
      </c>
      <c r="J14" s="624" t="s">
        <v>1</v>
      </c>
    </row>
    <row r="15" spans="1:10" ht="14.4" customHeight="1" x14ac:dyDescent="0.3">
      <c r="A15" s="620" t="s">
        <v>543</v>
      </c>
      <c r="B15" s="621" t="s">
        <v>546</v>
      </c>
      <c r="C15" s="622">
        <v>2250.1859599999989</v>
      </c>
      <c r="D15" s="622">
        <v>2466.0528999999992</v>
      </c>
      <c r="E15" s="622"/>
      <c r="F15" s="622">
        <v>7597.7264099999957</v>
      </c>
      <c r="G15" s="622">
        <v>7718.1817008940952</v>
      </c>
      <c r="H15" s="622">
        <v>-120.45529089409956</v>
      </c>
      <c r="I15" s="623">
        <v>0.98439330718527318</v>
      </c>
      <c r="J15" s="624" t="s">
        <v>547</v>
      </c>
    </row>
    <row r="17" spans="1:10" ht="14.4" customHeight="1" x14ac:dyDescent="0.3">
      <c r="A17" s="620" t="s">
        <v>543</v>
      </c>
      <c r="B17" s="621" t="s">
        <v>544</v>
      </c>
      <c r="C17" s="622" t="s">
        <v>545</v>
      </c>
      <c r="D17" s="622" t="s">
        <v>545</v>
      </c>
      <c r="E17" s="622"/>
      <c r="F17" s="622" t="s">
        <v>545</v>
      </c>
      <c r="G17" s="622" t="s">
        <v>545</v>
      </c>
      <c r="H17" s="622" t="s">
        <v>545</v>
      </c>
      <c r="I17" s="623" t="s">
        <v>545</v>
      </c>
      <c r="J17" s="624" t="s">
        <v>67</v>
      </c>
    </row>
    <row r="18" spans="1:10" ht="14.4" customHeight="1" x14ac:dyDescent="0.3">
      <c r="A18" s="620" t="s">
        <v>548</v>
      </c>
      <c r="B18" s="621" t="s">
        <v>549</v>
      </c>
      <c r="C18" s="622" t="s">
        <v>545</v>
      </c>
      <c r="D18" s="622" t="s">
        <v>545</v>
      </c>
      <c r="E18" s="622"/>
      <c r="F18" s="622" t="s">
        <v>545</v>
      </c>
      <c r="G18" s="622" t="s">
        <v>545</v>
      </c>
      <c r="H18" s="622" t="s">
        <v>545</v>
      </c>
      <c r="I18" s="623" t="s">
        <v>545</v>
      </c>
      <c r="J18" s="624" t="s">
        <v>0</v>
      </c>
    </row>
    <row r="19" spans="1:10" ht="14.4" customHeight="1" x14ac:dyDescent="0.3">
      <c r="A19" s="620" t="s">
        <v>548</v>
      </c>
      <c r="B19" s="621" t="s">
        <v>310</v>
      </c>
      <c r="C19" s="622">
        <v>174.16654</v>
      </c>
      <c r="D19" s="622">
        <v>183.39627999999999</v>
      </c>
      <c r="E19" s="622"/>
      <c r="F19" s="622">
        <v>214.51696999999999</v>
      </c>
      <c r="G19" s="622">
        <v>209.81774270020799</v>
      </c>
      <c r="H19" s="622">
        <v>4.6992272997919997</v>
      </c>
      <c r="I19" s="623">
        <v>1.0223967107801095</v>
      </c>
      <c r="J19" s="624" t="s">
        <v>1</v>
      </c>
    </row>
    <row r="20" spans="1:10" ht="14.4" customHeight="1" x14ac:dyDescent="0.3">
      <c r="A20" s="620" t="s">
        <v>548</v>
      </c>
      <c r="B20" s="621" t="s">
        <v>314</v>
      </c>
      <c r="C20" s="622">
        <v>0</v>
      </c>
      <c r="D20" s="622">
        <v>3.7425600000000001</v>
      </c>
      <c r="E20" s="622"/>
      <c r="F20" s="622">
        <v>1.8262</v>
      </c>
      <c r="G20" s="622">
        <v>5.9039932783599998</v>
      </c>
      <c r="H20" s="622">
        <v>-4.0777932783599997</v>
      </c>
      <c r="I20" s="623">
        <v>0.30931607031017461</v>
      </c>
      <c r="J20" s="624" t="s">
        <v>1</v>
      </c>
    </row>
    <row r="21" spans="1:10" ht="14.4" customHeight="1" x14ac:dyDescent="0.3">
      <c r="A21" s="620" t="s">
        <v>548</v>
      </c>
      <c r="B21" s="621" t="s">
        <v>315</v>
      </c>
      <c r="C21" s="622" t="s">
        <v>545</v>
      </c>
      <c r="D21" s="622">
        <v>5.2437000000000005</v>
      </c>
      <c r="E21" s="622"/>
      <c r="F21" s="622">
        <v>0</v>
      </c>
      <c r="G21" s="622">
        <v>6.2833473078539992</v>
      </c>
      <c r="H21" s="622">
        <v>-6.2833473078539992</v>
      </c>
      <c r="I21" s="623">
        <v>0</v>
      </c>
      <c r="J21" s="624" t="s">
        <v>1</v>
      </c>
    </row>
    <row r="22" spans="1:10" ht="14.4" customHeight="1" x14ac:dyDescent="0.3">
      <c r="A22" s="620" t="s">
        <v>548</v>
      </c>
      <c r="B22" s="621" t="s">
        <v>316</v>
      </c>
      <c r="C22" s="622">
        <v>10.306839999999998</v>
      </c>
      <c r="D22" s="622">
        <v>12.09892</v>
      </c>
      <c r="E22" s="622"/>
      <c r="F22" s="622">
        <v>11.815869999998998</v>
      </c>
      <c r="G22" s="622">
        <v>10.893999646621999</v>
      </c>
      <c r="H22" s="622">
        <v>0.92187035337699896</v>
      </c>
      <c r="I22" s="623">
        <v>1.0846218453534513</v>
      </c>
      <c r="J22" s="624" t="s">
        <v>1</v>
      </c>
    </row>
    <row r="23" spans="1:10" ht="14.4" customHeight="1" x14ac:dyDescent="0.3">
      <c r="A23" s="620" t="s">
        <v>548</v>
      </c>
      <c r="B23" s="621" t="s">
        <v>317</v>
      </c>
      <c r="C23" s="622">
        <v>2.4072</v>
      </c>
      <c r="D23" s="622">
        <v>3.7740499999999999</v>
      </c>
      <c r="E23" s="622"/>
      <c r="F23" s="622">
        <v>4.0947899999999997</v>
      </c>
      <c r="G23" s="622">
        <v>4.1400652012229999</v>
      </c>
      <c r="H23" s="622">
        <v>-4.5275201223000217E-2</v>
      </c>
      <c r="I23" s="623">
        <v>0.98906413328717002</v>
      </c>
      <c r="J23" s="624" t="s">
        <v>1</v>
      </c>
    </row>
    <row r="24" spans="1:10" ht="14.4" customHeight="1" x14ac:dyDescent="0.3">
      <c r="A24" s="620" t="s">
        <v>548</v>
      </c>
      <c r="B24" s="621" t="s">
        <v>319</v>
      </c>
      <c r="C24" s="622">
        <v>138.33597</v>
      </c>
      <c r="D24" s="622">
        <v>133.87880999999999</v>
      </c>
      <c r="E24" s="622"/>
      <c r="F24" s="622">
        <v>125.54935999999901</v>
      </c>
      <c r="G24" s="622">
        <v>141.543275633783</v>
      </c>
      <c r="H24" s="622">
        <v>-15.993915633783985</v>
      </c>
      <c r="I24" s="623">
        <v>0.88700335242229889</v>
      </c>
      <c r="J24" s="624" t="s">
        <v>1</v>
      </c>
    </row>
    <row r="25" spans="1:10" ht="14.4" customHeight="1" x14ac:dyDescent="0.3">
      <c r="A25" s="620" t="s">
        <v>548</v>
      </c>
      <c r="B25" s="621" t="s">
        <v>550</v>
      </c>
      <c r="C25" s="622">
        <v>325.21654999999998</v>
      </c>
      <c r="D25" s="622">
        <v>342.13431999999995</v>
      </c>
      <c r="E25" s="622"/>
      <c r="F25" s="622">
        <v>357.80318999999798</v>
      </c>
      <c r="G25" s="622">
        <v>378.58242376804998</v>
      </c>
      <c r="H25" s="622">
        <v>-20.779233768051995</v>
      </c>
      <c r="I25" s="623">
        <v>0.94511305210306584</v>
      </c>
      <c r="J25" s="624" t="s">
        <v>551</v>
      </c>
    </row>
    <row r="26" spans="1:10" ht="14.4" customHeight="1" x14ac:dyDescent="0.3">
      <c r="A26" s="620" t="s">
        <v>545</v>
      </c>
      <c r="B26" s="621" t="s">
        <v>545</v>
      </c>
      <c r="C26" s="622" t="s">
        <v>545</v>
      </c>
      <c r="D26" s="622" t="s">
        <v>545</v>
      </c>
      <c r="E26" s="622"/>
      <c r="F26" s="622" t="s">
        <v>545</v>
      </c>
      <c r="G26" s="622" t="s">
        <v>545</v>
      </c>
      <c r="H26" s="622" t="s">
        <v>545</v>
      </c>
      <c r="I26" s="623" t="s">
        <v>545</v>
      </c>
      <c r="J26" s="624" t="s">
        <v>552</v>
      </c>
    </row>
    <row r="27" spans="1:10" ht="14.4" customHeight="1" x14ac:dyDescent="0.3">
      <c r="A27" s="620" t="s">
        <v>553</v>
      </c>
      <c r="B27" s="621" t="s">
        <v>554</v>
      </c>
      <c r="C27" s="622" t="s">
        <v>545</v>
      </c>
      <c r="D27" s="622" t="s">
        <v>545</v>
      </c>
      <c r="E27" s="622"/>
      <c r="F27" s="622" t="s">
        <v>545</v>
      </c>
      <c r="G27" s="622" t="s">
        <v>545</v>
      </c>
      <c r="H27" s="622" t="s">
        <v>545</v>
      </c>
      <c r="I27" s="623" t="s">
        <v>545</v>
      </c>
      <c r="J27" s="624" t="s">
        <v>0</v>
      </c>
    </row>
    <row r="28" spans="1:10" ht="14.4" customHeight="1" x14ac:dyDescent="0.3">
      <c r="A28" s="620" t="s">
        <v>553</v>
      </c>
      <c r="B28" s="621" t="s">
        <v>310</v>
      </c>
      <c r="C28" s="622">
        <v>120.72506000000001</v>
      </c>
      <c r="D28" s="622">
        <v>127.10195</v>
      </c>
      <c r="E28" s="622"/>
      <c r="F28" s="622">
        <v>170.85631000000001</v>
      </c>
      <c r="G28" s="622">
        <v>154.341495007037</v>
      </c>
      <c r="H28" s="622">
        <v>16.514814992963011</v>
      </c>
      <c r="I28" s="623">
        <v>1.1070017819395235</v>
      </c>
      <c r="J28" s="624" t="s">
        <v>1</v>
      </c>
    </row>
    <row r="29" spans="1:10" ht="14.4" customHeight="1" x14ac:dyDescent="0.3">
      <c r="A29" s="620" t="s">
        <v>553</v>
      </c>
      <c r="B29" s="621" t="s">
        <v>314</v>
      </c>
      <c r="C29" s="622">
        <v>1.9333299999999998</v>
      </c>
      <c r="D29" s="622">
        <v>0.59521000000000002</v>
      </c>
      <c r="E29" s="622"/>
      <c r="F29" s="622">
        <v>9.1310000000000002</v>
      </c>
      <c r="G29" s="622">
        <v>0.76932012189900001</v>
      </c>
      <c r="H29" s="622">
        <v>8.3616798781010004</v>
      </c>
      <c r="I29" s="623">
        <v>11.868921324273852</v>
      </c>
      <c r="J29" s="624" t="s">
        <v>1</v>
      </c>
    </row>
    <row r="30" spans="1:10" ht="14.4" customHeight="1" x14ac:dyDescent="0.3">
      <c r="A30" s="620" t="s">
        <v>553</v>
      </c>
      <c r="B30" s="621" t="s">
        <v>316</v>
      </c>
      <c r="C30" s="622">
        <v>8.3713499999999996</v>
      </c>
      <c r="D30" s="622">
        <v>16.533609999999999</v>
      </c>
      <c r="E30" s="622"/>
      <c r="F30" s="622">
        <v>10.087309999999</v>
      </c>
      <c r="G30" s="622">
        <v>16.310965886946999</v>
      </c>
      <c r="H30" s="622">
        <v>-6.2236558869479985</v>
      </c>
      <c r="I30" s="623">
        <v>0.61843731817693659</v>
      </c>
      <c r="J30" s="624" t="s">
        <v>1</v>
      </c>
    </row>
    <row r="31" spans="1:10" ht="14.4" customHeight="1" x14ac:dyDescent="0.3">
      <c r="A31" s="620" t="s">
        <v>553</v>
      </c>
      <c r="B31" s="621" t="s">
        <v>317</v>
      </c>
      <c r="C31" s="622">
        <v>1.1036899999999998</v>
      </c>
      <c r="D31" s="622">
        <v>1.91761</v>
      </c>
      <c r="E31" s="622"/>
      <c r="F31" s="622">
        <v>2.2703799999989998</v>
      </c>
      <c r="G31" s="622">
        <v>2.950745318539</v>
      </c>
      <c r="H31" s="622">
        <v>-0.68036531854000026</v>
      </c>
      <c r="I31" s="623">
        <v>0.76942594324715596</v>
      </c>
      <c r="J31" s="624" t="s">
        <v>1</v>
      </c>
    </row>
    <row r="32" spans="1:10" ht="14.4" customHeight="1" x14ac:dyDescent="0.3">
      <c r="A32" s="620" t="s">
        <v>553</v>
      </c>
      <c r="B32" s="621" t="s">
        <v>319</v>
      </c>
      <c r="C32" s="622" t="s">
        <v>545</v>
      </c>
      <c r="D32" s="622">
        <v>0.41399999999999998</v>
      </c>
      <c r="E32" s="622"/>
      <c r="F32" s="622">
        <v>0.41399999999999998</v>
      </c>
      <c r="G32" s="622">
        <v>0</v>
      </c>
      <c r="H32" s="622">
        <v>0.41399999999999998</v>
      </c>
      <c r="I32" s="623" t="s">
        <v>545</v>
      </c>
      <c r="J32" s="624" t="s">
        <v>1</v>
      </c>
    </row>
    <row r="33" spans="1:10" ht="14.4" customHeight="1" x14ac:dyDescent="0.3">
      <c r="A33" s="620" t="s">
        <v>553</v>
      </c>
      <c r="B33" s="621" t="s">
        <v>555</v>
      </c>
      <c r="C33" s="622">
        <v>132.13343</v>
      </c>
      <c r="D33" s="622">
        <v>146.56237999999999</v>
      </c>
      <c r="E33" s="622"/>
      <c r="F33" s="622">
        <v>192.758999999998</v>
      </c>
      <c r="G33" s="622">
        <v>174.37252633442199</v>
      </c>
      <c r="H33" s="622">
        <v>18.386473665576005</v>
      </c>
      <c r="I33" s="623">
        <v>1.1054436386974937</v>
      </c>
      <c r="J33" s="624" t="s">
        <v>551</v>
      </c>
    </row>
    <row r="34" spans="1:10" ht="14.4" customHeight="1" x14ac:dyDescent="0.3">
      <c r="A34" s="620" t="s">
        <v>545</v>
      </c>
      <c r="B34" s="621" t="s">
        <v>545</v>
      </c>
      <c r="C34" s="622" t="s">
        <v>545</v>
      </c>
      <c r="D34" s="622" t="s">
        <v>545</v>
      </c>
      <c r="E34" s="622"/>
      <c r="F34" s="622" t="s">
        <v>545</v>
      </c>
      <c r="G34" s="622" t="s">
        <v>545</v>
      </c>
      <c r="H34" s="622" t="s">
        <v>545</v>
      </c>
      <c r="I34" s="623" t="s">
        <v>545</v>
      </c>
      <c r="J34" s="624" t="s">
        <v>552</v>
      </c>
    </row>
    <row r="35" spans="1:10" ht="14.4" customHeight="1" x14ac:dyDescent="0.3">
      <c r="A35" s="620" t="s">
        <v>556</v>
      </c>
      <c r="B35" s="621" t="s">
        <v>557</v>
      </c>
      <c r="C35" s="622" t="s">
        <v>545</v>
      </c>
      <c r="D35" s="622" t="s">
        <v>545</v>
      </c>
      <c r="E35" s="622"/>
      <c r="F35" s="622" t="s">
        <v>545</v>
      </c>
      <c r="G35" s="622" t="s">
        <v>545</v>
      </c>
      <c r="H35" s="622" t="s">
        <v>545</v>
      </c>
      <c r="I35" s="623" t="s">
        <v>545</v>
      </c>
      <c r="J35" s="624" t="s">
        <v>0</v>
      </c>
    </row>
    <row r="36" spans="1:10" ht="14.4" customHeight="1" x14ac:dyDescent="0.3">
      <c r="A36" s="620" t="s">
        <v>556</v>
      </c>
      <c r="B36" s="621" t="s">
        <v>310</v>
      </c>
      <c r="C36" s="622">
        <v>1240.5350599999999</v>
      </c>
      <c r="D36" s="622">
        <v>1508.1020400000002</v>
      </c>
      <c r="E36" s="622"/>
      <c r="F36" s="622">
        <v>1683.7944999999997</v>
      </c>
      <c r="G36" s="622">
        <v>1615.81979444331</v>
      </c>
      <c r="H36" s="622">
        <v>67.974705556689742</v>
      </c>
      <c r="I36" s="623">
        <v>1.0420682465894093</v>
      </c>
      <c r="J36" s="624" t="s">
        <v>1</v>
      </c>
    </row>
    <row r="37" spans="1:10" ht="14.4" customHeight="1" x14ac:dyDescent="0.3">
      <c r="A37" s="620" t="s">
        <v>556</v>
      </c>
      <c r="B37" s="621" t="s">
        <v>311</v>
      </c>
      <c r="C37" s="622" t="s">
        <v>545</v>
      </c>
      <c r="D37" s="622">
        <v>103.71765000000001</v>
      </c>
      <c r="E37" s="622"/>
      <c r="F37" s="622">
        <v>63.282999999998999</v>
      </c>
      <c r="G37" s="622">
        <v>125.00001128493599</v>
      </c>
      <c r="H37" s="622">
        <v>-61.717011284936994</v>
      </c>
      <c r="I37" s="623">
        <v>0.50626395429474147</v>
      </c>
      <c r="J37" s="624" t="s">
        <v>1</v>
      </c>
    </row>
    <row r="38" spans="1:10" ht="14.4" customHeight="1" x14ac:dyDescent="0.3">
      <c r="A38" s="620" t="s">
        <v>556</v>
      </c>
      <c r="B38" s="621" t="s">
        <v>312</v>
      </c>
      <c r="C38" s="622" t="s">
        <v>545</v>
      </c>
      <c r="D38" s="622">
        <v>59.692889999999998</v>
      </c>
      <c r="E38" s="622"/>
      <c r="F38" s="622">
        <v>171.30408</v>
      </c>
      <c r="G38" s="622">
        <v>27.000022560405995</v>
      </c>
      <c r="H38" s="622">
        <v>144.304057439594</v>
      </c>
      <c r="I38" s="623">
        <v>6.3445902542025179</v>
      </c>
      <c r="J38" s="624" t="s">
        <v>1</v>
      </c>
    </row>
    <row r="39" spans="1:10" ht="14.4" customHeight="1" x14ac:dyDescent="0.3">
      <c r="A39" s="620" t="s">
        <v>556</v>
      </c>
      <c r="B39" s="621" t="s">
        <v>314</v>
      </c>
      <c r="C39" s="622">
        <v>116.48188999999901</v>
      </c>
      <c r="D39" s="622">
        <v>16.221289999999989</v>
      </c>
      <c r="E39" s="622"/>
      <c r="F39" s="622">
        <v>59.235869999999004</v>
      </c>
      <c r="G39" s="622">
        <v>91.529705180145001</v>
      </c>
      <c r="H39" s="622">
        <v>-32.293835180145997</v>
      </c>
      <c r="I39" s="623">
        <v>0.64717645362686793</v>
      </c>
      <c r="J39" s="624" t="s">
        <v>1</v>
      </c>
    </row>
    <row r="40" spans="1:10" ht="14.4" customHeight="1" x14ac:dyDescent="0.3">
      <c r="A40" s="620" t="s">
        <v>556</v>
      </c>
      <c r="B40" s="621" t="s">
        <v>315</v>
      </c>
      <c r="C40" s="622">
        <v>20.892779999999998</v>
      </c>
      <c r="D40" s="622">
        <v>20.076000000000001</v>
      </c>
      <c r="E40" s="622"/>
      <c r="F40" s="622">
        <v>29.309809999999999</v>
      </c>
      <c r="G40" s="622">
        <v>23.716655400530001</v>
      </c>
      <c r="H40" s="622">
        <v>5.5931545994699974</v>
      </c>
      <c r="I40" s="623">
        <v>1.235832350937013</v>
      </c>
      <c r="J40" s="624" t="s">
        <v>1</v>
      </c>
    </row>
    <row r="41" spans="1:10" ht="14.4" customHeight="1" x14ac:dyDescent="0.3">
      <c r="A41" s="620" t="s">
        <v>556</v>
      </c>
      <c r="B41" s="621" t="s">
        <v>316</v>
      </c>
      <c r="C41" s="622">
        <v>113.93892</v>
      </c>
      <c r="D41" s="622">
        <v>98.137</v>
      </c>
      <c r="E41" s="622"/>
      <c r="F41" s="622">
        <v>70.553209999999979</v>
      </c>
      <c r="G41" s="622">
        <v>102.79504620276401</v>
      </c>
      <c r="H41" s="622">
        <v>-32.241836202764034</v>
      </c>
      <c r="I41" s="623">
        <v>0.68634834660060595</v>
      </c>
      <c r="J41" s="624" t="s">
        <v>1</v>
      </c>
    </row>
    <row r="42" spans="1:10" ht="14.4" customHeight="1" x14ac:dyDescent="0.3">
      <c r="A42" s="620" t="s">
        <v>556</v>
      </c>
      <c r="B42" s="621" t="s">
        <v>317</v>
      </c>
      <c r="C42" s="622">
        <v>4.8909900000000004</v>
      </c>
      <c r="D42" s="622">
        <v>4.6002699999999992</v>
      </c>
      <c r="E42" s="622"/>
      <c r="F42" s="622">
        <v>3.9854099999999999</v>
      </c>
      <c r="G42" s="622">
        <v>5.9087629152780003</v>
      </c>
      <c r="H42" s="622">
        <v>-1.9233529152780005</v>
      </c>
      <c r="I42" s="623">
        <v>0.674491438757023</v>
      </c>
      <c r="J42" s="624" t="s">
        <v>1</v>
      </c>
    </row>
    <row r="43" spans="1:10" ht="14.4" customHeight="1" x14ac:dyDescent="0.3">
      <c r="A43" s="620" t="s">
        <v>556</v>
      </c>
      <c r="B43" s="621" t="s">
        <v>319</v>
      </c>
      <c r="C43" s="622">
        <v>296.09633999999994</v>
      </c>
      <c r="D43" s="622">
        <v>166.80905999999902</v>
      </c>
      <c r="E43" s="622"/>
      <c r="F43" s="622">
        <v>162.24010999999999</v>
      </c>
      <c r="G43" s="622">
        <v>173.45675280425499</v>
      </c>
      <c r="H43" s="622">
        <v>-11.216642804255002</v>
      </c>
      <c r="I43" s="623">
        <v>0.93533464322998761</v>
      </c>
      <c r="J43" s="624" t="s">
        <v>1</v>
      </c>
    </row>
    <row r="44" spans="1:10" ht="14.4" customHeight="1" x14ac:dyDescent="0.3">
      <c r="A44" s="620" t="s">
        <v>556</v>
      </c>
      <c r="B44" s="621" t="s">
        <v>558</v>
      </c>
      <c r="C44" s="622">
        <v>1792.8359799999989</v>
      </c>
      <c r="D44" s="622">
        <v>1977.3561999999993</v>
      </c>
      <c r="E44" s="622"/>
      <c r="F44" s="622">
        <v>2243.7059899999977</v>
      </c>
      <c r="G44" s="622">
        <v>2165.226750791624</v>
      </c>
      <c r="H44" s="622">
        <v>78.479239208373656</v>
      </c>
      <c r="I44" s="623">
        <v>1.0362452750870923</v>
      </c>
      <c r="J44" s="624" t="s">
        <v>551</v>
      </c>
    </row>
    <row r="45" spans="1:10" ht="14.4" customHeight="1" x14ac:dyDescent="0.3">
      <c r="A45" s="620" t="s">
        <v>545</v>
      </c>
      <c r="B45" s="621" t="s">
        <v>545</v>
      </c>
      <c r="C45" s="622" t="s">
        <v>545</v>
      </c>
      <c r="D45" s="622" t="s">
        <v>545</v>
      </c>
      <c r="E45" s="622"/>
      <c r="F45" s="622" t="s">
        <v>545</v>
      </c>
      <c r="G45" s="622" t="s">
        <v>545</v>
      </c>
      <c r="H45" s="622" t="s">
        <v>545</v>
      </c>
      <c r="I45" s="623" t="s">
        <v>545</v>
      </c>
      <c r="J45" s="624" t="s">
        <v>552</v>
      </c>
    </row>
    <row r="46" spans="1:10" ht="14.4" customHeight="1" x14ac:dyDescent="0.3">
      <c r="A46" s="620" t="s">
        <v>559</v>
      </c>
      <c r="B46" s="621" t="s">
        <v>560</v>
      </c>
      <c r="C46" s="622" t="s">
        <v>545</v>
      </c>
      <c r="D46" s="622" t="s">
        <v>545</v>
      </c>
      <c r="E46" s="622"/>
      <c r="F46" s="622" t="s">
        <v>545</v>
      </c>
      <c r="G46" s="622" t="s">
        <v>545</v>
      </c>
      <c r="H46" s="622" t="s">
        <v>545</v>
      </c>
      <c r="I46" s="623" t="s">
        <v>545</v>
      </c>
      <c r="J46" s="624" t="s">
        <v>0</v>
      </c>
    </row>
    <row r="47" spans="1:10" ht="14.4" customHeight="1" x14ac:dyDescent="0.3">
      <c r="A47" s="620" t="s">
        <v>559</v>
      </c>
      <c r="B47" s="621" t="s">
        <v>318</v>
      </c>
      <c r="C47" s="622" t="s">
        <v>545</v>
      </c>
      <c r="D47" s="622" t="s">
        <v>545</v>
      </c>
      <c r="E47" s="622"/>
      <c r="F47" s="622">
        <v>4803.458230000002</v>
      </c>
      <c r="G47" s="622">
        <v>5000</v>
      </c>
      <c r="H47" s="622">
        <v>-196.541769999998</v>
      </c>
      <c r="I47" s="623">
        <v>0.96069164600000045</v>
      </c>
      <c r="J47" s="624" t="s">
        <v>1</v>
      </c>
    </row>
    <row r="48" spans="1:10" ht="14.4" customHeight="1" x14ac:dyDescent="0.3">
      <c r="A48" s="620" t="s">
        <v>559</v>
      </c>
      <c r="B48" s="621" t="s">
        <v>561</v>
      </c>
      <c r="C48" s="622" t="s">
        <v>545</v>
      </c>
      <c r="D48" s="622" t="s">
        <v>545</v>
      </c>
      <c r="E48" s="622"/>
      <c r="F48" s="622">
        <v>4803.458230000002</v>
      </c>
      <c r="G48" s="622">
        <v>5000</v>
      </c>
      <c r="H48" s="622">
        <v>-196.541769999998</v>
      </c>
      <c r="I48" s="623">
        <v>0.96069164600000045</v>
      </c>
      <c r="J48" s="624" t="s">
        <v>551</v>
      </c>
    </row>
    <row r="49" spans="1:10" ht="14.4" customHeight="1" x14ac:dyDescent="0.3">
      <c r="A49" s="620" t="s">
        <v>545</v>
      </c>
      <c r="B49" s="621" t="s">
        <v>545</v>
      </c>
      <c r="C49" s="622" t="s">
        <v>545</v>
      </c>
      <c r="D49" s="622" t="s">
        <v>545</v>
      </c>
      <c r="E49" s="622"/>
      <c r="F49" s="622" t="s">
        <v>545</v>
      </c>
      <c r="G49" s="622" t="s">
        <v>545</v>
      </c>
      <c r="H49" s="622" t="s">
        <v>545</v>
      </c>
      <c r="I49" s="623" t="s">
        <v>545</v>
      </c>
      <c r="J49" s="624" t="s">
        <v>552</v>
      </c>
    </row>
    <row r="50" spans="1:10" ht="14.4" customHeight="1" x14ac:dyDescent="0.3">
      <c r="A50" s="620" t="s">
        <v>543</v>
      </c>
      <c r="B50" s="621" t="s">
        <v>546</v>
      </c>
      <c r="C50" s="622">
        <v>2250.1859599999989</v>
      </c>
      <c r="D50" s="622">
        <v>2466.0528999999992</v>
      </c>
      <c r="E50" s="622"/>
      <c r="F50" s="622">
        <v>7597.7264099999957</v>
      </c>
      <c r="G50" s="622">
        <v>7718.1817008940961</v>
      </c>
      <c r="H50" s="622">
        <v>-120.45529089410047</v>
      </c>
      <c r="I50" s="623">
        <v>0.98439330718527307</v>
      </c>
      <c r="J50" s="624" t="s">
        <v>547</v>
      </c>
    </row>
  </sheetData>
  <mergeCells count="3">
    <mergeCell ref="F3:I3"/>
    <mergeCell ref="C4:D4"/>
    <mergeCell ref="A1:I1"/>
  </mergeCells>
  <conditionalFormatting sqref="F16 F51:F65537">
    <cfRule type="cellIs" dxfId="76" priority="18" stopIfTrue="1" operator="greaterThan">
      <formula>1</formula>
    </cfRule>
  </conditionalFormatting>
  <conditionalFormatting sqref="H5:H15">
    <cfRule type="expression" dxfId="75" priority="14">
      <formula>$H5&gt;0</formula>
    </cfRule>
  </conditionalFormatting>
  <conditionalFormatting sqref="I5:I15">
    <cfRule type="expression" dxfId="74" priority="15">
      <formula>$I5&gt;1</formula>
    </cfRule>
  </conditionalFormatting>
  <conditionalFormatting sqref="B5:B15">
    <cfRule type="expression" dxfId="73" priority="11">
      <formula>OR($J5="NS",$J5="SumaNS",$J5="Účet")</formula>
    </cfRule>
  </conditionalFormatting>
  <conditionalFormatting sqref="B5:D15 F5:I15">
    <cfRule type="expression" dxfId="72" priority="17">
      <formula>AND($J5&lt;&gt;"",$J5&lt;&gt;"mezeraKL")</formula>
    </cfRule>
  </conditionalFormatting>
  <conditionalFormatting sqref="B5:D15 F5:I15">
    <cfRule type="expression" dxfId="7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70" priority="13">
      <formula>OR($J5="SumaNS",$J5="NS")</formula>
    </cfRule>
  </conditionalFormatting>
  <conditionalFormatting sqref="A5:A15">
    <cfRule type="expression" dxfId="69" priority="9">
      <formula>AND($J5&lt;&gt;"mezeraKL",$J5&lt;&gt;"")</formula>
    </cfRule>
  </conditionalFormatting>
  <conditionalFormatting sqref="A5:A15">
    <cfRule type="expression" dxfId="68" priority="10">
      <formula>AND($J5&lt;&gt;"",$J5&lt;&gt;"mezeraKL")</formula>
    </cfRule>
  </conditionalFormatting>
  <conditionalFormatting sqref="H17:H50">
    <cfRule type="expression" dxfId="67" priority="5">
      <formula>$H17&gt;0</formula>
    </cfRule>
  </conditionalFormatting>
  <conditionalFormatting sqref="A17:A50">
    <cfRule type="expression" dxfId="66" priority="2">
      <formula>AND($J17&lt;&gt;"mezeraKL",$J17&lt;&gt;"")</formula>
    </cfRule>
  </conditionalFormatting>
  <conditionalFormatting sqref="I17:I50">
    <cfRule type="expression" dxfId="65" priority="6">
      <formula>$I17&gt;1</formula>
    </cfRule>
  </conditionalFormatting>
  <conditionalFormatting sqref="B17:B50">
    <cfRule type="expression" dxfId="64" priority="1">
      <formula>OR($J17="NS",$J17="SumaNS",$J17="Účet")</formula>
    </cfRule>
  </conditionalFormatting>
  <conditionalFormatting sqref="A17:D50 F17:I50">
    <cfRule type="expression" dxfId="63" priority="8">
      <formula>AND($J17&lt;&gt;"",$J17&lt;&gt;"mezeraKL")</formula>
    </cfRule>
  </conditionalFormatting>
  <conditionalFormatting sqref="B17:D50 F17:I50">
    <cfRule type="expression" dxfId="62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0 F17:I50">
    <cfRule type="expression" dxfId="61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1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4" hidden="1" customWidth="1" outlineLevel="1"/>
    <col min="2" max="2" width="28.33203125" style="244" hidden="1" customWidth="1" outlineLevel="1"/>
    <col min="3" max="3" width="5.33203125" style="328" bestFit="1" customWidth="1" collapsed="1"/>
    <col min="4" max="4" width="18.77734375" style="332" customWidth="1"/>
    <col min="5" max="5" width="9" style="328" bestFit="1" customWidth="1"/>
    <col min="6" max="6" width="18.77734375" style="332" customWidth="1"/>
    <col min="7" max="7" width="5" style="328" customWidth="1"/>
    <col min="8" max="8" width="12.44140625" style="328" hidden="1" customWidth="1" outlineLevel="1"/>
    <col min="9" max="9" width="8.5546875" style="328" hidden="1" customWidth="1" outlineLevel="1"/>
    <col min="10" max="10" width="25.77734375" style="328" customWidth="1" collapsed="1"/>
    <col min="11" max="11" width="8.77734375" style="328" customWidth="1"/>
    <col min="12" max="13" width="7.77734375" style="326" customWidth="1"/>
    <col min="14" max="14" width="12.6640625" style="326" customWidth="1"/>
    <col min="15" max="16384" width="8.88671875" style="244"/>
  </cols>
  <sheetData>
    <row r="1" spans="1:14" ht="18.600000000000001" customHeight="1" thickBot="1" x14ac:dyDescent="0.4">
      <c r="A1" s="500" t="s">
        <v>196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</row>
    <row r="2" spans="1:14" ht="14.4" customHeight="1" thickBot="1" x14ac:dyDescent="0.35">
      <c r="A2" s="368" t="s">
        <v>301</v>
      </c>
      <c r="B2" s="66"/>
      <c r="C2" s="330"/>
      <c r="D2" s="330"/>
      <c r="E2" s="330"/>
      <c r="F2" s="330"/>
      <c r="G2" s="330"/>
      <c r="H2" s="330"/>
      <c r="I2" s="330"/>
      <c r="J2" s="330"/>
      <c r="K2" s="330"/>
      <c r="L2" s="331"/>
      <c r="M2" s="331"/>
      <c r="N2" s="331"/>
    </row>
    <row r="3" spans="1:14" ht="14.4" customHeight="1" thickBot="1" x14ac:dyDescent="0.35">
      <c r="A3" s="66"/>
      <c r="B3" s="66"/>
      <c r="C3" s="496"/>
      <c r="D3" s="497"/>
      <c r="E3" s="497"/>
      <c r="F3" s="497"/>
      <c r="G3" s="497"/>
      <c r="H3" s="497"/>
      <c r="I3" s="497"/>
      <c r="J3" s="498" t="s">
        <v>151</v>
      </c>
      <c r="K3" s="499"/>
      <c r="L3" s="197">
        <f>IF(M3&lt;&gt;0,N3/M3,0)</f>
        <v>451.81950991563662</v>
      </c>
      <c r="M3" s="197">
        <f>SUBTOTAL(9,M5:M1048576)</f>
        <v>16495.608</v>
      </c>
      <c r="N3" s="198">
        <f>SUBTOTAL(9,N5:N1048576)</f>
        <v>7453037.5223204549</v>
      </c>
    </row>
    <row r="4" spans="1:14" s="327" customFormat="1" ht="14.4" customHeight="1" thickBot="1" x14ac:dyDescent="0.35">
      <c r="A4" s="625" t="s">
        <v>4</v>
      </c>
      <c r="B4" s="626" t="s">
        <v>5</v>
      </c>
      <c r="C4" s="626" t="s">
        <v>0</v>
      </c>
      <c r="D4" s="626" t="s">
        <v>6</v>
      </c>
      <c r="E4" s="626" t="s">
        <v>7</v>
      </c>
      <c r="F4" s="626" t="s">
        <v>1</v>
      </c>
      <c r="G4" s="626" t="s">
        <v>8</v>
      </c>
      <c r="H4" s="626" t="s">
        <v>9</v>
      </c>
      <c r="I4" s="626" t="s">
        <v>10</v>
      </c>
      <c r="J4" s="627" t="s">
        <v>11</v>
      </c>
      <c r="K4" s="627" t="s">
        <v>12</v>
      </c>
      <c r="L4" s="628" t="s">
        <v>176</v>
      </c>
      <c r="M4" s="628" t="s">
        <v>13</v>
      </c>
      <c r="N4" s="629" t="s">
        <v>192</v>
      </c>
    </row>
    <row r="5" spans="1:14" ht="14.4" customHeight="1" x14ac:dyDescent="0.3">
      <c r="A5" s="632" t="s">
        <v>543</v>
      </c>
      <c r="B5" s="633" t="s">
        <v>544</v>
      </c>
      <c r="C5" s="634" t="s">
        <v>548</v>
      </c>
      <c r="D5" s="635" t="s">
        <v>1224</v>
      </c>
      <c r="E5" s="634" t="s">
        <v>562</v>
      </c>
      <c r="F5" s="635" t="s">
        <v>1228</v>
      </c>
      <c r="G5" s="634" t="s">
        <v>563</v>
      </c>
      <c r="H5" s="634" t="s">
        <v>564</v>
      </c>
      <c r="I5" s="634" t="s">
        <v>564</v>
      </c>
      <c r="J5" s="634" t="s">
        <v>565</v>
      </c>
      <c r="K5" s="634" t="s">
        <v>566</v>
      </c>
      <c r="L5" s="636">
        <v>171.6</v>
      </c>
      <c r="M5" s="636">
        <v>10</v>
      </c>
      <c r="N5" s="637">
        <v>1716</v>
      </c>
    </row>
    <row r="6" spans="1:14" ht="14.4" customHeight="1" x14ac:dyDescent="0.3">
      <c r="A6" s="638" t="s">
        <v>543</v>
      </c>
      <c r="B6" s="639" t="s">
        <v>544</v>
      </c>
      <c r="C6" s="640" t="s">
        <v>548</v>
      </c>
      <c r="D6" s="641" t="s">
        <v>1224</v>
      </c>
      <c r="E6" s="640" t="s">
        <v>562</v>
      </c>
      <c r="F6" s="641" t="s">
        <v>1228</v>
      </c>
      <c r="G6" s="640" t="s">
        <v>563</v>
      </c>
      <c r="H6" s="640" t="s">
        <v>567</v>
      </c>
      <c r="I6" s="640" t="s">
        <v>567</v>
      </c>
      <c r="J6" s="640" t="s">
        <v>568</v>
      </c>
      <c r="K6" s="640" t="s">
        <v>569</v>
      </c>
      <c r="L6" s="642">
        <v>222.2</v>
      </c>
      <c r="M6" s="642">
        <v>1</v>
      </c>
      <c r="N6" s="643">
        <v>222.2</v>
      </c>
    </row>
    <row r="7" spans="1:14" ht="14.4" customHeight="1" x14ac:dyDescent="0.3">
      <c r="A7" s="638" t="s">
        <v>543</v>
      </c>
      <c r="B7" s="639" t="s">
        <v>544</v>
      </c>
      <c r="C7" s="640" t="s">
        <v>548</v>
      </c>
      <c r="D7" s="641" t="s">
        <v>1224</v>
      </c>
      <c r="E7" s="640" t="s">
        <v>562</v>
      </c>
      <c r="F7" s="641" t="s">
        <v>1228</v>
      </c>
      <c r="G7" s="640" t="s">
        <v>563</v>
      </c>
      <c r="H7" s="640" t="s">
        <v>570</v>
      </c>
      <c r="I7" s="640" t="s">
        <v>571</v>
      </c>
      <c r="J7" s="640" t="s">
        <v>572</v>
      </c>
      <c r="K7" s="640" t="s">
        <v>573</v>
      </c>
      <c r="L7" s="642">
        <v>87.029999999999987</v>
      </c>
      <c r="M7" s="642">
        <v>4</v>
      </c>
      <c r="N7" s="643">
        <v>348.11999999999995</v>
      </c>
    </row>
    <row r="8" spans="1:14" ht="14.4" customHeight="1" x14ac:dyDescent="0.3">
      <c r="A8" s="638" t="s">
        <v>543</v>
      </c>
      <c r="B8" s="639" t="s">
        <v>544</v>
      </c>
      <c r="C8" s="640" t="s">
        <v>548</v>
      </c>
      <c r="D8" s="641" t="s">
        <v>1224</v>
      </c>
      <c r="E8" s="640" t="s">
        <v>562</v>
      </c>
      <c r="F8" s="641" t="s">
        <v>1228</v>
      </c>
      <c r="G8" s="640" t="s">
        <v>563</v>
      </c>
      <c r="H8" s="640" t="s">
        <v>574</v>
      </c>
      <c r="I8" s="640" t="s">
        <v>575</v>
      </c>
      <c r="J8" s="640" t="s">
        <v>576</v>
      </c>
      <c r="K8" s="640" t="s">
        <v>577</v>
      </c>
      <c r="L8" s="642">
        <v>96.819999999999965</v>
      </c>
      <c r="M8" s="642">
        <v>2</v>
      </c>
      <c r="N8" s="643">
        <v>193.63999999999993</v>
      </c>
    </row>
    <row r="9" spans="1:14" ht="14.4" customHeight="1" x14ac:dyDescent="0.3">
      <c r="A9" s="638" t="s">
        <v>543</v>
      </c>
      <c r="B9" s="639" t="s">
        <v>544</v>
      </c>
      <c r="C9" s="640" t="s">
        <v>548</v>
      </c>
      <c r="D9" s="641" t="s">
        <v>1224</v>
      </c>
      <c r="E9" s="640" t="s">
        <v>562</v>
      </c>
      <c r="F9" s="641" t="s">
        <v>1228</v>
      </c>
      <c r="G9" s="640" t="s">
        <v>563</v>
      </c>
      <c r="H9" s="640" t="s">
        <v>578</v>
      </c>
      <c r="I9" s="640" t="s">
        <v>579</v>
      </c>
      <c r="J9" s="640" t="s">
        <v>580</v>
      </c>
      <c r="K9" s="640" t="s">
        <v>581</v>
      </c>
      <c r="L9" s="642">
        <v>79.203021759898689</v>
      </c>
      <c r="M9" s="642">
        <v>60</v>
      </c>
      <c r="N9" s="643">
        <v>4752.181305593921</v>
      </c>
    </row>
    <row r="10" spans="1:14" ht="14.4" customHeight="1" x14ac:dyDescent="0.3">
      <c r="A10" s="638" t="s">
        <v>543</v>
      </c>
      <c r="B10" s="639" t="s">
        <v>544</v>
      </c>
      <c r="C10" s="640" t="s">
        <v>548</v>
      </c>
      <c r="D10" s="641" t="s">
        <v>1224</v>
      </c>
      <c r="E10" s="640" t="s">
        <v>562</v>
      </c>
      <c r="F10" s="641" t="s">
        <v>1228</v>
      </c>
      <c r="G10" s="640" t="s">
        <v>563</v>
      </c>
      <c r="H10" s="640" t="s">
        <v>582</v>
      </c>
      <c r="I10" s="640" t="s">
        <v>583</v>
      </c>
      <c r="J10" s="640" t="s">
        <v>584</v>
      </c>
      <c r="K10" s="640" t="s">
        <v>585</v>
      </c>
      <c r="L10" s="642">
        <v>73.703505565175703</v>
      </c>
      <c r="M10" s="642">
        <v>578</v>
      </c>
      <c r="N10" s="643">
        <v>42600.626216671561</v>
      </c>
    </row>
    <row r="11" spans="1:14" ht="14.4" customHeight="1" x14ac:dyDescent="0.3">
      <c r="A11" s="638" t="s">
        <v>543</v>
      </c>
      <c r="B11" s="639" t="s">
        <v>544</v>
      </c>
      <c r="C11" s="640" t="s">
        <v>548</v>
      </c>
      <c r="D11" s="641" t="s">
        <v>1224</v>
      </c>
      <c r="E11" s="640" t="s">
        <v>562</v>
      </c>
      <c r="F11" s="641" t="s">
        <v>1228</v>
      </c>
      <c r="G11" s="640" t="s">
        <v>563</v>
      </c>
      <c r="H11" s="640" t="s">
        <v>586</v>
      </c>
      <c r="I11" s="640" t="s">
        <v>587</v>
      </c>
      <c r="J11" s="640" t="s">
        <v>588</v>
      </c>
      <c r="K11" s="640" t="s">
        <v>589</v>
      </c>
      <c r="L11" s="642">
        <v>38.979999999999997</v>
      </c>
      <c r="M11" s="642">
        <v>3</v>
      </c>
      <c r="N11" s="643">
        <v>116.94</v>
      </c>
    </row>
    <row r="12" spans="1:14" ht="14.4" customHeight="1" x14ac:dyDescent="0.3">
      <c r="A12" s="638" t="s">
        <v>543</v>
      </c>
      <c r="B12" s="639" t="s">
        <v>544</v>
      </c>
      <c r="C12" s="640" t="s">
        <v>548</v>
      </c>
      <c r="D12" s="641" t="s">
        <v>1224</v>
      </c>
      <c r="E12" s="640" t="s">
        <v>562</v>
      </c>
      <c r="F12" s="641" t="s">
        <v>1228</v>
      </c>
      <c r="G12" s="640" t="s">
        <v>563</v>
      </c>
      <c r="H12" s="640" t="s">
        <v>590</v>
      </c>
      <c r="I12" s="640" t="s">
        <v>591</v>
      </c>
      <c r="J12" s="640" t="s">
        <v>592</v>
      </c>
      <c r="K12" s="640"/>
      <c r="L12" s="642">
        <v>218.2</v>
      </c>
      <c r="M12" s="642">
        <v>4</v>
      </c>
      <c r="N12" s="643">
        <v>872.8</v>
      </c>
    </row>
    <row r="13" spans="1:14" ht="14.4" customHeight="1" x14ac:dyDescent="0.3">
      <c r="A13" s="638" t="s">
        <v>543</v>
      </c>
      <c r="B13" s="639" t="s">
        <v>544</v>
      </c>
      <c r="C13" s="640" t="s">
        <v>548</v>
      </c>
      <c r="D13" s="641" t="s">
        <v>1224</v>
      </c>
      <c r="E13" s="640" t="s">
        <v>562</v>
      </c>
      <c r="F13" s="641" t="s">
        <v>1228</v>
      </c>
      <c r="G13" s="640" t="s">
        <v>563</v>
      </c>
      <c r="H13" s="640" t="s">
        <v>593</v>
      </c>
      <c r="I13" s="640" t="s">
        <v>594</v>
      </c>
      <c r="J13" s="640" t="s">
        <v>595</v>
      </c>
      <c r="K13" s="640" t="s">
        <v>596</v>
      </c>
      <c r="L13" s="642">
        <v>87.569989763747358</v>
      </c>
      <c r="M13" s="642">
        <v>3</v>
      </c>
      <c r="N13" s="643">
        <v>262.70996929124209</v>
      </c>
    </row>
    <row r="14" spans="1:14" ht="14.4" customHeight="1" x14ac:dyDescent="0.3">
      <c r="A14" s="638" t="s">
        <v>543</v>
      </c>
      <c r="B14" s="639" t="s">
        <v>544</v>
      </c>
      <c r="C14" s="640" t="s">
        <v>548</v>
      </c>
      <c r="D14" s="641" t="s">
        <v>1224</v>
      </c>
      <c r="E14" s="640" t="s">
        <v>562</v>
      </c>
      <c r="F14" s="641" t="s">
        <v>1228</v>
      </c>
      <c r="G14" s="640" t="s">
        <v>563</v>
      </c>
      <c r="H14" s="640" t="s">
        <v>597</v>
      </c>
      <c r="I14" s="640" t="s">
        <v>598</v>
      </c>
      <c r="J14" s="640" t="s">
        <v>599</v>
      </c>
      <c r="K14" s="640" t="s">
        <v>600</v>
      </c>
      <c r="L14" s="642">
        <v>177.21497045193516</v>
      </c>
      <c r="M14" s="642">
        <v>4</v>
      </c>
      <c r="N14" s="643">
        <v>708.85988180774063</v>
      </c>
    </row>
    <row r="15" spans="1:14" ht="14.4" customHeight="1" x14ac:dyDescent="0.3">
      <c r="A15" s="638" t="s">
        <v>543</v>
      </c>
      <c r="B15" s="639" t="s">
        <v>544</v>
      </c>
      <c r="C15" s="640" t="s">
        <v>548</v>
      </c>
      <c r="D15" s="641" t="s">
        <v>1224</v>
      </c>
      <c r="E15" s="640" t="s">
        <v>562</v>
      </c>
      <c r="F15" s="641" t="s">
        <v>1228</v>
      </c>
      <c r="G15" s="640" t="s">
        <v>563</v>
      </c>
      <c r="H15" s="640" t="s">
        <v>601</v>
      </c>
      <c r="I15" s="640" t="s">
        <v>591</v>
      </c>
      <c r="J15" s="640" t="s">
        <v>602</v>
      </c>
      <c r="K15" s="640"/>
      <c r="L15" s="642">
        <v>38.057669182014699</v>
      </c>
      <c r="M15" s="642">
        <v>142</v>
      </c>
      <c r="N15" s="643">
        <v>5404.1890238460874</v>
      </c>
    </row>
    <row r="16" spans="1:14" ht="14.4" customHeight="1" x14ac:dyDescent="0.3">
      <c r="A16" s="638" t="s">
        <v>543</v>
      </c>
      <c r="B16" s="639" t="s">
        <v>544</v>
      </c>
      <c r="C16" s="640" t="s">
        <v>548</v>
      </c>
      <c r="D16" s="641" t="s">
        <v>1224</v>
      </c>
      <c r="E16" s="640" t="s">
        <v>562</v>
      </c>
      <c r="F16" s="641" t="s">
        <v>1228</v>
      </c>
      <c r="G16" s="640" t="s">
        <v>563</v>
      </c>
      <c r="H16" s="640" t="s">
        <v>603</v>
      </c>
      <c r="I16" s="640" t="s">
        <v>604</v>
      </c>
      <c r="J16" s="640" t="s">
        <v>580</v>
      </c>
      <c r="K16" s="640" t="s">
        <v>605</v>
      </c>
      <c r="L16" s="642">
        <v>42.17</v>
      </c>
      <c r="M16" s="642">
        <v>1</v>
      </c>
      <c r="N16" s="643">
        <v>42.17</v>
      </c>
    </row>
    <row r="17" spans="1:14" ht="14.4" customHeight="1" x14ac:dyDescent="0.3">
      <c r="A17" s="638" t="s">
        <v>543</v>
      </c>
      <c r="B17" s="639" t="s">
        <v>544</v>
      </c>
      <c r="C17" s="640" t="s">
        <v>548</v>
      </c>
      <c r="D17" s="641" t="s">
        <v>1224</v>
      </c>
      <c r="E17" s="640" t="s">
        <v>562</v>
      </c>
      <c r="F17" s="641" t="s">
        <v>1228</v>
      </c>
      <c r="G17" s="640" t="s">
        <v>563</v>
      </c>
      <c r="H17" s="640" t="s">
        <v>606</v>
      </c>
      <c r="I17" s="640" t="s">
        <v>607</v>
      </c>
      <c r="J17" s="640" t="s">
        <v>608</v>
      </c>
      <c r="K17" s="640" t="s">
        <v>609</v>
      </c>
      <c r="L17" s="642">
        <v>69.446666666666658</v>
      </c>
      <c r="M17" s="642">
        <v>3</v>
      </c>
      <c r="N17" s="643">
        <v>208.33999999999997</v>
      </c>
    </row>
    <row r="18" spans="1:14" ht="14.4" customHeight="1" x14ac:dyDescent="0.3">
      <c r="A18" s="638" t="s">
        <v>543</v>
      </c>
      <c r="B18" s="639" t="s">
        <v>544</v>
      </c>
      <c r="C18" s="640" t="s">
        <v>548</v>
      </c>
      <c r="D18" s="641" t="s">
        <v>1224</v>
      </c>
      <c r="E18" s="640" t="s">
        <v>562</v>
      </c>
      <c r="F18" s="641" t="s">
        <v>1228</v>
      </c>
      <c r="G18" s="640" t="s">
        <v>563</v>
      </c>
      <c r="H18" s="640" t="s">
        <v>610</v>
      </c>
      <c r="I18" s="640" t="s">
        <v>591</v>
      </c>
      <c r="J18" s="640" t="s">
        <v>611</v>
      </c>
      <c r="K18" s="640"/>
      <c r="L18" s="642">
        <v>46.32</v>
      </c>
      <c r="M18" s="642">
        <v>1</v>
      </c>
      <c r="N18" s="643">
        <v>46.32</v>
      </c>
    </row>
    <row r="19" spans="1:14" ht="14.4" customHeight="1" x14ac:dyDescent="0.3">
      <c r="A19" s="638" t="s">
        <v>543</v>
      </c>
      <c r="B19" s="639" t="s">
        <v>544</v>
      </c>
      <c r="C19" s="640" t="s">
        <v>548</v>
      </c>
      <c r="D19" s="641" t="s">
        <v>1224</v>
      </c>
      <c r="E19" s="640" t="s">
        <v>562</v>
      </c>
      <c r="F19" s="641" t="s">
        <v>1228</v>
      </c>
      <c r="G19" s="640" t="s">
        <v>563</v>
      </c>
      <c r="H19" s="640" t="s">
        <v>612</v>
      </c>
      <c r="I19" s="640" t="s">
        <v>591</v>
      </c>
      <c r="J19" s="640" t="s">
        <v>613</v>
      </c>
      <c r="K19" s="640"/>
      <c r="L19" s="642">
        <v>60.26618952472419</v>
      </c>
      <c r="M19" s="642">
        <v>3</v>
      </c>
      <c r="N19" s="643">
        <v>180.79856857417258</v>
      </c>
    </row>
    <row r="20" spans="1:14" ht="14.4" customHeight="1" x14ac:dyDescent="0.3">
      <c r="A20" s="638" t="s">
        <v>543</v>
      </c>
      <c r="B20" s="639" t="s">
        <v>544</v>
      </c>
      <c r="C20" s="640" t="s">
        <v>548</v>
      </c>
      <c r="D20" s="641" t="s">
        <v>1224</v>
      </c>
      <c r="E20" s="640" t="s">
        <v>562</v>
      </c>
      <c r="F20" s="641" t="s">
        <v>1228</v>
      </c>
      <c r="G20" s="640" t="s">
        <v>563</v>
      </c>
      <c r="H20" s="640" t="s">
        <v>614</v>
      </c>
      <c r="I20" s="640" t="s">
        <v>615</v>
      </c>
      <c r="J20" s="640" t="s">
        <v>616</v>
      </c>
      <c r="K20" s="640" t="s">
        <v>617</v>
      </c>
      <c r="L20" s="642">
        <v>56.749999999999993</v>
      </c>
      <c r="M20" s="642">
        <v>1</v>
      </c>
      <c r="N20" s="643">
        <v>56.749999999999993</v>
      </c>
    </row>
    <row r="21" spans="1:14" ht="14.4" customHeight="1" x14ac:dyDescent="0.3">
      <c r="A21" s="638" t="s">
        <v>543</v>
      </c>
      <c r="B21" s="639" t="s">
        <v>544</v>
      </c>
      <c r="C21" s="640" t="s">
        <v>548</v>
      </c>
      <c r="D21" s="641" t="s">
        <v>1224</v>
      </c>
      <c r="E21" s="640" t="s">
        <v>562</v>
      </c>
      <c r="F21" s="641" t="s">
        <v>1228</v>
      </c>
      <c r="G21" s="640" t="s">
        <v>563</v>
      </c>
      <c r="H21" s="640" t="s">
        <v>618</v>
      </c>
      <c r="I21" s="640" t="s">
        <v>618</v>
      </c>
      <c r="J21" s="640" t="s">
        <v>619</v>
      </c>
      <c r="K21" s="640" t="s">
        <v>620</v>
      </c>
      <c r="L21" s="642">
        <v>75.600417128522238</v>
      </c>
      <c r="M21" s="642">
        <v>24</v>
      </c>
      <c r="N21" s="643">
        <v>1814.4100110845338</v>
      </c>
    </row>
    <row r="22" spans="1:14" ht="14.4" customHeight="1" x14ac:dyDescent="0.3">
      <c r="A22" s="638" t="s">
        <v>543</v>
      </c>
      <c r="B22" s="639" t="s">
        <v>544</v>
      </c>
      <c r="C22" s="640" t="s">
        <v>548</v>
      </c>
      <c r="D22" s="641" t="s">
        <v>1224</v>
      </c>
      <c r="E22" s="640" t="s">
        <v>562</v>
      </c>
      <c r="F22" s="641" t="s">
        <v>1228</v>
      </c>
      <c r="G22" s="640" t="s">
        <v>563</v>
      </c>
      <c r="H22" s="640" t="s">
        <v>621</v>
      </c>
      <c r="I22" s="640" t="s">
        <v>622</v>
      </c>
      <c r="J22" s="640" t="s">
        <v>623</v>
      </c>
      <c r="K22" s="640" t="s">
        <v>624</v>
      </c>
      <c r="L22" s="642">
        <v>48.400007292984895</v>
      </c>
      <c r="M22" s="642">
        <v>152</v>
      </c>
      <c r="N22" s="643">
        <v>7356.8011085337039</v>
      </c>
    </row>
    <row r="23" spans="1:14" ht="14.4" customHeight="1" x14ac:dyDescent="0.3">
      <c r="A23" s="638" t="s">
        <v>543</v>
      </c>
      <c r="B23" s="639" t="s">
        <v>544</v>
      </c>
      <c r="C23" s="640" t="s">
        <v>548</v>
      </c>
      <c r="D23" s="641" t="s">
        <v>1224</v>
      </c>
      <c r="E23" s="640" t="s">
        <v>562</v>
      </c>
      <c r="F23" s="641" t="s">
        <v>1228</v>
      </c>
      <c r="G23" s="640" t="s">
        <v>563</v>
      </c>
      <c r="H23" s="640" t="s">
        <v>625</v>
      </c>
      <c r="I23" s="640" t="s">
        <v>591</v>
      </c>
      <c r="J23" s="640" t="s">
        <v>626</v>
      </c>
      <c r="K23" s="640" t="s">
        <v>627</v>
      </c>
      <c r="L23" s="642">
        <v>23.700634928483421</v>
      </c>
      <c r="M23" s="642">
        <v>300</v>
      </c>
      <c r="N23" s="643">
        <v>7110.1904785450261</v>
      </c>
    </row>
    <row r="24" spans="1:14" ht="14.4" customHeight="1" x14ac:dyDescent="0.3">
      <c r="A24" s="638" t="s">
        <v>543</v>
      </c>
      <c r="B24" s="639" t="s">
        <v>544</v>
      </c>
      <c r="C24" s="640" t="s">
        <v>548</v>
      </c>
      <c r="D24" s="641" t="s">
        <v>1224</v>
      </c>
      <c r="E24" s="640" t="s">
        <v>562</v>
      </c>
      <c r="F24" s="641" t="s">
        <v>1228</v>
      </c>
      <c r="G24" s="640" t="s">
        <v>563</v>
      </c>
      <c r="H24" s="640" t="s">
        <v>628</v>
      </c>
      <c r="I24" s="640" t="s">
        <v>591</v>
      </c>
      <c r="J24" s="640" t="s">
        <v>629</v>
      </c>
      <c r="K24" s="640" t="s">
        <v>630</v>
      </c>
      <c r="L24" s="642">
        <v>199.67000000000002</v>
      </c>
      <c r="M24" s="642">
        <v>5</v>
      </c>
      <c r="N24" s="643">
        <v>998.35</v>
      </c>
    </row>
    <row r="25" spans="1:14" ht="14.4" customHeight="1" x14ac:dyDescent="0.3">
      <c r="A25" s="638" t="s">
        <v>543</v>
      </c>
      <c r="B25" s="639" t="s">
        <v>544</v>
      </c>
      <c r="C25" s="640" t="s">
        <v>548</v>
      </c>
      <c r="D25" s="641" t="s">
        <v>1224</v>
      </c>
      <c r="E25" s="640" t="s">
        <v>562</v>
      </c>
      <c r="F25" s="641" t="s">
        <v>1228</v>
      </c>
      <c r="G25" s="640" t="s">
        <v>563</v>
      </c>
      <c r="H25" s="640" t="s">
        <v>631</v>
      </c>
      <c r="I25" s="640" t="s">
        <v>632</v>
      </c>
      <c r="J25" s="640" t="s">
        <v>633</v>
      </c>
      <c r="K25" s="640" t="s">
        <v>634</v>
      </c>
      <c r="L25" s="642">
        <v>70.147174593642063</v>
      </c>
      <c r="M25" s="642">
        <v>8</v>
      </c>
      <c r="N25" s="643">
        <v>561.17739674913651</v>
      </c>
    </row>
    <row r="26" spans="1:14" ht="14.4" customHeight="1" x14ac:dyDescent="0.3">
      <c r="A26" s="638" t="s">
        <v>543</v>
      </c>
      <c r="B26" s="639" t="s">
        <v>544</v>
      </c>
      <c r="C26" s="640" t="s">
        <v>548</v>
      </c>
      <c r="D26" s="641" t="s">
        <v>1224</v>
      </c>
      <c r="E26" s="640" t="s">
        <v>562</v>
      </c>
      <c r="F26" s="641" t="s">
        <v>1228</v>
      </c>
      <c r="G26" s="640" t="s">
        <v>563</v>
      </c>
      <c r="H26" s="640" t="s">
        <v>635</v>
      </c>
      <c r="I26" s="640" t="s">
        <v>583</v>
      </c>
      <c r="J26" s="640" t="s">
        <v>636</v>
      </c>
      <c r="K26" s="640"/>
      <c r="L26" s="642">
        <v>384.78225783019116</v>
      </c>
      <c r="M26" s="642">
        <v>5</v>
      </c>
      <c r="N26" s="643">
        <v>1923.9112891509558</v>
      </c>
    </row>
    <row r="27" spans="1:14" ht="14.4" customHeight="1" x14ac:dyDescent="0.3">
      <c r="A27" s="638" t="s">
        <v>543</v>
      </c>
      <c r="B27" s="639" t="s">
        <v>544</v>
      </c>
      <c r="C27" s="640" t="s">
        <v>548</v>
      </c>
      <c r="D27" s="641" t="s">
        <v>1224</v>
      </c>
      <c r="E27" s="640" t="s">
        <v>562</v>
      </c>
      <c r="F27" s="641" t="s">
        <v>1228</v>
      </c>
      <c r="G27" s="640" t="s">
        <v>563</v>
      </c>
      <c r="H27" s="640" t="s">
        <v>637</v>
      </c>
      <c r="I27" s="640" t="s">
        <v>591</v>
      </c>
      <c r="J27" s="640" t="s">
        <v>638</v>
      </c>
      <c r="K27" s="640"/>
      <c r="L27" s="642">
        <v>164.72093174930791</v>
      </c>
      <c r="M27" s="642">
        <v>2</v>
      </c>
      <c r="N27" s="643">
        <v>329.44186349861582</v>
      </c>
    </row>
    <row r="28" spans="1:14" ht="14.4" customHeight="1" x14ac:dyDescent="0.3">
      <c r="A28" s="638" t="s">
        <v>543</v>
      </c>
      <c r="B28" s="639" t="s">
        <v>544</v>
      </c>
      <c r="C28" s="640" t="s">
        <v>548</v>
      </c>
      <c r="D28" s="641" t="s">
        <v>1224</v>
      </c>
      <c r="E28" s="640" t="s">
        <v>562</v>
      </c>
      <c r="F28" s="641" t="s">
        <v>1228</v>
      </c>
      <c r="G28" s="640" t="s">
        <v>563</v>
      </c>
      <c r="H28" s="640" t="s">
        <v>639</v>
      </c>
      <c r="I28" s="640" t="s">
        <v>591</v>
      </c>
      <c r="J28" s="640" t="s">
        <v>640</v>
      </c>
      <c r="K28" s="640"/>
      <c r="L28" s="642">
        <v>34.898075118813956</v>
      </c>
      <c r="M28" s="642">
        <v>3</v>
      </c>
      <c r="N28" s="643">
        <v>104.69422535644188</v>
      </c>
    </row>
    <row r="29" spans="1:14" ht="14.4" customHeight="1" x14ac:dyDescent="0.3">
      <c r="A29" s="638" t="s">
        <v>543</v>
      </c>
      <c r="B29" s="639" t="s">
        <v>544</v>
      </c>
      <c r="C29" s="640" t="s">
        <v>548</v>
      </c>
      <c r="D29" s="641" t="s">
        <v>1224</v>
      </c>
      <c r="E29" s="640" t="s">
        <v>562</v>
      </c>
      <c r="F29" s="641" t="s">
        <v>1228</v>
      </c>
      <c r="G29" s="640" t="s">
        <v>563</v>
      </c>
      <c r="H29" s="640" t="s">
        <v>641</v>
      </c>
      <c r="I29" s="640" t="s">
        <v>591</v>
      </c>
      <c r="J29" s="640" t="s">
        <v>642</v>
      </c>
      <c r="K29" s="640"/>
      <c r="L29" s="642">
        <v>70.199718597704049</v>
      </c>
      <c r="M29" s="642">
        <v>1</v>
      </c>
      <c r="N29" s="643">
        <v>70.199718597704049</v>
      </c>
    </row>
    <row r="30" spans="1:14" ht="14.4" customHeight="1" x14ac:dyDescent="0.3">
      <c r="A30" s="638" t="s">
        <v>543</v>
      </c>
      <c r="B30" s="639" t="s">
        <v>544</v>
      </c>
      <c r="C30" s="640" t="s">
        <v>548</v>
      </c>
      <c r="D30" s="641" t="s">
        <v>1224</v>
      </c>
      <c r="E30" s="640" t="s">
        <v>562</v>
      </c>
      <c r="F30" s="641" t="s">
        <v>1228</v>
      </c>
      <c r="G30" s="640" t="s">
        <v>563</v>
      </c>
      <c r="H30" s="640" t="s">
        <v>643</v>
      </c>
      <c r="I30" s="640" t="s">
        <v>591</v>
      </c>
      <c r="J30" s="640" t="s">
        <v>644</v>
      </c>
      <c r="K30" s="640"/>
      <c r="L30" s="642">
        <v>55.818257926995656</v>
      </c>
      <c r="M30" s="642">
        <v>2</v>
      </c>
      <c r="N30" s="643">
        <v>111.63651585399131</v>
      </c>
    </row>
    <row r="31" spans="1:14" ht="14.4" customHeight="1" x14ac:dyDescent="0.3">
      <c r="A31" s="638" t="s">
        <v>543</v>
      </c>
      <c r="B31" s="639" t="s">
        <v>544</v>
      </c>
      <c r="C31" s="640" t="s">
        <v>548</v>
      </c>
      <c r="D31" s="641" t="s">
        <v>1224</v>
      </c>
      <c r="E31" s="640" t="s">
        <v>562</v>
      </c>
      <c r="F31" s="641" t="s">
        <v>1228</v>
      </c>
      <c r="G31" s="640" t="s">
        <v>563</v>
      </c>
      <c r="H31" s="640" t="s">
        <v>645</v>
      </c>
      <c r="I31" s="640" t="s">
        <v>591</v>
      </c>
      <c r="J31" s="640" t="s">
        <v>646</v>
      </c>
      <c r="K31" s="640"/>
      <c r="L31" s="642">
        <v>80.589764559653105</v>
      </c>
      <c r="M31" s="642">
        <v>50</v>
      </c>
      <c r="N31" s="643">
        <v>4029.4882279826552</v>
      </c>
    </row>
    <row r="32" spans="1:14" ht="14.4" customHeight="1" x14ac:dyDescent="0.3">
      <c r="A32" s="638" t="s">
        <v>543</v>
      </c>
      <c r="B32" s="639" t="s">
        <v>544</v>
      </c>
      <c r="C32" s="640" t="s">
        <v>548</v>
      </c>
      <c r="D32" s="641" t="s">
        <v>1224</v>
      </c>
      <c r="E32" s="640" t="s">
        <v>562</v>
      </c>
      <c r="F32" s="641" t="s">
        <v>1228</v>
      </c>
      <c r="G32" s="640" t="s">
        <v>563</v>
      </c>
      <c r="H32" s="640" t="s">
        <v>647</v>
      </c>
      <c r="I32" s="640" t="s">
        <v>591</v>
      </c>
      <c r="J32" s="640" t="s">
        <v>648</v>
      </c>
      <c r="K32" s="640"/>
      <c r="L32" s="642">
        <v>57.738217133148339</v>
      </c>
      <c r="M32" s="642">
        <v>12</v>
      </c>
      <c r="N32" s="643">
        <v>692.85860559778007</v>
      </c>
    </row>
    <row r="33" spans="1:14" ht="14.4" customHeight="1" x14ac:dyDescent="0.3">
      <c r="A33" s="638" t="s">
        <v>543</v>
      </c>
      <c r="B33" s="639" t="s">
        <v>544</v>
      </c>
      <c r="C33" s="640" t="s">
        <v>548</v>
      </c>
      <c r="D33" s="641" t="s">
        <v>1224</v>
      </c>
      <c r="E33" s="640" t="s">
        <v>562</v>
      </c>
      <c r="F33" s="641" t="s">
        <v>1228</v>
      </c>
      <c r="G33" s="640" t="s">
        <v>563</v>
      </c>
      <c r="H33" s="640" t="s">
        <v>649</v>
      </c>
      <c r="I33" s="640" t="s">
        <v>650</v>
      </c>
      <c r="J33" s="640" t="s">
        <v>651</v>
      </c>
      <c r="K33" s="640" t="s">
        <v>652</v>
      </c>
      <c r="L33" s="642">
        <v>1901.91</v>
      </c>
      <c r="M33" s="642">
        <v>2</v>
      </c>
      <c r="N33" s="643">
        <v>3803.82</v>
      </c>
    </row>
    <row r="34" spans="1:14" ht="14.4" customHeight="1" x14ac:dyDescent="0.3">
      <c r="A34" s="638" t="s">
        <v>543</v>
      </c>
      <c r="B34" s="639" t="s">
        <v>544</v>
      </c>
      <c r="C34" s="640" t="s">
        <v>548</v>
      </c>
      <c r="D34" s="641" t="s">
        <v>1224</v>
      </c>
      <c r="E34" s="640" t="s">
        <v>562</v>
      </c>
      <c r="F34" s="641" t="s">
        <v>1228</v>
      </c>
      <c r="G34" s="640" t="s">
        <v>563</v>
      </c>
      <c r="H34" s="640" t="s">
        <v>653</v>
      </c>
      <c r="I34" s="640" t="s">
        <v>591</v>
      </c>
      <c r="J34" s="640" t="s">
        <v>654</v>
      </c>
      <c r="K34" s="640"/>
      <c r="L34" s="642">
        <v>82.146438375052853</v>
      </c>
      <c r="M34" s="642">
        <v>290</v>
      </c>
      <c r="N34" s="643">
        <v>23822.467128765325</v>
      </c>
    </row>
    <row r="35" spans="1:14" ht="14.4" customHeight="1" x14ac:dyDescent="0.3">
      <c r="A35" s="638" t="s">
        <v>543</v>
      </c>
      <c r="B35" s="639" t="s">
        <v>544</v>
      </c>
      <c r="C35" s="640" t="s">
        <v>548</v>
      </c>
      <c r="D35" s="641" t="s">
        <v>1224</v>
      </c>
      <c r="E35" s="640" t="s">
        <v>562</v>
      </c>
      <c r="F35" s="641" t="s">
        <v>1228</v>
      </c>
      <c r="G35" s="640" t="s">
        <v>563</v>
      </c>
      <c r="H35" s="640" t="s">
        <v>655</v>
      </c>
      <c r="I35" s="640" t="s">
        <v>591</v>
      </c>
      <c r="J35" s="640" t="s">
        <v>656</v>
      </c>
      <c r="K35" s="640"/>
      <c r="L35" s="642">
        <v>145.70316425214207</v>
      </c>
      <c r="M35" s="642">
        <v>3</v>
      </c>
      <c r="N35" s="643">
        <v>437.10949275642622</v>
      </c>
    </row>
    <row r="36" spans="1:14" ht="14.4" customHeight="1" x14ac:dyDescent="0.3">
      <c r="A36" s="638" t="s">
        <v>543</v>
      </c>
      <c r="B36" s="639" t="s">
        <v>544</v>
      </c>
      <c r="C36" s="640" t="s">
        <v>548</v>
      </c>
      <c r="D36" s="641" t="s">
        <v>1224</v>
      </c>
      <c r="E36" s="640" t="s">
        <v>562</v>
      </c>
      <c r="F36" s="641" t="s">
        <v>1228</v>
      </c>
      <c r="G36" s="640" t="s">
        <v>563</v>
      </c>
      <c r="H36" s="640" t="s">
        <v>657</v>
      </c>
      <c r="I36" s="640" t="s">
        <v>591</v>
      </c>
      <c r="J36" s="640" t="s">
        <v>658</v>
      </c>
      <c r="K36" s="640"/>
      <c r="L36" s="642">
        <v>50.93803946155527</v>
      </c>
      <c r="M36" s="642">
        <v>1525</v>
      </c>
      <c r="N36" s="643">
        <v>77680.510178871788</v>
      </c>
    </row>
    <row r="37" spans="1:14" ht="14.4" customHeight="1" x14ac:dyDescent="0.3">
      <c r="A37" s="638" t="s">
        <v>543</v>
      </c>
      <c r="B37" s="639" t="s">
        <v>544</v>
      </c>
      <c r="C37" s="640" t="s">
        <v>548</v>
      </c>
      <c r="D37" s="641" t="s">
        <v>1224</v>
      </c>
      <c r="E37" s="640" t="s">
        <v>562</v>
      </c>
      <c r="F37" s="641" t="s">
        <v>1228</v>
      </c>
      <c r="G37" s="640" t="s">
        <v>563</v>
      </c>
      <c r="H37" s="640" t="s">
        <v>659</v>
      </c>
      <c r="I37" s="640" t="s">
        <v>591</v>
      </c>
      <c r="J37" s="640" t="s">
        <v>660</v>
      </c>
      <c r="K37" s="640"/>
      <c r="L37" s="642">
        <v>52.655953905764441</v>
      </c>
      <c r="M37" s="642">
        <v>7</v>
      </c>
      <c r="N37" s="643">
        <v>368.59167734035111</v>
      </c>
    </row>
    <row r="38" spans="1:14" ht="14.4" customHeight="1" x14ac:dyDescent="0.3">
      <c r="A38" s="638" t="s">
        <v>543</v>
      </c>
      <c r="B38" s="639" t="s">
        <v>544</v>
      </c>
      <c r="C38" s="640" t="s">
        <v>548</v>
      </c>
      <c r="D38" s="641" t="s">
        <v>1224</v>
      </c>
      <c r="E38" s="640" t="s">
        <v>562</v>
      </c>
      <c r="F38" s="641" t="s">
        <v>1228</v>
      </c>
      <c r="G38" s="640" t="s">
        <v>563</v>
      </c>
      <c r="H38" s="640" t="s">
        <v>661</v>
      </c>
      <c r="I38" s="640" t="s">
        <v>591</v>
      </c>
      <c r="J38" s="640" t="s">
        <v>662</v>
      </c>
      <c r="K38" s="640"/>
      <c r="L38" s="642">
        <v>124.16888325314383</v>
      </c>
      <c r="M38" s="642">
        <v>1</v>
      </c>
      <c r="N38" s="643">
        <v>124.16888325314383</v>
      </c>
    </row>
    <row r="39" spans="1:14" ht="14.4" customHeight="1" x14ac:dyDescent="0.3">
      <c r="A39" s="638" t="s">
        <v>543</v>
      </c>
      <c r="B39" s="639" t="s">
        <v>544</v>
      </c>
      <c r="C39" s="640" t="s">
        <v>548</v>
      </c>
      <c r="D39" s="641" t="s">
        <v>1224</v>
      </c>
      <c r="E39" s="640" t="s">
        <v>562</v>
      </c>
      <c r="F39" s="641" t="s">
        <v>1228</v>
      </c>
      <c r="G39" s="640" t="s">
        <v>563</v>
      </c>
      <c r="H39" s="640" t="s">
        <v>663</v>
      </c>
      <c r="I39" s="640" t="s">
        <v>591</v>
      </c>
      <c r="J39" s="640" t="s">
        <v>664</v>
      </c>
      <c r="K39" s="640"/>
      <c r="L39" s="642">
        <v>150.56020535926845</v>
      </c>
      <c r="M39" s="642">
        <v>4</v>
      </c>
      <c r="N39" s="643">
        <v>602.24082143707381</v>
      </c>
    </row>
    <row r="40" spans="1:14" ht="14.4" customHeight="1" x14ac:dyDescent="0.3">
      <c r="A40" s="638" t="s">
        <v>543</v>
      </c>
      <c r="B40" s="639" t="s">
        <v>544</v>
      </c>
      <c r="C40" s="640" t="s">
        <v>548</v>
      </c>
      <c r="D40" s="641" t="s">
        <v>1224</v>
      </c>
      <c r="E40" s="640" t="s">
        <v>562</v>
      </c>
      <c r="F40" s="641" t="s">
        <v>1228</v>
      </c>
      <c r="G40" s="640" t="s">
        <v>563</v>
      </c>
      <c r="H40" s="640" t="s">
        <v>665</v>
      </c>
      <c r="I40" s="640" t="s">
        <v>591</v>
      </c>
      <c r="J40" s="640" t="s">
        <v>666</v>
      </c>
      <c r="K40" s="640" t="s">
        <v>667</v>
      </c>
      <c r="L40" s="642">
        <v>75.02</v>
      </c>
      <c r="M40" s="642">
        <v>1</v>
      </c>
      <c r="N40" s="643">
        <v>75.02</v>
      </c>
    </row>
    <row r="41" spans="1:14" ht="14.4" customHeight="1" x14ac:dyDescent="0.3">
      <c r="A41" s="638" t="s">
        <v>543</v>
      </c>
      <c r="B41" s="639" t="s">
        <v>544</v>
      </c>
      <c r="C41" s="640" t="s">
        <v>548</v>
      </c>
      <c r="D41" s="641" t="s">
        <v>1224</v>
      </c>
      <c r="E41" s="640" t="s">
        <v>562</v>
      </c>
      <c r="F41" s="641" t="s">
        <v>1228</v>
      </c>
      <c r="G41" s="640" t="s">
        <v>563</v>
      </c>
      <c r="H41" s="640" t="s">
        <v>668</v>
      </c>
      <c r="I41" s="640" t="s">
        <v>669</v>
      </c>
      <c r="J41" s="640" t="s">
        <v>670</v>
      </c>
      <c r="K41" s="640" t="s">
        <v>671</v>
      </c>
      <c r="L41" s="642">
        <v>321.2</v>
      </c>
      <c r="M41" s="642">
        <v>1</v>
      </c>
      <c r="N41" s="643">
        <v>321.2</v>
      </c>
    </row>
    <row r="42" spans="1:14" ht="14.4" customHeight="1" x14ac:dyDescent="0.3">
      <c r="A42" s="638" t="s">
        <v>543</v>
      </c>
      <c r="B42" s="639" t="s">
        <v>544</v>
      </c>
      <c r="C42" s="640" t="s">
        <v>548</v>
      </c>
      <c r="D42" s="641" t="s">
        <v>1224</v>
      </c>
      <c r="E42" s="640" t="s">
        <v>562</v>
      </c>
      <c r="F42" s="641" t="s">
        <v>1228</v>
      </c>
      <c r="G42" s="640" t="s">
        <v>563</v>
      </c>
      <c r="H42" s="640" t="s">
        <v>672</v>
      </c>
      <c r="I42" s="640" t="s">
        <v>591</v>
      </c>
      <c r="J42" s="640" t="s">
        <v>673</v>
      </c>
      <c r="K42" s="640"/>
      <c r="L42" s="642">
        <v>140.43420484341243</v>
      </c>
      <c r="M42" s="642">
        <v>1</v>
      </c>
      <c r="N42" s="643">
        <v>140.43420484341243</v>
      </c>
    </row>
    <row r="43" spans="1:14" ht="14.4" customHeight="1" x14ac:dyDescent="0.3">
      <c r="A43" s="638" t="s">
        <v>543</v>
      </c>
      <c r="B43" s="639" t="s">
        <v>544</v>
      </c>
      <c r="C43" s="640" t="s">
        <v>548</v>
      </c>
      <c r="D43" s="641" t="s">
        <v>1224</v>
      </c>
      <c r="E43" s="640" t="s">
        <v>562</v>
      </c>
      <c r="F43" s="641" t="s">
        <v>1228</v>
      </c>
      <c r="G43" s="640" t="s">
        <v>563</v>
      </c>
      <c r="H43" s="640" t="s">
        <v>674</v>
      </c>
      <c r="I43" s="640" t="s">
        <v>675</v>
      </c>
      <c r="J43" s="640" t="s">
        <v>676</v>
      </c>
      <c r="K43" s="640" t="s">
        <v>677</v>
      </c>
      <c r="L43" s="642">
        <v>23.127938144329903</v>
      </c>
      <c r="M43" s="642">
        <v>97</v>
      </c>
      <c r="N43" s="643">
        <v>2243.4100000000008</v>
      </c>
    </row>
    <row r="44" spans="1:14" ht="14.4" customHeight="1" x14ac:dyDescent="0.3">
      <c r="A44" s="638" t="s">
        <v>543</v>
      </c>
      <c r="B44" s="639" t="s">
        <v>544</v>
      </c>
      <c r="C44" s="640" t="s">
        <v>548</v>
      </c>
      <c r="D44" s="641" t="s">
        <v>1224</v>
      </c>
      <c r="E44" s="640" t="s">
        <v>562</v>
      </c>
      <c r="F44" s="641" t="s">
        <v>1228</v>
      </c>
      <c r="G44" s="640" t="s">
        <v>563</v>
      </c>
      <c r="H44" s="640" t="s">
        <v>678</v>
      </c>
      <c r="I44" s="640" t="s">
        <v>678</v>
      </c>
      <c r="J44" s="640" t="s">
        <v>679</v>
      </c>
      <c r="K44" s="640" t="s">
        <v>680</v>
      </c>
      <c r="L44" s="642">
        <v>63.77</v>
      </c>
      <c r="M44" s="642">
        <v>20</v>
      </c>
      <c r="N44" s="643">
        <v>1275.4000000000001</v>
      </c>
    </row>
    <row r="45" spans="1:14" ht="14.4" customHeight="1" x14ac:dyDescent="0.3">
      <c r="A45" s="638" t="s">
        <v>543</v>
      </c>
      <c r="B45" s="639" t="s">
        <v>544</v>
      </c>
      <c r="C45" s="640" t="s">
        <v>548</v>
      </c>
      <c r="D45" s="641" t="s">
        <v>1224</v>
      </c>
      <c r="E45" s="640" t="s">
        <v>562</v>
      </c>
      <c r="F45" s="641" t="s">
        <v>1228</v>
      </c>
      <c r="G45" s="640" t="s">
        <v>563</v>
      </c>
      <c r="H45" s="640" t="s">
        <v>681</v>
      </c>
      <c r="I45" s="640" t="s">
        <v>591</v>
      </c>
      <c r="J45" s="640" t="s">
        <v>682</v>
      </c>
      <c r="K45" s="640"/>
      <c r="L45" s="642">
        <v>77.765536134322645</v>
      </c>
      <c r="M45" s="642">
        <v>154</v>
      </c>
      <c r="N45" s="643">
        <v>11975.892564685688</v>
      </c>
    </row>
    <row r="46" spans="1:14" ht="14.4" customHeight="1" x14ac:dyDescent="0.3">
      <c r="A46" s="638" t="s">
        <v>543</v>
      </c>
      <c r="B46" s="639" t="s">
        <v>544</v>
      </c>
      <c r="C46" s="640" t="s">
        <v>548</v>
      </c>
      <c r="D46" s="641" t="s">
        <v>1224</v>
      </c>
      <c r="E46" s="640" t="s">
        <v>562</v>
      </c>
      <c r="F46" s="641" t="s">
        <v>1228</v>
      </c>
      <c r="G46" s="640" t="s">
        <v>563</v>
      </c>
      <c r="H46" s="640" t="s">
        <v>683</v>
      </c>
      <c r="I46" s="640" t="s">
        <v>684</v>
      </c>
      <c r="J46" s="640" t="s">
        <v>676</v>
      </c>
      <c r="K46" s="640" t="s">
        <v>685</v>
      </c>
      <c r="L46" s="642">
        <v>229.21995541300547</v>
      </c>
      <c r="M46" s="642">
        <v>14</v>
      </c>
      <c r="N46" s="643">
        <v>3209.0793757820766</v>
      </c>
    </row>
    <row r="47" spans="1:14" ht="14.4" customHeight="1" x14ac:dyDescent="0.3">
      <c r="A47" s="638" t="s">
        <v>543</v>
      </c>
      <c r="B47" s="639" t="s">
        <v>544</v>
      </c>
      <c r="C47" s="640" t="s">
        <v>548</v>
      </c>
      <c r="D47" s="641" t="s">
        <v>1224</v>
      </c>
      <c r="E47" s="640" t="s">
        <v>562</v>
      </c>
      <c r="F47" s="641" t="s">
        <v>1228</v>
      </c>
      <c r="G47" s="640" t="s">
        <v>563</v>
      </c>
      <c r="H47" s="640" t="s">
        <v>686</v>
      </c>
      <c r="I47" s="640" t="s">
        <v>591</v>
      </c>
      <c r="J47" s="640" t="s">
        <v>687</v>
      </c>
      <c r="K47" s="640" t="s">
        <v>688</v>
      </c>
      <c r="L47" s="642">
        <v>50.853583356107059</v>
      </c>
      <c r="M47" s="642">
        <v>1</v>
      </c>
      <c r="N47" s="643">
        <v>50.853583356107059</v>
      </c>
    </row>
    <row r="48" spans="1:14" ht="14.4" customHeight="1" x14ac:dyDescent="0.3">
      <c r="A48" s="638" t="s">
        <v>543</v>
      </c>
      <c r="B48" s="639" t="s">
        <v>544</v>
      </c>
      <c r="C48" s="640" t="s">
        <v>548</v>
      </c>
      <c r="D48" s="641" t="s">
        <v>1224</v>
      </c>
      <c r="E48" s="640" t="s">
        <v>562</v>
      </c>
      <c r="F48" s="641" t="s">
        <v>1228</v>
      </c>
      <c r="G48" s="640" t="s">
        <v>563</v>
      </c>
      <c r="H48" s="640" t="s">
        <v>689</v>
      </c>
      <c r="I48" s="640" t="s">
        <v>689</v>
      </c>
      <c r="J48" s="640" t="s">
        <v>690</v>
      </c>
      <c r="K48" s="640" t="s">
        <v>691</v>
      </c>
      <c r="L48" s="642">
        <v>47.266363636363643</v>
      </c>
      <c r="M48" s="642">
        <v>11</v>
      </c>
      <c r="N48" s="643">
        <v>519.93000000000006</v>
      </c>
    </row>
    <row r="49" spans="1:14" ht="14.4" customHeight="1" x14ac:dyDescent="0.3">
      <c r="A49" s="638" t="s">
        <v>543</v>
      </c>
      <c r="B49" s="639" t="s">
        <v>544</v>
      </c>
      <c r="C49" s="640" t="s">
        <v>548</v>
      </c>
      <c r="D49" s="641" t="s">
        <v>1224</v>
      </c>
      <c r="E49" s="640" t="s">
        <v>562</v>
      </c>
      <c r="F49" s="641" t="s">
        <v>1228</v>
      </c>
      <c r="G49" s="640" t="s">
        <v>563</v>
      </c>
      <c r="H49" s="640" t="s">
        <v>692</v>
      </c>
      <c r="I49" s="640" t="s">
        <v>692</v>
      </c>
      <c r="J49" s="640" t="s">
        <v>693</v>
      </c>
      <c r="K49" s="640" t="s">
        <v>694</v>
      </c>
      <c r="L49" s="642">
        <v>50.244285714285709</v>
      </c>
      <c r="M49" s="642">
        <v>7</v>
      </c>
      <c r="N49" s="643">
        <v>351.71</v>
      </c>
    </row>
    <row r="50" spans="1:14" ht="14.4" customHeight="1" x14ac:dyDescent="0.3">
      <c r="A50" s="638" t="s">
        <v>543</v>
      </c>
      <c r="B50" s="639" t="s">
        <v>544</v>
      </c>
      <c r="C50" s="640" t="s">
        <v>548</v>
      </c>
      <c r="D50" s="641" t="s">
        <v>1224</v>
      </c>
      <c r="E50" s="640" t="s">
        <v>562</v>
      </c>
      <c r="F50" s="641" t="s">
        <v>1228</v>
      </c>
      <c r="G50" s="640" t="s">
        <v>563</v>
      </c>
      <c r="H50" s="640" t="s">
        <v>695</v>
      </c>
      <c r="I50" s="640" t="s">
        <v>591</v>
      </c>
      <c r="J50" s="640" t="s">
        <v>696</v>
      </c>
      <c r="K50" s="640"/>
      <c r="L50" s="642">
        <v>315.7200000000002</v>
      </c>
      <c r="M50" s="642">
        <v>1</v>
      </c>
      <c r="N50" s="643">
        <v>315.7200000000002</v>
      </c>
    </row>
    <row r="51" spans="1:14" ht="14.4" customHeight="1" x14ac:dyDescent="0.3">
      <c r="A51" s="638" t="s">
        <v>543</v>
      </c>
      <c r="B51" s="639" t="s">
        <v>544</v>
      </c>
      <c r="C51" s="640" t="s">
        <v>548</v>
      </c>
      <c r="D51" s="641" t="s">
        <v>1224</v>
      </c>
      <c r="E51" s="640" t="s">
        <v>562</v>
      </c>
      <c r="F51" s="641" t="s">
        <v>1228</v>
      </c>
      <c r="G51" s="640" t="s">
        <v>563</v>
      </c>
      <c r="H51" s="640" t="s">
        <v>697</v>
      </c>
      <c r="I51" s="640" t="s">
        <v>697</v>
      </c>
      <c r="J51" s="640" t="s">
        <v>698</v>
      </c>
      <c r="K51" s="640" t="s">
        <v>699</v>
      </c>
      <c r="L51" s="642">
        <v>126.55483520342075</v>
      </c>
      <c r="M51" s="642">
        <v>24</v>
      </c>
      <c r="N51" s="643">
        <v>3037.3160448820981</v>
      </c>
    </row>
    <row r="52" spans="1:14" ht="14.4" customHeight="1" x14ac:dyDescent="0.3">
      <c r="A52" s="638" t="s">
        <v>543</v>
      </c>
      <c r="B52" s="639" t="s">
        <v>544</v>
      </c>
      <c r="C52" s="640" t="s">
        <v>548</v>
      </c>
      <c r="D52" s="641" t="s">
        <v>1224</v>
      </c>
      <c r="E52" s="640" t="s">
        <v>700</v>
      </c>
      <c r="F52" s="641" t="s">
        <v>1229</v>
      </c>
      <c r="G52" s="640" t="s">
        <v>563</v>
      </c>
      <c r="H52" s="640" t="s">
        <v>701</v>
      </c>
      <c r="I52" s="640" t="s">
        <v>591</v>
      </c>
      <c r="J52" s="640" t="s">
        <v>702</v>
      </c>
      <c r="K52" s="640"/>
      <c r="L52" s="642">
        <v>480.74</v>
      </c>
      <c r="M52" s="642">
        <v>2</v>
      </c>
      <c r="N52" s="643">
        <v>961.48</v>
      </c>
    </row>
    <row r="53" spans="1:14" ht="14.4" customHeight="1" x14ac:dyDescent="0.3">
      <c r="A53" s="638" t="s">
        <v>543</v>
      </c>
      <c r="B53" s="639" t="s">
        <v>544</v>
      </c>
      <c r="C53" s="640" t="s">
        <v>548</v>
      </c>
      <c r="D53" s="641" t="s">
        <v>1224</v>
      </c>
      <c r="E53" s="640" t="s">
        <v>700</v>
      </c>
      <c r="F53" s="641" t="s">
        <v>1229</v>
      </c>
      <c r="G53" s="640" t="s">
        <v>563</v>
      </c>
      <c r="H53" s="640" t="s">
        <v>703</v>
      </c>
      <c r="I53" s="640" t="s">
        <v>591</v>
      </c>
      <c r="J53" s="640" t="s">
        <v>704</v>
      </c>
      <c r="K53" s="640"/>
      <c r="L53" s="642">
        <v>913.1</v>
      </c>
      <c r="M53" s="642">
        <v>2</v>
      </c>
      <c r="N53" s="643">
        <v>1826.2</v>
      </c>
    </row>
    <row r="54" spans="1:14" ht="14.4" customHeight="1" x14ac:dyDescent="0.3">
      <c r="A54" s="638" t="s">
        <v>543</v>
      </c>
      <c r="B54" s="639" t="s">
        <v>544</v>
      </c>
      <c r="C54" s="640" t="s">
        <v>548</v>
      </c>
      <c r="D54" s="641" t="s">
        <v>1224</v>
      </c>
      <c r="E54" s="640" t="s">
        <v>705</v>
      </c>
      <c r="F54" s="641" t="s">
        <v>1230</v>
      </c>
      <c r="G54" s="640" t="s">
        <v>563</v>
      </c>
      <c r="H54" s="640" t="s">
        <v>706</v>
      </c>
      <c r="I54" s="640" t="s">
        <v>707</v>
      </c>
      <c r="J54" s="640" t="s">
        <v>708</v>
      </c>
      <c r="K54" s="640" t="s">
        <v>709</v>
      </c>
      <c r="L54" s="642">
        <v>39.923333333333339</v>
      </c>
      <c r="M54" s="642">
        <v>6</v>
      </c>
      <c r="N54" s="643">
        <v>239.54000000000005</v>
      </c>
    </row>
    <row r="55" spans="1:14" ht="14.4" customHeight="1" x14ac:dyDescent="0.3">
      <c r="A55" s="638" t="s">
        <v>543</v>
      </c>
      <c r="B55" s="639" t="s">
        <v>544</v>
      </c>
      <c r="C55" s="640" t="s">
        <v>548</v>
      </c>
      <c r="D55" s="641" t="s">
        <v>1224</v>
      </c>
      <c r="E55" s="640" t="s">
        <v>705</v>
      </c>
      <c r="F55" s="641" t="s">
        <v>1230</v>
      </c>
      <c r="G55" s="640" t="s">
        <v>563</v>
      </c>
      <c r="H55" s="640" t="s">
        <v>710</v>
      </c>
      <c r="I55" s="640" t="s">
        <v>711</v>
      </c>
      <c r="J55" s="640" t="s">
        <v>712</v>
      </c>
      <c r="K55" s="640" t="s">
        <v>713</v>
      </c>
      <c r="L55" s="642">
        <v>67.76166666666667</v>
      </c>
      <c r="M55" s="642">
        <v>12</v>
      </c>
      <c r="N55" s="643">
        <v>813.1400000000001</v>
      </c>
    </row>
    <row r="56" spans="1:14" ht="14.4" customHeight="1" x14ac:dyDescent="0.3">
      <c r="A56" s="638" t="s">
        <v>543</v>
      </c>
      <c r="B56" s="639" t="s">
        <v>544</v>
      </c>
      <c r="C56" s="640" t="s">
        <v>548</v>
      </c>
      <c r="D56" s="641" t="s">
        <v>1224</v>
      </c>
      <c r="E56" s="640" t="s">
        <v>705</v>
      </c>
      <c r="F56" s="641" t="s">
        <v>1230</v>
      </c>
      <c r="G56" s="640" t="s">
        <v>563</v>
      </c>
      <c r="H56" s="640" t="s">
        <v>714</v>
      </c>
      <c r="I56" s="640" t="s">
        <v>714</v>
      </c>
      <c r="J56" s="640" t="s">
        <v>715</v>
      </c>
      <c r="K56" s="640" t="s">
        <v>716</v>
      </c>
      <c r="L56" s="642">
        <v>111.10999999999999</v>
      </c>
      <c r="M56" s="642">
        <v>10</v>
      </c>
      <c r="N56" s="643">
        <v>1111.0999999999999</v>
      </c>
    </row>
    <row r="57" spans="1:14" ht="14.4" customHeight="1" x14ac:dyDescent="0.3">
      <c r="A57" s="638" t="s">
        <v>543</v>
      </c>
      <c r="B57" s="639" t="s">
        <v>544</v>
      </c>
      <c r="C57" s="640" t="s">
        <v>548</v>
      </c>
      <c r="D57" s="641" t="s">
        <v>1224</v>
      </c>
      <c r="E57" s="640" t="s">
        <v>705</v>
      </c>
      <c r="F57" s="641" t="s">
        <v>1230</v>
      </c>
      <c r="G57" s="640" t="s">
        <v>563</v>
      </c>
      <c r="H57" s="640" t="s">
        <v>717</v>
      </c>
      <c r="I57" s="640" t="s">
        <v>718</v>
      </c>
      <c r="J57" s="640" t="s">
        <v>719</v>
      </c>
      <c r="K57" s="640" t="s">
        <v>720</v>
      </c>
      <c r="L57" s="642">
        <v>59.822000000000003</v>
      </c>
      <c r="M57" s="642">
        <v>17</v>
      </c>
      <c r="N57" s="643">
        <v>1016.974</v>
      </c>
    </row>
    <row r="58" spans="1:14" ht="14.4" customHeight="1" x14ac:dyDescent="0.3">
      <c r="A58" s="638" t="s">
        <v>543</v>
      </c>
      <c r="B58" s="639" t="s">
        <v>544</v>
      </c>
      <c r="C58" s="640" t="s">
        <v>548</v>
      </c>
      <c r="D58" s="641" t="s">
        <v>1224</v>
      </c>
      <c r="E58" s="640" t="s">
        <v>705</v>
      </c>
      <c r="F58" s="641" t="s">
        <v>1230</v>
      </c>
      <c r="G58" s="640" t="s">
        <v>563</v>
      </c>
      <c r="H58" s="640" t="s">
        <v>721</v>
      </c>
      <c r="I58" s="640" t="s">
        <v>722</v>
      </c>
      <c r="J58" s="640" t="s">
        <v>723</v>
      </c>
      <c r="K58" s="640" t="s">
        <v>724</v>
      </c>
      <c r="L58" s="642">
        <v>23.519999999999996</v>
      </c>
      <c r="M58" s="642">
        <v>6</v>
      </c>
      <c r="N58" s="643">
        <v>141.11999999999998</v>
      </c>
    </row>
    <row r="59" spans="1:14" ht="14.4" customHeight="1" x14ac:dyDescent="0.3">
      <c r="A59" s="638" t="s">
        <v>543</v>
      </c>
      <c r="B59" s="639" t="s">
        <v>544</v>
      </c>
      <c r="C59" s="640" t="s">
        <v>548</v>
      </c>
      <c r="D59" s="641" t="s">
        <v>1224</v>
      </c>
      <c r="E59" s="640" t="s">
        <v>705</v>
      </c>
      <c r="F59" s="641" t="s">
        <v>1230</v>
      </c>
      <c r="G59" s="640" t="s">
        <v>563</v>
      </c>
      <c r="H59" s="640" t="s">
        <v>725</v>
      </c>
      <c r="I59" s="640" t="s">
        <v>726</v>
      </c>
      <c r="J59" s="640" t="s">
        <v>727</v>
      </c>
      <c r="K59" s="640" t="s">
        <v>728</v>
      </c>
      <c r="L59" s="642">
        <v>46.839983151081086</v>
      </c>
      <c r="M59" s="642">
        <v>53</v>
      </c>
      <c r="N59" s="643">
        <v>2482.5191070072974</v>
      </c>
    </row>
    <row r="60" spans="1:14" ht="14.4" customHeight="1" x14ac:dyDescent="0.3">
      <c r="A60" s="638" t="s">
        <v>543</v>
      </c>
      <c r="B60" s="639" t="s">
        <v>544</v>
      </c>
      <c r="C60" s="640" t="s">
        <v>548</v>
      </c>
      <c r="D60" s="641" t="s">
        <v>1224</v>
      </c>
      <c r="E60" s="640" t="s">
        <v>705</v>
      </c>
      <c r="F60" s="641" t="s">
        <v>1230</v>
      </c>
      <c r="G60" s="640" t="s">
        <v>563</v>
      </c>
      <c r="H60" s="640" t="s">
        <v>729</v>
      </c>
      <c r="I60" s="640" t="s">
        <v>729</v>
      </c>
      <c r="J60" s="640" t="s">
        <v>730</v>
      </c>
      <c r="K60" s="640" t="s">
        <v>731</v>
      </c>
      <c r="L60" s="642">
        <v>72.64001469223173</v>
      </c>
      <c r="M60" s="642">
        <v>7</v>
      </c>
      <c r="N60" s="643">
        <v>508.48010284562213</v>
      </c>
    </row>
    <row r="61" spans="1:14" ht="14.4" customHeight="1" x14ac:dyDescent="0.3">
      <c r="A61" s="638" t="s">
        <v>543</v>
      </c>
      <c r="B61" s="639" t="s">
        <v>544</v>
      </c>
      <c r="C61" s="640" t="s">
        <v>548</v>
      </c>
      <c r="D61" s="641" t="s">
        <v>1224</v>
      </c>
      <c r="E61" s="640" t="s">
        <v>705</v>
      </c>
      <c r="F61" s="641" t="s">
        <v>1230</v>
      </c>
      <c r="G61" s="640" t="s">
        <v>563</v>
      </c>
      <c r="H61" s="640" t="s">
        <v>732</v>
      </c>
      <c r="I61" s="640" t="s">
        <v>732</v>
      </c>
      <c r="J61" s="640" t="s">
        <v>733</v>
      </c>
      <c r="K61" s="640" t="s">
        <v>734</v>
      </c>
      <c r="L61" s="642">
        <v>231.05999999999997</v>
      </c>
      <c r="M61" s="642">
        <v>3</v>
      </c>
      <c r="N61" s="643">
        <v>693.18</v>
      </c>
    </row>
    <row r="62" spans="1:14" ht="14.4" customHeight="1" x14ac:dyDescent="0.3">
      <c r="A62" s="638" t="s">
        <v>543</v>
      </c>
      <c r="B62" s="639" t="s">
        <v>544</v>
      </c>
      <c r="C62" s="640" t="s">
        <v>548</v>
      </c>
      <c r="D62" s="641" t="s">
        <v>1224</v>
      </c>
      <c r="E62" s="640" t="s">
        <v>705</v>
      </c>
      <c r="F62" s="641" t="s">
        <v>1230</v>
      </c>
      <c r="G62" s="640" t="s">
        <v>563</v>
      </c>
      <c r="H62" s="640" t="s">
        <v>735</v>
      </c>
      <c r="I62" s="640" t="s">
        <v>735</v>
      </c>
      <c r="J62" s="640" t="s">
        <v>736</v>
      </c>
      <c r="K62" s="640" t="s">
        <v>737</v>
      </c>
      <c r="L62" s="642">
        <v>194.25</v>
      </c>
      <c r="M62" s="642">
        <v>2</v>
      </c>
      <c r="N62" s="643">
        <v>388.5</v>
      </c>
    </row>
    <row r="63" spans="1:14" ht="14.4" customHeight="1" x14ac:dyDescent="0.3">
      <c r="A63" s="638" t="s">
        <v>543</v>
      </c>
      <c r="B63" s="639" t="s">
        <v>544</v>
      </c>
      <c r="C63" s="640" t="s">
        <v>548</v>
      </c>
      <c r="D63" s="641" t="s">
        <v>1224</v>
      </c>
      <c r="E63" s="640" t="s">
        <v>705</v>
      </c>
      <c r="F63" s="641" t="s">
        <v>1230</v>
      </c>
      <c r="G63" s="640" t="s">
        <v>563</v>
      </c>
      <c r="H63" s="640" t="s">
        <v>738</v>
      </c>
      <c r="I63" s="640" t="s">
        <v>738</v>
      </c>
      <c r="J63" s="640" t="s">
        <v>739</v>
      </c>
      <c r="K63" s="640" t="s">
        <v>740</v>
      </c>
      <c r="L63" s="642">
        <v>137.91088328075708</v>
      </c>
      <c r="M63" s="642">
        <v>31.7</v>
      </c>
      <c r="N63" s="643">
        <v>4371.7749999999996</v>
      </c>
    </row>
    <row r="64" spans="1:14" ht="14.4" customHeight="1" x14ac:dyDescent="0.3">
      <c r="A64" s="638" t="s">
        <v>543</v>
      </c>
      <c r="B64" s="639" t="s">
        <v>544</v>
      </c>
      <c r="C64" s="640" t="s">
        <v>548</v>
      </c>
      <c r="D64" s="641" t="s">
        <v>1224</v>
      </c>
      <c r="E64" s="640" t="s">
        <v>705</v>
      </c>
      <c r="F64" s="641" t="s">
        <v>1230</v>
      </c>
      <c r="G64" s="640" t="s">
        <v>741</v>
      </c>
      <c r="H64" s="640" t="s">
        <v>742</v>
      </c>
      <c r="I64" s="640" t="s">
        <v>743</v>
      </c>
      <c r="J64" s="640" t="s">
        <v>744</v>
      </c>
      <c r="K64" s="640" t="s">
        <v>745</v>
      </c>
      <c r="L64" s="642">
        <v>49.529648524841342</v>
      </c>
      <c r="M64" s="642">
        <v>1</v>
      </c>
      <c r="N64" s="643">
        <v>49.529648524841342</v>
      </c>
    </row>
    <row r="65" spans="1:14" ht="14.4" customHeight="1" x14ac:dyDescent="0.3">
      <c r="A65" s="638" t="s">
        <v>543</v>
      </c>
      <c r="B65" s="639" t="s">
        <v>544</v>
      </c>
      <c r="C65" s="640" t="s">
        <v>548</v>
      </c>
      <c r="D65" s="641" t="s">
        <v>1224</v>
      </c>
      <c r="E65" s="640" t="s">
        <v>746</v>
      </c>
      <c r="F65" s="641" t="s">
        <v>1231</v>
      </c>
      <c r="G65" s="640" t="s">
        <v>563</v>
      </c>
      <c r="H65" s="640" t="s">
        <v>747</v>
      </c>
      <c r="I65" s="640" t="s">
        <v>748</v>
      </c>
      <c r="J65" s="640" t="s">
        <v>749</v>
      </c>
      <c r="K65" s="640" t="s">
        <v>750</v>
      </c>
      <c r="L65" s="642">
        <v>104.85999999999997</v>
      </c>
      <c r="M65" s="642">
        <v>5</v>
      </c>
      <c r="N65" s="643">
        <v>524.29999999999984</v>
      </c>
    </row>
    <row r="66" spans="1:14" ht="14.4" customHeight="1" x14ac:dyDescent="0.3">
      <c r="A66" s="638" t="s">
        <v>543</v>
      </c>
      <c r="B66" s="639" t="s">
        <v>544</v>
      </c>
      <c r="C66" s="640" t="s">
        <v>548</v>
      </c>
      <c r="D66" s="641" t="s">
        <v>1224</v>
      </c>
      <c r="E66" s="640" t="s">
        <v>746</v>
      </c>
      <c r="F66" s="641" t="s">
        <v>1231</v>
      </c>
      <c r="G66" s="640" t="s">
        <v>563</v>
      </c>
      <c r="H66" s="640" t="s">
        <v>751</v>
      </c>
      <c r="I66" s="640" t="s">
        <v>752</v>
      </c>
      <c r="J66" s="640" t="s">
        <v>753</v>
      </c>
      <c r="K66" s="640" t="s">
        <v>754</v>
      </c>
      <c r="L66" s="642">
        <v>108.19660619987086</v>
      </c>
      <c r="M66" s="642">
        <v>33</v>
      </c>
      <c r="N66" s="643">
        <v>3570.4880045957384</v>
      </c>
    </row>
    <row r="67" spans="1:14" ht="14.4" customHeight="1" x14ac:dyDescent="0.3">
      <c r="A67" s="638" t="s">
        <v>543</v>
      </c>
      <c r="B67" s="639" t="s">
        <v>544</v>
      </c>
      <c r="C67" s="640" t="s">
        <v>553</v>
      </c>
      <c r="D67" s="641" t="s">
        <v>1225</v>
      </c>
      <c r="E67" s="640" t="s">
        <v>562</v>
      </c>
      <c r="F67" s="641" t="s">
        <v>1228</v>
      </c>
      <c r="G67" s="640" t="s">
        <v>563</v>
      </c>
      <c r="H67" s="640" t="s">
        <v>564</v>
      </c>
      <c r="I67" s="640" t="s">
        <v>564</v>
      </c>
      <c r="J67" s="640" t="s">
        <v>565</v>
      </c>
      <c r="K67" s="640" t="s">
        <v>566</v>
      </c>
      <c r="L67" s="642">
        <v>171.59999999999994</v>
      </c>
      <c r="M67" s="642">
        <v>15</v>
      </c>
      <c r="N67" s="643">
        <v>2573.9999999999991</v>
      </c>
    </row>
    <row r="68" spans="1:14" ht="14.4" customHeight="1" x14ac:dyDescent="0.3">
      <c r="A68" s="638" t="s">
        <v>543</v>
      </c>
      <c r="B68" s="639" t="s">
        <v>544</v>
      </c>
      <c r="C68" s="640" t="s">
        <v>553</v>
      </c>
      <c r="D68" s="641" t="s">
        <v>1225</v>
      </c>
      <c r="E68" s="640" t="s">
        <v>562</v>
      </c>
      <c r="F68" s="641" t="s">
        <v>1228</v>
      </c>
      <c r="G68" s="640" t="s">
        <v>563</v>
      </c>
      <c r="H68" s="640" t="s">
        <v>567</v>
      </c>
      <c r="I68" s="640" t="s">
        <v>567</v>
      </c>
      <c r="J68" s="640" t="s">
        <v>568</v>
      </c>
      <c r="K68" s="640" t="s">
        <v>569</v>
      </c>
      <c r="L68" s="642">
        <v>222.19999953820471</v>
      </c>
      <c r="M68" s="642">
        <v>19</v>
      </c>
      <c r="N68" s="643">
        <v>4221.7999912258892</v>
      </c>
    </row>
    <row r="69" spans="1:14" ht="14.4" customHeight="1" x14ac:dyDescent="0.3">
      <c r="A69" s="638" t="s">
        <v>543</v>
      </c>
      <c r="B69" s="639" t="s">
        <v>544</v>
      </c>
      <c r="C69" s="640" t="s">
        <v>553</v>
      </c>
      <c r="D69" s="641" t="s">
        <v>1225</v>
      </c>
      <c r="E69" s="640" t="s">
        <v>562</v>
      </c>
      <c r="F69" s="641" t="s">
        <v>1228</v>
      </c>
      <c r="G69" s="640" t="s">
        <v>563</v>
      </c>
      <c r="H69" s="640" t="s">
        <v>570</v>
      </c>
      <c r="I69" s="640" t="s">
        <v>571</v>
      </c>
      <c r="J69" s="640" t="s">
        <v>572</v>
      </c>
      <c r="K69" s="640" t="s">
        <v>573</v>
      </c>
      <c r="L69" s="642">
        <v>87.029999822363749</v>
      </c>
      <c r="M69" s="642">
        <v>4</v>
      </c>
      <c r="N69" s="643">
        <v>348.119999289455</v>
      </c>
    </row>
    <row r="70" spans="1:14" ht="14.4" customHeight="1" x14ac:dyDescent="0.3">
      <c r="A70" s="638" t="s">
        <v>543</v>
      </c>
      <c r="B70" s="639" t="s">
        <v>544</v>
      </c>
      <c r="C70" s="640" t="s">
        <v>553</v>
      </c>
      <c r="D70" s="641" t="s">
        <v>1225</v>
      </c>
      <c r="E70" s="640" t="s">
        <v>562</v>
      </c>
      <c r="F70" s="641" t="s">
        <v>1228</v>
      </c>
      <c r="G70" s="640" t="s">
        <v>563</v>
      </c>
      <c r="H70" s="640" t="s">
        <v>574</v>
      </c>
      <c r="I70" s="640" t="s">
        <v>575</v>
      </c>
      <c r="J70" s="640" t="s">
        <v>576</v>
      </c>
      <c r="K70" s="640" t="s">
        <v>577</v>
      </c>
      <c r="L70" s="642">
        <v>96.819999999999965</v>
      </c>
      <c r="M70" s="642">
        <v>2</v>
      </c>
      <c r="N70" s="643">
        <v>193.63999999999993</v>
      </c>
    </row>
    <row r="71" spans="1:14" ht="14.4" customHeight="1" x14ac:dyDescent="0.3">
      <c r="A71" s="638" t="s">
        <v>543</v>
      </c>
      <c r="B71" s="639" t="s">
        <v>544</v>
      </c>
      <c r="C71" s="640" t="s">
        <v>553</v>
      </c>
      <c r="D71" s="641" t="s">
        <v>1225</v>
      </c>
      <c r="E71" s="640" t="s">
        <v>562</v>
      </c>
      <c r="F71" s="641" t="s">
        <v>1228</v>
      </c>
      <c r="G71" s="640" t="s">
        <v>563</v>
      </c>
      <c r="H71" s="640" t="s">
        <v>578</v>
      </c>
      <c r="I71" s="640" t="s">
        <v>579</v>
      </c>
      <c r="J71" s="640" t="s">
        <v>580</v>
      </c>
      <c r="K71" s="640" t="s">
        <v>581</v>
      </c>
      <c r="L71" s="642">
        <v>79.248996194920295</v>
      </c>
      <c r="M71" s="642">
        <v>10</v>
      </c>
      <c r="N71" s="643">
        <v>792.48996194920289</v>
      </c>
    </row>
    <row r="72" spans="1:14" ht="14.4" customHeight="1" x14ac:dyDescent="0.3">
      <c r="A72" s="638" t="s">
        <v>543</v>
      </c>
      <c r="B72" s="639" t="s">
        <v>544</v>
      </c>
      <c r="C72" s="640" t="s">
        <v>553</v>
      </c>
      <c r="D72" s="641" t="s">
        <v>1225</v>
      </c>
      <c r="E72" s="640" t="s">
        <v>562</v>
      </c>
      <c r="F72" s="641" t="s">
        <v>1228</v>
      </c>
      <c r="G72" s="640" t="s">
        <v>563</v>
      </c>
      <c r="H72" s="640" t="s">
        <v>582</v>
      </c>
      <c r="I72" s="640" t="s">
        <v>583</v>
      </c>
      <c r="J72" s="640" t="s">
        <v>584</v>
      </c>
      <c r="K72" s="640" t="s">
        <v>585</v>
      </c>
      <c r="L72" s="642">
        <v>74.521785222811687</v>
      </c>
      <c r="M72" s="642">
        <v>250</v>
      </c>
      <c r="N72" s="643">
        <v>18630.446305702921</v>
      </c>
    </row>
    <row r="73" spans="1:14" ht="14.4" customHeight="1" x14ac:dyDescent="0.3">
      <c r="A73" s="638" t="s">
        <v>543</v>
      </c>
      <c r="B73" s="639" t="s">
        <v>544</v>
      </c>
      <c r="C73" s="640" t="s">
        <v>553</v>
      </c>
      <c r="D73" s="641" t="s">
        <v>1225</v>
      </c>
      <c r="E73" s="640" t="s">
        <v>562</v>
      </c>
      <c r="F73" s="641" t="s">
        <v>1228</v>
      </c>
      <c r="G73" s="640" t="s">
        <v>563</v>
      </c>
      <c r="H73" s="640" t="s">
        <v>755</v>
      </c>
      <c r="I73" s="640" t="s">
        <v>756</v>
      </c>
      <c r="J73" s="640" t="s">
        <v>757</v>
      </c>
      <c r="K73" s="640" t="s">
        <v>758</v>
      </c>
      <c r="L73" s="642">
        <v>115.94</v>
      </c>
      <c r="M73" s="642">
        <v>2</v>
      </c>
      <c r="N73" s="643">
        <v>231.88</v>
      </c>
    </row>
    <row r="74" spans="1:14" ht="14.4" customHeight="1" x14ac:dyDescent="0.3">
      <c r="A74" s="638" t="s">
        <v>543</v>
      </c>
      <c r="B74" s="639" t="s">
        <v>544</v>
      </c>
      <c r="C74" s="640" t="s">
        <v>553</v>
      </c>
      <c r="D74" s="641" t="s">
        <v>1225</v>
      </c>
      <c r="E74" s="640" t="s">
        <v>562</v>
      </c>
      <c r="F74" s="641" t="s">
        <v>1228</v>
      </c>
      <c r="G74" s="640" t="s">
        <v>563</v>
      </c>
      <c r="H74" s="640" t="s">
        <v>759</v>
      </c>
      <c r="I74" s="640" t="s">
        <v>760</v>
      </c>
      <c r="J74" s="640" t="s">
        <v>761</v>
      </c>
      <c r="K74" s="640" t="s">
        <v>762</v>
      </c>
      <c r="L74" s="642">
        <v>65.99599984993894</v>
      </c>
      <c r="M74" s="642">
        <v>5</v>
      </c>
      <c r="N74" s="643">
        <v>329.97999924969469</v>
      </c>
    </row>
    <row r="75" spans="1:14" ht="14.4" customHeight="1" x14ac:dyDescent="0.3">
      <c r="A75" s="638" t="s">
        <v>543</v>
      </c>
      <c r="B75" s="639" t="s">
        <v>544</v>
      </c>
      <c r="C75" s="640" t="s">
        <v>553</v>
      </c>
      <c r="D75" s="641" t="s">
        <v>1225</v>
      </c>
      <c r="E75" s="640" t="s">
        <v>562</v>
      </c>
      <c r="F75" s="641" t="s">
        <v>1228</v>
      </c>
      <c r="G75" s="640" t="s">
        <v>563</v>
      </c>
      <c r="H75" s="640" t="s">
        <v>763</v>
      </c>
      <c r="I75" s="640" t="s">
        <v>763</v>
      </c>
      <c r="J75" s="640" t="s">
        <v>764</v>
      </c>
      <c r="K75" s="640" t="s">
        <v>765</v>
      </c>
      <c r="L75" s="642">
        <v>36.530000000000008</v>
      </c>
      <c r="M75" s="642">
        <v>1</v>
      </c>
      <c r="N75" s="643">
        <v>36.530000000000008</v>
      </c>
    </row>
    <row r="76" spans="1:14" ht="14.4" customHeight="1" x14ac:dyDescent="0.3">
      <c r="A76" s="638" t="s">
        <v>543</v>
      </c>
      <c r="B76" s="639" t="s">
        <v>544</v>
      </c>
      <c r="C76" s="640" t="s">
        <v>553</v>
      </c>
      <c r="D76" s="641" t="s">
        <v>1225</v>
      </c>
      <c r="E76" s="640" t="s">
        <v>562</v>
      </c>
      <c r="F76" s="641" t="s">
        <v>1228</v>
      </c>
      <c r="G76" s="640" t="s">
        <v>563</v>
      </c>
      <c r="H76" s="640" t="s">
        <v>597</v>
      </c>
      <c r="I76" s="640" t="s">
        <v>598</v>
      </c>
      <c r="J76" s="640" t="s">
        <v>599</v>
      </c>
      <c r="K76" s="640" t="s">
        <v>600</v>
      </c>
      <c r="L76" s="642">
        <v>175.39144927830887</v>
      </c>
      <c r="M76" s="642">
        <v>21</v>
      </c>
      <c r="N76" s="643">
        <v>3683.2204348444861</v>
      </c>
    </row>
    <row r="77" spans="1:14" ht="14.4" customHeight="1" x14ac:dyDescent="0.3">
      <c r="A77" s="638" t="s">
        <v>543</v>
      </c>
      <c r="B77" s="639" t="s">
        <v>544</v>
      </c>
      <c r="C77" s="640" t="s">
        <v>553</v>
      </c>
      <c r="D77" s="641" t="s">
        <v>1225</v>
      </c>
      <c r="E77" s="640" t="s">
        <v>562</v>
      </c>
      <c r="F77" s="641" t="s">
        <v>1228</v>
      </c>
      <c r="G77" s="640" t="s">
        <v>563</v>
      </c>
      <c r="H77" s="640" t="s">
        <v>601</v>
      </c>
      <c r="I77" s="640" t="s">
        <v>591</v>
      </c>
      <c r="J77" s="640" t="s">
        <v>602</v>
      </c>
      <c r="K77" s="640"/>
      <c r="L77" s="642">
        <v>37.72653385843239</v>
      </c>
      <c r="M77" s="642">
        <v>589</v>
      </c>
      <c r="N77" s="643">
        <v>22220.928442616678</v>
      </c>
    </row>
    <row r="78" spans="1:14" ht="14.4" customHeight="1" x14ac:dyDescent="0.3">
      <c r="A78" s="638" t="s">
        <v>543</v>
      </c>
      <c r="B78" s="639" t="s">
        <v>544</v>
      </c>
      <c r="C78" s="640" t="s">
        <v>553</v>
      </c>
      <c r="D78" s="641" t="s">
        <v>1225</v>
      </c>
      <c r="E78" s="640" t="s">
        <v>562</v>
      </c>
      <c r="F78" s="641" t="s">
        <v>1228</v>
      </c>
      <c r="G78" s="640" t="s">
        <v>563</v>
      </c>
      <c r="H78" s="640" t="s">
        <v>603</v>
      </c>
      <c r="I78" s="640" t="s">
        <v>604</v>
      </c>
      <c r="J78" s="640" t="s">
        <v>580</v>
      </c>
      <c r="K78" s="640" t="s">
        <v>605</v>
      </c>
      <c r="L78" s="642">
        <v>42.170047462932182</v>
      </c>
      <c r="M78" s="642">
        <v>2</v>
      </c>
      <c r="N78" s="643">
        <v>84.340094925864364</v>
      </c>
    </row>
    <row r="79" spans="1:14" ht="14.4" customHeight="1" x14ac:dyDescent="0.3">
      <c r="A79" s="638" t="s">
        <v>543</v>
      </c>
      <c r="B79" s="639" t="s">
        <v>544</v>
      </c>
      <c r="C79" s="640" t="s">
        <v>553</v>
      </c>
      <c r="D79" s="641" t="s">
        <v>1225</v>
      </c>
      <c r="E79" s="640" t="s">
        <v>562</v>
      </c>
      <c r="F79" s="641" t="s">
        <v>1228</v>
      </c>
      <c r="G79" s="640" t="s">
        <v>563</v>
      </c>
      <c r="H79" s="640" t="s">
        <v>766</v>
      </c>
      <c r="I79" s="640" t="s">
        <v>767</v>
      </c>
      <c r="J79" s="640" t="s">
        <v>768</v>
      </c>
      <c r="K79" s="640" t="s">
        <v>769</v>
      </c>
      <c r="L79" s="642">
        <v>74.870000000000033</v>
      </c>
      <c r="M79" s="642">
        <v>1</v>
      </c>
      <c r="N79" s="643">
        <v>74.870000000000033</v>
      </c>
    </row>
    <row r="80" spans="1:14" ht="14.4" customHeight="1" x14ac:dyDescent="0.3">
      <c r="A80" s="638" t="s">
        <v>543</v>
      </c>
      <c r="B80" s="639" t="s">
        <v>544</v>
      </c>
      <c r="C80" s="640" t="s">
        <v>553</v>
      </c>
      <c r="D80" s="641" t="s">
        <v>1225</v>
      </c>
      <c r="E80" s="640" t="s">
        <v>562</v>
      </c>
      <c r="F80" s="641" t="s">
        <v>1228</v>
      </c>
      <c r="G80" s="640" t="s">
        <v>563</v>
      </c>
      <c r="H80" s="640" t="s">
        <v>606</v>
      </c>
      <c r="I80" s="640" t="s">
        <v>607</v>
      </c>
      <c r="J80" s="640" t="s">
        <v>608</v>
      </c>
      <c r="K80" s="640" t="s">
        <v>609</v>
      </c>
      <c r="L80" s="642">
        <v>69.72</v>
      </c>
      <c r="M80" s="642">
        <v>2</v>
      </c>
      <c r="N80" s="643">
        <v>139.44</v>
      </c>
    </row>
    <row r="81" spans="1:14" ht="14.4" customHeight="1" x14ac:dyDescent="0.3">
      <c r="A81" s="638" t="s">
        <v>543</v>
      </c>
      <c r="B81" s="639" t="s">
        <v>544</v>
      </c>
      <c r="C81" s="640" t="s">
        <v>553</v>
      </c>
      <c r="D81" s="641" t="s">
        <v>1225</v>
      </c>
      <c r="E81" s="640" t="s">
        <v>562</v>
      </c>
      <c r="F81" s="641" t="s">
        <v>1228</v>
      </c>
      <c r="G81" s="640" t="s">
        <v>563</v>
      </c>
      <c r="H81" s="640" t="s">
        <v>612</v>
      </c>
      <c r="I81" s="640" t="s">
        <v>591</v>
      </c>
      <c r="J81" s="640" t="s">
        <v>613</v>
      </c>
      <c r="K81" s="640"/>
      <c r="L81" s="642">
        <v>136.89514696021524</v>
      </c>
      <c r="M81" s="642">
        <v>16</v>
      </c>
      <c r="N81" s="643">
        <v>2190.3223513634439</v>
      </c>
    </row>
    <row r="82" spans="1:14" ht="14.4" customHeight="1" x14ac:dyDescent="0.3">
      <c r="A82" s="638" t="s">
        <v>543</v>
      </c>
      <c r="B82" s="639" t="s">
        <v>544</v>
      </c>
      <c r="C82" s="640" t="s">
        <v>553</v>
      </c>
      <c r="D82" s="641" t="s">
        <v>1225</v>
      </c>
      <c r="E82" s="640" t="s">
        <v>562</v>
      </c>
      <c r="F82" s="641" t="s">
        <v>1228</v>
      </c>
      <c r="G82" s="640" t="s">
        <v>563</v>
      </c>
      <c r="H82" s="640" t="s">
        <v>618</v>
      </c>
      <c r="I82" s="640" t="s">
        <v>618</v>
      </c>
      <c r="J82" s="640" t="s">
        <v>619</v>
      </c>
      <c r="K82" s="640" t="s">
        <v>620</v>
      </c>
      <c r="L82" s="642">
        <v>75.492309120566318</v>
      </c>
      <c r="M82" s="642">
        <v>79</v>
      </c>
      <c r="N82" s="643">
        <v>5963.8924205247395</v>
      </c>
    </row>
    <row r="83" spans="1:14" ht="14.4" customHeight="1" x14ac:dyDescent="0.3">
      <c r="A83" s="638" t="s">
        <v>543</v>
      </c>
      <c r="B83" s="639" t="s">
        <v>544</v>
      </c>
      <c r="C83" s="640" t="s">
        <v>553</v>
      </c>
      <c r="D83" s="641" t="s">
        <v>1225</v>
      </c>
      <c r="E83" s="640" t="s">
        <v>562</v>
      </c>
      <c r="F83" s="641" t="s">
        <v>1228</v>
      </c>
      <c r="G83" s="640" t="s">
        <v>563</v>
      </c>
      <c r="H83" s="640" t="s">
        <v>621</v>
      </c>
      <c r="I83" s="640" t="s">
        <v>622</v>
      </c>
      <c r="J83" s="640" t="s">
        <v>623</v>
      </c>
      <c r="K83" s="640" t="s">
        <v>624</v>
      </c>
      <c r="L83" s="642">
        <v>48.399977153176394</v>
      </c>
      <c r="M83" s="642">
        <v>126</v>
      </c>
      <c r="N83" s="643">
        <v>6098.397121300226</v>
      </c>
    </row>
    <row r="84" spans="1:14" ht="14.4" customHeight="1" x14ac:dyDescent="0.3">
      <c r="A84" s="638" t="s">
        <v>543</v>
      </c>
      <c r="B84" s="639" t="s">
        <v>544</v>
      </c>
      <c r="C84" s="640" t="s">
        <v>553</v>
      </c>
      <c r="D84" s="641" t="s">
        <v>1225</v>
      </c>
      <c r="E84" s="640" t="s">
        <v>562</v>
      </c>
      <c r="F84" s="641" t="s">
        <v>1228</v>
      </c>
      <c r="G84" s="640" t="s">
        <v>563</v>
      </c>
      <c r="H84" s="640" t="s">
        <v>770</v>
      </c>
      <c r="I84" s="640" t="s">
        <v>771</v>
      </c>
      <c r="J84" s="640" t="s">
        <v>772</v>
      </c>
      <c r="K84" s="640" t="s">
        <v>773</v>
      </c>
      <c r="L84" s="642">
        <v>110.50000000000003</v>
      </c>
      <c r="M84" s="642">
        <v>2</v>
      </c>
      <c r="N84" s="643">
        <v>221.00000000000006</v>
      </c>
    </row>
    <row r="85" spans="1:14" ht="14.4" customHeight="1" x14ac:dyDescent="0.3">
      <c r="A85" s="638" t="s">
        <v>543</v>
      </c>
      <c r="B85" s="639" t="s">
        <v>544</v>
      </c>
      <c r="C85" s="640" t="s">
        <v>553</v>
      </c>
      <c r="D85" s="641" t="s">
        <v>1225</v>
      </c>
      <c r="E85" s="640" t="s">
        <v>562</v>
      </c>
      <c r="F85" s="641" t="s">
        <v>1228</v>
      </c>
      <c r="G85" s="640" t="s">
        <v>563</v>
      </c>
      <c r="H85" s="640" t="s">
        <v>625</v>
      </c>
      <c r="I85" s="640" t="s">
        <v>591</v>
      </c>
      <c r="J85" s="640" t="s">
        <v>626</v>
      </c>
      <c r="K85" s="640" t="s">
        <v>627</v>
      </c>
      <c r="L85" s="642">
        <v>23.700590467540032</v>
      </c>
      <c r="M85" s="642">
        <v>870</v>
      </c>
      <c r="N85" s="643">
        <v>20619.513706759826</v>
      </c>
    </row>
    <row r="86" spans="1:14" ht="14.4" customHeight="1" x14ac:dyDescent="0.3">
      <c r="A86" s="638" t="s">
        <v>543</v>
      </c>
      <c r="B86" s="639" t="s">
        <v>544</v>
      </c>
      <c r="C86" s="640" t="s">
        <v>553</v>
      </c>
      <c r="D86" s="641" t="s">
        <v>1225</v>
      </c>
      <c r="E86" s="640" t="s">
        <v>562</v>
      </c>
      <c r="F86" s="641" t="s">
        <v>1228</v>
      </c>
      <c r="G86" s="640" t="s">
        <v>563</v>
      </c>
      <c r="H86" s="640" t="s">
        <v>774</v>
      </c>
      <c r="I86" s="640" t="s">
        <v>775</v>
      </c>
      <c r="J86" s="640" t="s">
        <v>776</v>
      </c>
      <c r="K86" s="640" t="s">
        <v>777</v>
      </c>
      <c r="L86" s="642">
        <v>77.280000000000044</v>
      </c>
      <c r="M86" s="642">
        <v>1</v>
      </c>
      <c r="N86" s="643">
        <v>77.280000000000044</v>
      </c>
    </row>
    <row r="87" spans="1:14" ht="14.4" customHeight="1" x14ac:dyDescent="0.3">
      <c r="A87" s="638" t="s">
        <v>543</v>
      </c>
      <c r="B87" s="639" t="s">
        <v>544</v>
      </c>
      <c r="C87" s="640" t="s">
        <v>553</v>
      </c>
      <c r="D87" s="641" t="s">
        <v>1225</v>
      </c>
      <c r="E87" s="640" t="s">
        <v>562</v>
      </c>
      <c r="F87" s="641" t="s">
        <v>1228</v>
      </c>
      <c r="G87" s="640" t="s">
        <v>563</v>
      </c>
      <c r="H87" s="640" t="s">
        <v>778</v>
      </c>
      <c r="I87" s="640" t="s">
        <v>779</v>
      </c>
      <c r="J87" s="640" t="s">
        <v>780</v>
      </c>
      <c r="K87" s="640" t="s">
        <v>781</v>
      </c>
      <c r="L87" s="642">
        <v>33.890010977974157</v>
      </c>
      <c r="M87" s="642">
        <v>13</v>
      </c>
      <c r="N87" s="643">
        <v>440.57014271366404</v>
      </c>
    </row>
    <row r="88" spans="1:14" ht="14.4" customHeight="1" x14ac:dyDescent="0.3">
      <c r="A88" s="638" t="s">
        <v>543</v>
      </c>
      <c r="B88" s="639" t="s">
        <v>544</v>
      </c>
      <c r="C88" s="640" t="s">
        <v>553</v>
      </c>
      <c r="D88" s="641" t="s">
        <v>1225</v>
      </c>
      <c r="E88" s="640" t="s">
        <v>562</v>
      </c>
      <c r="F88" s="641" t="s">
        <v>1228</v>
      </c>
      <c r="G88" s="640" t="s">
        <v>563</v>
      </c>
      <c r="H88" s="640" t="s">
        <v>628</v>
      </c>
      <c r="I88" s="640" t="s">
        <v>591</v>
      </c>
      <c r="J88" s="640" t="s">
        <v>629</v>
      </c>
      <c r="K88" s="640" t="s">
        <v>630</v>
      </c>
      <c r="L88" s="642">
        <v>199.6705006424171</v>
      </c>
      <c r="M88" s="642">
        <v>18</v>
      </c>
      <c r="N88" s="643">
        <v>3594.069011563508</v>
      </c>
    </row>
    <row r="89" spans="1:14" ht="14.4" customHeight="1" x14ac:dyDescent="0.3">
      <c r="A89" s="638" t="s">
        <v>543</v>
      </c>
      <c r="B89" s="639" t="s">
        <v>544</v>
      </c>
      <c r="C89" s="640" t="s">
        <v>553</v>
      </c>
      <c r="D89" s="641" t="s">
        <v>1225</v>
      </c>
      <c r="E89" s="640" t="s">
        <v>562</v>
      </c>
      <c r="F89" s="641" t="s">
        <v>1228</v>
      </c>
      <c r="G89" s="640" t="s">
        <v>563</v>
      </c>
      <c r="H89" s="640" t="s">
        <v>631</v>
      </c>
      <c r="I89" s="640" t="s">
        <v>632</v>
      </c>
      <c r="J89" s="640" t="s">
        <v>633</v>
      </c>
      <c r="K89" s="640" t="s">
        <v>634</v>
      </c>
      <c r="L89" s="642">
        <v>70.135833333333323</v>
      </c>
      <c r="M89" s="642">
        <v>12</v>
      </c>
      <c r="N89" s="643">
        <v>841.62999999999988</v>
      </c>
    </row>
    <row r="90" spans="1:14" ht="14.4" customHeight="1" x14ac:dyDescent="0.3">
      <c r="A90" s="638" t="s">
        <v>543</v>
      </c>
      <c r="B90" s="639" t="s">
        <v>544</v>
      </c>
      <c r="C90" s="640" t="s">
        <v>553</v>
      </c>
      <c r="D90" s="641" t="s">
        <v>1225</v>
      </c>
      <c r="E90" s="640" t="s">
        <v>562</v>
      </c>
      <c r="F90" s="641" t="s">
        <v>1228</v>
      </c>
      <c r="G90" s="640" t="s">
        <v>563</v>
      </c>
      <c r="H90" s="640" t="s">
        <v>782</v>
      </c>
      <c r="I90" s="640" t="s">
        <v>783</v>
      </c>
      <c r="J90" s="640" t="s">
        <v>784</v>
      </c>
      <c r="K90" s="640" t="s">
        <v>785</v>
      </c>
      <c r="L90" s="642">
        <v>161.94999999999999</v>
      </c>
      <c r="M90" s="642">
        <v>1</v>
      </c>
      <c r="N90" s="643">
        <v>161.94999999999999</v>
      </c>
    </row>
    <row r="91" spans="1:14" ht="14.4" customHeight="1" x14ac:dyDescent="0.3">
      <c r="A91" s="638" t="s">
        <v>543</v>
      </c>
      <c r="B91" s="639" t="s">
        <v>544</v>
      </c>
      <c r="C91" s="640" t="s">
        <v>553</v>
      </c>
      <c r="D91" s="641" t="s">
        <v>1225</v>
      </c>
      <c r="E91" s="640" t="s">
        <v>562</v>
      </c>
      <c r="F91" s="641" t="s">
        <v>1228</v>
      </c>
      <c r="G91" s="640" t="s">
        <v>563</v>
      </c>
      <c r="H91" s="640" t="s">
        <v>635</v>
      </c>
      <c r="I91" s="640" t="s">
        <v>583</v>
      </c>
      <c r="J91" s="640" t="s">
        <v>636</v>
      </c>
      <c r="K91" s="640"/>
      <c r="L91" s="642">
        <v>294.06557237757039</v>
      </c>
      <c r="M91" s="642">
        <v>10</v>
      </c>
      <c r="N91" s="643">
        <v>2940.6557237757038</v>
      </c>
    </row>
    <row r="92" spans="1:14" ht="14.4" customHeight="1" x14ac:dyDescent="0.3">
      <c r="A92" s="638" t="s">
        <v>543</v>
      </c>
      <c r="B92" s="639" t="s">
        <v>544</v>
      </c>
      <c r="C92" s="640" t="s">
        <v>553</v>
      </c>
      <c r="D92" s="641" t="s">
        <v>1225</v>
      </c>
      <c r="E92" s="640" t="s">
        <v>562</v>
      </c>
      <c r="F92" s="641" t="s">
        <v>1228</v>
      </c>
      <c r="G92" s="640" t="s">
        <v>563</v>
      </c>
      <c r="H92" s="640" t="s">
        <v>786</v>
      </c>
      <c r="I92" s="640" t="s">
        <v>787</v>
      </c>
      <c r="J92" s="640" t="s">
        <v>788</v>
      </c>
      <c r="K92" s="640" t="s">
        <v>789</v>
      </c>
      <c r="L92" s="642">
        <v>309.441003349894</v>
      </c>
      <c r="M92" s="642">
        <v>4</v>
      </c>
      <c r="N92" s="643">
        <v>1237.764013399576</v>
      </c>
    </row>
    <row r="93" spans="1:14" ht="14.4" customHeight="1" x14ac:dyDescent="0.3">
      <c r="A93" s="638" t="s">
        <v>543</v>
      </c>
      <c r="B93" s="639" t="s">
        <v>544</v>
      </c>
      <c r="C93" s="640" t="s">
        <v>553</v>
      </c>
      <c r="D93" s="641" t="s">
        <v>1225</v>
      </c>
      <c r="E93" s="640" t="s">
        <v>562</v>
      </c>
      <c r="F93" s="641" t="s">
        <v>1228</v>
      </c>
      <c r="G93" s="640" t="s">
        <v>563</v>
      </c>
      <c r="H93" s="640" t="s">
        <v>790</v>
      </c>
      <c r="I93" s="640" t="s">
        <v>591</v>
      </c>
      <c r="J93" s="640" t="s">
        <v>791</v>
      </c>
      <c r="K93" s="640"/>
      <c r="L93" s="642">
        <v>52.114666666666665</v>
      </c>
      <c r="M93" s="642">
        <v>1</v>
      </c>
      <c r="N93" s="643">
        <v>52.114666666666665</v>
      </c>
    </row>
    <row r="94" spans="1:14" ht="14.4" customHeight="1" x14ac:dyDescent="0.3">
      <c r="A94" s="638" t="s">
        <v>543</v>
      </c>
      <c r="B94" s="639" t="s">
        <v>544</v>
      </c>
      <c r="C94" s="640" t="s">
        <v>553</v>
      </c>
      <c r="D94" s="641" t="s">
        <v>1225</v>
      </c>
      <c r="E94" s="640" t="s">
        <v>562</v>
      </c>
      <c r="F94" s="641" t="s">
        <v>1228</v>
      </c>
      <c r="G94" s="640" t="s">
        <v>563</v>
      </c>
      <c r="H94" s="640" t="s">
        <v>792</v>
      </c>
      <c r="I94" s="640" t="s">
        <v>793</v>
      </c>
      <c r="J94" s="640" t="s">
        <v>794</v>
      </c>
      <c r="K94" s="640" t="s">
        <v>795</v>
      </c>
      <c r="L94" s="642">
        <v>83.129999999999981</v>
      </c>
      <c r="M94" s="642">
        <v>3</v>
      </c>
      <c r="N94" s="643">
        <v>249.38999999999996</v>
      </c>
    </row>
    <row r="95" spans="1:14" ht="14.4" customHeight="1" x14ac:dyDescent="0.3">
      <c r="A95" s="638" t="s">
        <v>543</v>
      </c>
      <c r="B95" s="639" t="s">
        <v>544</v>
      </c>
      <c r="C95" s="640" t="s">
        <v>553</v>
      </c>
      <c r="D95" s="641" t="s">
        <v>1225</v>
      </c>
      <c r="E95" s="640" t="s">
        <v>562</v>
      </c>
      <c r="F95" s="641" t="s">
        <v>1228</v>
      </c>
      <c r="G95" s="640" t="s">
        <v>563</v>
      </c>
      <c r="H95" s="640" t="s">
        <v>647</v>
      </c>
      <c r="I95" s="640" t="s">
        <v>591</v>
      </c>
      <c r="J95" s="640" t="s">
        <v>648</v>
      </c>
      <c r="K95" s="640"/>
      <c r="L95" s="642">
        <v>64.46467803019965</v>
      </c>
      <c r="M95" s="642">
        <v>60</v>
      </c>
      <c r="N95" s="643">
        <v>3867.8806818119792</v>
      </c>
    </row>
    <row r="96" spans="1:14" ht="14.4" customHeight="1" x14ac:dyDescent="0.3">
      <c r="A96" s="638" t="s">
        <v>543</v>
      </c>
      <c r="B96" s="639" t="s">
        <v>544</v>
      </c>
      <c r="C96" s="640" t="s">
        <v>553</v>
      </c>
      <c r="D96" s="641" t="s">
        <v>1225</v>
      </c>
      <c r="E96" s="640" t="s">
        <v>562</v>
      </c>
      <c r="F96" s="641" t="s">
        <v>1228</v>
      </c>
      <c r="G96" s="640" t="s">
        <v>563</v>
      </c>
      <c r="H96" s="640" t="s">
        <v>657</v>
      </c>
      <c r="I96" s="640" t="s">
        <v>591</v>
      </c>
      <c r="J96" s="640" t="s">
        <v>658</v>
      </c>
      <c r="K96" s="640"/>
      <c r="L96" s="642">
        <v>51.075892187709016</v>
      </c>
      <c r="M96" s="642">
        <v>130</v>
      </c>
      <c r="N96" s="643">
        <v>6639.8659844021722</v>
      </c>
    </row>
    <row r="97" spans="1:14" ht="14.4" customHeight="1" x14ac:dyDescent="0.3">
      <c r="A97" s="638" t="s">
        <v>543</v>
      </c>
      <c r="B97" s="639" t="s">
        <v>544</v>
      </c>
      <c r="C97" s="640" t="s">
        <v>553</v>
      </c>
      <c r="D97" s="641" t="s">
        <v>1225</v>
      </c>
      <c r="E97" s="640" t="s">
        <v>562</v>
      </c>
      <c r="F97" s="641" t="s">
        <v>1228</v>
      </c>
      <c r="G97" s="640" t="s">
        <v>563</v>
      </c>
      <c r="H97" s="640" t="s">
        <v>659</v>
      </c>
      <c r="I97" s="640" t="s">
        <v>591</v>
      </c>
      <c r="J97" s="640" t="s">
        <v>660</v>
      </c>
      <c r="K97" s="640"/>
      <c r="L97" s="642">
        <v>54.828446807133524</v>
      </c>
      <c r="M97" s="642">
        <v>8</v>
      </c>
      <c r="N97" s="643">
        <v>438.62757445706819</v>
      </c>
    </row>
    <row r="98" spans="1:14" ht="14.4" customHeight="1" x14ac:dyDescent="0.3">
      <c r="A98" s="638" t="s">
        <v>543</v>
      </c>
      <c r="B98" s="639" t="s">
        <v>544</v>
      </c>
      <c r="C98" s="640" t="s">
        <v>553</v>
      </c>
      <c r="D98" s="641" t="s">
        <v>1225</v>
      </c>
      <c r="E98" s="640" t="s">
        <v>562</v>
      </c>
      <c r="F98" s="641" t="s">
        <v>1228</v>
      </c>
      <c r="G98" s="640" t="s">
        <v>563</v>
      </c>
      <c r="H98" s="640" t="s">
        <v>661</v>
      </c>
      <c r="I98" s="640" t="s">
        <v>591</v>
      </c>
      <c r="J98" s="640" t="s">
        <v>662</v>
      </c>
      <c r="K98" s="640"/>
      <c r="L98" s="642">
        <v>118.83318679608551</v>
      </c>
      <c r="M98" s="642">
        <v>70</v>
      </c>
      <c r="N98" s="643">
        <v>8318.3230757259862</v>
      </c>
    </row>
    <row r="99" spans="1:14" ht="14.4" customHeight="1" x14ac:dyDescent="0.3">
      <c r="A99" s="638" t="s">
        <v>543</v>
      </c>
      <c r="B99" s="639" t="s">
        <v>544</v>
      </c>
      <c r="C99" s="640" t="s">
        <v>553</v>
      </c>
      <c r="D99" s="641" t="s">
        <v>1225</v>
      </c>
      <c r="E99" s="640" t="s">
        <v>562</v>
      </c>
      <c r="F99" s="641" t="s">
        <v>1228</v>
      </c>
      <c r="G99" s="640" t="s">
        <v>563</v>
      </c>
      <c r="H99" s="640" t="s">
        <v>796</v>
      </c>
      <c r="I99" s="640" t="s">
        <v>797</v>
      </c>
      <c r="J99" s="640" t="s">
        <v>798</v>
      </c>
      <c r="K99" s="640" t="s">
        <v>799</v>
      </c>
      <c r="L99" s="642">
        <v>77.949970360058074</v>
      </c>
      <c r="M99" s="642">
        <v>10</v>
      </c>
      <c r="N99" s="643">
        <v>779.49970360058069</v>
      </c>
    </row>
    <row r="100" spans="1:14" ht="14.4" customHeight="1" x14ac:dyDescent="0.3">
      <c r="A100" s="638" t="s">
        <v>543</v>
      </c>
      <c r="B100" s="639" t="s">
        <v>544</v>
      </c>
      <c r="C100" s="640" t="s">
        <v>553</v>
      </c>
      <c r="D100" s="641" t="s">
        <v>1225</v>
      </c>
      <c r="E100" s="640" t="s">
        <v>562</v>
      </c>
      <c r="F100" s="641" t="s">
        <v>1228</v>
      </c>
      <c r="G100" s="640" t="s">
        <v>563</v>
      </c>
      <c r="H100" s="640" t="s">
        <v>800</v>
      </c>
      <c r="I100" s="640" t="s">
        <v>801</v>
      </c>
      <c r="J100" s="640" t="s">
        <v>802</v>
      </c>
      <c r="K100" s="640" t="s">
        <v>803</v>
      </c>
      <c r="L100" s="642">
        <v>73.22999999999999</v>
      </c>
      <c r="M100" s="642">
        <v>1</v>
      </c>
      <c r="N100" s="643">
        <v>73.22999999999999</v>
      </c>
    </row>
    <row r="101" spans="1:14" ht="14.4" customHeight="1" x14ac:dyDescent="0.3">
      <c r="A101" s="638" t="s">
        <v>543</v>
      </c>
      <c r="B101" s="639" t="s">
        <v>544</v>
      </c>
      <c r="C101" s="640" t="s">
        <v>553</v>
      </c>
      <c r="D101" s="641" t="s">
        <v>1225</v>
      </c>
      <c r="E101" s="640" t="s">
        <v>562</v>
      </c>
      <c r="F101" s="641" t="s">
        <v>1228</v>
      </c>
      <c r="G101" s="640" t="s">
        <v>563</v>
      </c>
      <c r="H101" s="640" t="s">
        <v>804</v>
      </c>
      <c r="I101" s="640" t="s">
        <v>583</v>
      </c>
      <c r="J101" s="640" t="s">
        <v>805</v>
      </c>
      <c r="K101" s="640" t="s">
        <v>806</v>
      </c>
      <c r="L101" s="642">
        <v>480.13734267530191</v>
      </c>
      <c r="M101" s="642">
        <v>16</v>
      </c>
      <c r="N101" s="643">
        <v>7682.1974828048305</v>
      </c>
    </row>
    <row r="102" spans="1:14" ht="14.4" customHeight="1" x14ac:dyDescent="0.3">
      <c r="A102" s="638" t="s">
        <v>543</v>
      </c>
      <c r="B102" s="639" t="s">
        <v>544</v>
      </c>
      <c r="C102" s="640" t="s">
        <v>553</v>
      </c>
      <c r="D102" s="641" t="s">
        <v>1225</v>
      </c>
      <c r="E102" s="640" t="s">
        <v>562</v>
      </c>
      <c r="F102" s="641" t="s">
        <v>1228</v>
      </c>
      <c r="G102" s="640" t="s">
        <v>563</v>
      </c>
      <c r="H102" s="640" t="s">
        <v>663</v>
      </c>
      <c r="I102" s="640" t="s">
        <v>591</v>
      </c>
      <c r="J102" s="640" t="s">
        <v>664</v>
      </c>
      <c r="K102" s="640"/>
      <c r="L102" s="642">
        <v>145.1825</v>
      </c>
      <c r="M102" s="642">
        <v>4</v>
      </c>
      <c r="N102" s="643">
        <v>580.73</v>
      </c>
    </row>
    <row r="103" spans="1:14" ht="14.4" customHeight="1" x14ac:dyDescent="0.3">
      <c r="A103" s="638" t="s">
        <v>543</v>
      </c>
      <c r="B103" s="639" t="s">
        <v>544</v>
      </c>
      <c r="C103" s="640" t="s">
        <v>553</v>
      </c>
      <c r="D103" s="641" t="s">
        <v>1225</v>
      </c>
      <c r="E103" s="640" t="s">
        <v>562</v>
      </c>
      <c r="F103" s="641" t="s">
        <v>1228</v>
      </c>
      <c r="G103" s="640" t="s">
        <v>563</v>
      </c>
      <c r="H103" s="640" t="s">
        <v>807</v>
      </c>
      <c r="I103" s="640" t="s">
        <v>583</v>
      </c>
      <c r="J103" s="640" t="s">
        <v>808</v>
      </c>
      <c r="K103" s="640" t="s">
        <v>809</v>
      </c>
      <c r="L103" s="642">
        <v>185.52786212374275</v>
      </c>
      <c r="M103" s="642">
        <v>16</v>
      </c>
      <c r="N103" s="643">
        <v>2968.445793979884</v>
      </c>
    </row>
    <row r="104" spans="1:14" ht="14.4" customHeight="1" x14ac:dyDescent="0.3">
      <c r="A104" s="638" t="s">
        <v>543</v>
      </c>
      <c r="B104" s="639" t="s">
        <v>544</v>
      </c>
      <c r="C104" s="640" t="s">
        <v>553</v>
      </c>
      <c r="D104" s="641" t="s">
        <v>1225</v>
      </c>
      <c r="E104" s="640" t="s">
        <v>562</v>
      </c>
      <c r="F104" s="641" t="s">
        <v>1228</v>
      </c>
      <c r="G104" s="640" t="s">
        <v>563</v>
      </c>
      <c r="H104" s="640" t="s">
        <v>810</v>
      </c>
      <c r="I104" s="640" t="s">
        <v>591</v>
      </c>
      <c r="J104" s="640" t="s">
        <v>811</v>
      </c>
      <c r="K104" s="640"/>
      <c r="L104" s="642">
        <v>109.37953499427246</v>
      </c>
      <c r="M104" s="642">
        <v>42</v>
      </c>
      <c r="N104" s="643">
        <v>4593.9404697594437</v>
      </c>
    </row>
    <row r="105" spans="1:14" ht="14.4" customHeight="1" x14ac:dyDescent="0.3">
      <c r="A105" s="638" t="s">
        <v>543</v>
      </c>
      <c r="B105" s="639" t="s">
        <v>544</v>
      </c>
      <c r="C105" s="640" t="s">
        <v>553</v>
      </c>
      <c r="D105" s="641" t="s">
        <v>1225</v>
      </c>
      <c r="E105" s="640" t="s">
        <v>562</v>
      </c>
      <c r="F105" s="641" t="s">
        <v>1228</v>
      </c>
      <c r="G105" s="640" t="s">
        <v>563</v>
      </c>
      <c r="H105" s="640" t="s">
        <v>812</v>
      </c>
      <c r="I105" s="640" t="s">
        <v>591</v>
      </c>
      <c r="J105" s="640" t="s">
        <v>813</v>
      </c>
      <c r="K105" s="640"/>
      <c r="L105" s="642">
        <v>104.37135815965858</v>
      </c>
      <c r="M105" s="642">
        <v>28</v>
      </c>
      <c r="N105" s="643">
        <v>2922.3980284704403</v>
      </c>
    </row>
    <row r="106" spans="1:14" ht="14.4" customHeight="1" x14ac:dyDescent="0.3">
      <c r="A106" s="638" t="s">
        <v>543</v>
      </c>
      <c r="B106" s="639" t="s">
        <v>544</v>
      </c>
      <c r="C106" s="640" t="s">
        <v>553</v>
      </c>
      <c r="D106" s="641" t="s">
        <v>1225</v>
      </c>
      <c r="E106" s="640" t="s">
        <v>562</v>
      </c>
      <c r="F106" s="641" t="s">
        <v>1228</v>
      </c>
      <c r="G106" s="640" t="s">
        <v>563</v>
      </c>
      <c r="H106" s="640" t="s">
        <v>665</v>
      </c>
      <c r="I106" s="640" t="s">
        <v>591</v>
      </c>
      <c r="J106" s="640" t="s">
        <v>666</v>
      </c>
      <c r="K106" s="640" t="s">
        <v>667</v>
      </c>
      <c r="L106" s="642">
        <v>75.019202122299035</v>
      </c>
      <c r="M106" s="642">
        <v>3</v>
      </c>
      <c r="N106" s="643">
        <v>225.05760636689712</v>
      </c>
    </row>
    <row r="107" spans="1:14" ht="14.4" customHeight="1" x14ac:dyDescent="0.3">
      <c r="A107" s="638" t="s">
        <v>543</v>
      </c>
      <c r="B107" s="639" t="s">
        <v>544</v>
      </c>
      <c r="C107" s="640" t="s">
        <v>553</v>
      </c>
      <c r="D107" s="641" t="s">
        <v>1225</v>
      </c>
      <c r="E107" s="640" t="s">
        <v>562</v>
      </c>
      <c r="F107" s="641" t="s">
        <v>1228</v>
      </c>
      <c r="G107" s="640" t="s">
        <v>563</v>
      </c>
      <c r="H107" s="640" t="s">
        <v>814</v>
      </c>
      <c r="I107" s="640" t="s">
        <v>814</v>
      </c>
      <c r="J107" s="640" t="s">
        <v>815</v>
      </c>
      <c r="K107" s="640" t="s">
        <v>816</v>
      </c>
      <c r="L107" s="642">
        <v>7252.2427250586579</v>
      </c>
      <c r="M107" s="642">
        <v>1</v>
      </c>
      <c r="N107" s="643">
        <v>7252.2427250586579</v>
      </c>
    </row>
    <row r="108" spans="1:14" ht="14.4" customHeight="1" x14ac:dyDescent="0.3">
      <c r="A108" s="638" t="s">
        <v>543</v>
      </c>
      <c r="B108" s="639" t="s">
        <v>544</v>
      </c>
      <c r="C108" s="640" t="s">
        <v>553</v>
      </c>
      <c r="D108" s="641" t="s">
        <v>1225</v>
      </c>
      <c r="E108" s="640" t="s">
        <v>562</v>
      </c>
      <c r="F108" s="641" t="s">
        <v>1228</v>
      </c>
      <c r="G108" s="640" t="s">
        <v>563</v>
      </c>
      <c r="H108" s="640" t="s">
        <v>817</v>
      </c>
      <c r="I108" s="640" t="s">
        <v>818</v>
      </c>
      <c r="J108" s="640" t="s">
        <v>819</v>
      </c>
      <c r="K108" s="640" t="s">
        <v>820</v>
      </c>
      <c r="L108" s="642">
        <v>18.800000000000004</v>
      </c>
      <c r="M108" s="642">
        <v>2</v>
      </c>
      <c r="N108" s="643">
        <v>37.600000000000009</v>
      </c>
    </row>
    <row r="109" spans="1:14" ht="14.4" customHeight="1" x14ac:dyDescent="0.3">
      <c r="A109" s="638" t="s">
        <v>543</v>
      </c>
      <c r="B109" s="639" t="s">
        <v>544</v>
      </c>
      <c r="C109" s="640" t="s">
        <v>553</v>
      </c>
      <c r="D109" s="641" t="s">
        <v>1225</v>
      </c>
      <c r="E109" s="640" t="s">
        <v>562</v>
      </c>
      <c r="F109" s="641" t="s">
        <v>1228</v>
      </c>
      <c r="G109" s="640" t="s">
        <v>563</v>
      </c>
      <c r="H109" s="640" t="s">
        <v>821</v>
      </c>
      <c r="I109" s="640" t="s">
        <v>822</v>
      </c>
      <c r="J109" s="640" t="s">
        <v>823</v>
      </c>
      <c r="K109" s="640" t="s">
        <v>824</v>
      </c>
      <c r="L109" s="642">
        <v>83.994706394413683</v>
      </c>
      <c r="M109" s="642">
        <v>2</v>
      </c>
      <c r="N109" s="643">
        <v>167.98941278882737</v>
      </c>
    </row>
    <row r="110" spans="1:14" ht="14.4" customHeight="1" x14ac:dyDescent="0.3">
      <c r="A110" s="638" t="s">
        <v>543</v>
      </c>
      <c r="B110" s="639" t="s">
        <v>544</v>
      </c>
      <c r="C110" s="640" t="s">
        <v>553</v>
      </c>
      <c r="D110" s="641" t="s">
        <v>1225</v>
      </c>
      <c r="E110" s="640" t="s">
        <v>562</v>
      </c>
      <c r="F110" s="641" t="s">
        <v>1228</v>
      </c>
      <c r="G110" s="640" t="s">
        <v>563</v>
      </c>
      <c r="H110" s="640" t="s">
        <v>825</v>
      </c>
      <c r="I110" s="640" t="s">
        <v>825</v>
      </c>
      <c r="J110" s="640" t="s">
        <v>826</v>
      </c>
      <c r="K110" s="640" t="s">
        <v>827</v>
      </c>
      <c r="L110" s="642">
        <v>578.48</v>
      </c>
      <c r="M110" s="642">
        <v>1</v>
      </c>
      <c r="N110" s="643">
        <v>578.48</v>
      </c>
    </row>
    <row r="111" spans="1:14" ht="14.4" customHeight="1" x14ac:dyDescent="0.3">
      <c r="A111" s="638" t="s">
        <v>543</v>
      </c>
      <c r="B111" s="639" t="s">
        <v>544</v>
      </c>
      <c r="C111" s="640" t="s">
        <v>553</v>
      </c>
      <c r="D111" s="641" t="s">
        <v>1225</v>
      </c>
      <c r="E111" s="640" t="s">
        <v>562</v>
      </c>
      <c r="F111" s="641" t="s">
        <v>1228</v>
      </c>
      <c r="G111" s="640" t="s">
        <v>563</v>
      </c>
      <c r="H111" s="640" t="s">
        <v>674</v>
      </c>
      <c r="I111" s="640" t="s">
        <v>675</v>
      </c>
      <c r="J111" s="640" t="s">
        <v>676</v>
      </c>
      <c r="K111" s="640" t="s">
        <v>677</v>
      </c>
      <c r="L111" s="642">
        <v>1.1400000000000001</v>
      </c>
      <c r="M111" s="642">
        <v>2</v>
      </c>
      <c r="N111" s="643">
        <v>2.2800000000000002</v>
      </c>
    </row>
    <row r="112" spans="1:14" ht="14.4" customHeight="1" x14ac:dyDescent="0.3">
      <c r="A112" s="638" t="s">
        <v>543</v>
      </c>
      <c r="B112" s="639" t="s">
        <v>544</v>
      </c>
      <c r="C112" s="640" t="s">
        <v>553</v>
      </c>
      <c r="D112" s="641" t="s">
        <v>1225</v>
      </c>
      <c r="E112" s="640" t="s">
        <v>562</v>
      </c>
      <c r="F112" s="641" t="s">
        <v>1228</v>
      </c>
      <c r="G112" s="640" t="s">
        <v>563</v>
      </c>
      <c r="H112" s="640" t="s">
        <v>828</v>
      </c>
      <c r="I112" s="640" t="s">
        <v>591</v>
      </c>
      <c r="J112" s="640" t="s">
        <v>829</v>
      </c>
      <c r="K112" s="640"/>
      <c r="L112" s="642">
        <v>162.78603502448851</v>
      </c>
      <c r="M112" s="642">
        <v>130</v>
      </c>
      <c r="N112" s="643">
        <v>21162.184553183506</v>
      </c>
    </row>
    <row r="113" spans="1:14" ht="14.4" customHeight="1" x14ac:dyDescent="0.3">
      <c r="A113" s="638" t="s">
        <v>543</v>
      </c>
      <c r="B113" s="639" t="s">
        <v>544</v>
      </c>
      <c r="C113" s="640" t="s">
        <v>553</v>
      </c>
      <c r="D113" s="641" t="s">
        <v>1225</v>
      </c>
      <c r="E113" s="640" t="s">
        <v>562</v>
      </c>
      <c r="F113" s="641" t="s">
        <v>1228</v>
      </c>
      <c r="G113" s="640" t="s">
        <v>563</v>
      </c>
      <c r="H113" s="640" t="s">
        <v>683</v>
      </c>
      <c r="I113" s="640" t="s">
        <v>684</v>
      </c>
      <c r="J113" s="640" t="s">
        <v>676</v>
      </c>
      <c r="K113" s="640" t="s">
        <v>685</v>
      </c>
      <c r="L113" s="642">
        <v>229.22000000000025</v>
      </c>
      <c r="M113" s="642">
        <v>2</v>
      </c>
      <c r="N113" s="643">
        <v>458.44000000000051</v>
      </c>
    </row>
    <row r="114" spans="1:14" ht="14.4" customHeight="1" x14ac:dyDescent="0.3">
      <c r="A114" s="638" t="s">
        <v>543</v>
      </c>
      <c r="B114" s="639" t="s">
        <v>544</v>
      </c>
      <c r="C114" s="640" t="s">
        <v>553</v>
      </c>
      <c r="D114" s="641" t="s">
        <v>1225</v>
      </c>
      <c r="E114" s="640" t="s">
        <v>562</v>
      </c>
      <c r="F114" s="641" t="s">
        <v>1228</v>
      </c>
      <c r="G114" s="640" t="s">
        <v>563</v>
      </c>
      <c r="H114" s="640" t="s">
        <v>689</v>
      </c>
      <c r="I114" s="640" t="s">
        <v>689</v>
      </c>
      <c r="J114" s="640" t="s">
        <v>690</v>
      </c>
      <c r="K114" s="640" t="s">
        <v>691</v>
      </c>
      <c r="L114" s="642">
        <v>48.06333333333334</v>
      </c>
      <c r="M114" s="642">
        <v>9</v>
      </c>
      <c r="N114" s="643">
        <v>432.57000000000005</v>
      </c>
    </row>
    <row r="115" spans="1:14" ht="14.4" customHeight="1" x14ac:dyDescent="0.3">
      <c r="A115" s="638" t="s">
        <v>543</v>
      </c>
      <c r="B115" s="639" t="s">
        <v>544</v>
      </c>
      <c r="C115" s="640" t="s">
        <v>553</v>
      </c>
      <c r="D115" s="641" t="s">
        <v>1225</v>
      </c>
      <c r="E115" s="640" t="s">
        <v>562</v>
      </c>
      <c r="F115" s="641" t="s">
        <v>1228</v>
      </c>
      <c r="G115" s="640" t="s">
        <v>563</v>
      </c>
      <c r="H115" s="640" t="s">
        <v>830</v>
      </c>
      <c r="I115" s="640" t="s">
        <v>591</v>
      </c>
      <c r="J115" s="640" t="s">
        <v>831</v>
      </c>
      <c r="K115" s="640"/>
      <c r="L115" s="642">
        <v>37.101604480990211</v>
      </c>
      <c r="M115" s="642">
        <v>1</v>
      </c>
      <c r="N115" s="643">
        <v>37.101604480990211</v>
      </c>
    </row>
    <row r="116" spans="1:14" ht="14.4" customHeight="1" x14ac:dyDescent="0.3">
      <c r="A116" s="638" t="s">
        <v>543</v>
      </c>
      <c r="B116" s="639" t="s">
        <v>544</v>
      </c>
      <c r="C116" s="640" t="s">
        <v>553</v>
      </c>
      <c r="D116" s="641" t="s">
        <v>1225</v>
      </c>
      <c r="E116" s="640" t="s">
        <v>562</v>
      </c>
      <c r="F116" s="641" t="s">
        <v>1228</v>
      </c>
      <c r="G116" s="640" t="s">
        <v>563</v>
      </c>
      <c r="H116" s="640" t="s">
        <v>832</v>
      </c>
      <c r="I116" s="640" t="s">
        <v>591</v>
      </c>
      <c r="J116" s="640" t="s">
        <v>833</v>
      </c>
      <c r="K116" s="640"/>
      <c r="L116" s="642">
        <v>474.57999673834439</v>
      </c>
      <c r="M116" s="642">
        <v>4</v>
      </c>
      <c r="N116" s="643">
        <v>1898.3199869533776</v>
      </c>
    </row>
    <row r="117" spans="1:14" ht="14.4" customHeight="1" x14ac:dyDescent="0.3">
      <c r="A117" s="638" t="s">
        <v>543</v>
      </c>
      <c r="B117" s="639" t="s">
        <v>544</v>
      </c>
      <c r="C117" s="640" t="s">
        <v>553</v>
      </c>
      <c r="D117" s="641" t="s">
        <v>1225</v>
      </c>
      <c r="E117" s="640" t="s">
        <v>562</v>
      </c>
      <c r="F117" s="641" t="s">
        <v>1228</v>
      </c>
      <c r="G117" s="640" t="s">
        <v>563</v>
      </c>
      <c r="H117" s="640" t="s">
        <v>834</v>
      </c>
      <c r="I117" s="640" t="s">
        <v>591</v>
      </c>
      <c r="J117" s="640" t="s">
        <v>835</v>
      </c>
      <c r="K117" s="640" t="s">
        <v>836</v>
      </c>
      <c r="L117" s="642">
        <v>162.30000000000001</v>
      </c>
      <c r="M117" s="642">
        <v>1</v>
      </c>
      <c r="N117" s="643">
        <v>162.30000000000001</v>
      </c>
    </row>
    <row r="118" spans="1:14" ht="14.4" customHeight="1" x14ac:dyDescent="0.3">
      <c r="A118" s="638" t="s">
        <v>543</v>
      </c>
      <c r="B118" s="639" t="s">
        <v>544</v>
      </c>
      <c r="C118" s="640" t="s">
        <v>553</v>
      </c>
      <c r="D118" s="641" t="s">
        <v>1225</v>
      </c>
      <c r="E118" s="640" t="s">
        <v>700</v>
      </c>
      <c r="F118" s="641" t="s">
        <v>1229</v>
      </c>
      <c r="G118" s="640" t="s">
        <v>563</v>
      </c>
      <c r="H118" s="640" t="s">
        <v>701</v>
      </c>
      <c r="I118" s="640" t="s">
        <v>591</v>
      </c>
      <c r="J118" s="640" t="s">
        <v>702</v>
      </c>
      <c r="K118" s="640"/>
      <c r="L118" s="642">
        <v>480.74106642715998</v>
      </c>
      <c r="M118" s="642">
        <v>10</v>
      </c>
      <c r="N118" s="643">
        <v>4807.4106642715997</v>
      </c>
    </row>
    <row r="119" spans="1:14" ht="14.4" customHeight="1" x14ac:dyDescent="0.3">
      <c r="A119" s="638" t="s">
        <v>543</v>
      </c>
      <c r="B119" s="639" t="s">
        <v>544</v>
      </c>
      <c r="C119" s="640" t="s">
        <v>553</v>
      </c>
      <c r="D119" s="641" t="s">
        <v>1225</v>
      </c>
      <c r="E119" s="640" t="s">
        <v>700</v>
      </c>
      <c r="F119" s="641" t="s">
        <v>1229</v>
      </c>
      <c r="G119" s="640" t="s">
        <v>563</v>
      </c>
      <c r="H119" s="640" t="s">
        <v>703</v>
      </c>
      <c r="I119" s="640" t="s">
        <v>591</v>
      </c>
      <c r="J119" s="640" t="s">
        <v>704</v>
      </c>
      <c r="K119" s="640"/>
      <c r="L119" s="642">
        <v>913.10000000000014</v>
      </c>
      <c r="M119" s="642">
        <v>10</v>
      </c>
      <c r="N119" s="643">
        <v>9131.0000000000018</v>
      </c>
    </row>
    <row r="120" spans="1:14" ht="14.4" customHeight="1" x14ac:dyDescent="0.3">
      <c r="A120" s="638" t="s">
        <v>543</v>
      </c>
      <c r="B120" s="639" t="s">
        <v>544</v>
      </c>
      <c r="C120" s="640" t="s">
        <v>553</v>
      </c>
      <c r="D120" s="641" t="s">
        <v>1225</v>
      </c>
      <c r="E120" s="640" t="s">
        <v>705</v>
      </c>
      <c r="F120" s="641" t="s">
        <v>1230</v>
      </c>
      <c r="G120" s="640" t="s">
        <v>563</v>
      </c>
      <c r="H120" s="640" t="s">
        <v>714</v>
      </c>
      <c r="I120" s="640" t="s">
        <v>714</v>
      </c>
      <c r="J120" s="640" t="s">
        <v>715</v>
      </c>
      <c r="K120" s="640" t="s">
        <v>716</v>
      </c>
      <c r="L120" s="642">
        <v>179.61993449211514</v>
      </c>
      <c r="M120" s="642">
        <v>4</v>
      </c>
      <c r="N120" s="643">
        <v>718.47973796846054</v>
      </c>
    </row>
    <row r="121" spans="1:14" ht="14.4" customHeight="1" x14ac:dyDescent="0.3">
      <c r="A121" s="638" t="s">
        <v>543</v>
      </c>
      <c r="B121" s="639" t="s">
        <v>544</v>
      </c>
      <c r="C121" s="640" t="s">
        <v>553</v>
      </c>
      <c r="D121" s="641" t="s">
        <v>1225</v>
      </c>
      <c r="E121" s="640" t="s">
        <v>705</v>
      </c>
      <c r="F121" s="641" t="s">
        <v>1230</v>
      </c>
      <c r="G121" s="640" t="s">
        <v>563</v>
      </c>
      <c r="H121" s="640" t="s">
        <v>837</v>
      </c>
      <c r="I121" s="640" t="s">
        <v>838</v>
      </c>
      <c r="J121" s="640" t="s">
        <v>739</v>
      </c>
      <c r="K121" s="640" t="s">
        <v>740</v>
      </c>
      <c r="L121" s="642">
        <v>136.53666666666666</v>
      </c>
      <c r="M121" s="642">
        <v>9</v>
      </c>
      <c r="N121" s="643">
        <v>1228.83</v>
      </c>
    </row>
    <row r="122" spans="1:14" ht="14.4" customHeight="1" x14ac:dyDescent="0.3">
      <c r="A122" s="638" t="s">
        <v>543</v>
      </c>
      <c r="B122" s="639" t="s">
        <v>544</v>
      </c>
      <c r="C122" s="640" t="s">
        <v>553</v>
      </c>
      <c r="D122" s="641" t="s">
        <v>1225</v>
      </c>
      <c r="E122" s="640" t="s">
        <v>705</v>
      </c>
      <c r="F122" s="641" t="s">
        <v>1230</v>
      </c>
      <c r="G122" s="640" t="s">
        <v>563</v>
      </c>
      <c r="H122" s="640" t="s">
        <v>717</v>
      </c>
      <c r="I122" s="640" t="s">
        <v>718</v>
      </c>
      <c r="J122" s="640" t="s">
        <v>719</v>
      </c>
      <c r="K122" s="640" t="s">
        <v>720</v>
      </c>
      <c r="L122" s="642">
        <v>59.823599999999999</v>
      </c>
      <c r="M122" s="642">
        <v>5</v>
      </c>
      <c r="N122" s="643">
        <v>299.11799999999999</v>
      </c>
    </row>
    <row r="123" spans="1:14" ht="14.4" customHeight="1" x14ac:dyDescent="0.3">
      <c r="A123" s="638" t="s">
        <v>543</v>
      </c>
      <c r="B123" s="639" t="s">
        <v>544</v>
      </c>
      <c r="C123" s="640" t="s">
        <v>553</v>
      </c>
      <c r="D123" s="641" t="s">
        <v>1225</v>
      </c>
      <c r="E123" s="640" t="s">
        <v>705</v>
      </c>
      <c r="F123" s="641" t="s">
        <v>1230</v>
      </c>
      <c r="G123" s="640" t="s">
        <v>563</v>
      </c>
      <c r="H123" s="640" t="s">
        <v>721</v>
      </c>
      <c r="I123" s="640" t="s">
        <v>722</v>
      </c>
      <c r="J123" s="640" t="s">
        <v>723</v>
      </c>
      <c r="K123" s="640" t="s">
        <v>724</v>
      </c>
      <c r="L123" s="642">
        <v>23.519941376299819</v>
      </c>
      <c r="M123" s="642">
        <v>2</v>
      </c>
      <c r="N123" s="643">
        <v>47.039882752599638</v>
      </c>
    </row>
    <row r="124" spans="1:14" ht="14.4" customHeight="1" x14ac:dyDescent="0.3">
      <c r="A124" s="638" t="s">
        <v>543</v>
      </c>
      <c r="B124" s="639" t="s">
        <v>544</v>
      </c>
      <c r="C124" s="640" t="s">
        <v>553</v>
      </c>
      <c r="D124" s="641" t="s">
        <v>1225</v>
      </c>
      <c r="E124" s="640" t="s">
        <v>705</v>
      </c>
      <c r="F124" s="641" t="s">
        <v>1230</v>
      </c>
      <c r="G124" s="640" t="s">
        <v>563</v>
      </c>
      <c r="H124" s="640" t="s">
        <v>725</v>
      </c>
      <c r="I124" s="640" t="s">
        <v>726</v>
      </c>
      <c r="J124" s="640" t="s">
        <v>727</v>
      </c>
      <c r="K124" s="640" t="s">
        <v>728</v>
      </c>
      <c r="L124" s="642">
        <v>46.839948965267531</v>
      </c>
      <c r="M124" s="642">
        <v>28</v>
      </c>
      <c r="N124" s="643">
        <v>1311.5185710274909</v>
      </c>
    </row>
    <row r="125" spans="1:14" ht="14.4" customHeight="1" x14ac:dyDescent="0.3">
      <c r="A125" s="638" t="s">
        <v>543</v>
      </c>
      <c r="B125" s="639" t="s">
        <v>544</v>
      </c>
      <c r="C125" s="640" t="s">
        <v>553</v>
      </c>
      <c r="D125" s="641" t="s">
        <v>1225</v>
      </c>
      <c r="E125" s="640" t="s">
        <v>705</v>
      </c>
      <c r="F125" s="641" t="s">
        <v>1230</v>
      </c>
      <c r="G125" s="640" t="s">
        <v>563</v>
      </c>
      <c r="H125" s="640" t="s">
        <v>839</v>
      </c>
      <c r="I125" s="640" t="s">
        <v>840</v>
      </c>
      <c r="J125" s="640" t="s">
        <v>841</v>
      </c>
      <c r="K125" s="640" t="s">
        <v>842</v>
      </c>
      <c r="L125" s="642">
        <v>73.34</v>
      </c>
      <c r="M125" s="642">
        <v>10</v>
      </c>
      <c r="N125" s="643">
        <v>733.40000000000009</v>
      </c>
    </row>
    <row r="126" spans="1:14" ht="14.4" customHeight="1" x14ac:dyDescent="0.3">
      <c r="A126" s="638" t="s">
        <v>543</v>
      </c>
      <c r="B126" s="639" t="s">
        <v>544</v>
      </c>
      <c r="C126" s="640" t="s">
        <v>553</v>
      </c>
      <c r="D126" s="641" t="s">
        <v>1225</v>
      </c>
      <c r="E126" s="640" t="s">
        <v>705</v>
      </c>
      <c r="F126" s="641" t="s">
        <v>1230</v>
      </c>
      <c r="G126" s="640" t="s">
        <v>563</v>
      </c>
      <c r="H126" s="640" t="s">
        <v>843</v>
      </c>
      <c r="I126" s="640" t="s">
        <v>844</v>
      </c>
      <c r="J126" s="640" t="s">
        <v>845</v>
      </c>
      <c r="K126" s="640" t="s">
        <v>846</v>
      </c>
      <c r="L126" s="642">
        <v>772.08</v>
      </c>
      <c r="M126" s="642">
        <v>2</v>
      </c>
      <c r="N126" s="643">
        <v>1544.16</v>
      </c>
    </row>
    <row r="127" spans="1:14" ht="14.4" customHeight="1" x14ac:dyDescent="0.3">
      <c r="A127" s="638" t="s">
        <v>543</v>
      </c>
      <c r="B127" s="639" t="s">
        <v>544</v>
      </c>
      <c r="C127" s="640" t="s">
        <v>553</v>
      </c>
      <c r="D127" s="641" t="s">
        <v>1225</v>
      </c>
      <c r="E127" s="640" t="s">
        <v>705</v>
      </c>
      <c r="F127" s="641" t="s">
        <v>1230</v>
      </c>
      <c r="G127" s="640" t="s">
        <v>563</v>
      </c>
      <c r="H127" s="640" t="s">
        <v>847</v>
      </c>
      <c r="I127" s="640" t="s">
        <v>847</v>
      </c>
      <c r="J127" s="640" t="s">
        <v>848</v>
      </c>
      <c r="K127" s="640" t="s">
        <v>849</v>
      </c>
      <c r="L127" s="642">
        <v>462</v>
      </c>
      <c r="M127" s="642">
        <v>1</v>
      </c>
      <c r="N127" s="643">
        <v>462</v>
      </c>
    </row>
    <row r="128" spans="1:14" ht="14.4" customHeight="1" x14ac:dyDescent="0.3">
      <c r="A128" s="638" t="s">
        <v>543</v>
      </c>
      <c r="B128" s="639" t="s">
        <v>544</v>
      </c>
      <c r="C128" s="640" t="s">
        <v>553</v>
      </c>
      <c r="D128" s="641" t="s">
        <v>1225</v>
      </c>
      <c r="E128" s="640" t="s">
        <v>705</v>
      </c>
      <c r="F128" s="641" t="s">
        <v>1230</v>
      </c>
      <c r="G128" s="640" t="s">
        <v>563</v>
      </c>
      <c r="H128" s="640" t="s">
        <v>729</v>
      </c>
      <c r="I128" s="640" t="s">
        <v>729</v>
      </c>
      <c r="J128" s="640" t="s">
        <v>730</v>
      </c>
      <c r="K128" s="640" t="s">
        <v>731</v>
      </c>
      <c r="L128" s="642">
        <v>72.64</v>
      </c>
      <c r="M128" s="642">
        <v>1</v>
      </c>
      <c r="N128" s="643">
        <v>72.64</v>
      </c>
    </row>
    <row r="129" spans="1:14" ht="14.4" customHeight="1" x14ac:dyDescent="0.3">
      <c r="A129" s="638" t="s">
        <v>543</v>
      </c>
      <c r="B129" s="639" t="s">
        <v>544</v>
      </c>
      <c r="C129" s="640" t="s">
        <v>553</v>
      </c>
      <c r="D129" s="641" t="s">
        <v>1225</v>
      </c>
      <c r="E129" s="640" t="s">
        <v>705</v>
      </c>
      <c r="F129" s="641" t="s">
        <v>1230</v>
      </c>
      <c r="G129" s="640" t="s">
        <v>563</v>
      </c>
      <c r="H129" s="640" t="s">
        <v>850</v>
      </c>
      <c r="I129" s="640" t="s">
        <v>850</v>
      </c>
      <c r="J129" s="640" t="s">
        <v>851</v>
      </c>
      <c r="K129" s="640" t="s">
        <v>852</v>
      </c>
      <c r="L129" s="642">
        <v>316.02999999999997</v>
      </c>
      <c r="M129" s="642">
        <v>2</v>
      </c>
      <c r="N129" s="643">
        <v>632.05999999999995</v>
      </c>
    </row>
    <row r="130" spans="1:14" ht="14.4" customHeight="1" x14ac:dyDescent="0.3">
      <c r="A130" s="638" t="s">
        <v>543</v>
      </c>
      <c r="B130" s="639" t="s">
        <v>544</v>
      </c>
      <c r="C130" s="640" t="s">
        <v>553</v>
      </c>
      <c r="D130" s="641" t="s">
        <v>1225</v>
      </c>
      <c r="E130" s="640" t="s">
        <v>705</v>
      </c>
      <c r="F130" s="641" t="s">
        <v>1230</v>
      </c>
      <c r="G130" s="640" t="s">
        <v>563</v>
      </c>
      <c r="H130" s="640" t="s">
        <v>738</v>
      </c>
      <c r="I130" s="640" t="s">
        <v>738</v>
      </c>
      <c r="J130" s="640" t="s">
        <v>739</v>
      </c>
      <c r="K130" s="640" t="s">
        <v>740</v>
      </c>
      <c r="L130" s="642">
        <v>137.42619047619047</v>
      </c>
      <c r="M130" s="642">
        <v>12.6</v>
      </c>
      <c r="N130" s="643">
        <v>1731.5699999999997</v>
      </c>
    </row>
    <row r="131" spans="1:14" ht="14.4" customHeight="1" x14ac:dyDescent="0.3">
      <c r="A131" s="638" t="s">
        <v>543</v>
      </c>
      <c r="B131" s="639" t="s">
        <v>544</v>
      </c>
      <c r="C131" s="640" t="s">
        <v>553</v>
      </c>
      <c r="D131" s="641" t="s">
        <v>1225</v>
      </c>
      <c r="E131" s="640" t="s">
        <v>705</v>
      </c>
      <c r="F131" s="641" t="s">
        <v>1230</v>
      </c>
      <c r="G131" s="640" t="s">
        <v>741</v>
      </c>
      <c r="H131" s="640" t="s">
        <v>742</v>
      </c>
      <c r="I131" s="640" t="s">
        <v>743</v>
      </c>
      <c r="J131" s="640" t="s">
        <v>744</v>
      </c>
      <c r="K131" s="640" t="s">
        <v>745</v>
      </c>
      <c r="L131" s="642">
        <v>49.529701030252092</v>
      </c>
      <c r="M131" s="642">
        <v>3</v>
      </c>
      <c r="N131" s="643">
        <v>148.58910309075628</v>
      </c>
    </row>
    <row r="132" spans="1:14" ht="14.4" customHeight="1" x14ac:dyDescent="0.3">
      <c r="A132" s="638" t="s">
        <v>543</v>
      </c>
      <c r="B132" s="639" t="s">
        <v>544</v>
      </c>
      <c r="C132" s="640" t="s">
        <v>553</v>
      </c>
      <c r="D132" s="641" t="s">
        <v>1225</v>
      </c>
      <c r="E132" s="640" t="s">
        <v>705</v>
      </c>
      <c r="F132" s="641" t="s">
        <v>1230</v>
      </c>
      <c r="G132" s="640" t="s">
        <v>741</v>
      </c>
      <c r="H132" s="640" t="s">
        <v>853</v>
      </c>
      <c r="I132" s="640" t="s">
        <v>853</v>
      </c>
      <c r="J132" s="640" t="s">
        <v>854</v>
      </c>
      <c r="K132" s="640" t="s">
        <v>855</v>
      </c>
      <c r="L132" s="642">
        <v>34.659999999999997</v>
      </c>
      <c r="M132" s="642">
        <v>10</v>
      </c>
      <c r="N132" s="643">
        <v>346.59999999999997</v>
      </c>
    </row>
    <row r="133" spans="1:14" ht="14.4" customHeight="1" x14ac:dyDescent="0.3">
      <c r="A133" s="638" t="s">
        <v>543</v>
      </c>
      <c r="B133" s="639" t="s">
        <v>544</v>
      </c>
      <c r="C133" s="640" t="s">
        <v>553</v>
      </c>
      <c r="D133" s="641" t="s">
        <v>1225</v>
      </c>
      <c r="E133" s="640" t="s">
        <v>705</v>
      </c>
      <c r="F133" s="641" t="s">
        <v>1230</v>
      </c>
      <c r="G133" s="640" t="s">
        <v>741</v>
      </c>
      <c r="H133" s="640" t="s">
        <v>856</v>
      </c>
      <c r="I133" s="640" t="s">
        <v>856</v>
      </c>
      <c r="J133" s="640" t="s">
        <v>857</v>
      </c>
      <c r="K133" s="640" t="s">
        <v>858</v>
      </c>
      <c r="L133" s="642">
        <v>540.86999999999989</v>
      </c>
      <c r="M133" s="642">
        <v>1.5</v>
      </c>
      <c r="N133" s="643">
        <v>811.30499999999984</v>
      </c>
    </row>
    <row r="134" spans="1:14" ht="14.4" customHeight="1" x14ac:dyDescent="0.3">
      <c r="A134" s="638" t="s">
        <v>543</v>
      </c>
      <c r="B134" s="639" t="s">
        <v>544</v>
      </c>
      <c r="C134" s="640" t="s">
        <v>553</v>
      </c>
      <c r="D134" s="641" t="s">
        <v>1225</v>
      </c>
      <c r="E134" s="640" t="s">
        <v>746</v>
      </c>
      <c r="F134" s="641" t="s">
        <v>1231</v>
      </c>
      <c r="G134" s="640" t="s">
        <v>563</v>
      </c>
      <c r="H134" s="640" t="s">
        <v>751</v>
      </c>
      <c r="I134" s="640" t="s">
        <v>752</v>
      </c>
      <c r="J134" s="640" t="s">
        <v>753</v>
      </c>
      <c r="K134" s="640" t="s">
        <v>754</v>
      </c>
      <c r="L134" s="642">
        <v>105.54423232794004</v>
      </c>
      <c r="M134" s="642">
        <v>20</v>
      </c>
      <c r="N134" s="643">
        <v>2110.8846465588008</v>
      </c>
    </row>
    <row r="135" spans="1:14" ht="14.4" customHeight="1" x14ac:dyDescent="0.3">
      <c r="A135" s="638" t="s">
        <v>543</v>
      </c>
      <c r="B135" s="639" t="s">
        <v>544</v>
      </c>
      <c r="C135" s="640" t="s">
        <v>553</v>
      </c>
      <c r="D135" s="641" t="s">
        <v>1225</v>
      </c>
      <c r="E135" s="640" t="s">
        <v>746</v>
      </c>
      <c r="F135" s="641" t="s">
        <v>1231</v>
      </c>
      <c r="G135" s="640" t="s">
        <v>741</v>
      </c>
      <c r="H135" s="640" t="s">
        <v>859</v>
      </c>
      <c r="I135" s="640" t="s">
        <v>859</v>
      </c>
      <c r="J135" s="640" t="s">
        <v>860</v>
      </c>
      <c r="K135" s="640" t="s">
        <v>861</v>
      </c>
      <c r="L135" s="642">
        <v>159.5</v>
      </c>
      <c r="M135" s="642">
        <v>1</v>
      </c>
      <c r="N135" s="643">
        <v>159.5</v>
      </c>
    </row>
    <row r="136" spans="1:14" ht="14.4" customHeight="1" x14ac:dyDescent="0.3">
      <c r="A136" s="638" t="s">
        <v>543</v>
      </c>
      <c r="B136" s="639" t="s">
        <v>544</v>
      </c>
      <c r="C136" s="640" t="s">
        <v>556</v>
      </c>
      <c r="D136" s="641" t="s">
        <v>1226</v>
      </c>
      <c r="E136" s="640" t="s">
        <v>562</v>
      </c>
      <c r="F136" s="641" t="s">
        <v>1228</v>
      </c>
      <c r="G136" s="640"/>
      <c r="H136" s="640" t="s">
        <v>862</v>
      </c>
      <c r="I136" s="640" t="s">
        <v>863</v>
      </c>
      <c r="J136" s="640" t="s">
        <v>864</v>
      </c>
      <c r="K136" s="640" t="s">
        <v>865</v>
      </c>
      <c r="L136" s="642">
        <v>95.65</v>
      </c>
      <c r="M136" s="642">
        <v>15</v>
      </c>
      <c r="N136" s="643">
        <v>1434.75</v>
      </c>
    </row>
    <row r="137" spans="1:14" ht="14.4" customHeight="1" x14ac:dyDescent="0.3">
      <c r="A137" s="638" t="s">
        <v>543</v>
      </c>
      <c r="B137" s="639" t="s">
        <v>544</v>
      </c>
      <c r="C137" s="640" t="s">
        <v>556</v>
      </c>
      <c r="D137" s="641" t="s">
        <v>1226</v>
      </c>
      <c r="E137" s="640" t="s">
        <v>562</v>
      </c>
      <c r="F137" s="641" t="s">
        <v>1228</v>
      </c>
      <c r="G137" s="640"/>
      <c r="H137" s="640" t="s">
        <v>866</v>
      </c>
      <c r="I137" s="640" t="s">
        <v>867</v>
      </c>
      <c r="J137" s="640" t="s">
        <v>868</v>
      </c>
      <c r="K137" s="640"/>
      <c r="L137" s="642">
        <v>72.595789473684221</v>
      </c>
      <c r="M137" s="642">
        <v>38</v>
      </c>
      <c r="N137" s="643">
        <v>2758.6400000000003</v>
      </c>
    </row>
    <row r="138" spans="1:14" ht="14.4" customHeight="1" x14ac:dyDescent="0.3">
      <c r="A138" s="638" t="s">
        <v>543</v>
      </c>
      <c r="B138" s="639" t="s">
        <v>544</v>
      </c>
      <c r="C138" s="640" t="s">
        <v>556</v>
      </c>
      <c r="D138" s="641" t="s">
        <v>1226</v>
      </c>
      <c r="E138" s="640" t="s">
        <v>562</v>
      </c>
      <c r="F138" s="641" t="s">
        <v>1228</v>
      </c>
      <c r="G138" s="640"/>
      <c r="H138" s="640" t="s">
        <v>869</v>
      </c>
      <c r="I138" s="640" t="s">
        <v>870</v>
      </c>
      <c r="J138" s="640" t="s">
        <v>871</v>
      </c>
      <c r="K138" s="640" t="s">
        <v>872</v>
      </c>
      <c r="L138" s="642">
        <v>127.31562472777308</v>
      </c>
      <c r="M138" s="642">
        <v>45</v>
      </c>
      <c r="N138" s="643">
        <v>5729.2031127497885</v>
      </c>
    </row>
    <row r="139" spans="1:14" ht="14.4" customHeight="1" x14ac:dyDescent="0.3">
      <c r="A139" s="638" t="s">
        <v>543</v>
      </c>
      <c r="B139" s="639" t="s">
        <v>544</v>
      </c>
      <c r="C139" s="640" t="s">
        <v>556</v>
      </c>
      <c r="D139" s="641" t="s">
        <v>1226</v>
      </c>
      <c r="E139" s="640" t="s">
        <v>562</v>
      </c>
      <c r="F139" s="641" t="s">
        <v>1228</v>
      </c>
      <c r="G139" s="640"/>
      <c r="H139" s="640" t="s">
        <v>873</v>
      </c>
      <c r="I139" s="640" t="s">
        <v>874</v>
      </c>
      <c r="J139" s="640" t="s">
        <v>875</v>
      </c>
      <c r="K139" s="640" t="s">
        <v>876</v>
      </c>
      <c r="L139" s="642">
        <v>67.39</v>
      </c>
      <c r="M139" s="642">
        <v>1</v>
      </c>
      <c r="N139" s="643">
        <v>67.39</v>
      </c>
    </row>
    <row r="140" spans="1:14" ht="14.4" customHeight="1" x14ac:dyDescent="0.3">
      <c r="A140" s="638" t="s">
        <v>543</v>
      </c>
      <c r="B140" s="639" t="s">
        <v>544</v>
      </c>
      <c r="C140" s="640" t="s">
        <v>556</v>
      </c>
      <c r="D140" s="641" t="s">
        <v>1226</v>
      </c>
      <c r="E140" s="640" t="s">
        <v>562</v>
      </c>
      <c r="F140" s="641" t="s">
        <v>1228</v>
      </c>
      <c r="G140" s="640"/>
      <c r="H140" s="640" t="s">
        <v>877</v>
      </c>
      <c r="I140" s="640" t="s">
        <v>591</v>
      </c>
      <c r="J140" s="640" t="s">
        <v>878</v>
      </c>
      <c r="K140" s="640" t="s">
        <v>879</v>
      </c>
      <c r="L140" s="642">
        <v>781.16499999999996</v>
      </c>
      <c r="M140" s="642">
        <v>1</v>
      </c>
      <c r="N140" s="643">
        <v>781.16499999999996</v>
      </c>
    </row>
    <row r="141" spans="1:14" ht="14.4" customHeight="1" x14ac:dyDescent="0.3">
      <c r="A141" s="638" t="s">
        <v>543</v>
      </c>
      <c r="B141" s="639" t="s">
        <v>544</v>
      </c>
      <c r="C141" s="640" t="s">
        <v>556</v>
      </c>
      <c r="D141" s="641" t="s">
        <v>1226</v>
      </c>
      <c r="E141" s="640" t="s">
        <v>562</v>
      </c>
      <c r="F141" s="641" t="s">
        <v>1228</v>
      </c>
      <c r="G141" s="640" t="s">
        <v>563</v>
      </c>
      <c r="H141" s="640" t="s">
        <v>564</v>
      </c>
      <c r="I141" s="640" t="s">
        <v>564</v>
      </c>
      <c r="J141" s="640" t="s">
        <v>565</v>
      </c>
      <c r="K141" s="640" t="s">
        <v>566</v>
      </c>
      <c r="L141" s="642">
        <v>171.59987782802332</v>
      </c>
      <c r="M141" s="642">
        <v>51</v>
      </c>
      <c r="N141" s="643">
        <v>8751.59376922919</v>
      </c>
    </row>
    <row r="142" spans="1:14" ht="14.4" customHeight="1" x14ac:dyDescent="0.3">
      <c r="A142" s="638" t="s">
        <v>543</v>
      </c>
      <c r="B142" s="639" t="s">
        <v>544</v>
      </c>
      <c r="C142" s="640" t="s">
        <v>556</v>
      </c>
      <c r="D142" s="641" t="s">
        <v>1226</v>
      </c>
      <c r="E142" s="640" t="s">
        <v>562</v>
      </c>
      <c r="F142" s="641" t="s">
        <v>1228</v>
      </c>
      <c r="G142" s="640" t="s">
        <v>563</v>
      </c>
      <c r="H142" s="640" t="s">
        <v>880</v>
      </c>
      <c r="I142" s="640" t="s">
        <v>880</v>
      </c>
      <c r="J142" s="640" t="s">
        <v>881</v>
      </c>
      <c r="K142" s="640" t="s">
        <v>882</v>
      </c>
      <c r="L142" s="642">
        <v>173.69</v>
      </c>
      <c r="M142" s="642">
        <v>2</v>
      </c>
      <c r="N142" s="643">
        <v>347.38</v>
      </c>
    </row>
    <row r="143" spans="1:14" ht="14.4" customHeight="1" x14ac:dyDescent="0.3">
      <c r="A143" s="638" t="s">
        <v>543</v>
      </c>
      <c r="B143" s="639" t="s">
        <v>544</v>
      </c>
      <c r="C143" s="640" t="s">
        <v>556</v>
      </c>
      <c r="D143" s="641" t="s">
        <v>1226</v>
      </c>
      <c r="E143" s="640" t="s">
        <v>562</v>
      </c>
      <c r="F143" s="641" t="s">
        <v>1228</v>
      </c>
      <c r="G143" s="640" t="s">
        <v>563</v>
      </c>
      <c r="H143" s="640" t="s">
        <v>567</v>
      </c>
      <c r="I143" s="640" t="s">
        <v>567</v>
      </c>
      <c r="J143" s="640" t="s">
        <v>568</v>
      </c>
      <c r="K143" s="640" t="s">
        <v>569</v>
      </c>
      <c r="L143" s="642">
        <v>222.19999882094581</v>
      </c>
      <c r="M143" s="642">
        <v>12</v>
      </c>
      <c r="N143" s="643">
        <v>2666.3999858513498</v>
      </c>
    </row>
    <row r="144" spans="1:14" ht="14.4" customHeight="1" x14ac:dyDescent="0.3">
      <c r="A144" s="638" t="s">
        <v>543</v>
      </c>
      <c r="B144" s="639" t="s">
        <v>544</v>
      </c>
      <c r="C144" s="640" t="s">
        <v>556</v>
      </c>
      <c r="D144" s="641" t="s">
        <v>1226</v>
      </c>
      <c r="E144" s="640" t="s">
        <v>562</v>
      </c>
      <c r="F144" s="641" t="s">
        <v>1228</v>
      </c>
      <c r="G144" s="640" t="s">
        <v>563</v>
      </c>
      <c r="H144" s="640" t="s">
        <v>883</v>
      </c>
      <c r="I144" s="640" t="s">
        <v>883</v>
      </c>
      <c r="J144" s="640" t="s">
        <v>565</v>
      </c>
      <c r="K144" s="640" t="s">
        <v>884</v>
      </c>
      <c r="L144" s="642">
        <v>92.949999999999974</v>
      </c>
      <c r="M144" s="642">
        <v>30</v>
      </c>
      <c r="N144" s="643">
        <v>2788.4999999999991</v>
      </c>
    </row>
    <row r="145" spans="1:14" ht="14.4" customHeight="1" x14ac:dyDescent="0.3">
      <c r="A145" s="638" t="s">
        <v>543</v>
      </c>
      <c r="B145" s="639" t="s">
        <v>544</v>
      </c>
      <c r="C145" s="640" t="s">
        <v>556</v>
      </c>
      <c r="D145" s="641" t="s">
        <v>1226</v>
      </c>
      <c r="E145" s="640" t="s">
        <v>562</v>
      </c>
      <c r="F145" s="641" t="s">
        <v>1228</v>
      </c>
      <c r="G145" s="640" t="s">
        <v>563</v>
      </c>
      <c r="H145" s="640" t="s">
        <v>885</v>
      </c>
      <c r="I145" s="640" t="s">
        <v>886</v>
      </c>
      <c r="J145" s="640" t="s">
        <v>887</v>
      </c>
      <c r="K145" s="640" t="s">
        <v>888</v>
      </c>
      <c r="L145" s="642">
        <v>41.129999999999995</v>
      </c>
      <c r="M145" s="642">
        <v>1</v>
      </c>
      <c r="N145" s="643">
        <v>41.129999999999995</v>
      </c>
    </row>
    <row r="146" spans="1:14" ht="14.4" customHeight="1" x14ac:dyDescent="0.3">
      <c r="A146" s="638" t="s">
        <v>543</v>
      </c>
      <c r="B146" s="639" t="s">
        <v>544</v>
      </c>
      <c r="C146" s="640" t="s">
        <v>556</v>
      </c>
      <c r="D146" s="641" t="s">
        <v>1226</v>
      </c>
      <c r="E146" s="640" t="s">
        <v>562</v>
      </c>
      <c r="F146" s="641" t="s">
        <v>1228</v>
      </c>
      <c r="G146" s="640" t="s">
        <v>563</v>
      </c>
      <c r="H146" s="640" t="s">
        <v>570</v>
      </c>
      <c r="I146" s="640" t="s">
        <v>571</v>
      </c>
      <c r="J146" s="640" t="s">
        <v>572</v>
      </c>
      <c r="K146" s="640" t="s">
        <v>573</v>
      </c>
      <c r="L146" s="642">
        <v>87.029999999999987</v>
      </c>
      <c r="M146" s="642">
        <v>8</v>
      </c>
      <c r="N146" s="643">
        <v>696.2399999999999</v>
      </c>
    </row>
    <row r="147" spans="1:14" ht="14.4" customHeight="1" x14ac:dyDescent="0.3">
      <c r="A147" s="638" t="s">
        <v>543</v>
      </c>
      <c r="B147" s="639" t="s">
        <v>544</v>
      </c>
      <c r="C147" s="640" t="s">
        <v>556</v>
      </c>
      <c r="D147" s="641" t="s">
        <v>1226</v>
      </c>
      <c r="E147" s="640" t="s">
        <v>562</v>
      </c>
      <c r="F147" s="641" t="s">
        <v>1228</v>
      </c>
      <c r="G147" s="640" t="s">
        <v>563</v>
      </c>
      <c r="H147" s="640" t="s">
        <v>574</v>
      </c>
      <c r="I147" s="640" t="s">
        <v>575</v>
      </c>
      <c r="J147" s="640" t="s">
        <v>576</v>
      </c>
      <c r="K147" s="640" t="s">
        <v>577</v>
      </c>
      <c r="L147" s="642">
        <v>96.820028149082944</v>
      </c>
      <c r="M147" s="642">
        <v>64</v>
      </c>
      <c r="N147" s="643">
        <v>6196.4818015413084</v>
      </c>
    </row>
    <row r="148" spans="1:14" ht="14.4" customHeight="1" x14ac:dyDescent="0.3">
      <c r="A148" s="638" t="s">
        <v>543</v>
      </c>
      <c r="B148" s="639" t="s">
        <v>544</v>
      </c>
      <c r="C148" s="640" t="s">
        <v>556</v>
      </c>
      <c r="D148" s="641" t="s">
        <v>1226</v>
      </c>
      <c r="E148" s="640" t="s">
        <v>562</v>
      </c>
      <c r="F148" s="641" t="s">
        <v>1228</v>
      </c>
      <c r="G148" s="640" t="s">
        <v>563</v>
      </c>
      <c r="H148" s="640" t="s">
        <v>578</v>
      </c>
      <c r="I148" s="640" t="s">
        <v>579</v>
      </c>
      <c r="J148" s="640" t="s">
        <v>580</v>
      </c>
      <c r="K148" s="640" t="s">
        <v>581</v>
      </c>
      <c r="L148" s="642">
        <v>79.180098605143399</v>
      </c>
      <c r="M148" s="642">
        <v>8</v>
      </c>
      <c r="N148" s="643">
        <v>633.4407888411472</v>
      </c>
    </row>
    <row r="149" spans="1:14" ht="14.4" customHeight="1" x14ac:dyDescent="0.3">
      <c r="A149" s="638" t="s">
        <v>543</v>
      </c>
      <c r="B149" s="639" t="s">
        <v>544</v>
      </c>
      <c r="C149" s="640" t="s">
        <v>556</v>
      </c>
      <c r="D149" s="641" t="s">
        <v>1226</v>
      </c>
      <c r="E149" s="640" t="s">
        <v>562</v>
      </c>
      <c r="F149" s="641" t="s">
        <v>1228</v>
      </c>
      <c r="G149" s="640" t="s">
        <v>563</v>
      </c>
      <c r="H149" s="640" t="s">
        <v>582</v>
      </c>
      <c r="I149" s="640" t="s">
        <v>583</v>
      </c>
      <c r="J149" s="640" t="s">
        <v>584</v>
      </c>
      <c r="K149" s="640" t="s">
        <v>585</v>
      </c>
      <c r="L149" s="642">
        <v>74.797735425057041</v>
      </c>
      <c r="M149" s="642">
        <v>150</v>
      </c>
      <c r="N149" s="643">
        <v>11219.660313758555</v>
      </c>
    </row>
    <row r="150" spans="1:14" ht="14.4" customHeight="1" x14ac:dyDescent="0.3">
      <c r="A150" s="638" t="s">
        <v>543</v>
      </c>
      <c r="B150" s="639" t="s">
        <v>544</v>
      </c>
      <c r="C150" s="640" t="s">
        <v>556</v>
      </c>
      <c r="D150" s="641" t="s">
        <v>1226</v>
      </c>
      <c r="E150" s="640" t="s">
        <v>562</v>
      </c>
      <c r="F150" s="641" t="s">
        <v>1228</v>
      </c>
      <c r="G150" s="640" t="s">
        <v>563</v>
      </c>
      <c r="H150" s="640" t="s">
        <v>889</v>
      </c>
      <c r="I150" s="640" t="s">
        <v>890</v>
      </c>
      <c r="J150" s="640" t="s">
        <v>891</v>
      </c>
      <c r="K150" s="640" t="s">
        <v>762</v>
      </c>
      <c r="L150" s="642">
        <v>86.054694969519574</v>
      </c>
      <c r="M150" s="642">
        <v>2</v>
      </c>
      <c r="N150" s="643">
        <v>172.10938993903915</v>
      </c>
    </row>
    <row r="151" spans="1:14" ht="14.4" customHeight="1" x14ac:dyDescent="0.3">
      <c r="A151" s="638" t="s">
        <v>543</v>
      </c>
      <c r="B151" s="639" t="s">
        <v>544</v>
      </c>
      <c r="C151" s="640" t="s">
        <v>556</v>
      </c>
      <c r="D151" s="641" t="s">
        <v>1226</v>
      </c>
      <c r="E151" s="640" t="s">
        <v>562</v>
      </c>
      <c r="F151" s="641" t="s">
        <v>1228</v>
      </c>
      <c r="G151" s="640" t="s">
        <v>563</v>
      </c>
      <c r="H151" s="640" t="s">
        <v>892</v>
      </c>
      <c r="I151" s="640" t="s">
        <v>893</v>
      </c>
      <c r="J151" s="640" t="s">
        <v>679</v>
      </c>
      <c r="K151" s="640" t="s">
        <v>713</v>
      </c>
      <c r="L151" s="642">
        <v>63.949999999999996</v>
      </c>
      <c r="M151" s="642">
        <v>2</v>
      </c>
      <c r="N151" s="643">
        <v>127.89999999999999</v>
      </c>
    </row>
    <row r="152" spans="1:14" ht="14.4" customHeight="1" x14ac:dyDescent="0.3">
      <c r="A152" s="638" t="s">
        <v>543</v>
      </c>
      <c r="B152" s="639" t="s">
        <v>544</v>
      </c>
      <c r="C152" s="640" t="s">
        <v>556</v>
      </c>
      <c r="D152" s="641" t="s">
        <v>1226</v>
      </c>
      <c r="E152" s="640" t="s">
        <v>562</v>
      </c>
      <c r="F152" s="641" t="s">
        <v>1228</v>
      </c>
      <c r="G152" s="640" t="s">
        <v>563</v>
      </c>
      <c r="H152" s="640" t="s">
        <v>894</v>
      </c>
      <c r="I152" s="640" t="s">
        <v>895</v>
      </c>
      <c r="J152" s="640" t="s">
        <v>896</v>
      </c>
      <c r="K152" s="640" t="s">
        <v>762</v>
      </c>
      <c r="L152" s="642">
        <v>30.199892847266387</v>
      </c>
      <c r="M152" s="642">
        <v>4</v>
      </c>
      <c r="N152" s="643">
        <v>120.79957138906555</v>
      </c>
    </row>
    <row r="153" spans="1:14" ht="14.4" customHeight="1" x14ac:dyDescent="0.3">
      <c r="A153" s="638" t="s">
        <v>543</v>
      </c>
      <c r="B153" s="639" t="s">
        <v>544</v>
      </c>
      <c r="C153" s="640" t="s">
        <v>556</v>
      </c>
      <c r="D153" s="641" t="s">
        <v>1226</v>
      </c>
      <c r="E153" s="640" t="s">
        <v>562</v>
      </c>
      <c r="F153" s="641" t="s">
        <v>1228</v>
      </c>
      <c r="G153" s="640" t="s">
        <v>563</v>
      </c>
      <c r="H153" s="640" t="s">
        <v>897</v>
      </c>
      <c r="I153" s="640" t="s">
        <v>898</v>
      </c>
      <c r="J153" s="640" t="s">
        <v>899</v>
      </c>
      <c r="K153" s="640" t="s">
        <v>900</v>
      </c>
      <c r="L153" s="642">
        <v>27.788278294072235</v>
      </c>
      <c r="M153" s="642">
        <v>23</v>
      </c>
      <c r="N153" s="643">
        <v>639.13040076366144</v>
      </c>
    </row>
    <row r="154" spans="1:14" ht="14.4" customHeight="1" x14ac:dyDescent="0.3">
      <c r="A154" s="638" t="s">
        <v>543</v>
      </c>
      <c r="B154" s="639" t="s">
        <v>544</v>
      </c>
      <c r="C154" s="640" t="s">
        <v>556</v>
      </c>
      <c r="D154" s="641" t="s">
        <v>1226</v>
      </c>
      <c r="E154" s="640" t="s">
        <v>562</v>
      </c>
      <c r="F154" s="641" t="s">
        <v>1228</v>
      </c>
      <c r="G154" s="640" t="s">
        <v>563</v>
      </c>
      <c r="H154" s="640" t="s">
        <v>755</v>
      </c>
      <c r="I154" s="640" t="s">
        <v>756</v>
      </c>
      <c r="J154" s="640" t="s">
        <v>757</v>
      </c>
      <c r="K154" s="640" t="s">
        <v>758</v>
      </c>
      <c r="L154" s="642">
        <v>115.89675594481054</v>
      </c>
      <c r="M154" s="642">
        <v>31</v>
      </c>
      <c r="N154" s="643">
        <v>3592.7994342891266</v>
      </c>
    </row>
    <row r="155" spans="1:14" ht="14.4" customHeight="1" x14ac:dyDescent="0.3">
      <c r="A155" s="638" t="s">
        <v>543</v>
      </c>
      <c r="B155" s="639" t="s">
        <v>544</v>
      </c>
      <c r="C155" s="640" t="s">
        <v>556</v>
      </c>
      <c r="D155" s="641" t="s">
        <v>1226</v>
      </c>
      <c r="E155" s="640" t="s">
        <v>562</v>
      </c>
      <c r="F155" s="641" t="s">
        <v>1228</v>
      </c>
      <c r="G155" s="640" t="s">
        <v>563</v>
      </c>
      <c r="H155" s="640" t="s">
        <v>759</v>
      </c>
      <c r="I155" s="640" t="s">
        <v>760</v>
      </c>
      <c r="J155" s="640" t="s">
        <v>761</v>
      </c>
      <c r="K155" s="640" t="s">
        <v>762</v>
      </c>
      <c r="L155" s="642">
        <v>66.288536810519503</v>
      </c>
      <c r="M155" s="642">
        <v>14</v>
      </c>
      <c r="N155" s="643">
        <v>928.03951534727298</v>
      </c>
    </row>
    <row r="156" spans="1:14" ht="14.4" customHeight="1" x14ac:dyDescent="0.3">
      <c r="A156" s="638" t="s">
        <v>543</v>
      </c>
      <c r="B156" s="639" t="s">
        <v>544</v>
      </c>
      <c r="C156" s="640" t="s">
        <v>556</v>
      </c>
      <c r="D156" s="641" t="s">
        <v>1226</v>
      </c>
      <c r="E156" s="640" t="s">
        <v>562</v>
      </c>
      <c r="F156" s="641" t="s">
        <v>1228</v>
      </c>
      <c r="G156" s="640" t="s">
        <v>563</v>
      </c>
      <c r="H156" s="640" t="s">
        <v>763</v>
      </c>
      <c r="I156" s="640" t="s">
        <v>763</v>
      </c>
      <c r="J156" s="640" t="s">
        <v>764</v>
      </c>
      <c r="K156" s="640" t="s">
        <v>765</v>
      </c>
      <c r="L156" s="642">
        <v>36.504820356800153</v>
      </c>
      <c r="M156" s="642">
        <v>75</v>
      </c>
      <c r="N156" s="643">
        <v>2737.8615267600117</v>
      </c>
    </row>
    <row r="157" spans="1:14" ht="14.4" customHeight="1" x14ac:dyDescent="0.3">
      <c r="A157" s="638" t="s">
        <v>543</v>
      </c>
      <c r="B157" s="639" t="s">
        <v>544</v>
      </c>
      <c r="C157" s="640" t="s">
        <v>556</v>
      </c>
      <c r="D157" s="641" t="s">
        <v>1226</v>
      </c>
      <c r="E157" s="640" t="s">
        <v>562</v>
      </c>
      <c r="F157" s="641" t="s">
        <v>1228</v>
      </c>
      <c r="G157" s="640" t="s">
        <v>563</v>
      </c>
      <c r="H157" s="640" t="s">
        <v>901</v>
      </c>
      <c r="I157" s="640" t="s">
        <v>902</v>
      </c>
      <c r="J157" s="640" t="s">
        <v>903</v>
      </c>
      <c r="K157" s="640" t="s">
        <v>904</v>
      </c>
      <c r="L157" s="642">
        <v>30</v>
      </c>
      <c r="M157" s="642">
        <v>3</v>
      </c>
      <c r="N157" s="643">
        <v>90</v>
      </c>
    </row>
    <row r="158" spans="1:14" ht="14.4" customHeight="1" x14ac:dyDescent="0.3">
      <c r="A158" s="638" t="s">
        <v>543</v>
      </c>
      <c r="B158" s="639" t="s">
        <v>544</v>
      </c>
      <c r="C158" s="640" t="s">
        <v>556</v>
      </c>
      <c r="D158" s="641" t="s">
        <v>1226</v>
      </c>
      <c r="E158" s="640" t="s">
        <v>562</v>
      </c>
      <c r="F158" s="641" t="s">
        <v>1228</v>
      </c>
      <c r="G158" s="640" t="s">
        <v>563</v>
      </c>
      <c r="H158" s="640" t="s">
        <v>905</v>
      </c>
      <c r="I158" s="640" t="s">
        <v>906</v>
      </c>
      <c r="J158" s="640" t="s">
        <v>907</v>
      </c>
      <c r="K158" s="640" t="s">
        <v>908</v>
      </c>
      <c r="L158" s="642">
        <v>257.12608112268032</v>
      </c>
      <c r="M158" s="642">
        <v>4</v>
      </c>
      <c r="N158" s="643">
        <v>1028.5043244907213</v>
      </c>
    </row>
    <row r="159" spans="1:14" ht="14.4" customHeight="1" x14ac:dyDescent="0.3">
      <c r="A159" s="638" t="s">
        <v>543</v>
      </c>
      <c r="B159" s="639" t="s">
        <v>544</v>
      </c>
      <c r="C159" s="640" t="s">
        <v>556</v>
      </c>
      <c r="D159" s="641" t="s">
        <v>1226</v>
      </c>
      <c r="E159" s="640" t="s">
        <v>562</v>
      </c>
      <c r="F159" s="641" t="s">
        <v>1228</v>
      </c>
      <c r="G159" s="640" t="s">
        <v>563</v>
      </c>
      <c r="H159" s="640" t="s">
        <v>909</v>
      </c>
      <c r="I159" s="640" t="s">
        <v>910</v>
      </c>
      <c r="J159" s="640" t="s">
        <v>911</v>
      </c>
      <c r="K159" s="640" t="s">
        <v>912</v>
      </c>
      <c r="L159" s="642">
        <v>299.00070990509926</v>
      </c>
      <c r="M159" s="642">
        <v>22</v>
      </c>
      <c r="N159" s="643">
        <v>6578.0156179121832</v>
      </c>
    </row>
    <row r="160" spans="1:14" ht="14.4" customHeight="1" x14ac:dyDescent="0.3">
      <c r="A160" s="638" t="s">
        <v>543</v>
      </c>
      <c r="B160" s="639" t="s">
        <v>544</v>
      </c>
      <c r="C160" s="640" t="s">
        <v>556</v>
      </c>
      <c r="D160" s="641" t="s">
        <v>1226</v>
      </c>
      <c r="E160" s="640" t="s">
        <v>562</v>
      </c>
      <c r="F160" s="641" t="s">
        <v>1228</v>
      </c>
      <c r="G160" s="640" t="s">
        <v>563</v>
      </c>
      <c r="H160" s="640" t="s">
        <v>586</v>
      </c>
      <c r="I160" s="640" t="s">
        <v>587</v>
      </c>
      <c r="J160" s="640" t="s">
        <v>588</v>
      </c>
      <c r="K160" s="640" t="s">
        <v>589</v>
      </c>
      <c r="L160" s="642">
        <v>38.97999999999999</v>
      </c>
      <c r="M160" s="642">
        <v>12</v>
      </c>
      <c r="N160" s="643">
        <v>467.75999999999988</v>
      </c>
    </row>
    <row r="161" spans="1:14" ht="14.4" customHeight="1" x14ac:dyDescent="0.3">
      <c r="A161" s="638" t="s">
        <v>543</v>
      </c>
      <c r="B161" s="639" t="s">
        <v>544</v>
      </c>
      <c r="C161" s="640" t="s">
        <v>556</v>
      </c>
      <c r="D161" s="641" t="s">
        <v>1226</v>
      </c>
      <c r="E161" s="640" t="s">
        <v>562</v>
      </c>
      <c r="F161" s="641" t="s">
        <v>1228</v>
      </c>
      <c r="G161" s="640" t="s">
        <v>563</v>
      </c>
      <c r="H161" s="640" t="s">
        <v>913</v>
      </c>
      <c r="I161" s="640" t="s">
        <v>914</v>
      </c>
      <c r="J161" s="640" t="s">
        <v>915</v>
      </c>
      <c r="K161" s="640" t="s">
        <v>916</v>
      </c>
      <c r="L161" s="642">
        <v>74.87</v>
      </c>
      <c r="M161" s="642">
        <v>5</v>
      </c>
      <c r="N161" s="643">
        <v>374.35</v>
      </c>
    </row>
    <row r="162" spans="1:14" ht="14.4" customHeight="1" x14ac:dyDescent="0.3">
      <c r="A162" s="638" t="s">
        <v>543</v>
      </c>
      <c r="B162" s="639" t="s">
        <v>544</v>
      </c>
      <c r="C162" s="640" t="s">
        <v>556</v>
      </c>
      <c r="D162" s="641" t="s">
        <v>1226</v>
      </c>
      <c r="E162" s="640" t="s">
        <v>562</v>
      </c>
      <c r="F162" s="641" t="s">
        <v>1228</v>
      </c>
      <c r="G162" s="640" t="s">
        <v>563</v>
      </c>
      <c r="H162" s="640" t="s">
        <v>917</v>
      </c>
      <c r="I162" s="640" t="s">
        <v>918</v>
      </c>
      <c r="J162" s="640" t="s">
        <v>919</v>
      </c>
      <c r="K162" s="640" t="s">
        <v>920</v>
      </c>
      <c r="L162" s="642">
        <v>60.245800771562678</v>
      </c>
      <c r="M162" s="642">
        <v>5</v>
      </c>
      <c r="N162" s="643">
        <v>301.22900385781338</v>
      </c>
    </row>
    <row r="163" spans="1:14" ht="14.4" customHeight="1" x14ac:dyDescent="0.3">
      <c r="A163" s="638" t="s">
        <v>543</v>
      </c>
      <c r="B163" s="639" t="s">
        <v>544</v>
      </c>
      <c r="C163" s="640" t="s">
        <v>556</v>
      </c>
      <c r="D163" s="641" t="s">
        <v>1226</v>
      </c>
      <c r="E163" s="640" t="s">
        <v>562</v>
      </c>
      <c r="F163" s="641" t="s">
        <v>1228</v>
      </c>
      <c r="G163" s="640" t="s">
        <v>563</v>
      </c>
      <c r="H163" s="640" t="s">
        <v>921</v>
      </c>
      <c r="I163" s="640" t="s">
        <v>922</v>
      </c>
      <c r="J163" s="640" t="s">
        <v>923</v>
      </c>
      <c r="K163" s="640" t="s">
        <v>924</v>
      </c>
      <c r="L163" s="642">
        <v>375.7999992895825</v>
      </c>
      <c r="M163" s="642">
        <v>12</v>
      </c>
      <c r="N163" s="643">
        <v>4509.59999147499</v>
      </c>
    </row>
    <row r="164" spans="1:14" ht="14.4" customHeight="1" x14ac:dyDescent="0.3">
      <c r="A164" s="638" t="s">
        <v>543</v>
      </c>
      <c r="B164" s="639" t="s">
        <v>544</v>
      </c>
      <c r="C164" s="640" t="s">
        <v>556</v>
      </c>
      <c r="D164" s="641" t="s">
        <v>1226</v>
      </c>
      <c r="E164" s="640" t="s">
        <v>562</v>
      </c>
      <c r="F164" s="641" t="s">
        <v>1228</v>
      </c>
      <c r="G164" s="640" t="s">
        <v>563</v>
      </c>
      <c r="H164" s="640" t="s">
        <v>925</v>
      </c>
      <c r="I164" s="640" t="s">
        <v>926</v>
      </c>
      <c r="J164" s="640" t="s">
        <v>927</v>
      </c>
      <c r="K164" s="640"/>
      <c r="L164" s="642">
        <v>132.17981554477851</v>
      </c>
      <c r="M164" s="642">
        <v>134</v>
      </c>
      <c r="N164" s="643">
        <v>17712.095283000319</v>
      </c>
    </row>
    <row r="165" spans="1:14" ht="14.4" customHeight="1" x14ac:dyDescent="0.3">
      <c r="A165" s="638" t="s">
        <v>543</v>
      </c>
      <c r="B165" s="639" t="s">
        <v>544</v>
      </c>
      <c r="C165" s="640" t="s">
        <v>556</v>
      </c>
      <c r="D165" s="641" t="s">
        <v>1226</v>
      </c>
      <c r="E165" s="640" t="s">
        <v>562</v>
      </c>
      <c r="F165" s="641" t="s">
        <v>1228</v>
      </c>
      <c r="G165" s="640" t="s">
        <v>563</v>
      </c>
      <c r="H165" s="640" t="s">
        <v>928</v>
      </c>
      <c r="I165" s="640" t="s">
        <v>929</v>
      </c>
      <c r="J165" s="640" t="s">
        <v>930</v>
      </c>
      <c r="K165" s="640" t="s">
        <v>931</v>
      </c>
      <c r="L165" s="642">
        <v>62.506697115576458</v>
      </c>
      <c r="M165" s="642">
        <v>6</v>
      </c>
      <c r="N165" s="643">
        <v>375.04018269345875</v>
      </c>
    </row>
    <row r="166" spans="1:14" ht="14.4" customHeight="1" x14ac:dyDescent="0.3">
      <c r="A166" s="638" t="s">
        <v>543</v>
      </c>
      <c r="B166" s="639" t="s">
        <v>544</v>
      </c>
      <c r="C166" s="640" t="s">
        <v>556</v>
      </c>
      <c r="D166" s="641" t="s">
        <v>1226</v>
      </c>
      <c r="E166" s="640" t="s">
        <v>562</v>
      </c>
      <c r="F166" s="641" t="s">
        <v>1228</v>
      </c>
      <c r="G166" s="640" t="s">
        <v>563</v>
      </c>
      <c r="H166" s="640" t="s">
        <v>597</v>
      </c>
      <c r="I166" s="640" t="s">
        <v>598</v>
      </c>
      <c r="J166" s="640" t="s">
        <v>599</v>
      </c>
      <c r="K166" s="640" t="s">
        <v>600</v>
      </c>
      <c r="L166" s="642">
        <v>176.26887401902394</v>
      </c>
      <c r="M166" s="642">
        <v>66</v>
      </c>
      <c r="N166" s="643">
        <v>11633.745685255581</v>
      </c>
    </row>
    <row r="167" spans="1:14" ht="14.4" customHeight="1" x14ac:dyDescent="0.3">
      <c r="A167" s="638" t="s">
        <v>543</v>
      </c>
      <c r="B167" s="639" t="s">
        <v>544</v>
      </c>
      <c r="C167" s="640" t="s">
        <v>556</v>
      </c>
      <c r="D167" s="641" t="s">
        <v>1226</v>
      </c>
      <c r="E167" s="640" t="s">
        <v>562</v>
      </c>
      <c r="F167" s="641" t="s">
        <v>1228</v>
      </c>
      <c r="G167" s="640" t="s">
        <v>563</v>
      </c>
      <c r="H167" s="640" t="s">
        <v>601</v>
      </c>
      <c r="I167" s="640" t="s">
        <v>591</v>
      </c>
      <c r="J167" s="640" t="s">
        <v>602</v>
      </c>
      <c r="K167" s="640"/>
      <c r="L167" s="642">
        <v>37.992115059969812</v>
      </c>
      <c r="M167" s="642">
        <v>2708</v>
      </c>
      <c r="N167" s="643">
        <v>102882.64758239825</v>
      </c>
    </row>
    <row r="168" spans="1:14" ht="14.4" customHeight="1" x14ac:dyDescent="0.3">
      <c r="A168" s="638" t="s">
        <v>543</v>
      </c>
      <c r="B168" s="639" t="s">
        <v>544</v>
      </c>
      <c r="C168" s="640" t="s">
        <v>556</v>
      </c>
      <c r="D168" s="641" t="s">
        <v>1226</v>
      </c>
      <c r="E168" s="640" t="s">
        <v>562</v>
      </c>
      <c r="F168" s="641" t="s">
        <v>1228</v>
      </c>
      <c r="G168" s="640" t="s">
        <v>563</v>
      </c>
      <c r="H168" s="640" t="s">
        <v>603</v>
      </c>
      <c r="I168" s="640" t="s">
        <v>604</v>
      </c>
      <c r="J168" s="640" t="s">
        <v>580</v>
      </c>
      <c r="K168" s="640" t="s">
        <v>605</v>
      </c>
      <c r="L168" s="642">
        <v>42.182744401510256</v>
      </c>
      <c r="M168" s="642">
        <v>22</v>
      </c>
      <c r="N168" s="643">
        <v>928.02037683322555</v>
      </c>
    </row>
    <row r="169" spans="1:14" ht="14.4" customHeight="1" x14ac:dyDescent="0.3">
      <c r="A169" s="638" t="s">
        <v>543</v>
      </c>
      <c r="B169" s="639" t="s">
        <v>544</v>
      </c>
      <c r="C169" s="640" t="s">
        <v>556</v>
      </c>
      <c r="D169" s="641" t="s">
        <v>1226</v>
      </c>
      <c r="E169" s="640" t="s">
        <v>562</v>
      </c>
      <c r="F169" s="641" t="s">
        <v>1228</v>
      </c>
      <c r="G169" s="640" t="s">
        <v>563</v>
      </c>
      <c r="H169" s="640" t="s">
        <v>932</v>
      </c>
      <c r="I169" s="640" t="s">
        <v>933</v>
      </c>
      <c r="J169" s="640" t="s">
        <v>934</v>
      </c>
      <c r="K169" s="640" t="s">
        <v>573</v>
      </c>
      <c r="L169" s="642">
        <v>125.50517640893688</v>
      </c>
      <c r="M169" s="642">
        <v>82</v>
      </c>
      <c r="N169" s="643">
        <v>10291.424465532824</v>
      </c>
    </row>
    <row r="170" spans="1:14" ht="14.4" customHeight="1" x14ac:dyDescent="0.3">
      <c r="A170" s="638" t="s">
        <v>543</v>
      </c>
      <c r="B170" s="639" t="s">
        <v>544</v>
      </c>
      <c r="C170" s="640" t="s">
        <v>556</v>
      </c>
      <c r="D170" s="641" t="s">
        <v>1226</v>
      </c>
      <c r="E170" s="640" t="s">
        <v>562</v>
      </c>
      <c r="F170" s="641" t="s">
        <v>1228</v>
      </c>
      <c r="G170" s="640" t="s">
        <v>563</v>
      </c>
      <c r="H170" s="640" t="s">
        <v>935</v>
      </c>
      <c r="I170" s="640" t="s">
        <v>936</v>
      </c>
      <c r="J170" s="640" t="s">
        <v>937</v>
      </c>
      <c r="K170" s="640" t="s">
        <v>938</v>
      </c>
      <c r="L170" s="642">
        <v>358.67889630494244</v>
      </c>
      <c r="M170" s="642">
        <v>20</v>
      </c>
      <c r="N170" s="643">
        <v>7173.5779260988493</v>
      </c>
    </row>
    <row r="171" spans="1:14" ht="14.4" customHeight="1" x14ac:dyDescent="0.3">
      <c r="A171" s="638" t="s">
        <v>543</v>
      </c>
      <c r="B171" s="639" t="s">
        <v>544</v>
      </c>
      <c r="C171" s="640" t="s">
        <v>556</v>
      </c>
      <c r="D171" s="641" t="s">
        <v>1226</v>
      </c>
      <c r="E171" s="640" t="s">
        <v>562</v>
      </c>
      <c r="F171" s="641" t="s">
        <v>1228</v>
      </c>
      <c r="G171" s="640" t="s">
        <v>563</v>
      </c>
      <c r="H171" s="640" t="s">
        <v>939</v>
      </c>
      <c r="I171" s="640" t="s">
        <v>940</v>
      </c>
      <c r="J171" s="640" t="s">
        <v>941</v>
      </c>
      <c r="K171" s="640" t="s">
        <v>942</v>
      </c>
      <c r="L171" s="642">
        <v>46.79</v>
      </c>
      <c r="M171" s="642">
        <v>1</v>
      </c>
      <c r="N171" s="643">
        <v>46.79</v>
      </c>
    </row>
    <row r="172" spans="1:14" ht="14.4" customHeight="1" x14ac:dyDescent="0.3">
      <c r="A172" s="638" t="s">
        <v>543</v>
      </c>
      <c r="B172" s="639" t="s">
        <v>544</v>
      </c>
      <c r="C172" s="640" t="s">
        <v>556</v>
      </c>
      <c r="D172" s="641" t="s">
        <v>1226</v>
      </c>
      <c r="E172" s="640" t="s">
        <v>562</v>
      </c>
      <c r="F172" s="641" t="s">
        <v>1228</v>
      </c>
      <c r="G172" s="640" t="s">
        <v>563</v>
      </c>
      <c r="H172" s="640" t="s">
        <v>606</v>
      </c>
      <c r="I172" s="640" t="s">
        <v>607</v>
      </c>
      <c r="J172" s="640" t="s">
        <v>608</v>
      </c>
      <c r="K172" s="640" t="s">
        <v>609</v>
      </c>
      <c r="L172" s="642">
        <v>69.583333333333329</v>
      </c>
      <c r="M172" s="642">
        <v>12</v>
      </c>
      <c r="N172" s="643">
        <v>835</v>
      </c>
    </row>
    <row r="173" spans="1:14" ht="14.4" customHeight="1" x14ac:dyDescent="0.3">
      <c r="A173" s="638" t="s">
        <v>543</v>
      </c>
      <c r="B173" s="639" t="s">
        <v>544</v>
      </c>
      <c r="C173" s="640" t="s">
        <v>556</v>
      </c>
      <c r="D173" s="641" t="s">
        <v>1226</v>
      </c>
      <c r="E173" s="640" t="s">
        <v>562</v>
      </c>
      <c r="F173" s="641" t="s">
        <v>1228</v>
      </c>
      <c r="G173" s="640" t="s">
        <v>563</v>
      </c>
      <c r="H173" s="640" t="s">
        <v>943</v>
      </c>
      <c r="I173" s="640" t="s">
        <v>944</v>
      </c>
      <c r="J173" s="640" t="s">
        <v>945</v>
      </c>
      <c r="K173" s="640" t="s">
        <v>713</v>
      </c>
      <c r="L173" s="642">
        <v>42.073730726809828</v>
      </c>
      <c r="M173" s="642">
        <v>24</v>
      </c>
      <c r="N173" s="643">
        <v>1009.7695374434359</v>
      </c>
    </row>
    <row r="174" spans="1:14" ht="14.4" customHeight="1" x14ac:dyDescent="0.3">
      <c r="A174" s="638" t="s">
        <v>543</v>
      </c>
      <c r="B174" s="639" t="s">
        <v>544</v>
      </c>
      <c r="C174" s="640" t="s">
        <v>556</v>
      </c>
      <c r="D174" s="641" t="s">
        <v>1226</v>
      </c>
      <c r="E174" s="640" t="s">
        <v>562</v>
      </c>
      <c r="F174" s="641" t="s">
        <v>1228</v>
      </c>
      <c r="G174" s="640" t="s">
        <v>563</v>
      </c>
      <c r="H174" s="640" t="s">
        <v>946</v>
      </c>
      <c r="I174" s="640" t="s">
        <v>947</v>
      </c>
      <c r="J174" s="640" t="s">
        <v>623</v>
      </c>
      <c r="K174" s="640" t="s">
        <v>948</v>
      </c>
      <c r="L174" s="642">
        <v>254.98</v>
      </c>
      <c r="M174" s="642">
        <v>3</v>
      </c>
      <c r="N174" s="643">
        <v>764.93999999999994</v>
      </c>
    </row>
    <row r="175" spans="1:14" ht="14.4" customHeight="1" x14ac:dyDescent="0.3">
      <c r="A175" s="638" t="s">
        <v>543</v>
      </c>
      <c r="B175" s="639" t="s">
        <v>544</v>
      </c>
      <c r="C175" s="640" t="s">
        <v>556</v>
      </c>
      <c r="D175" s="641" t="s">
        <v>1226</v>
      </c>
      <c r="E175" s="640" t="s">
        <v>562</v>
      </c>
      <c r="F175" s="641" t="s">
        <v>1228</v>
      </c>
      <c r="G175" s="640" t="s">
        <v>563</v>
      </c>
      <c r="H175" s="640" t="s">
        <v>949</v>
      </c>
      <c r="I175" s="640" t="s">
        <v>950</v>
      </c>
      <c r="J175" s="640" t="s">
        <v>951</v>
      </c>
      <c r="K175" s="640" t="s">
        <v>952</v>
      </c>
      <c r="L175" s="642">
        <v>266.86000000000007</v>
      </c>
      <c r="M175" s="642">
        <v>3</v>
      </c>
      <c r="N175" s="643">
        <v>800.58000000000015</v>
      </c>
    </row>
    <row r="176" spans="1:14" ht="14.4" customHeight="1" x14ac:dyDescent="0.3">
      <c r="A176" s="638" t="s">
        <v>543</v>
      </c>
      <c r="B176" s="639" t="s">
        <v>544</v>
      </c>
      <c r="C176" s="640" t="s">
        <v>556</v>
      </c>
      <c r="D176" s="641" t="s">
        <v>1226</v>
      </c>
      <c r="E176" s="640" t="s">
        <v>562</v>
      </c>
      <c r="F176" s="641" t="s">
        <v>1228</v>
      </c>
      <c r="G176" s="640" t="s">
        <v>563</v>
      </c>
      <c r="H176" s="640" t="s">
        <v>953</v>
      </c>
      <c r="I176" s="640" t="s">
        <v>954</v>
      </c>
      <c r="J176" s="640" t="s">
        <v>955</v>
      </c>
      <c r="K176" s="640" t="s">
        <v>956</v>
      </c>
      <c r="L176" s="642">
        <v>1333.0837670778963</v>
      </c>
      <c r="M176" s="642">
        <v>3</v>
      </c>
      <c r="N176" s="643">
        <v>3999.2513012336885</v>
      </c>
    </row>
    <row r="177" spans="1:14" ht="14.4" customHeight="1" x14ac:dyDescent="0.3">
      <c r="A177" s="638" t="s">
        <v>543</v>
      </c>
      <c r="B177" s="639" t="s">
        <v>544</v>
      </c>
      <c r="C177" s="640" t="s">
        <v>556</v>
      </c>
      <c r="D177" s="641" t="s">
        <v>1226</v>
      </c>
      <c r="E177" s="640" t="s">
        <v>562</v>
      </c>
      <c r="F177" s="641" t="s">
        <v>1228</v>
      </c>
      <c r="G177" s="640" t="s">
        <v>563</v>
      </c>
      <c r="H177" s="640" t="s">
        <v>957</v>
      </c>
      <c r="I177" s="640" t="s">
        <v>958</v>
      </c>
      <c r="J177" s="640" t="s">
        <v>959</v>
      </c>
      <c r="K177" s="640" t="s">
        <v>960</v>
      </c>
      <c r="L177" s="642">
        <v>1037.7484030845924</v>
      </c>
      <c r="M177" s="642">
        <v>20</v>
      </c>
      <c r="N177" s="643">
        <v>20754.968061691849</v>
      </c>
    </row>
    <row r="178" spans="1:14" ht="14.4" customHeight="1" x14ac:dyDescent="0.3">
      <c r="A178" s="638" t="s">
        <v>543</v>
      </c>
      <c r="B178" s="639" t="s">
        <v>544</v>
      </c>
      <c r="C178" s="640" t="s">
        <v>556</v>
      </c>
      <c r="D178" s="641" t="s">
        <v>1226</v>
      </c>
      <c r="E178" s="640" t="s">
        <v>562</v>
      </c>
      <c r="F178" s="641" t="s">
        <v>1228</v>
      </c>
      <c r="G178" s="640" t="s">
        <v>563</v>
      </c>
      <c r="H178" s="640" t="s">
        <v>961</v>
      </c>
      <c r="I178" s="640" t="s">
        <v>962</v>
      </c>
      <c r="J178" s="640" t="s">
        <v>875</v>
      </c>
      <c r="K178" s="640" t="s">
        <v>963</v>
      </c>
      <c r="L178" s="642">
        <v>85.75</v>
      </c>
      <c r="M178" s="642">
        <v>3</v>
      </c>
      <c r="N178" s="643">
        <v>257.25</v>
      </c>
    </row>
    <row r="179" spans="1:14" ht="14.4" customHeight="1" x14ac:dyDescent="0.3">
      <c r="A179" s="638" t="s">
        <v>543</v>
      </c>
      <c r="B179" s="639" t="s">
        <v>544</v>
      </c>
      <c r="C179" s="640" t="s">
        <v>556</v>
      </c>
      <c r="D179" s="641" t="s">
        <v>1226</v>
      </c>
      <c r="E179" s="640" t="s">
        <v>562</v>
      </c>
      <c r="F179" s="641" t="s">
        <v>1228</v>
      </c>
      <c r="G179" s="640" t="s">
        <v>563</v>
      </c>
      <c r="H179" s="640" t="s">
        <v>964</v>
      </c>
      <c r="I179" s="640" t="s">
        <v>965</v>
      </c>
      <c r="J179" s="640" t="s">
        <v>966</v>
      </c>
      <c r="K179" s="640"/>
      <c r="L179" s="642">
        <v>145.73000000000002</v>
      </c>
      <c r="M179" s="642">
        <v>1</v>
      </c>
      <c r="N179" s="643">
        <v>145.73000000000002</v>
      </c>
    </row>
    <row r="180" spans="1:14" ht="14.4" customHeight="1" x14ac:dyDescent="0.3">
      <c r="A180" s="638" t="s">
        <v>543</v>
      </c>
      <c r="B180" s="639" t="s">
        <v>544</v>
      </c>
      <c r="C180" s="640" t="s">
        <v>556</v>
      </c>
      <c r="D180" s="641" t="s">
        <v>1226</v>
      </c>
      <c r="E180" s="640" t="s">
        <v>562</v>
      </c>
      <c r="F180" s="641" t="s">
        <v>1228</v>
      </c>
      <c r="G180" s="640" t="s">
        <v>563</v>
      </c>
      <c r="H180" s="640" t="s">
        <v>967</v>
      </c>
      <c r="I180" s="640" t="s">
        <v>968</v>
      </c>
      <c r="J180" s="640" t="s">
        <v>969</v>
      </c>
      <c r="K180" s="640" t="s">
        <v>970</v>
      </c>
      <c r="L180" s="642">
        <v>537.87</v>
      </c>
      <c r="M180" s="642">
        <v>1</v>
      </c>
      <c r="N180" s="643">
        <v>537.87</v>
      </c>
    </row>
    <row r="181" spans="1:14" ht="14.4" customHeight="1" x14ac:dyDescent="0.3">
      <c r="A181" s="638" t="s">
        <v>543</v>
      </c>
      <c r="B181" s="639" t="s">
        <v>544</v>
      </c>
      <c r="C181" s="640" t="s">
        <v>556</v>
      </c>
      <c r="D181" s="641" t="s">
        <v>1226</v>
      </c>
      <c r="E181" s="640" t="s">
        <v>562</v>
      </c>
      <c r="F181" s="641" t="s">
        <v>1228</v>
      </c>
      <c r="G181" s="640" t="s">
        <v>563</v>
      </c>
      <c r="H181" s="640" t="s">
        <v>612</v>
      </c>
      <c r="I181" s="640" t="s">
        <v>591</v>
      </c>
      <c r="J181" s="640" t="s">
        <v>613</v>
      </c>
      <c r="K181" s="640"/>
      <c r="L181" s="642">
        <v>131.09512049817357</v>
      </c>
      <c r="M181" s="642">
        <v>37</v>
      </c>
      <c r="N181" s="643">
        <v>4850.5194584324227</v>
      </c>
    </row>
    <row r="182" spans="1:14" ht="14.4" customHeight="1" x14ac:dyDescent="0.3">
      <c r="A182" s="638" t="s">
        <v>543</v>
      </c>
      <c r="B182" s="639" t="s">
        <v>544</v>
      </c>
      <c r="C182" s="640" t="s">
        <v>556</v>
      </c>
      <c r="D182" s="641" t="s">
        <v>1226</v>
      </c>
      <c r="E182" s="640" t="s">
        <v>562</v>
      </c>
      <c r="F182" s="641" t="s">
        <v>1228</v>
      </c>
      <c r="G182" s="640" t="s">
        <v>563</v>
      </c>
      <c r="H182" s="640" t="s">
        <v>614</v>
      </c>
      <c r="I182" s="640" t="s">
        <v>615</v>
      </c>
      <c r="J182" s="640" t="s">
        <v>616</v>
      </c>
      <c r="K182" s="640" t="s">
        <v>617</v>
      </c>
      <c r="L182" s="642">
        <v>56.749999893196879</v>
      </c>
      <c r="M182" s="642">
        <v>12</v>
      </c>
      <c r="N182" s="643">
        <v>680.99999871836258</v>
      </c>
    </row>
    <row r="183" spans="1:14" ht="14.4" customHeight="1" x14ac:dyDescent="0.3">
      <c r="A183" s="638" t="s">
        <v>543</v>
      </c>
      <c r="B183" s="639" t="s">
        <v>544</v>
      </c>
      <c r="C183" s="640" t="s">
        <v>556</v>
      </c>
      <c r="D183" s="641" t="s">
        <v>1226</v>
      </c>
      <c r="E183" s="640" t="s">
        <v>562</v>
      </c>
      <c r="F183" s="641" t="s">
        <v>1228</v>
      </c>
      <c r="G183" s="640" t="s">
        <v>563</v>
      </c>
      <c r="H183" s="640" t="s">
        <v>971</v>
      </c>
      <c r="I183" s="640" t="s">
        <v>972</v>
      </c>
      <c r="J183" s="640" t="s">
        <v>973</v>
      </c>
      <c r="K183" s="640" t="s">
        <v>974</v>
      </c>
      <c r="L183" s="642">
        <v>148.7833333333333</v>
      </c>
      <c r="M183" s="642">
        <v>3</v>
      </c>
      <c r="N183" s="643">
        <v>446.34999999999991</v>
      </c>
    </row>
    <row r="184" spans="1:14" ht="14.4" customHeight="1" x14ac:dyDescent="0.3">
      <c r="A184" s="638" t="s">
        <v>543</v>
      </c>
      <c r="B184" s="639" t="s">
        <v>544</v>
      </c>
      <c r="C184" s="640" t="s">
        <v>556</v>
      </c>
      <c r="D184" s="641" t="s">
        <v>1226</v>
      </c>
      <c r="E184" s="640" t="s">
        <v>562</v>
      </c>
      <c r="F184" s="641" t="s">
        <v>1228</v>
      </c>
      <c r="G184" s="640" t="s">
        <v>563</v>
      </c>
      <c r="H184" s="640" t="s">
        <v>618</v>
      </c>
      <c r="I184" s="640" t="s">
        <v>618</v>
      </c>
      <c r="J184" s="640" t="s">
        <v>619</v>
      </c>
      <c r="K184" s="640" t="s">
        <v>620</v>
      </c>
      <c r="L184" s="642">
        <v>75.573225806451632</v>
      </c>
      <c r="M184" s="642">
        <v>31</v>
      </c>
      <c r="N184" s="643">
        <v>2342.7700000000004</v>
      </c>
    </row>
    <row r="185" spans="1:14" ht="14.4" customHeight="1" x14ac:dyDescent="0.3">
      <c r="A185" s="638" t="s">
        <v>543</v>
      </c>
      <c r="B185" s="639" t="s">
        <v>544</v>
      </c>
      <c r="C185" s="640" t="s">
        <v>556</v>
      </c>
      <c r="D185" s="641" t="s">
        <v>1226</v>
      </c>
      <c r="E185" s="640" t="s">
        <v>562</v>
      </c>
      <c r="F185" s="641" t="s">
        <v>1228</v>
      </c>
      <c r="G185" s="640" t="s">
        <v>563</v>
      </c>
      <c r="H185" s="640" t="s">
        <v>621</v>
      </c>
      <c r="I185" s="640" t="s">
        <v>622</v>
      </c>
      <c r="J185" s="640" t="s">
        <v>623</v>
      </c>
      <c r="K185" s="640" t="s">
        <v>624</v>
      </c>
      <c r="L185" s="642">
        <v>48.399977648088814</v>
      </c>
      <c r="M185" s="642">
        <v>177</v>
      </c>
      <c r="N185" s="643">
        <v>8566.7960437117199</v>
      </c>
    </row>
    <row r="186" spans="1:14" ht="14.4" customHeight="1" x14ac:dyDescent="0.3">
      <c r="A186" s="638" t="s">
        <v>543</v>
      </c>
      <c r="B186" s="639" t="s">
        <v>544</v>
      </c>
      <c r="C186" s="640" t="s">
        <v>556</v>
      </c>
      <c r="D186" s="641" t="s">
        <v>1226</v>
      </c>
      <c r="E186" s="640" t="s">
        <v>562</v>
      </c>
      <c r="F186" s="641" t="s">
        <v>1228</v>
      </c>
      <c r="G186" s="640" t="s">
        <v>563</v>
      </c>
      <c r="H186" s="640" t="s">
        <v>625</v>
      </c>
      <c r="I186" s="640" t="s">
        <v>591</v>
      </c>
      <c r="J186" s="640" t="s">
        <v>626</v>
      </c>
      <c r="K186" s="640" t="s">
        <v>627</v>
      </c>
      <c r="L186" s="642">
        <v>23.700541518191052</v>
      </c>
      <c r="M186" s="642">
        <v>822</v>
      </c>
      <c r="N186" s="643">
        <v>19481.845127953045</v>
      </c>
    </row>
    <row r="187" spans="1:14" ht="14.4" customHeight="1" x14ac:dyDescent="0.3">
      <c r="A187" s="638" t="s">
        <v>543</v>
      </c>
      <c r="B187" s="639" t="s">
        <v>544</v>
      </c>
      <c r="C187" s="640" t="s">
        <v>556</v>
      </c>
      <c r="D187" s="641" t="s">
        <v>1226</v>
      </c>
      <c r="E187" s="640" t="s">
        <v>562</v>
      </c>
      <c r="F187" s="641" t="s">
        <v>1228</v>
      </c>
      <c r="G187" s="640" t="s">
        <v>563</v>
      </c>
      <c r="H187" s="640" t="s">
        <v>975</v>
      </c>
      <c r="I187" s="640" t="s">
        <v>976</v>
      </c>
      <c r="J187" s="640" t="s">
        <v>977</v>
      </c>
      <c r="K187" s="640" t="s">
        <v>978</v>
      </c>
      <c r="L187" s="642">
        <v>33.72</v>
      </c>
      <c r="M187" s="642">
        <v>1</v>
      </c>
      <c r="N187" s="643">
        <v>33.72</v>
      </c>
    </row>
    <row r="188" spans="1:14" ht="14.4" customHeight="1" x14ac:dyDescent="0.3">
      <c r="A188" s="638" t="s">
        <v>543</v>
      </c>
      <c r="B188" s="639" t="s">
        <v>544</v>
      </c>
      <c r="C188" s="640" t="s">
        <v>556</v>
      </c>
      <c r="D188" s="641" t="s">
        <v>1226</v>
      </c>
      <c r="E188" s="640" t="s">
        <v>562</v>
      </c>
      <c r="F188" s="641" t="s">
        <v>1228</v>
      </c>
      <c r="G188" s="640" t="s">
        <v>563</v>
      </c>
      <c r="H188" s="640" t="s">
        <v>979</v>
      </c>
      <c r="I188" s="640" t="s">
        <v>980</v>
      </c>
      <c r="J188" s="640" t="s">
        <v>981</v>
      </c>
      <c r="K188" s="640" t="s">
        <v>982</v>
      </c>
      <c r="L188" s="642">
        <v>147.69999999999999</v>
      </c>
      <c r="M188" s="642">
        <v>1</v>
      </c>
      <c r="N188" s="643">
        <v>147.69999999999999</v>
      </c>
    </row>
    <row r="189" spans="1:14" ht="14.4" customHeight="1" x14ac:dyDescent="0.3">
      <c r="A189" s="638" t="s">
        <v>543</v>
      </c>
      <c r="B189" s="639" t="s">
        <v>544</v>
      </c>
      <c r="C189" s="640" t="s">
        <v>556</v>
      </c>
      <c r="D189" s="641" t="s">
        <v>1226</v>
      </c>
      <c r="E189" s="640" t="s">
        <v>562</v>
      </c>
      <c r="F189" s="641" t="s">
        <v>1228</v>
      </c>
      <c r="G189" s="640" t="s">
        <v>563</v>
      </c>
      <c r="H189" s="640" t="s">
        <v>983</v>
      </c>
      <c r="I189" s="640" t="s">
        <v>984</v>
      </c>
      <c r="J189" s="640" t="s">
        <v>985</v>
      </c>
      <c r="K189" s="640" t="s">
        <v>986</v>
      </c>
      <c r="L189" s="642">
        <v>20.980000000000004</v>
      </c>
      <c r="M189" s="642">
        <v>92</v>
      </c>
      <c r="N189" s="643">
        <v>1930.1600000000003</v>
      </c>
    </row>
    <row r="190" spans="1:14" ht="14.4" customHeight="1" x14ac:dyDescent="0.3">
      <c r="A190" s="638" t="s">
        <v>543</v>
      </c>
      <c r="B190" s="639" t="s">
        <v>544</v>
      </c>
      <c r="C190" s="640" t="s">
        <v>556</v>
      </c>
      <c r="D190" s="641" t="s">
        <v>1226</v>
      </c>
      <c r="E190" s="640" t="s">
        <v>562</v>
      </c>
      <c r="F190" s="641" t="s">
        <v>1228</v>
      </c>
      <c r="G190" s="640" t="s">
        <v>563</v>
      </c>
      <c r="H190" s="640" t="s">
        <v>987</v>
      </c>
      <c r="I190" s="640" t="s">
        <v>988</v>
      </c>
      <c r="J190" s="640" t="s">
        <v>989</v>
      </c>
      <c r="K190" s="640" t="s">
        <v>986</v>
      </c>
      <c r="L190" s="642">
        <v>36.929999999999993</v>
      </c>
      <c r="M190" s="642">
        <v>25</v>
      </c>
      <c r="N190" s="643">
        <v>923.24999999999989</v>
      </c>
    </row>
    <row r="191" spans="1:14" ht="14.4" customHeight="1" x14ac:dyDescent="0.3">
      <c r="A191" s="638" t="s">
        <v>543</v>
      </c>
      <c r="B191" s="639" t="s">
        <v>544</v>
      </c>
      <c r="C191" s="640" t="s">
        <v>556</v>
      </c>
      <c r="D191" s="641" t="s">
        <v>1226</v>
      </c>
      <c r="E191" s="640" t="s">
        <v>562</v>
      </c>
      <c r="F191" s="641" t="s">
        <v>1228</v>
      </c>
      <c r="G191" s="640" t="s">
        <v>563</v>
      </c>
      <c r="H191" s="640" t="s">
        <v>778</v>
      </c>
      <c r="I191" s="640" t="s">
        <v>779</v>
      </c>
      <c r="J191" s="640" t="s">
        <v>780</v>
      </c>
      <c r="K191" s="640" t="s">
        <v>781</v>
      </c>
      <c r="L191" s="642">
        <v>33.889645990945404</v>
      </c>
      <c r="M191" s="642">
        <v>2</v>
      </c>
      <c r="N191" s="643">
        <v>67.779291981890808</v>
      </c>
    </row>
    <row r="192" spans="1:14" ht="14.4" customHeight="1" x14ac:dyDescent="0.3">
      <c r="A192" s="638" t="s">
        <v>543</v>
      </c>
      <c r="B192" s="639" t="s">
        <v>544</v>
      </c>
      <c r="C192" s="640" t="s">
        <v>556</v>
      </c>
      <c r="D192" s="641" t="s">
        <v>1226</v>
      </c>
      <c r="E192" s="640" t="s">
        <v>562</v>
      </c>
      <c r="F192" s="641" t="s">
        <v>1228</v>
      </c>
      <c r="G192" s="640" t="s">
        <v>563</v>
      </c>
      <c r="H192" s="640" t="s">
        <v>628</v>
      </c>
      <c r="I192" s="640" t="s">
        <v>591</v>
      </c>
      <c r="J192" s="640" t="s">
        <v>629</v>
      </c>
      <c r="K192" s="640" t="s">
        <v>630</v>
      </c>
      <c r="L192" s="642">
        <v>199.67053009197099</v>
      </c>
      <c r="M192" s="642">
        <v>17</v>
      </c>
      <c r="N192" s="643">
        <v>3394.399011563507</v>
      </c>
    </row>
    <row r="193" spans="1:14" ht="14.4" customHeight="1" x14ac:dyDescent="0.3">
      <c r="A193" s="638" t="s">
        <v>543</v>
      </c>
      <c r="B193" s="639" t="s">
        <v>544</v>
      </c>
      <c r="C193" s="640" t="s">
        <v>556</v>
      </c>
      <c r="D193" s="641" t="s">
        <v>1226</v>
      </c>
      <c r="E193" s="640" t="s">
        <v>562</v>
      </c>
      <c r="F193" s="641" t="s">
        <v>1228</v>
      </c>
      <c r="G193" s="640" t="s">
        <v>563</v>
      </c>
      <c r="H193" s="640" t="s">
        <v>631</v>
      </c>
      <c r="I193" s="640" t="s">
        <v>632</v>
      </c>
      <c r="J193" s="640" t="s">
        <v>633</v>
      </c>
      <c r="K193" s="640" t="s">
        <v>634</v>
      </c>
      <c r="L193" s="642">
        <v>70.411764705882348</v>
      </c>
      <c r="M193" s="642">
        <v>17</v>
      </c>
      <c r="N193" s="643">
        <v>1197</v>
      </c>
    </row>
    <row r="194" spans="1:14" ht="14.4" customHeight="1" x14ac:dyDescent="0.3">
      <c r="A194" s="638" t="s">
        <v>543</v>
      </c>
      <c r="B194" s="639" t="s">
        <v>544</v>
      </c>
      <c r="C194" s="640" t="s">
        <v>556</v>
      </c>
      <c r="D194" s="641" t="s">
        <v>1226</v>
      </c>
      <c r="E194" s="640" t="s">
        <v>562</v>
      </c>
      <c r="F194" s="641" t="s">
        <v>1228</v>
      </c>
      <c r="G194" s="640" t="s">
        <v>563</v>
      </c>
      <c r="H194" s="640" t="s">
        <v>990</v>
      </c>
      <c r="I194" s="640" t="s">
        <v>991</v>
      </c>
      <c r="J194" s="640" t="s">
        <v>992</v>
      </c>
      <c r="K194" s="640" t="s">
        <v>993</v>
      </c>
      <c r="L194" s="642">
        <v>73.999999999999986</v>
      </c>
      <c r="M194" s="642">
        <v>1</v>
      </c>
      <c r="N194" s="643">
        <v>73.999999999999986</v>
      </c>
    </row>
    <row r="195" spans="1:14" ht="14.4" customHeight="1" x14ac:dyDescent="0.3">
      <c r="A195" s="638" t="s">
        <v>543</v>
      </c>
      <c r="B195" s="639" t="s">
        <v>544</v>
      </c>
      <c r="C195" s="640" t="s">
        <v>556</v>
      </c>
      <c r="D195" s="641" t="s">
        <v>1226</v>
      </c>
      <c r="E195" s="640" t="s">
        <v>562</v>
      </c>
      <c r="F195" s="641" t="s">
        <v>1228</v>
      </c>
      <c r="G195" s="640" t="s">
        <v>563</v>
      </c>
      <c r="H195" s="640" t="s">
        <v>782</v>
      </c>
      <c r="I195" s="640" t="s">
        <v>783</v>
      </c>
      <c r="J195" s="640" t="s">
        <v>784</v>
      </c>
      <c r="K195" s="640" t="s">
        <v>785</v>
      </c>
      <c r="L195" s="642">
        <v>175.19336774828585</v>
      </c>
      <c r="M195" s="642">
        <v>4</v>
      </c>
      <c r="N195" s="643">
        <v>700.77347099314341</v>
      </c>
    </row>
    <row r="196" spans="1:14" ht="14.4" customHeight="1" x14ac:dyDescent="0.3">
      <c r="A196" s="638" t="s">
        <v>543</v>
      </c>
      <c r="B196" s="639" t="s">
        <v>544</v>
      </c>
      <c r="C196" s="640" t="s">
        <v>556</v>
      </c>
      <c r="D196" s="641" t="s">
        <v>1226</v>
      </c>
      <c r="E196" s="640" t="s">
        <v>562</v>
      </c>
      <c r="F196" s="641" t="s">
        <v>1228</v>
      </c>
      <c r="G196" s="640" t="s">
        <v>563</v>
      </c>
      <c r="H196" s="640" t="s">
        <v>635</v>
      </c>
      <c r="I196" s="640" t="s">
        <v>583</v>
      </c>
      <c r="J196" s="640" t="s">
        <v>636</v>
      </c>
      <c r="K196" s="640"/>
      <c r="L196" s="642">
        <v>344.91026330906487</v>
      </c>
      <c r="M196" s="642">
        <v>27</v>
      </c>
      <c r="N196" s="643">
        <v>9312.5771093447511</v>
      </c>
    </row>
    <row r="197" spans="1:14" ht="14.4" customHeight="1" x14ac:dyDescent="0.3">
      <c r="A197" s="638" t="s">
        <v>543</v>
      </c>
      <c r="B197" s="639" t="s">
        <v>544</v>
      </c>
      <c r="C197" s="640" t="s">
        <v>556</v>
      </c>
      <c r="D197" s="641" t="s">
        <v>1226</v>
      </c>
      <c r="E197" s="640" t="s">
        <v>562</v>
      </c>
      <c r="F197" s="641" t="s">
        <v>1228</v>
      </c>
      <c r="G197" s="640" t="s">
        <v>563</v>
      </c>
      <c r="H197" s="640" t="s">
        <v>994</v>
      </c>
      <c r="I197" s="640" t="s">
        <v>591</v>
      </c>
      <c r="J197" s="640" t="s">
        <v>995</v>
      </c>
      <c r="K197" s="640"/>
      <c r="L197" s="642">
        <v>23.689999999999998</v>
      </c>
      <c r="M197" s="642">
        <v>1</v>
      </c>
      <c r="N197" s="643">
        <v>23.689999999999998</v>
      </c>
    </row>
    <row r="198" spans="1:14" ht="14.4" customHeight="1" x14ac:dyDescent="0.3">
      <c r="A198" s="638" t="s">
        <v>543</v>
      </c>
      <c r="B198" s="639" t="s">
        <v>544</v>
      </c>
      <c r="C198" s="640" t="s">
        <v>556</v>
      </c>
      <c r="D198" s="641" t="s">
        <v>1226</v>
      </c>
      <c r="E198" s="640" t="s">
        <v>562</v>
      </c>
      <c r="F198" s="641" t="s">
        <v>1228</v>
      </c>
      <c r="G198" s="640" t="s">
        <v>563</v>
      </c>
      <c r="H198" s="640" t="s">
        <v>637</v>
      </c>
      <c r="I198" s="640" t="s">
        <v>591</v>
      </c>
      <c r="J198" s="640" t="s">
        <v>638</v>
      </c>
      <c r="K198" s="640"/>
      <c r="L198" s="642">
        <v>160.37411006050394</v>
      </c>
      <c r="M198" s="642">
        <v>1</v>
      </c>
      <c r="N198" s="643">
        <v>160.37411006050394</v>
      </c>
    </row>
    <row r="199" spans="1:14" ht="14.4" customHeight="1" x14ac:dyDescent="0.3">
      <c r="A199" s="638" t="s">
        <v>543</v>
      </c>
      <c r="B199" s="639" t="s">
        <v>544</v>
      </c>
      <c r="C199" s="640" t="s">
        <v>556</v>
      </c>
      <c r="D199" s="641" t="s">
        <v>1226</v>
      </c>
      <c r="E199" s="640" t="s">
        <v>562</v>
      </c>
      <c r="F199" s="641" t="s">
        <v>1228</v>
      </c>
      <c r="G199" s="640" t="s">
        <v>563</v>
      </c>
      <c r="H199" s="640" t="s">
        <v>996</v>
      </c>
      <c r="I199" s="640" t="s">
        <v>591</v>
      </c>
      <c r="J199" s="640" t="s">
        <v>997</v>
      </c>
      <c r="K199" s="640" t="s">
        <v>998</v>
      </c>
      <c r="L199" s="642">
        <v>855.5</v>
      </c>
      <c r="M199" s="642">
        <v>1</v>
      </c>
      <c r="N199" s="643">
        <v>855.5</v>
      </c>
    </row>
    <row r="200" spans="1:14" ht="14.4" customHeight="1" x14ac:dyDescent="0.3">
      <c r="A200" s="638" t="s">
        <v>543</v>
      </c>
      <c r="B200" s="639" t="s">
        <v>544</v>
      </c>
      <c r="C200" s="640" t="s">
        <v>556</v>
      </c>
      <c r="D200" s="641" t="s">
        <v>1226</v>
      </c>
      <c r="E200" s="640" t="s">
        <v>562</v>
      </c>
      <c r="F200" s="641" t="s">
        <v>1228</v>
      </c>
      <c r="G200" s="640" t="s">
        <v>563</v>
      </c>
      <c r="H200" s="640" t="s">
        <v>999</v>
      </c>
      <c r="I200" s="640" t="s">
        <v>1000</v>
      </c>
      <c r="J200" s="640" t="s">
        <v>1001</v>
      </c>
      <c r="K200" s="640" t="s">
        <v>1002</v>
      </c>
      <c r="L200" s="642">
        <v>103.56999999999996</v>
      </c>
      <c r="M200" s="642">
        <v>30</v>
      </c>
      <c r="N200" s="643">
        <v>3107.099999999999</v>
      </c>
    </row>
    <row r="201" spans="1:14" ht="14.4" customHeight="1" x14ac:dyDescent="0.3">
      <c r="A201" s="638" t="s">
        <v>543</v>
      </c>
      <c r="B201" s="639" t="s">
        <v>544</v>
      </c>
      <c r="C201" s="640" t="s">
        <v>556</v>
      </c>
      <c r="D201" s="641" t="s">
        <v>1226</v>
      </c>
      <c r="E201" s="640" t="s">
        <v>562</v>
      </c>
      <c r="F201" s="641" t="s">
        <v>1228</v>
      </c>
      <c r="G201" s="640" t="s">
        <v>563</v>
      </c>
      <c r="H201" s="640" t="s">
        <v>1003</v>
      </c>
      <c r="I201" s="640" t="s">
        <v>1004</v>
      </c>
      <c r="J201" s="640" t="s">
        <v>1005</v>
      </c>
      <c r="K201" s="640" t="s">
        <v>1006</v>
      </c>
      <c r="L201" s="642">
        <v>566.54000000000019</v>
      </c>
      <c r="M201" s="642">
        <v>1</v>
      </c>
      <c r="N201" s="643">
        <v>566.54000000000019</v>
      </c>
    </row>
    <row r="202" spans="1:14" ht="14.4" customHeight="1" x14ac:dyDescent="0.3">
      <c r="A202" s="638" t="s">
        <v>543</v>
      </c>
      <c r="B202" s="639" t="s">
        <v>544</v>
      </c>
      <c r="C202" s="640" t="s">
        <v>556</v>
      </c>
      <c r="D202" s="641" t="s">
        <v>1226</v>
      </c>
      <c r="E202" s="640" t="s">
        <v>562</v>
      </c>
      <c r="F202" s="641" t="s">
        <v>1228</v>
      </c>
      <c r="G202" s="640" t="s">
        <v>563</v>
      </c>
      <c r="H202" s="640" t="s">
        <v>1007</v>
      </c>
      <c r="I202" s="640" t="s">
        <v>1008</v>
      </c>
      <c r="J202" s="640" t="s">
        <v>1009</v>
      </c>
      <c r="K202" s="640" t="s">
        <v>1010</v>
      </c>
      <c r="L202" s="642">
        <v>36.26</v>
      </c>
      <c r="M202" s="642">
        <v>100</v>
      </c>
      <c r="N202" s="643">
        <v>3626</v>
      </c>
    </row>
    <row r="203" spans="1:14" ht="14.4" customHeight="1" x14ac:dyDescent="0.3">
      <c r="A203" s="638" t="s">
        <v>543</v>
      </c>
      <c r="B203" s="639" t="s">
        <v>544</v>
      </c>
      <c r="C203" s="640" t="s">
        <v>556</v>
      </c>
      <c r="D203" s="641" t="s">
        <v>1226</v>
      </c>
      <c r="E203" s="640" t="s">
        <v>562</v>
      </c>
      <c r="F203" s="641" t="s">
        <v>1228</v>
      </c>
      <c r="G203" s="640" t="s">
        <v>563</v>
      </c>
      <c r="H203" s="640" t="s">
        <v>786</v>
      </c>
      <c r="I203" s="640" t="s">
        <v>787</v>
      </c>
      <c r="J203" s="640" t="s">
        <v>788</v>
      </c>
      <c r="K203" s="640" t="s">
        <v>789</v>
      </c>
      <c r="L203" s="642">
        <v>309.44000000000005</v>
      </c>
      <c r="M203" s="642">
        <v>2</v>
      </c>
      <c r="N203" s="643">
        <v>618.88000000000011</v>
      </c>
    </row>
    <row r="204" spans="1:14" ht="14.4" customHeight="1" x14ac:dyDescent="0.3">
      <c r="A204" s="638" t="s">
        <v>543</v>
      </c>
      <c r="B204" s="639" t="s">
        <v>544</v>
      </c>
      <c r="C204" s="640" t="s">
        <v>556</v>
      </c>
      <c r="D204" s="641" t="s">
        <v>1226</v>
      </c>
      <c r="E204" s="640" t="s">
        <v>562</v>
      </c>
      <c r="F204" s="641" t="s">
        <v>1228</v>
      </c>
      <c r="G204" s="640" t="s">
        <v>563</v>
      </c>
      <c r="H204" s="640" t="s">
        <v>790</v>
      </c>
      <c r="I204" s="640" t="s">
        <v>591</v>
      </c>
      <c r="J204" s="640" t="s">
        <v>791</v>
      </c>
      <c r="K204" s="640"/>
      <c r="L204" s="642">
        <v>51.48866666666666</v>
      </c>
      <c r="M204" s="642">
        <v>1</v>
      </c>
      <c r="N204" s="643">
        <v>51.48866666666666</v>
      </c>
    </row>
    <row r="205" spans="1:14" ht="14.4" customHeight="1" x14ac:dyDescent="0.3">
      <c r="A205" s="638" t="s">
        <v>543</v>
      </c>
      <c r="B205" s="639" t="s">
        <v>544</v>
      </c>
      <c r="C205" s="640" t="s">
        <v>556</v>
      </c>
      <c r="D205" s="641" t="s">
        <v>1226</v>
      </c>
      <c r="E205" s="640" t="s">
        <v>562</v>
      </c>
      <c r="F205" s="641" t="s">
        <v>1228</v>
      </c>
      <c r="G205" s="640" t="s">
        <v>563</v>
      </c>
      <c r="H205" s="640" t="s">
        <v>1011</v>
      </c>
      <c r="I205" s="640" t="s">
        <v>1012</v>
      </c>
      <c r="J205" s="640" t="s">
        <v>1013</v>
      </c>
      <c r="K205" s="640" t="s">
        <v>1014</v>
      </c>
      <c r="L205" s="642">
        <v>74.219610845590836</v>
      </c>
      <c r="M205" s="642">
        <v>2</v>
      </c>
      <c r="N205" s="643">
        <v>148.43922169118167</v>
      </c>
    </row>
    <row r="206" spans="1:14" ht="14.4" customHeight="1" x14ac:dyDescent="0.3">
      <c r="A206" s="638" t="s">
        <v>543</v>
      </c>
      <c r="B206" s="639" t="s">
        <v>544</v>
      </c>
      <c r="C206" s="640" t="s">
        <v>556</v>
      </c>
      <c r="D206" s="641" t="s">
        <v>1226</v>
      </c>
      <c r="E206" s="640" t="s">
        <v>562</v>
      </c>
      <c r="F206" s="641" t="s">
        <v>1228</v>
      </c>
      <c r="G206" s="640" t="s">
        <v>563</v>
      </c>
      <c r="H206" s="640" t="s">
        <v>1015</v>
      </c>
      <c r="I206" s="640" t="s">
        <v>1016</v>
      </c>
      <c r="J206" s="640" t="s">
        <v>1017</v>
      </c>
      <c r="K206" s="640" t="s">
        <v>634</v>
      </c>
      <c r="L206" s="642">
        <v>29.708491382449697</v>
      </c>
      <c r="M206" s="642">
        <v>11</v>
      </c>
      <c r="N206" s="643">
        <v>326.79340520694666</v>
      </c>
    </row>
    <row r="207" spans="1:14" ht="14.4" customHeight="1" x14ac:dyDescent="0.3">
      <c r="A207" s="638" t="s">
        <v>543</v>
      </c>
      <c r="B207" s="639" t="s">
        <v>544</v>
      </c>
      <c r="C207" s="640" t="s">
        <v>556</v>
      </c>
      <c r="D207" s="641" t="s">
        <v>1226</v>
      </c>
      <c r="E207" s="640" t="s">
        <v>562</v>
      </c>
      <c r="F207" s="641" t="s">
        <v>1228</v>
      </c>
      <c r="G207" s="640" t="s">
        <v>563</v>
      </c>
      <c r="H207" s="640" t="s">
        <v>1018</v>
      </c>
      <c r="I207" s="640" t="s">
        <v>1019</v>
      </c>
      <c r="J207" s="640" t="s">
        <v>1020</v>
      </c>
      <c r="K207" s="640" t="s">
        <v>1021</v>
      </c>
      <c r="L207" s="642">
        <v>20.39</v>
      </c>
      <c r="M207" s="642">
        <v>288</v>
      </c>
      <c r="N207" s="643">
        <v>5872.3200000000006</v>
      </c>
    </row>
    <row r="208" spans="1:14" ht="14.4" customHeight="1" x14ac:dyDescent="0.3">
      <c r="A208" s="638" t="s">
        <v>543</v>
      </c>
      <c r="B208" s="639" t="s">
        <v>544</v>
      </c>
      <c r="C208" s="640" t="s">
        <v>556</v>
      </c>
      <c r="D208" s="641" t="s">
        <v>1226</v>
      </c>
      <c r="E208" s="640" t="s">
        <v>562</v>
      </c>
      <c r="F208" s="641" t="s">
        <v>1228</v>
      </c>
      <c r="G208" s="640" t="s">
        <v>563</v>
      </c>
      <c r="H208" s="640" t="s">
        <v>792</v>
      </c>
      <c r="I208" s="640" t="s">
        <v>793</v>
      </c>
      <c r="J208" s="640" t="s">
        <v>794</v>
      </c>
      <c r="K208" s="640" t="s">
        <v>795</v>
      </c>
      <c r="L208" s="642">
        <v>83.12998229999269</v>
      </c>
      <c r="M208" s="642">
        <v>7</v>
      </c>
      <c r="N208" s="643">
        <v>581.90987609994886</v>
      </c>
    </row>
    <row r="209" spans="1:14" ht="14.4" customHeight="1" x14ac:dyDescent="0.3">
      <c r="A209" s="638" t="s">
        <v>543</v>
      </c>
      <c r="B209" s="639" t="s">
        <v>544</v>
      </c>
      <c r="C209" s="640" t="s">
        <v>556</v>
      </c>
      <c r="D209" s="641" t="s">
        <v>1226</v>
      </c>
      <c r="E209" s="640" t="s">
        <v>562</v>
      </c>
      <c r="F209" s="641" t="s">
        <v>1228</v>
      </c>
      <c r="G209" s="640" t="s">
        <v>563</v>
      </c>
      <c r="H209" s="640" t="s">
        <v>1022</v>
      </c>
      <c r="I209" s="640" t="s">
        <v>1022</v>
      </c>
      <c r="J209" s="640" t="s">
        <v>1023</v>
      </c>
      <c r="K209" s="640" t="s">
        <v>1024</v>
      </c>
      <c r="L209" s="642">
        <v>595.30999999999983</v>
      </c>
      <c r="M209" s="642">
        <v>1</v>
      </c>
      <c r="N209" s="643">
        <v>595.30999999999983</v>
      </c>
    </row>
    <row r="210" spans="1:14" ht="14.4" customHeight="1" x14ac:dyDescent="0.3">
      <c r="A210" s="638" t="s">
        <v>543</v>
      </c>
      <c r="B210" s="639" t="s">
        <v>544</v>
      </c>
      <c r="C210" s="640" t="s">
        <v>556</v>
      </c>
      <c r="D210" s="641" t="s">
        <v>1226</v>
      </c>
      <c r="E210" s="640" t="s">
        <v>562</v>
      </c>
      <c r="F210" s="641" t="s">
        <v>1228</v>
      </c>
      <c r="G210" s="640" t="s">
        <v>563</v>
      </c>
      <c r="H210" s="640" t="s">
        <v>1025</v>
      </c>
      <c r="I210" s="640" t="s">
        <v>591</v>
      </c>
      <c r="J210" s="640" t="s">
        <v>1026</v>
      </c>
      <c r="K210" s="640" t="s">
        <v>1027</v>
      </c>
      <c r="L210" s="642">
        <v>64.63333333333334</v>
      </c>
      <c r="M210" s="642">
        <v>1</v>
      </c>
      <c r="N210" s="643">
        <v>64.63333333333334</v>
      </c>
    </row>
    <row r="211" spans="1:14" ht="14.4" customHeight="1" x14ac:dyDescent="0.3">
      <c r="A211" s="638" t="s">
        <v>543</v>
      </c>
      <c r="B211" s="639" t="s">
        <v>544</v>
      </c>
      <c r="C211" s="640" t="s">
        <v>556</v>
      </c>
      <c r="D211" s="641" t="s">
        <v>1226</v>
      </c>
      <c r="E211" s="640" t="s">
        <v>562</v>
      </c>
      <c r="F211" s="641" t="s">
        <v>1228</v>
      </c>
      <c r="G211" s="640" t="s">
        <v>563</v>
      </c>
      <c r="H211" s="640" t="s">
        <v>1028</v>
      </c>
      <c r="I211" s="640" t="s">
        <v>591</v>
      </c>
      <c r="J211" s="640" t="s">
        <v>1029</v>
      </c>
      <c r="K211" s="640"/>
      <c r="L211" s="642">
        <v>174.25004532276591</v>
      </c>
      <c r="M211" s="642">
        <v>1</v>
      </c>
      <c r="N211" s="643">
        <v>174.25004532276591</v>
      </c>
    </row>
    <row r="212" spans="1:14" ht="14.4" customHeight="1" x14ac:dyDescent="0.3">
      <c r="A212" s="638" t="s">
        <v>543</v>
      </c>
      <c r="B212" s="639" t="s">
        <v>544</v>
      </c>
      <c r="C212" s="640" t="s">
        <v>556</v>
      </c>
      <c r="D212" s="641" t="s">
        <v>1226</v>
      </c>
      <c r="E212" s="640" t="s">
        <v>562</v>
      </c>
      <c r="F212" s="641" t="s">
        <v>1228</v>
      </c>
      <c r="G212" s="640" t="s">
        <v>563</v>
      </c>
      <c r="H212" s="640" t="s">
        <v>647</v>
      </c>
      <c r="I212" s="640" t="s">
        <v>591</v>
      </c>
      <c r="J212" s="640" t="s">
        <v>648</v>
      </c>
      <c r="K212" s="640"/>
      <c r="L212" s="642">
        <v>53.330971212410752</v>
      </c>
      <c r="M212" s="642">
        <v>288</v>
      </c>
      <c r="N212" s="643">
        <v>15359.319709174297</v>
      </c>
    </row>
    <row r="213" spans="1:14" ht="14.4" customHeight="1" x14ac:dyDescent="0.3">
      <c r="A213" s="638" t="s">
        <v>543</v>
      </c>
      <c r="B213" s="639" t="s">
        <v>544</v>
      </c>
      <c r="C213" s="640" t="s">
        <v>556</v>
      </c>
      <c r="D213" s="641" t="s">
        <v>1226</v>
      </c>
      <c r="E213" s="640" t="s">
        <v>562</v>
      </c>
      <c r="F213" s="641" t="s">
        <v>1228</v>
      </c>
      <c r="G213" s="640" t="s">
        <v>563</v>
      </c>
      <c r="H213" s="640" t="s">
        <v>657</v>
      </c>
      <c r="I213" s="640" t="s">
        <v>591</v>
      </c>
      <c r="J213" s="640" t="s">
        <v>658</v>
      </c>
      <c r="K213" s="640"/>
      <c r="L213" s="642">
        <v>50.858110677010799</v>
      </c>
      <c r="M213" s="642">
        <v>78</v>
      </c>
      <c r="N213" s="643">
        <v>3966.9326328068423</v>
      </c>
    </row>
    <row r="214" spans="1:14" ht="14.4" customHeight="1" x14ac:dyDescent="0.3">
      <c r="A214" s="638" t="s">
        <v>543</v>
      </c>
      <c r="B214" s="639" t="s">
        <v>544</v>
      </c>
      <c r="C214" s="640" t="s">
        <v>556</v>
      </c>
      <c r="D214" s="641" t="s">
        <v>1226</v>
      </c>
      <c r="E214" s="640" t="s">
        <v>562</v>
      </c>
      <c r="F214" s="641" t="s">
        <v>1228</v>
      </c>
      <c r="G214" s="640" t="s">
        <v>563</v>
      </c>
      <c r="H214" s="640" t="s">
        <v>661</v>
      </c>
      <c r="I214" s="640" t="s">
        <v>591</v>
      </c>
      <c r="J214" s="640" t="s">
        <v>662</v>
      </c>
      <c r="K214" s="640"/>
      <c r="L214" s="642">
        <v>125.20764040233634</v>
      </c>
      <c r="M214" s="642">
        <v>55</v>
      </c>
      <c r="N214" s="643">
        <v>6886.4202221284986</v>
      </c>
    </row>
    <row r="215" spans="1:14" ht="14.4" customHeight="1" x14ac:dyDescent="0.3">
      <c r="A215" s="638" t="s">
        <v>543</v>
      </c>
      <c r="B215" s="639" t="s">
        <v>544</v>
      </c>
      <c r="C215" s="640" t="s">
        <v>556</v>
      </c>
      <c r="D215" s="641" t="s">
        <v>1226</v>
      </c>
      <c r="E215" s="640" t="s">
        <v>562</v>
      </c>
      <c r="F215" s="641" t="s">
        <v>1228</v>
      </c>
      <c r="G215" s="640" t="s">
        <v>563</v>
      </c>
      <c r="H215" s="640" t="s">
        <v>796</v>
      </c>
      <c r="I215" s="640" t="s">
        <v>797</v>
      </c>
      <c r="J215" s="640" t="s">
        <v>798</v>
      </c>
      <c r="K215" s="640" t="s">
        <v>799</v>
      </c>
      <c r="L215" s="642">
        <v>77.950071513536827</v>
      </c>
      <c r="M215" s="642">
        <v>12</v>
      </c>
      <c r="N215" s="643">
        <v>935.40085816244186</v>
      </c>
    </row>
    <row r="216" spans="1:14" ht="14.4" customHeight="1" x14ac:dyDescent="0.3">
      <c r="A216" s="638" t="s">
        <v>543</v>
      </c>
      <c r="B216" s="639" t="s">
        <v>544</v>
      </c>
      <c r="C216" s="640" t="s">
        <v>556</v>
      </c>
      <c r="D216" s="641" t="s">
        <v>1226</v>
      </c>
      <c r="E216" s="640" t="s">
        <v>562</v>
      </c>
      <c r="F216" s="641" t="s">
        <v>1228</v>
      </c>
      <c r="G216" s="640" t="s">
        <v>563</v>
      </c>
      <c r="H216" s="640" t="s">
        <v>800</v>
      </c>
      <c r="I216" s="640" t="s">
        <v>801</v>
      </c>
      <c r="J216" s="640" t="s">
        <v>802</v>
      </c>
      <c r="K216" s="640" t="s">
        <v>803</v>
      </c>
      <c r="L216" s="642">
        <v>73.392393626650858</v>
      </c>
      <c r="M216" s="642">
        <v>4</v>
      </c>
      <c r="N216" s="643">
        <v>293.56957450660343</v>
      </c>
    </row>
    <row r="217" spans="1:14" ht="14.4" customHeight="1" x14ac:dyDescent="0.3">
      <c r="A217" s="638" t="s">
        <v>543</v>
      </c>
      <c r="B217" s="639" t="s">
        <v>544</v>
      </c>
      <c r="C217" s="640" t="s">
        <v>556</v>
      </c>
      <c r="D217" s="641" t="s">
        <v>1226</v>
      </c>
      <c r="E217" s="640" t="s">
        <v>562</v>
      </c>
      <c r="F217" s="641" t="s">
        <v>1228</v>
      </c>
      <c r="G217" s="640" t="s">
        <v>563</v>
      </c>
      <c r="H217" s="640" t="s">
        <v>804</v>
      </c>
      <c r="I217" s="640" t="s">
        <v>583</v>
      </c>
      <c r="J217" s="640" t="s">
        <v>805</v>
      </c>
      <c r="K217" s="640" t="s">
        <v>806</v>
      </c>
      <c r="L217" s="642">
        <v>398.72754593836868</v>
      </c>
      <c r="M217" s="642">
        <v>44</v>
      </c>
      <c r="N217" s="643">
        <v>17544.012021288221</v>
      </c>
    </row>
    <row r="218" spans="1:14" ht="14.4" customHeight="1" x14ac:dyDescent="0.3">
      <c r="A218" s="638" t="s">
        <v>543</v>
      </c>
      <c r="B218" s="639" t="s">
        <v>544</v>
      </c>
      <c r="C218" s="640" t="s">
        <v>556</v>
      </c>
      <c r="D218" s="641" t="s">
        <v>1226</v>
      </c>
      <c r="E218" s="640" t="s">
        <v>562</v>
      </c>
      <c r="F218" s="641" t="s">
        <v>1228</v>
      </c>
      <c r="G218" s="640" t="s">
        <v>563</v>
      </c>
      <c r="H218" s="640" t="s">
        <v>663</v>
      </c>
      <c r="I218" s="640" t="s">
        <v>591</v>
      </c>
      <c r="J218" s="640" t="s">
        <v>664</v>
      </c>
      <c r="K218" s="640"/>
      <c r="L218" s="642">
        <v>150.04164798991735</v>
      </c>
      <c r="M218" s="642">
        <v>83</v>
      </c>
      <c r="N218" s="643">
        <v>12453.456783163139</v>
      </c>
    </row>
    <row r="219" spans="1:14" ht="14.4" customHeight="1" x14ac:dyDescent="0.3">
      <c r="A219" s="638" t="s">
        <v>543</v>
      </c>
      <c r="B219" s="639" t="s">
        <v>544</v>
      </c>
      <c r="C219" s="640" t="s">
        <v>556</v>
      </c>
      <c r="D219" s="641" t="s">
        <v>1226</v>
      </c>
      <c r="E219" s="640" t="s">
        <v>562</v>
      </c>
      <c r="F219" s="641" t="s">
        <v>1228</v>
      </c>
      <c r="G219" s="640" t="s">
        <v>563</v>
      </c>
      <c r="H219" s="640" t="s">
        <v>807</v>
      </c>
      <c r="I219" s="640" t="s">
        <v>583</v>
      </c>
      <c r="J219" s="640" t="s">
        <v>808</v>
      </c>
      <c r="K219" s="640" t="s">
        <v>809</v>
      </c>
      <c r="L219" s="642">
        <v>193.07068092532054</v>
      </c>
      <c r="M219" s="642">
        <v>30</v>
      </c>
      <c r="N219" s="643">
        <v>5792.1204277596162</v>
      </c>
    </row>
    <row r="220" spans="1:14" ht="14.4" customHeight="1" x14ac:dyDescent="0.3">
      <c r="A220" s="638" t="s">
        <v>543</v>
      </c>
      <c r="B220" s="639" t="s">
        <v>544</v>
      </c>
      <c r="C220" s="640" t="s">
        <v>556</v>
      </c>
      <c r="D220" s="641" t="s">
        <v>1226</v>
      </c>
      <c r="E220" s="640" t="s">
        <v>562</v>
      </c>
      <c r="F220" s="641" t="s">
        <v>1228</v>
      </c>
      <c r="G220" s="640" t="s">
        <v>563</v>
      </c>
      <c r="H220" s="640" t="s">
        <v>810</v>
      </c>
      <c r="I220" s="640" t="s">
        <v>591</v>
      </c>
      <c r="J220" s="640" t="s">
        <v>811</v>
      </c>
      <c r="K220" s="640"/>
      <c r="L220" s="642">
        <v>76.800417796155884</v>
      </c>
      <c r="M220" s="642">
        <v>1</v>
      </c>
      <c r="N220" s="643">
        <v>76.800417796155884</v>
      </c>
    </row>
    <row r="221" spans="1:14" ht="14.4" customHeight="1" x14ac:dyDescent="0.3">
      <c r="A221" s="638" t="s">
        <v>543</v>
      </c>
      <c r="B221" s="639" t="s">
        <v>544</v>
      </c>
      <c r="C221" s="640" t="s">
        <v>556</v>
      </c>
      <c r="D221" s="641" t="s">
        <v>1226</v>
      </c>
      <c r="E221" s="640" t="s">
        <v>562</v>
      </c>
      <c r="F221" s="641" t="s">
        <v>1228</v>
      </c>
      <c r="G221" s="640" t="s">
        <v>563</v>
      </c>
      <c r="H221" s="640" t="s">
        <v>812</v>
      </c>
      <c r="I221" s="640" t="s">
        <v>591</v>
      </c>
      <c r="J221" s="640" t="s">
        <v>813</v>
      </c>
      <c r="K221" s="640"/>
      <c r="L221" s="642">
        <v>106.86307119244459</v>
      </c>
      <c r="M221" s="642">
        <v>77</v>
      </c>
      <c r="N221" s="643">
        <v>8228.4564818182334</v>
      </c>
    </row>
    <row r="222" spans="1:14" ht="14.4" customHeight="1" x14ac:dyDescent="0.3">
      <c r="A222" s="638" t="s">
        <v>543</v>
      </c>
      <c r="B222" s="639" t="s">
        <v>544</v>
      </c>
      <c r="C222" s="640" t="s">
        <v>556</v>
      </c>
      <c r="D222" s="641" t="s">
        <v>1226</v>
      </c>
      <c r="E222" s="640" t="s">
        <v>562</v>
      </c>
      <c r="F222" s="641" t="s">
        <v>1228</v>
      </c>
      <c r="G222" s="640" t="s">
        <v>563</v>
      </c>
      <c r="H222" s="640" t="s">
        <v>1030</v>
      </c>
      <c r="I222" s="640" t="s">
        <v>591</v>
      </c>
      <c r="J222" s="640" t="s">
        <v>1031</v>
      </c>
      <c r="K222" s="640"/>
      <c r="L222" s="642">
        <v>522.83225824648184</v>
      </c>
      <c r="M222" s="642">
        <v>1</v>
      </c>
      <c r="N222" s="643">
        <v>522.83225824648184</v>
      </c>
    </row>
    <row r="223" spans="1:14" ht="14.4" customHeight="1" x14ac:dyDescent="0.3">
      <c r="A223" s="638" t="s">
        <v>543</v>
      </c>
      <c r="B223" s="639" t="s">
        <v>544</v>
      </c>
      <c r="C223" s="640" t="s">
        <v>556</v>
      </c>
      <c r="D223" s="641" t="s">
        <v>1226</v>
      </c>
      <c r="E223" s="640" t="s">
        <v>562</v>
      </c>
      <c r="F223" s="641" t="s">
        <v>1228</v>
      </c>
      <c r="G223" s="640" t="s">
        <v>563</v>
      </c>
      <c r="H223" s="640" t="s">
        <v>665</v>
      </c>
      <c r="I223" s="640" t="s">
        <v>591</v>
      </c>
      <c r="J223" s="640" t="s">
        <v>666</v>
      </c>
      <c r="K223" s="640" t="s">
        <v>667</v>
      </c>
      <c r="L223" s="642">
        <v>75.01998223176345</v>
      </c>
      <c r="M223" s="642">
        <v>1</v>
      </c>
      <c r="N223" s="643">
        <v>75.01998223176345</v>
      </c>
    </row>
    <row r="224" spans="1:14" ht="14.4" customHeight="1" x14ac:dyDescent="0.3">
      <c r="A224" s="638" t="s">
        <v>543</v>
      </c>
      <c r="B224" s="639" t="s">
        <v>544</v>
      </c>
      <c r="C224" s="640" t="s">
        <v>556</v>
      </c>
      <c r="D224" s="641" t="s">
        <v>1226</v>
      </c>
      <c r="E224" s="640" t="s">
        <v>562</v>
      </c>
      <c r="F224" s="641" t="s">
        <v>1228</v>
      </c>
      <c r="G224" s="640" t="s">
        <v>563</v>
      </c>
      <c r="H224" s="640" t="s">
        <v>1032</v>
      </c>
      <c r="I224" s="640" t="s">
        <v>1032</v>
      </c>
      <c r="J224" s="640" t="s">
        <v>1033</v>
      </c>
      <c r="K224" s="640" t="s">
        <v>1034</v>
      </c>
      <c r="L224" s="642">
        <v>5083.6499999999978</v>
      </c>
      <c r="M224" s="642">
        <v>1</v>
      </c>
      <c r="N224" s="643">
        <v>5083.6499999999978</v>
      </c>
    </row>
    <row r="225" spans="1:14" ht="14.4" customHeight="1" x14ac:dyDescent="0.3">
      <c r="A225" s="638" t="s">
        <v>543</v>
      </c>
      <c r="B225" s="639" t="s">
        <v>544</v>
      </c>
      <c r="C225" s="640" t="s">
        <v>556</v>
      </c>
      <c r="D225" s="641" t="s">
        <v>1226</v>
      </c>
      <c r="E225" s="640" t="s">
        <v>562</v>
      </c>
      <c r="F225" s="641" t="s">
        <v>1228</v>
      </c>
      <c r="G225" s="640" t="s">
        <v>563</v>
      </c>
      <c r="H225" s="640" t="s">
        <v>1035</v>
      </c>
      <c r="I225" s="640" t="s">
        <v>1036</v>
      </c>
      <c r="J225" s="640" t="s">
        <v>1037</v>
      </c>
      <c r="K225" s="640" t="s">
        <v>1038</v>
      </c>
      <c r="L225" s="642">
        <v>901.19218578378968</v>
      </c>
      <c r="M225" s="642">
        <v>18</v>
      </c>
      <c r="N225" s="643">
        <v>16221.459344108214</v>
      </c>
    </row>
    <row r="226" spans="1:14" ht="14.4" customHeight="1" x14ac:dyDescent="0.3">
      <c r="A226" s="638" t="s">
        <v>543</v>
      </c>
      <c r="B226" s="639" t="s">
        <v>544</v>
      </c>
      <c r="C226" s="640" t="s">
        <v>556</v>
      </c>
      <c r="D226" s="641" t="s">
        <v>1226</v>
      </c>
      <c r="E226" s="640" t="s">
        <v>562</v>
      </c>
      <c r="F226" s="641" t="s">
        <v>1228</v>
      </c>
      <c r="G226" s="640" t="s">
        <v>563</v>
      </c>
      <c r="H226" s="640" t="s">
        <v>814</v>
      </c>
      <c r="I226" s="640" t="s">
        <v>814</v>
      </c>
      <c r="J226" s="640" t="s">
        <v>815</v>
      </c>
      <c r="K226" s="640" t="s">
        <v>816</v>
      </c>
      <c r="L226" s="642">
        <v>7252.2164710636935</v>
      </c>
      <c r="M226" s="642">
        <v>28</v>
      </c>
      <c r="N226" s="643">
        <v>203062.06118978342</v>
      </c>
    </row>
    <row r="227" spans="1:14" ht="14.4" customHeight="1" x14ac:dyDescent="0.3">
      <c r="A227" s="638" t="s">
        <v>543</v>
      </c>
      <c r="B227" s="639" t="s">
        <v>544</v>
      </c>
      <c r="C227" s="640" t="s">
        <v>556</v>
      </c>
      <c r="D227" s="641" t="s">
        <v>1226</v>
      </c>
      <c r="E227" s="640" t="s">
        <v>562</v>
      </c>
      <c r="F227" s="641" t="s">
        <v>1228</v>
      </c>
      <c r="G227" s="640" t="s">
        <v>563</v>
      </c>
      <c r="H227" s="640" t="s">
        <v>1039</v>
      </c>
      <c r="I227" s="640" t="s">
        <v>1040</v>
      </c>
      <c r="J227" s="640" t="s">
        <v>1020</v>
      </c>
      <c r="K227" s="640" t="s">
        <v>986</v>
      </c>
      <c r="L227" s="642">
        <v>18.059999999999995</v>
      </c>
      <c r="M227" s="642">
        <v>380</v>
      </c>
      <c r="N227" s="643">
        <v>6862.7999999999984</v>
      </c>
    </row>
    <row r="228" spans="1:14" ht="14.4" customHeight="1" x14ac:dyDescent="0.3">
      <c r="A228" s="638" t="s">
        <v>543</v>
      </c>
      <c r="B228" s="639" t="s">
        <v>544</v>
      </c>
      <c r="C228" s="640" t="s">
        <v>556</v>
      </c>
      <c r="D228" s="641" t="s">
        <v>1226</v>
      </c>
      <c r="E228" s="640" t="s">
        <v>562</v>
      </c>
      <c r="F228" s="641" t="s">
        <v>1228</v>
      </c>
      <c r="G228" s="640" t="s">
        <v>563</v>
      </c>
      <c r="H228" s="640" t="s">
        <v>1041</v>
      </c>
      <c r="I228" s="640" t="s">
        <v>1042</v>
      </c>
      <c r="J228" s="640" t="s">
        <v>1009</v>
      </c>
      <c r="K228" s="640" t="s">
        <v>1043</v>
      </c>
      <c r="L228" s="642">
        <v>31.570000000000004</v>
      </c>
      <c r="M228" s="642">
        <v>265</v>
      </c>
      <c r="N228" s="643">
        <v>8366.0500000000011</v>
      </c>
    </row>
    <row r="229" spans="1:14" ht="14.4" customHeight="1" x14ac:dyDescent="0.3">
      <c r="A229" s="638" t="s">
        <v>543</v>
      </c>
      <c r="B229" s="639" t="s">
        <v>544</v>
      </c>
      <c r="C229" s="640" t="s">
        <v>556</v>
      </c>
      <c r="D229" s="641" t="s">
        <v>1226</v>
      </c>
      <c r="E229" s="640" t="s">
        <v>562</v>
      </c>
      <c r="F229" s="641" t="s">
        <v>1228</v>
      </c>
      <c r="G229" s="640" t="s">
        <v>563</v>
      </c>
      <c r="H229" s="640" t="s">
        <v>1044</v>
      </c>
      <c r="I229" s="640" t="s">
        <v>1045</v>
      </c>
      <c r="J229" s="640" t="s">
        <v>1046</v>
      </c>
      <c r="K229" s="640" t="s">
        <v>1047</v>
      </c>
      <c r="L229" s="642">
        <v>87.680000000000035</v>
      </c>
      <c r="M229" s="642">
        <v>13</v>
      </c>
      <c r="N229" s="643">
        <v>1139.8400000000004</v>
      </c>
    </row>
    <row r="230" spans="1:14" ht="14.4" customHeight="1" x14ac:dyDescent="0.3">
      <c r="A230" s="638" t="s">
        <v>543</v>
      </c>
      <c r="B230" s="639" t="s">
        <v>544</v>
      </c>
      <c r="C230" s="640" t="s">
        <v>556</v>
      </c>
      <c r="D230" s="641" t="s">
        <v>1226</v>
      </c>
      <c r="E230" s="640" t="s">
        <v>562</v>
      </c>
      <c r="F230" s="641" t="s">
        <v>1228</v>
      </c>
      <c r="G230" s="640" t="s">
        <v>563</v>
      </c>
      <c r="H230" s="640" t="s">
        <v>1048</v>
      </c>
      <c r="I230" s="640" t="s">
        <v>1049</v>
      </c>
      <c r="J230" s="640" t="s">
        <v>1050</v>
      </c>
      <c r="K230" s="640" t="s">
        <v>1051</v>
      </c>
      <c r="L230" s="642">
        <v>17365.11932064448</v>
      </c>
      <c r="M230" s="642">
        <v>30</v>
      </c>
      <c r="N230" s="643">
        <v>520953.57961933443</v>
      </c>
    </row>
    <row r="231" spans="1:14" ht="14.4" customHeight="1" x14ac:dyDescent="0.3">
      <c r="A231" s="638" t="s">
        <v>543</v>
      </c>
      <c r="B231" s="639" t="s">
        <v>544</v>
      </c>
      <c r="C231" s="640" t="s">
        <v>556</v>
      </c>
      <c r="D231" s="641" t="s">
        <v>1226</v>
      </c>
      <c r="E231" s="640" t="s">
        <v>562</v>
      </c>
      <c r="F231" s="641" t="s">
        <v>1228</v>
      </c>
      <c r="G231" s="640" t="s">
        <v>563</v>
      </c>
      <c r="H231" s="640" t="s">
        <v>1052</v>
      </c>
      <c r="I231" s="640" t="s">
        <v>1053</v>
      </c>
      <c r="J231" s="640" t="s">
        <v>1054</v>
      </c>
      <c r="K231" s="640" t="s">
        <v>1055</v>
      </c>
      <c r="L231" s="642">
        <v>1515.3400000000001</v>
      </c>
      <c r="M231" s="642">
        <v>3</v>
      </c>
      <c r="N231" s="643">
        <v>4546.0200000000004</v>
      </c>
    </row>
    <row r="232" spans="1:14" ht="14.4" customHeight="1" x14ac:dyDescent="0.3">
      <c r="A232" s="638" t="s">
        <v>543</v>
      </c>
      <c r="B232" s="639" t="s">
        <v>544</v>
      </c>
      <c r="C232" s="640" t="s">
        <v>556</v>
      </c>
      <c r="D232" s="641" t="s">
        <v>1226</v>
      </c>
      <c r="E232" s="640" t="s">
        <v>562</v>
      </c>
      <c r="F232" s="641" t="s">
        <v>1228</v>
      </c>
      <c r="G232" s="640" t="s">
        <v>563</v>
      </c>
      <c r="H232" s="640" t="s">
        <v>668</v>
      </c>
      <c r="I232" s="640" t="s">
        <v>669</v>
      </c>
      <c r="J232" s="640" t="s">
        <v>670</v>
      </c>
      <c r="K232" s="640" t="s">
        <v>671</v>
      </c>
      <c r="L232" s="642">
        <v>313.29574958156559</v>
      </c>
      <c r="M232" s="642">
        <v>71</v>
      </c>
      <c r="N232" s="643">
        <v>22243.998220291156</v>
      </c>
    </row>
    <row r="233" spans="1:14" ht="14.4" customHeight="1" x14ac:dyDescent="0.3">
      <c r="A233" s="638" t="s">
        <v>543</v>
      </c>
      <c r="B233" s="639" t="s">
        <v>544</v>
      </c>
      <c r="C233" s="640" t="s">
        <v>556</v>
      </c>
      <c r="D233" s="641" t="s">
        <v>1226</v>
      </c>
      <c r="E233" s="640" t="s">
        <v>562</v>
      </c>
      <c r="F233" s="641" t="s">
        <v>1228</v>
      </c>
      <c r="G233" s="640" t="s">
        <v>563</v>
      </c>
      <c r="H233" s="640" t="s">
        <v>1056</v>
      </c>
      <c r="I233" s="640" t="s">
        <v>583</v>
      </c>
      <c r="J233" s="640" t="s">
        <v>1057</v>
      </c>
      <c r="K233" s="640" t="s">
        <v>1058</v>
      </c>
      <c r="L233" s="642">
        <v>116.98776864289877</v>
      </c>
      <c r="M233" s="642">
        <v>20</v>
      </c>
      <c r="N233" s="643">
        <v>2339.7553728579755</v>
      </c>
    </row>
    <row r="234" spans="1:14" ht="14.4" customHeight="1" x14ac:dyDescent="0.3">
      <c r="A234" s="638" t="s">
        <v>543</v>
      </c>
      <c r="B234" s="639" t="s">
        <v>544</v>
      </c>
      <c r="C234" s="640" t="s">
        <v>556</v>
      </c>
      <c r="D234" s="641" t="s">
        <v>1226</v>
      </c>
      <c r="E234" s="640" t="s">
        <v>562</v>
      </c>
      <c r="F234" s="641" t="s">
        <v>1228</v>
      </c>
      <c r="G234" s="640" t="s">
        <v>563</v>
      </c>
      <c r="H234" s="640" t="s">
        <v>1059</v>
      </c>
      <c r="I234" s="640" t="s">
        <v>591</v>
      </c>
      <c r="J234" s="640" t="s">
        <v>1060</v>
      </c>
      <c r="K234" s="640"/>
      <c r="L234" s="642">
        <v>193.74623615593006</v>
      </c>
      <c r="M234" s="642">
        <v>5</v>
      </c>
      <c r="N234" s="643">
        <v>968.73118077965034</v>
      </c>
    </row>
    <row r="235" spans="1:14" ht="14.4" customHeight="1" x14ac:dyDescent="0.3">
      <c r="A235" s="638" t="s">
        <v>543</v>
      </c>
      <c r="B235" s="639" t="s">
        <v>544</v>
      </c>
      <c r="C235" s="640" t="s">
        <v>556</v>
      </c>
      <c r="D235" s="641" t="s">
        <v>1226</v>
      </c>
      <c r="E235" s="640" t="s">
        <v>562</v>
      </c>
      <c r="F235" s="641" t="s">
        <v>1228</v>
      </c>
      <c r="G235" s="640" t="s">
        <v>563</v>
      </c>
      <c r="H235" s="640" t="s">
        <v>1061</v>
      </c>
      <c r="I235" s="640" t="s">
        <v>591</v>
      </c>
      <c r="J235" s="640" t="s">
        <v>1062</v>
      </c>
      <c r="K235" s="640"/>
      <c r="L235" s="642">
        <v>137.00687823849034</v>
      </c>
      <c r="M235" s="642">
        <v>34</v>
      </c>
      <c r="N235" s="643">
        <v>4658.2338601086713</v>
      </c>
    </row>
    <row r="236" spans="1:14" ht="14.4" customHeight="1" x14ac:dyDescent="0.3">
      <c r="A236" s="638" t="s">
        <v>543</v>
      </c>
      <c r="B236" s="639" t="s">
        <v>544</v>
      </c>
      <c r="C236" s="640" t="s">
        <v>556</v>
      </c>
      <c r="D236" s="641" t="s">
        <v>1226</v>
      </c>
      <c r="E236" s="640" t="s">
        <v>562</v>
      </c>
      <c r="F236" s="641" t="s">
        <v>1228</v>
      </c>
      <c r="G236" s="640" t="s">
        <v>563</v>
      </c>
      <c r="H236" s="640" t="s">
        <v>1063</v>
      </c>
      <c r="I236" s="640" t="s">
        <v>591</v>
      </c>
      <c r="J236" s="640" t="s">
        <v>1064</v>
      </c>
      <c r="K236" s="640"/>
      <c r="L236" s="642">
        <v>65.152309632490841</v>
      </c>
      <c r="M236" s="642">
        <v>4</v>
      </c>
      <c r="N236" s="643">
        <v>260.60923852996336</v>
      </c>
    </row>
    <row r="237" spans="1:14" ht="14.4" customHeight="1" x14ac:dyDescent="0.3">
      <c r="A237" s="638" t="s">
        <v>543</v>
      </c>
      <c r="B237" s="639" t="s">
        <v>544</v>
      </c>
      <c r="C237" s="640" t="s">
        <v>556</v>
      </c>
      <c r="D237" s="641" t="s">
        <v>1226</v>
      </c>
      <c r="E237" s="640" t="s">
        <v>562</v>
      </c>
      <c r="F237" s="641" t="s">
        <v>1228</v>
      </c>
      <c r="G237" s="640" t="s">
        <v>563</v>
      </c>
      <c r="H237" s="640" t="s">
        <v>1065</v>
      </c>
      <c r="I237" s="640" t="s">
        <v>591</v>
      </c>
      <c r="J237" s="640" t="s">
        <v>1066</v>
      </c>
      <c r="K237" s="640"/>
      <c r="L237" s="642">
        <v>279.60206061683465</v>
      </c>
      <c r="M237" s="642">
        <v>12</v>
      </c>
      <c r="N237" s="643">
        <v>3355.2247274020156</v>
      </c>
    </row>
    <row r="238" spans="1:14" ht="14.4" customHeight="1" x14ac:dyDescent="0.3">
      <c r="A238" s="638" t="s">
        <v>543</v>
      </c>
      <c r="B238" s="639" t="s">
        <v>544</v>
      </c>
      <c r="C238" s="640" t="s">
        <v>556</v>
      </c>
      <c r="D238" s="641" t="s">
        <v>1226</v>
      </c>
      <c r="E238" s="640" t="s">
        <v>562</v>
      </c>
      <c r="F238" s="641" t="s">
        <v>1228</v>
      </c>
      <c r="G238" s="640" t="s">
        <v>563</v>
      </c>
      <c r="H238" s="640" t="s">
        <v>1067</v>
      </c>
      <c r="I238" s="640" t="s">
        <v>591</v>
      </c>
      <c r="J238" s="640" t="s">
        <v>1068</v>
      </c>
      <c r="K238" s="640"/>
      <c r="L238" s="642">
        <v>254.02562782138068</v>
      </c>
      <c r="M238" s="642">
        <v>4</v>
      </c>
      <c r="N238" s="643">
        <v>1016.1025112855227</v>
      </c>
    </row>
    <row r="239" spans="1:14" ht="14.4" customHeight="1" x14ac:dyDescent="0.3">
      <c r="A239" s="638" t="s">
        <v>543</v>
      </c>
      <c r="B239" s="639" t="s">
        <v>544</v>
      </c>
      <c r="C239" s="640" t="s">
        <v>556</v>
      </c>
      <c r="D239" s="641" t="s">
        <v>1226</v>
      </c>
      <c r="E239" s="640" t="s">
        <v>562</v>
      </c>
      <c r="F239" s="641" t="s">
        <v>1228</v>
      </c>
      <c r="G239" s="640" t="s">
        <v>563</v>
      </c>
      <c r="H239" s="640" t="s">
        <v>1069</v>
      </c>
      <c r="I239" s="640" t="s">
        <v>591</v>
      </c>
      <c r="J239" s="640" t="s">
        <v>1070</v>
      </c>
      <c r="K239" s="640"/>
      <c r="L239" s="642">
        <v>282.30963635329999</v>
      </c>
      <c r="M239" s="642">
        <v>4</v>
      </c>
      <c r="N239" s="643">
        <v>1129.2385454132</v>
      </c>
    </row>
    <row r="240" spans="1:14" ht="14.4" customHeight="1" x14ac:dyDescent="0.3">
      <c r="A240" s="638" t="s">
        <v>543</v>
      </c>
      <c r="B240" s="639" t="s">
        <v>544</v>
      </c>
      <c r="C240" s="640" t="s">
        <v>556</v>
      </c>
      <c r="D240" s="641" t="s">
        <v>1226</v>
      </c>
      <c r="E240" s="640" t="s">
        <v>562</v>
      </c>
      <c r="F240" s="641" t="s">
        <v>1228</v>
      </c>
      <c r="G240" s="640" t="s">
        <v>563</v>
      </c>
      <c r="H240" s="640" t="s">
        <v>672</v>
      </c>
      <c r="I240" s="640" t="s">
        <v>591</v>
      </c>
      <c r="J240" s="640" t="s">
        <v>673</v>
      </c>
      <c r="K240" s="640"/>
      <c r="L240" s="642">
        <v>150.99811184980578</v>
      </c>
      <c r="M240" s="642">
        <v>53</v>
      </c>
      <c r="N240" s="643">
        <v>8002.8999280397065</v>
      </c>
    </row>
    <row r="241" spans="1:14" ht="14.4" customHeight="1" x14ac:dyDescent="0.3">
      <c r="A241" s="638" t="s">
        <v>543</v>
      </c>
      <c r="B241" s="639" t="s">
        <v>544</v>
      </c>
      <c r="C241" s="640" t="s">
        <v>556</v>
      </c>
      <c r="D241" s="641" t="s">
        <v>1226</v>
      </c>
      <c r="E241" s="640" t="s">
        <v>562</v>
      </c>
      <c r="F241" s="641" t="s">
        <v>1228</v>
      </c>
      <c r="G241" s="640" t="s">
        <v>563</v>
      </c>
      <c r="H241" s="640" t="s">
        <v>1071</v>
      </c>
      <c r="I241" s="640" t="s">
        <v>1072</v>
      </c>
      <c r="J241" s="640" t="s">
        <v>1073</v>
      </c>
      <c r="K241" s="640" t="s">
        <v>1074</v>
      </c>
      <c r="L241" s="642">
        <v>89.389999999999972</v>
      </c>
      <c r="M241" s="642">
        <v>2</v>
      </c>
      <c r="N241" s="643">
        <v>178.77999999999994</v>
      </c>
    </row>
    <row r="242" spans="1:14" ht="14.4" customHeight="1" x14ac:dyDescent="0.3">
      <c r="A242" s="638" t="s">
        <v>543</v>
      </c>
      <c r="B242" s="639" t="s">
        <v>544</v>
      </c>
      <c r="C242" s="640" t="s">
        <v>556</v>
      </c>
      <c r="D242" s="641" t="s">
        <v>1226</v>
      </c>
      <c r="E242" s="640" t="s">
        <v>562</v>
      </c>
      <c r="F242" s="641" t="s">
        <v>1228</v>
      </c>
      <c r="G242" s="640" t="s">
        <v>563</v>
      </c>
      <c r="H242" s="640" t="s">
        <v>1075</v>
      </c>
      <c r="I242" s="640" t="s">
        <v>1076</v>
      </c>
      <c r="J242" s="640" t="s">
        <v>1077</v>
      </c>
      <c r="K242" s="640" t="s">
        <v>1078</v>
      </c>
      <c r="L242" s="642">
        <v>82.750000000000014</v>
      </c>
      <c r="M242" s="642">
        <v>1</v>
      </c>
      <c r="N242" s="643">
        <v>82.750000000000014</v>
      </c>
    </row>
    <row r="243" spans="1:14" ht="14.4" customHeight="1" x14ac:dyDescent="0.3">
      <c r="A243" s="638" t="s">
        <v>543</v>
      </c>
      <c r="B243" s="639" t="s">
        <v>544</v>
      </c>
      <c r="C243" s="640" t="s">
        <v>556</v>
      </c>
      <c r="D243" s="641" t="s">
        <v>1226</v>
      </c>
      <c r="E243" s="640" t="s">
        <v>562</v>
      </c>
      <c r="F243" s="641" t="s">
        <v>1228</v>
      </c>
      <c r="G243" s="640" t="s">
        <v>563</v>
      </c>
      <c r="H243" s="640" t="s">
        <v>1079</v>
      </c>
      <c r="I243" s="640" t="s">
        <v>1080</v>
      </c>
      <c r="J243" s="640" t="s">
        <v>1081</v>
      </c>
      <c r="K243" s="640" t="s">
        <v>1082</v>
      </c>
      <c r="L243" s="642">
        <v>119.26000000000006</v>
      </c>
      <c r="M243" s="642">
        <v>1</v>
      </c>
      <c r="N243" s="643">
        <v>119.26000000000006</v>
      </c>
    </row>
    <row r="244" spans="1:14" ht="14.4" customHeight="1" x14ac:dyDescent="0.3">
      <c r="A244" s="638" t="s">
        <v>543</v>
      </c>
      <c r="B244" s="639" t="s">
        <v>544</v>
      </c>
      <c r="C244" s="640" t="s">
        <v>556</v>
      </c>
      <c r="D244" s="641" t="s">
        <v>1226</v>
      </c>
      <c r="E244" s="640" t="s">
        <v>562</v>
      </c>
      <c r="F244" s="641" t="s">
        <v>1228</v>
      </c>
      <c r="G244" s="640" t="s">
        <v>563</v>
      </c>
      <c r="H244" s="640" t="s">
        <v>825</v>
      </c>
      <c r="I244" s="640" t="s">
        <v>825</v>
      </c>
      <c r="J244" s="640" t="s">
        <v>826</v>
      </c>
      <c r="K244" s="640" t="s">
        <v>827</v>
      </c>
      <c r="L244" s="642">
        <v>577.4680450053612</v>
      </c>
      <c r="M244" s="642">
        <v>5</v>
      </c>
      <c r="N244" s="643">
        <v>2887.3402250268059</v>
      </c>
    </row>
    <row r="245" spans="1:14" ht="14.4" customHeight="1" x14ac:dyDescent="0.3">
      <c r="A245" s="638" t="s">
        <v>543</v>
      </c>
      <c r="B245" s="639" t="s">
        <v>544</v>
      </c>
      <c r="C245" s="640" t="s">
        <v>556</v>
      </c>
      <c r="D245" s="641" t="s">
        <v>1226</v>
      </c>
      <c r="E245" s="640" t="s">
        <v>562</v>
      </c>
      <c r="F245" s="641" t="s">
        <v>1228</v>
      </c>
      <c r="G245" s="640" t="s">
        <v>563</v>
      </c>
      <c r="H245" s="640" t="s">
        <v>1083</v>
      </c>
      <c r="I245" s="640" t="s">
        <v>1084</v>
      </c>
      <c r="J245" s="640" t="s">
        <v>1085</v>
      </c>
      <c r="K245" s="640" t="s">
        <v>1086</v>
      </c>
      <c r="L245" s="642">
        <v>585.76999999999987</v>
      </c>
      <c r="M245" s="642">
        <v>2</v>
      </c>
      <c r="N245" s="643">
        <v>1171.5399999999997</v>
      </c>
    </row>
    <row r="246" spans="1:14" ht="14.4" customHeight="1" x14ac:dyDescent="0.3">
      <c r="A246" s="638" t="s">
        <v>543</v>
      </c>
      <c r="B246" s="639" t="s">
        <v>544</v>
      </c>
      <c r="C246" s="640" t="s">
        <v>556</v>
      </c>
      <c r="D246" s="641" t="s">
        <v>1226</v>
      </c>
      <c r="E246" s="640" t="s">
        <v>562</v>
      </c>
      <c r="F246" s="641" t="s">
        <v>1228</v>
      </c>
      <c r="G246" s="640" t="s">
        <v>563</v>
      </c>
      <c r="H246" s="640" t="s">
        <v>1087</v>
      </c>
      <c r="I246" s="640" t="s">
        <v>1087</v>
      </c>
      <c r="J246" s="640" t="s">
        <v>1088</v>
      </c>
      <c r="K246" s="640" t="s">
        <v>1089</v>
      </c>
      <c r="L246" s="642">
        <v>247.50000874258643</v>
      </c>
      <c r="M246" s="642">
        <v>10</v>
      </c>
      <c r="N246" s="643">
        <v>2475.0000874258644</v>
      </c>
    </row>
    <row r="247" spans="1:14" ht="14.4" customHeight="1" x14ac:dyDescent="0.3">
      <c r="A247" s="638" t="s">
        <v>543</v>
      </c>
      <c r="B247" s="639" t="s">
        <v>544</v>
      </c>
      <c r="C247" s="640" t="s">
        <v>556</v>
      </c>
      <c r="D247" s="641" t="s">
        <v>1226</v>
      </c>
      <c r="E247" s="640" t="s">
        <v>562</v>
      </c>
      <c r="F247" s="641" t="s">
        <v>1228</v>
      </c>
      <c r="G247" s="640" t="s">
        <v>563</v>
      </c>
      <c r="H247" s="640" t="s">
        <v>1090</v>
      </c>
      <c r="I247" s="640" t="s">
        <v>591</v>
      </c>
      <c r="J247" s="640" t="s">
        <v>1091</v>
      </c>
      <c r="K247" s="640"/>
      <c r="L247" s="642">
        <v>337.15</v>
      </c>
      <c r="M247" s="642">
        <v>1</v>
      </c>
      <c r="N247" s="643">
        <v>337.15</v>
      </c>
    </row>
    <row r="248" spans="1:14" ht="14.4" customHeight="1" x14ac:dyDescent="0.3">
      <c r="A248" s="638" t="s">
        <v>543</v>
      </c>
      <c r="B248" s="639" t="s">
        <v>544</v>
      </c>
      <c r="C248" s="640" t="s">
        <v>556</v>
      </c>
      <c r="D248" s="641" t="s">
        <v>1226</v>
      </c>
      <c r="E248" s="640" t="s">
        <v>562</v>
      </c>
      <c r="F248" s="641" t="s">
        <v>1228</v>
      </c>
      <c r="G248" s="640" t="s">
        <v>563</v>
      </c>
      <c r="H248" s="640" t="s">
        <v>674</v>
      </c>
      <c r="I248" s="640" t="s">
        <v>675</v>
      </c>
      <c r="J248" s="640" t="s">
        <v>676</v>
      </c>
      <c r="K248" s="640" t="s">
        <v>677</v>
      </c>
      <c r="L248" s="642">
        <v>113.39000000000001</v>
      </c>
      <c r="M248" s="642">
        <v>5</v>
      </c>
      <c r="N248" s="643">
        <v>566.95000000000005</v>
      </c>
    </row>
    <row r="249" spans="1:14" ht="14.4" customHeight="1" x14ac:dyDescent="0.3">
      <c r="A249" s="638" t="s">
        <v>543</v>
      </c>
      <c r="B249" s="639" t="s">
        <v>544</v>
      </c>
      <c r="C249" s="640" t="s">
        <v>556</v>
      </c>
      <c r="D249" s="641" t="s">
        <v>1226</v>
      </c>
      <c r="E249" s="640" t="s">
        <v>562</v>
      </c>
      <c r="F249" s="641" t="s">
        <v>1228</v>
      </c>
      <c r="G249" s="640" t="s">
        <v>563</v>
      </c>
      <c r="H249" s="640" t="s">
        <v>1092</v>
      </c>
      <c r="I249" s="640" t="s">
        <v>591</v>
      </c>
      <c r="J249" s="640" t="s">
        <v>1093</v>
      </c>
      <c r="K249" s="640"/>
      <c r="L249" s="642">
        <v>217.37400000000008</v>
      </c>
      <c r="M249" s="642">
        <v>8.0000000000000002E-3</v>
      </c>
      <c r="N249" s="643">
        <v>1.7389920000000008</v>
      </c>
    </row>
    <row r="250" spans="1:14" ht="14.4" customHeight="1" x14ac:dyDescent="0.3">
      <c r="A250" s="638" t="s">
        <v>543</v>
      </c>
      <c r="B250" s="639" t="s">
        <v>544</v>
      </c>
      <c r="C250" s="640" t="s">
        <v>556</v>
      </c>
      <c r="D250" s="641" t="s">
        <v>1226</v>
      </c>
      <c r="E250" s="640" t="s">
        <v>562</v>
      </c>
      <c r="F250" s="641" t="s">
        <v>1228</v>
      </c>
      <c r="G250" s="640" t="s">
        <v>563</v>
      </c>
      <c r="H250" s="640" t="s">
        <v>678</v>
      </c>
      <c r="I250" s="640" t="s">
        <v>678</v>
      </c>
      <c r="J250" s="640" t="s">
        <v>679</v>
      </c>
      <c r="K250" s="640" t="s">
        <v>680</v>
      </c>
      <c r="L250" s="642">
        <v>63.77</v>
      </c>
      <c r="M250" s="642">
        <v>4</v>
      </c>
      <c r="N250" s="643">
        <v>255.08</v>
      </c>
    </row>
    <row r="251" spans="1:14" ht="14.4" customHeight="1" x14ac:dyDescent="0.3">
      <c r="A251" s="638" t="s">
        <v>543</v>
      </c>
      <c r="B251" s="639" t="s">
        <v>544</v>
      </c>
      <c r="C251" s="640" t="s">
        <v>556</v>
      </c>
      <c r="D251" s="641" t="s">
        <v>1226</v>
      </c>
      <c r="E251" s="640" t="s">
        <v>562</v>
      </c>
      <c r="F251" s="641" t="s">
        <v>1228</v>
      </c>
      <c r="G251" s="640" t="s">
        <v>563</v>
      </c>
      <c r="H251" s="640" t="s">
        <v>1094</v>
      </c>
      <c r="I251" s="640" t="s">
        <v>591</v>
      </c>
      <c r="J251" s="640" t="s">
        <v>1095</v>
      </c>
      <c r="K251" s="640"/>
      <c r="L251" s="642">
        <v>28.520007682842898</v>
      </c>
      <c r="M251" s="642">
        <v>1</v>
      </c>
      <c r="N251" s="643">
        <v>28.520007682842898</v>
      </c>
    </row>
    <row r="252" spans="1:14" ht="14.4" customHeight="1" x14ac:dyDescent="0.3">
      <c r="A252" s="638" t="s">
        <v>543</v>
      </c>
      <c r="B252" s="639" t="s">
        <v>544</v>
      </c>
      <c r="C252" s="640" t="s">
        <v>556</v>
      </c>
      <c r="D252" s="641" t="s">
        <v>1226</v>
      </c>
      <c r="E252" s="640" t="s">
        <v>562</v>
      </c>
      <c r="F252" s="641" t="s">
        <v>1228</v>
      </c>
      <c r="G252" s="640" t="s">
        <v>563</v>
      </c>
      <c r="H252" s="640" t="s">
        <v>681</v>
      </c>
      <c r="I252" s="640" t="s">
        <v>591</v>
      </c>
      <c r="J252" s="640" t="s">
        <v>682</v>
      </c>
      <c r="K252" s="640"/>
      <c r="L252" s="642">
        <v>82.698437744478838</v>
      </c>
      <c r="M252" s="642">
        <v>54</v>
      </c>
      <c r="N252" s="643">
        <v>4465.7156382018575</v>
      </c>
    </row>
    <row r="253" spans="1:14" ht="14.4" customHeight="1" x14ac:dyDescent="0.3">
      <c r="A253" s="638" t="s">
        <v>543</v>
      </c>
      <c r="B253" s="639" t="s">
        <v>544</v>
      </c>
      <c r="C253" s="640" t="s">
        <v>556</v>
      </c>
      <c r="D253" s="641" t="s">
        <v>1226</v>
      </c>
      <c r="E253" s="640" t="s">
        <v>562</v>
      </c>
      <c r="F253" s="641" t="s">
        <v>1228</v>
      </c>
      <c r="G253" s="640" t="s">
        <v>563</v>
      </c>
      <c r="H253" s="640" t="s">
        <v>689</v>
      </c>
      <c r="I253" s="640" t="s">
        <v>689</v>
      </c>
      <c r="J253" s="640" t="s">
        <v>690</v>
      </c>
      <c r="K253" s="640" t="s">
        <v>691</v>
      </c>
      <c r="L253" s="642">
        <v>48.642495643599943</v>
      </c>
      <c r="M253" s="642">
        <v>8</v>
      </c>
      <c r="N253" s="643">
        <v>389.13996514879955</v>
      </c>
    </row>
    <row r="254" spans="1:14" ht="14.4" customHeight="1" x14ac:dyDescent="0.3">
      <c r="A254" s="638" t="s">
        <v>543</v>
      </c>
      <c r="B254" s="639" t="s">
        <v>544</v>
      </c>
      <c r="C254" s="640" t="s">
        <v>556</v>
      </c>
      <c r="D254" s="641" t="s">
        <v>1226</v>
      </c>
      <c r="E254" s="640" t="s">
        <v>562</v>
      </c>
      <c r="F254" s="641" t="s">
        <v>1228</v>
      </c>
      <c r="G254" s="640" t="s">
        <v>563</v>
      </c>
      <c r="H254" s="640" t="s">
        <v>1096</v>
      </c>
      <c r="I254" s="640" t="s">
        <v>591</v>
      </c>
      <c r="J254" s="640" t="s">
        <v>1097</v>
      </c>
      <c r="K254" s="640"/>
      <c r="L254" s="642">
        <v>232.53655065013174</v>
      </c>
      <c r="M254" s="642">
        <v>3</v>
      </c>
      <c r="N254" s="643">
        <v>697.60965195039523</v>
      </c>
    </row>
    <row r="255" spans="1:14" ht="14.4" customHeight="1" x14ac:dyDescent="0.3">
      <c r="A255" s="638" t="s">
        <v>543</v>
      </c>
      <c r="B255" s="639" t="s">
        <v>544</v>
      </c>
      <c r="C255" s="640" t="s">
        <v>556</v>
      </c>
      <c r="D255" s="641" t="s">
        <v>1226</v>
      </c>
      <c r="E255" s="640" t="s">
        <v>562</v>
      </c>
      <c r="F255" s="641" t="s">
        <v>1228</v>
      </c>
      <c r="G255" s="640" t="s">
        <v>563</v>
      </c>
      <c r="H255" s="640" t="s">
        <v>1098</v>
      </c>
      <c r="I255" s="640" t="s">
        <v>591</v>
      </c>
      <c r="J255" s="640" t="s">
        <v>1099</v>
      </c>
      <c r="K255" s="640"/>
      <c r="L255" s="642">
        <v>154.22999999999999</v>
      </c>
      <c r="M255" s="642">
        <v>1</v>
      </c>
      <c r="N255" s="643">
        <v>154.22999999999999</v>
      </c>
    </row>
    <row r="256" spans="1:14" ht="14.4" customHeight="1" x14ac:dyDescent="0.3">
      <c r="A256" s="638" t="s">
        <v>543</v>
      </c>
      <c r="B256" s="639" t="s">
        <v>544</v>
      </c>
      <c r="C256" s="640" t="s">
        <v>556</v>
      </c>
      <c r="D256" s="641" t="s">
        <v>1226</v>
      </c>
      <c r="E256" s="640" t="s">
        <v>562</v>
      </c>
      <c r="F256" s="641" t="s">
        <v>1228</v>
      </c>
      <c r="G256" s="640" t="s">
        <v>563</v>
      </c>
      <c r="H256" s="640" t="s">
        <v>832</v>
      </c>
      <c r="I256" s="640" t="s">
        <v>591</v>
      </c>
      <c r="J256" s="640" t="s">
        <v>833</v>
      </c>
      <c r="K256" s="640"/>
      <c r="L256" s="642">
        <v>487.6248588982653</v>
      </c>
      <c r="M256" s="642">
        <v>9</v>
      </c>
      <c r="N256" s="643">
        <v>4388.6237300843877</v>
      </c>
    </row>
    <row r="257" spans="1:14" ht="14.4" customHeight="1" x14ac:dyDescent="0.3">
      <c r="A257" s="638" t="s">
        <v>543</v>
      </c>
      <c r="B257" s="639" t="s">
        <v>544</v>
      </c>
      <c r="C257" s="640" t="s">
        <v>556</v>
      </c>
      <c r="D257" s="641" t="s">
        <v>1226</v>
      </c>
      <c r="E257" s="640" t="s">
        <v>562</v>
      </c>
      <c r="F257" s="641" t="s">
        <v>1228</v>
      </c>
      <c r="G257" s="640" t="s">
        <v>563</v>
      </c>
      <c r="H257" s="640" t="s">
        <v>1100</v>
      </c>
      <c r="I257" s="640" t="s">
        <v>1100</v>
      </c>
      <c r="J257" s="640" t="s">
        <v>1101</v>
      </c>
      <c r="K257" s="640" t="s">
        <v>1102</v>
      </c>
      <c r="L257" s="642">
        <v>59.150127500980773</v>
      </c>
      <c r="M257" s="642">
        <v>1</v>
      </c>
      <c r="N257" s="643">
        <v>59.150127500980773</v>
      </c>
    </row>
    <row r="258" spans="1:14" ht="14.4" customHeight="1" x14ac:dyDescent="0.3">
      <c r="A258" s="638" t="s">
        <v>543</v>
      </c>
      <c r="B258" s="639" t="s">
        <v>544</v>
      </c>
      <c r="C258" s="640" t="s">
        <v>556</v>
      </c>
      <c r="D258" s="641" t="s">
        <v>1226</v>
      </c>
      <c r="E258" s="640" t="s">
        <v>562</v>
      </c>
      <c r="F258" s="641" t="s">
        <v>1228</v>
      </c>
      <c r="G258" s="640" t="s">
        <v>563</v>
      </c>
      <c r="H258" s="640" t="s">
        <v>1103</v>
      </c>
      <c r="I258" s="640" t="s">
        <v>1104</v>
      </c>
      <c r="J258" s="640" t="s">
        <v>1105</v>
      </c>
      <c r="K258" s="640" t="s">
        <v>1106</v>
      </c>
      <c r="L258" s="642">
        <v>3161.73</v>
      </c>
      <c r="M258" s="642">
        <v>4</v>
      </c>
      <c r="N258" s="643">
        <v>12646.92</v>
      </c>
    </row>
    <row r="259" spans="1:14" ht="14.4" customHeight="1" x14ac:dyDescent="0.3">
      <c r="A259" s="638" t="s">
        <v>543</v>
      </c>
      <c r="B259" s="639" t="s">
        <v>544</v>
      </c>
      <c r="C259" s="640" t="s">
        <v>556</v>
      </c>
      <c r="D259" s="641" t="s">
        <v>1226</v>
      </c>
      <c r="E259" s="640" t="s">
        <v>562</v>
      </c>
      <c r="F259" s="641" t="s">
        <v>1228</v>
      </c>
      <c r="G259" s="640" t="s">
        <v>563</v>
      </c>
      <c r="H259" s="640" t="s">
        <v>1107</v>
      </c>
      <c r="I259" s="640" t="s">
        <v>1107</v>
      </c>
      <c r="J259" s="640" t="s">
        <v>1108</v>
      </c>
      <c r="K259" s="640" t="s">
        <v>1109</v>
      </c>
      <c r="L259" s="642">
        <v>26.950000000000003</v>
      </c>
      <c r="M259" s="642">
        <v>3</v>
      </c>
      <c r="N259" s="643">
        <v>80.850000000000009</v>
      </c>
    </row>
    <row r="260" spans="1:14" ht="14.4" customHeight="1" x14ac:dyDescent="0.3">
      <c r="A260" s="638" t="s">
        <v>543</v>
      </c>
      <c r="B260" s="639" t="s">
        <v>544</v>
      </c>
      <c r="C260" s="640" t="s">
        <v>556</v>
      </c>
      <c r="D260" s="641" t="s">
        <v>1226</v>
      </c>
      <c r="E260" s="640" t="s">
        <v>562</v>
      </c>
      <c r="F260" s="641" t="s">
        <v>1228</v>
      </c>
      <c r="G260" s="640" t="s">
        <v>741</v>
      </c>
      <c r="H260" s="640" t="s">
        <v>1110</v>
      </c>
      <c r="I260" s="640" t="s">
        <v>1111</v>
      </c>
      <c r="J260" s="640" t="s">
        <v>1112</v>
      </c>
      <c r="K260" s="640" t="s">
        <v>1113</v>
      </c>
      <c r="L260" s="642">
        <v>67.110000000000014</v>
      </c>
      <c r="M260" s="642">
        <v>1</v>
      </c>
      <c r="N260" s="643">
        <v>67.110000000000014</v>
      </c>
    </row>
    <row r="261" spans="1:14" ht="14.4" customHeight="1" x14ac:dyDescent="0.3">
      <c r="A261" s="638" t="s">
        <v>543</v>
      </c>
      <c r="B261" s="639" t="s">
        <v>544</v>
      </c>
      <c r="C261" s="640" t="s">
        <v>556</v>
      </c>
      <c r="D261" s="641" t="s">
        <v>1226</v>
      </c>
      <c r="E261" s="640" t="s">
        <v>562</v>
      </c>
      <c r="F261" s="641" t="s">
        <v>1228</v>
      </c>
      <c r="G261" s="640" t="s">
        <v>741</v>
      </c>
      <c r="H261" s="640" t="s">
        <v>1114</v>
      </c>
      <c r="I261" s="640" t="s">
        <v>1115</v>
      </c>
      <c r="J261" s="640" t="s">
        <v>1116</v>
      </c>
      <c r="K261" s="640" t="s">
        <v>1117</v>
      </c>
      <c r="L261" s="642">
        <v>49.407142857142858</v>
      </c>
      <c r="M261" s="642">
        <v>7</v>
      </c>
      <c r="N261" s="643">
        <v>345.85</v>
      </c>
    </row>
    <row r="262" spans="1:14" ht="14.4" customHeight="1" x14ac:dyDescent="0.3">
      <c r="A262" s="638" t="s">
        <v>543</v>
      </c>
      <c r="B262" s="639" t="s">
        <v>544</v>
      </c>
      <c r="C262" s="640" t="s">
        <v>556</v>
      </c>
      <c r="D262" s="641" t="s">
        <v>1226</v>
      </c>
      <c r="E262" s="640" t="s">
        <v>562</v>
      </c>
      <c r="F262" s="641" t="s">
        <v>1228</v>
      </c>
      <c r="G262" s="640" t="s">
        <v>741</v>
      </c>
      <c r="H262" s="640" t="s">
        <v>1118</v>
      </c>
      <c r="I262" s="640" t="s">
        <v>1119</v>
      </c>
      <c r="J262" s="640" t="s">
        <v>1120</v>
      </c>
      <c r="K262" s="640" t="s">
        <v>1121</v>
      </c>
      <c r="L262" s="642">
        <v>83.889829957356852</v>
      </c>
      <c r="M262" s="642">
        <v>420</v>
      </c>
      <c r="N262" s="643">
        <v>35233.728582089876</v>
      </c>
    </row>
    <row r="263" spans="1:14" ht="14.4" customHeight="1" x14ac:dyDescent="0.3">
      <c r="A263" s="638" t="s">
        <v>543</v>
      </c>
      <c r="B263" s="639" t="s">
        <v>544</v>
      </c>
      <c r="C263" s="640" t="s">
        <v>556</v>
      </c>
      <c r="D263" s="641" t="s">
        <v>1226</v>
      </c>
      <c r="E263" s="640" t="s">
        <v>562</v>
      </c>
      <c r="F263" s="641" t="s">
        <v>1228</v>
      </c>
      <c r="G263" s="640" t="s">
        <v>741</v>
      </c>
      <c r="H263" s="640" t="s">
        <v>1122</v>
      </c>
      <c r="I263" s="640" t="s">
        <v>1123</v>
      </c>
      <c r="J263" s="640" t="s">
        <v>1124</v>
      </c>
      <c r="K263" s="640" t="s">
        <v>1125</v>
      </c>
      <c r="L263" s="642">
        <v>90.070000000000007</v>
      </c>
      <c r="M263" s="642">
        <v>4</v>
      </c>
      <c r="N263" s="643">
        <v>360.28000000000003</v>
      </c>
    </row>
    <row r="264" spans="1:14" ht="14.4" customHeight="1" x14ac:dyDescent="0.3">
      <c r="A264" s="638" t="s">
        <v>543</v>
      </c>
      <c r="B264" s="639" t="s">
        <v>544</v>
      </c>
      <c r="C264" s="640" t="s">
        <v>556</v>
      </c>
      <c r="D264" s="641" t="s">
        <v>1226</v>
      </c>
      <c r="E264" s="640" t="s">
        <v>562</v>
      </c>
      <c r="F264" s="641" t="s">
        <v>1228</v>
      </c>
      <c r="G264" s="640" t="s">
        <v>741</v>
      </c>
      <c r="H264" s="640" t="s">
        <v>1126</v>
      </c>
      <c r="I264" s="640" t="s">
        <v>1126</v>
      </c>
      <c r="J264" s="640" t="s">
        <v>1127</v>
      </c>
      <c r="K264" s="640" t="s">
        <v>1128</v>
      </c>
      <c r="L264" s="642">
        <v>0</v>
      </c>
      <c r="M264" s="642">
        <v>0</v>
      </c>
      <c r="N264" s="643">
        <v>0</v>
      </c>
    </row>
    <row r="265" spans="1:14" ht="14.4" customHeight="1" x14ac:dyDescent="0.3">
      <c r="A265" s="638" t="s">
        <v>543</v>
      </c>
      <c r="B265" s="639" t="s">
        <v>544</v>
      </c>
      <c r="C265" s="640" t="s">
        <v>556</v>
      </c>
      <c r="D265" s="641" t="s">
        <v>1226</v>
      </c>
      <c r="E265" s="640" t="s">
        <v>562</v>
      </c>
      <c r="F265" s="641" t="s">
        <v>1228</v>
      </c>
      <c r="G265" s="640" t="s">
        <v>741</v>
      </c>
      <c r="H265" s="640" t="s">
        <v>1129</v>
      </c>
      <c r="I265" s="640" t="s">
        <v>1129</v>
      </c>
      <c r="J265" s="640" t="s">
        <v>1130</v>
      </c>
      <c r="K265" s="640" t="s">
        <v>1131</v>
      </c>
      <c r="L265" s="642">
        <v>67.451049660831387</v>
      </c>
      <c r="M265" s="642">
        <v>27</v>
      </c>
      <c r="N265" s="643">
        <v>1821.1783408424474</v>
      </c>
    </row>
    <row r="266" spans="1:14" ht="14.4" customHeight="1" x14ac:dyDescent="0.3">
      <c r="A266" s="638" t="s">
        <v>543</v>
      </c>
      <c r="B266" s="639" t="s">
        <v>544</v>
      </c>
      <c r="C266" s="640" t="s">
        <v>556</v>
      </c>
      <c r="D266" s="641" t="s">
        <v>1226</v>
      </c>
      <c r="E266" s="640" t="s">
        <v>700</v>
      </c>
      <c r="F266" s="641" t="s">
        <v>1229</v>
      </c>
      <c r="G266" s="640"/>
      <c r="H266" s="640" t="s">
        <v>1132</v>
      </c>
      <c r="I266" s="640" t="s">
        <v>1133</v>
      </c>
      <c r="J266" s="640" t="s">
        <v>1134</v>
      </c>
      <c r="K266" s="640" t="s">
        <v>1135</v>
      </c>
      <c r="L266" s="642">
        <v>205.08333333333334</v>
      </c>
      <c r="M266" s="642">
        <v>6</v>
      </c>
      <c r="N266" s="643">
        <v>1230.5</v>
      </c>
    </row>
    <row r="267" spans="1:14" ht="14.4" customHeight="1" x14ac:dyDescent="0.3">
      <c r="A267" s="638" t="s">
        <v>543</v>
      </c>
      <c r="B267" s="639" t="s">
        <v>544</v>
      </c>
      <c r="C267" s="640" t="s">
        <v>556</v>
      </c>
      <c r="D267" s="641" t="s">
        <v>1226</v>
      </c>
      <c r="E267" s="640" t="s">
        <v>700</v>
      </c>
      <c r="F267" s="641" t="s">
        <v>1229</v>
      </c>
      <c r="G267" s="640"/>
      <c r="H267" s="640" t="s">
        <v>1136</v>
      </c>
      <c r="I267" s="640" t="s">
        <v>1137</v>
      </c>
      <c r="J267" s="640" t="s">
        <v>1138</v>
      </c>
      <c r="K267" s="640"/>
      <c r="L267" s="642">
        <v>188.54999314396946</v>
      </c>
      <c r="M267" s="642">
        <v>1</v>
      </c>
      <c r="N267" s="643">
        <v>188.54999314396946</v>
      </c>
    </row>
    <row r="268" spans="1:14" ht="14.4" customHeight="1" x14ac:dyDescent="0.3">
      <c r="A268" s="638" t="s">
        <v>543</v>
      </c>
      <c r="B268" s="639" t="s">
        <v>544</v>
      </c>
      <c r="C268" s="640" t="s">
        <v>556</v>
      </c>
      <c r="D268" s="641" t="s">
        <v>1226</v>
      </c>
      <c r="E268" s="640" t="s">
        <v>700</v>
      </c>
      <c r="F268" s="641" t="s">
        <v>1229</v>
      </c>
      <c r="G268" s="640" t="s">
        <v>563</v>
      </c>
      <c r="H268" s="640" t="s">
        <v>1139</v>
      </c>
      <c r="I268" s="640" t="s">
        <v>591</v>
      </c>
      <c r="J268" s="640" t="s">
        <v>1140</v>
      </c>
      <c r="K268" s="640"/>
      <c r="L268" s="642">
        <v>319.78000000000003</v>
      </c>
      <c r="M268" s="642">
        <v>11</v>
      </c>
      <c r="N268" s="643">
        <v>3517.5800000000004</v>
      </c>
    </row>
    <row r="269" spans="1:14" ht="14.4" customHeight="1" x14ac:dyDescent="0.3">
      <c r="A269" s="638" t="s">
        <v>543</v>
      </c>
      <c r="B269" s="639" t="s">
        <v>544</v>
      </c>
      <c r="C269" s="640" t="s">
        <v>556</v>
      </c>
      <c r="D269" s="641" t="s">
        <v>1226</v>
      </c>
      <c r="E269" s="640" t="s">
        <v>700</v>
      </c>
      <c r="F269" s="641" t="s">
        <v>1229</v>
      </c>
      <c r="G269" s="640" t="s">
        <v>563</v>
      </c>
      <c r="H269" s="640" t="s">
        <v>1141</v>
      </c>
      <c r="I269" s="640" t="s">
        <v>591</v>
      </c>
      <c r="J269" s="640" t="s">
        <v>1142</v>
      </c>
      <c r="K269" s="640"/>
      <c r="L269" s="642">
        <v>412.63008865792767</v>
      </c>
      <c r="M269" s="642">
        <v>36</v>
      </c>
      <c r="N269" s="643">
        <v>14854.683191685395</v>
      </c>
    </row>
    <row r="270" spans="1:14" ht="14.4" customHeight="1" x14ac:dyDescent="0.3">
      <c r="A270" s="638" t="s">
        <v>543</v>
      </c>
      <c r="B270" s="639" t="s">
        <v>544</v>
      </c>
      <c r="C270" s="640" t="s">
        <v>556</v>
      </c>
      <c r="D270" s="641" t="s">
        <v>1226</v>
      </c>
      <c r="E270" s="640" t="s">
        <v>700</v>
      </c>
      <c r="F270" s="641" t="s">
        <v>1229</v>
      </c>
      <c r="G270" s="640" t="s">
        <v>563</v>
      </c>
      <c r="H270" s="640" t="s">
        <v>1143</v>
      </c>
      <c r="I270" s="640" t="s">
        <v>591</v>
      </c>
      <c r="J270" s="640" t="s">
        <v>1144</v>
      </c>
      <c r="K270" s="640"/>
      <c r="L270" s="642">
        <v>272.68995618233464</v>
      </c>
      <c r="M270" s="642">
        <v>180</v>
      </c>
      <c r="N270" s="643">
        <v>49084.19211282023</v>
      </c>
    </row>
    <row r="271" spans="1:14" ht="14.4" customHeight="1" x14ac:dyDescent="0.3">
      <c r="A271" s="638" t="s">
        <v>543</v>
      </c>
      <c r="B271" s="639" t="s">
        <v>544</v>
      </c>
      <c r="C271" s="640" t="s">
        <v>556</v>
      </c>
      <c r="D271" s="641" t="s">
        <v>1226</v>
      </c>
      <c r="E271" s="640" t="s">
        <v>700</v>
      </c>
      <c r="F271" s="641" t="s">
        <v>1229</v>
      </c>
      <c r="G271" s="640" t="s">
        <v>563</v>
      </c>
      <c r="H271" s="640" t="s">
        <v>701</v>
      </c>
      <c r="I271" s="640" t="s">
        <v>591</v>
      </c>
      <c r="J271" s="640" t="s">
        <v>702</v>
      </c>
      <c r="K271" s="640"/>
      <c r="L271" s="642">
        <v>480.74007437861752</v>
      </c>
      <c r="M271" s="642">
        <v>128</v>
      </c>
      <c r="N271" s="643">
        <v>61534.729520463043</v>
      </c>
    </row>
    <row r="272" spans="1:14" ht="14.4" customHeight="1" x14ac:dyDescent="0.3">
      <c r="A272" s="638" t="s">
        <v>543</v>
      </c>
      <c r="B272" s="639" t="s">
        <v>544</v>
      </c>
      <c r="C272" s="640" t="s">
        <v>556</v>
      </c>
      <c r="D272" s="641" t="s">
        <v>1226</v>
      </c>
      <c r="E272" s="640" t="s">
        <v>700</v>
      </c>
      <c r="F272" s="641" t="s">
        <v>1229</v>
      </c>
      <c r="G272" s="640" t="s">
        <v>563</v>
      </c>
      <c r="H272" s="640" t="s">
        <v>1145</v>
      </c>
      <c r="I272" s="640" t="s">
        <v>591</v>
      </c>
      <c r="J272" s="640" t="s">
        <v>1146</v>
      </c>
      <c r="K272" s="640"/>
      <c r="L272" s="642">
        <v>426.67247106331854</v>
      </c>
      <c r="M272" s="642">
        <v>30</v>
      </c>
      <c r="N272" s="643">
        <v>12800.174131899556</v>
      </c>
    </row>
    <row r="273" spans="1:14" ht="14.4" customHeight="1" x14ac:dyDescent="0.3">
      <c r="A273" s="638" t="s">
        <v>543</v>
      </c>
      <c r="B273" s="639" t="s">
        <v>544</v>
      </c>
      <c r="C273" s="640" t="s">
        <v>556</v>
      </c>
      <c r="D273" s="641" t="s">
        <v>1226</v>
      </c>
      <c r="E273" s="640" t="s">
        <v>700</v>
      </c>
      <c r="F273" s="641" t="s">
        <v>1229</v>
      </c>
      <c r="G273" s="640" t="s">
        <v>563</v>
      </c>
      <c r="H273" s="640" t="s">
        <v>1147</v>
      </c>
      <c r="I273" s="640" t="s">
        <v>591</v>
      </c>
      <c r="J273" s="640" t="s">
        <v>1148</v>
      </c>
      <c r="K273" s="640"/>
      <c r="L273" s="642">
        <v>700.37999999999988</v>
      </c>
      <c r="M273" s="642">
        <v>21</v>
      </c>
      <c r="N273" s="643">
        <v>14707.979999999998</v>
      </c>
    </row>
    <row r="274" spans="1:14" ht="14.4" customHeight="1" x14ac:dyDescent="0.3">
      <c r="A274" s="638" t="s">
        <v>543</v>
      </c>
      <c r="B274" s="639" t="s">
        <v>544</v>
      </c>
      <c r="C274" s="640" t="s">
        <v>556</v>
      </c>
      <c r="D274" s="641" t="s">
        <v>1226</v>
      </c>
      <c r="E274" s="640" t="s">
        <v>700</v>
      </c>
      <c r="F274" s="641" t="s">
        <v>1229</v>
      </c>
      <c r="G274" s="640" t="s">
        <v>563</v>
      </c>
      <c r="H274" s="640" t="s">
        <v>1149</v>
      </c>
      <c r="I274" s="640" t="s">
        <v>591</v>
      </c>
      <c r="J274" s="640" t="s">
        <v>1150</v>
      </c>
      <c r="K274" s="640"/>
      <c r="L274" s="642">
        <v>412.63023142196954</v>
      </c>
      <c r="M274" s="642">
        <v>20</v>
      </c>
      <c r="N274" s="643">
        <v>8252.6046284393906</v>
      </c>
    </row>
    <row r="275" spans="1:14" ht="14.4" customHeight="1" x14ac:dyDescent="0.3">
      <c r="A275" s="638" t="s">
        <v>543</v>
      </c>
      <c r="B275" s="639" t="s">
        <v>544</v>
      </c>
      <c r="C275" s="640" t="s">
        <v>556</v>
      </c>
      <c r="D275" s="641" t="s">
        <v>1226</v>
      </c>
      <c r="E275" s="640" t="s">
        <v>700</v>
      </c>
      <c r="F275" s="641" t="s">
        <v>1229</v>
      </c>
      <c r="G275" s="640" t="s">
        <v>563</v>
      </c>
      <c r="H275" s="640" t="s">
        <v>703</v>
      </c>
      <c r="I275" s="640" t="s">
        <v>591</v>
      </c>
      <c r="J275" s="640" t="s">
        <v>704</v>
      </c>
      <c r="K275" s="640"/>
      <c r="L275" s="642">
        <v>913.10044406575651</v>
      </c>
      <c r="M275" s="642">
        <v>33</v>
      </c>
      <c r="N275" s="643">
        <v>30132.314654169964</v>
      </c>
    </row>
    <row r="276" spans="1:14" ht="14.4" customHeight="1" x14ac:dyDescent="0.3">
      <c r="A276" s="638" t="s">
        <v>543</v>
      </c>
      <c r="B276" s="639" t="s">
        <v>544</v>
      </c>
      <c r="C276" s="640" t="s">
        <v>556</v>
      </c>
      <c r="D276" s="641" t="s">
        <v>1226</v>
      </c>
      <c r="E276" s="640" t="s">
        <v>700</v>
      </c>
      <c r="F276" s="641" t="s">
        <v>1229</v>
      </c>
      <c r="G276" s="640" t="s">
        <v>563</v>
      </c>
      <c r="H276" s="640" t="s">
        <v>1151</v>
      </c>
      <c r="I276" s="640" t="s">
        <v>591</v>
      </c>
      <c r="J276" s="640" t="s">
        <v>1152</v>
      </c>
      <c r="K276" s="640"/>
      <c r="L276" s="642">
        <v>396.58003463378691</v>
      </c>
      <c r="M276" s="642">
        <v>12</v>
      </c>
      <c r="N276" s="643">
        <v>4758.9604156054429</v>
      </c>
    </row>
    <row r="277" spans="1:14" ht="14.4" customHeight="1" x14ac:dyDescent="0.3">
      <c r="A277" s="638" t="s">
        <v>543</v>
      </c>
      <c r="B277" s="639" t="s">
        <v>544</v>
      </c>
      <c r="C277" s="640" t="s">
        <v>556</v>
      </c>
      <c r="D277" s="641" t="s">
        <v>1226</v>
      </c>
      <c r="E277" s="640" t="s">
        <v>700</v>
      </c>
      <c r="F277" s="641" t="s">
        <v>1229</v>
      </c>
      <c r="G277" s="640" t="s">
        <v>741</v>
      </c>
      <c r="H277" s="640" t="s">
        <v>1153</v>
      </c>
      <c r="I277" s="640" t="s">
        <v>1153</v>
      </c>
      <c r="J277" s="640" t="s">
        <v>1154</v>
      </c>
      <c r="K277" s="640" t="s">
        <v>1155</v>
      </c>
      <c r="L277" s="642">
        <v>1872.7879352240332</v>
      </c>
      <c r="M277" s="642">
        <v>1</v>
      </c>
      <c r="N277" s="643">
        <v>1872.7879352240332</v>
      </c>
    </row>
    <row r="278" spans="1:14" ht="14.4" customHeight="1" x14ac:dyDescent="0.3">
      <c r="A278" s="638" t="s">
        <v>543</v>
      </c>
      <c r="B278" s="639" t="s">
        <v>544</v>
      </c>
      <c r="C278" s="640" t="s">
        <v>556</v>
      </c>
      <c r="D278" s="641" t="s">
        <v>1226</v>
      </c>
      <c r="E278" s="640" t="s">
        <v>705</v>
      </c>
      <c r="F278" s="641" t="s">
        <v>1230</v>
      </c>
      <c r="G278" s="640"/>
      <c r="H278" s="640" t="s">
        <v>1156</v>
      </c>
      <c r="I278" s="640" t="s">
        <v>1156</v>
      </c>
      <c r="J278" s="640" t="s">
        <v>1157</v>
      </c>
      <c r="K278" s="640" t="s">
        <v>858</v>
      </c>
      <c r="L278" s="642">
        <v>868.99999999999989</v>
      </c>
      <c r="M278" s="642">
        <v>1.1000000000000001</v>
      </c>
      <c r="N278" s="643">
        <v>955.9</v>
      </c>
    </row>
    <row r="279" spans="1:14" ht="14.4" customHeight="1" x14ac:dyDescent="0.3">
      <c r="A279" s="638" t="s">
        <v>543</v>
      </c>
      <c r="B279" s="639" t="s">
        <v>544</v>
      </c>
      <c r="C279" s="640" t="s">
        <v>556</v>
      </c>
      <c r="D279" s="641" t="s">
        <v>1226</v>
      </c>
      <c r="E279" s="640" t="s">
        <v>705</v>
      </c>
      <c r="F279" s="641" t="s">
        <v>1230</v>
      </c>
      <c r="G279" s="640" t="s">
        <v>563</v>
      </c>
      <c r="H279" s="640" t="s">
        <v>1158</v>
      </c>
      <c r="I279" s="640" t="s">
        <v>1159</v>
      </c>
      <c r="J279" s="640" t="s">
        <v>1160</v>
      </c>
      <c r="K279" s="640" t="s">
        <v>1161</v>
      </c>
      <c r="L279" s="642">
        <v>23.77013580356633</v>
      </c>
      <c r="M279" s="642">
        <v>10</v>
      </c>
      <c r="N279" s="643">
        <v>237.7013580356633</v>
      </c>
    </row>
    <row r="280" spans="1:14" ht="14.4" customHeight="1" x14ac:dyDescent="0.3">
      <c r="A280" s="638" t="s">
        <v>543</v>
      </c>
      <c r="B280" s="639" t="s">
        <v>544</v>
      </c>
      <c r="C280" s="640" t="s">
        <v>556</v>
      </c>
      <c r="D280" s="641" t="s">
        <v>1226</v>
      </c>
      <c r="E280" s="640" t="s">
        <v>705</v>
      </c>
      <c r="F280" s="641" t="s">
        <v>1230</v>
      </c>
      <c r="G280" s="640" t="s">
        <v>563</v>
      </c>
      <c r="H280" s="640" t="s">
        <v>1162</v>
      </c>
      <c r="I280" s="640" t="s">
        <v>1163</v>
      </c>
      <c r="J280" s="640" t="s">
        <v>1164</v>
      </c>
      <c r="K280" s="640" t="s">
        <v>737</v>
      </c>
      <c r="L280" s="642">
        <v>598.84</v>
      </c>
      <c r="M280" s="642">
        <v>2.4</v>
      </c>
      <c r="N280" s="643">
        <v>1437.2160000000001</v>
      </c>
    </row>
    <row r="281" spans="1:14" ht="14.4" customHeight="1" x14ac:dyDescent="0.3">
      <c r="A281" s="638" t="s">
        <v>543</v>
      </c>
      <c r="B281" s="639" t="s">
        <v>544</v>
      </c>
      <c r="C281" s="640" t="s">
        <v>556</v>
      </c>
      <c r="D281" s="641" t="s">
        <v>1226</v>
      </c>
      <c r="E281" s="640" t="s">
        <v>705</v>
      </c>
      <c r="F281" s="641" t="s">
        <v>1230</v>
      </c>
      <c r="G281" s="640" t="s">
        <v>563</v>
      </c>
      <c r="H281" s="640" t="s">
        <v>1165</v>
      </c>
      <c r="I281" s="640" t="s">
        <v>1165</v>
      </c>
      <c r="J281" s="640" t="s">
        <v>1166</v>
      </c>
      <c r="K281" s="640" t="s">
        <v>1167</v>
      </c>
      <c r="L281" s="642">
        <v>264</v>
      </c>
      <c r="M281" s="642">
        <v>4</v>
      </c>
      <c r="N281" s="643">
        <v>1056</v>
      </c>
    </row>
    <row r="282" spans="1:14" ht="14.4" customHeight="1" x14ac:dyDescent="0.3">
      <c r="A282" s="638" t="s">
        <v>543</v>
      </c>
      <c r="B282" s="639" t="s">
        <v>544</v>
      </c>
      <c r="C282" s="640" t="s">
        <v>556</v>
      </c>
      <c r="D282" s="641" t="s">
        <v>1226</v>
      </c>
      <c r="E282" s="640" t="s">
        <v>705</v>
      </c>
      <c r="F282" s="641" t="s">
        <v>1230</v>
      </c>
      <c r="G282" s="640" t="s">
        <v>563</v>
      </c>
      <c r="H282" s="640" t="s">
        <v>1168</v>
      </c>
      <c r="I282" s="640" t="s">
        <v>1169</v>
      </c>
      <c r="J282" s="640" t="s">
        <v>1170</v>
      </c>
      <c r="K282" s="640" t="s">
        <v>1006</v>
      </c>
      <c r="L282" s="642">
        <v>73.439999999999969</v>
      </c>
      <c r="M282" s="642">
        <v>1</v>
      </c>
      <c r="N282" s="643">
        <v>73.439999999999969</v>
      </c>
    </row>
    <row r="283" spans="1:14" ht="14.4" customHeight="1" x14ac:dyDescent="0.3">
      <c r="A283" s="638" t="s">
        <v>543</v>
      </c>
      <c r="B283" s="639" t="s">
        <v>544</v>
      </c>
      <c r="C283" s="640" t="s">
        <v>556</v>
      </c>
      <c r="D283" s="641" t="s">
        <v>1226</v>
      </c>
      <c r="E283" s="640" t="s">
        <v>705</v>
      </c>
      <c r="F283" s="641" t="s">
        <v>1230</v>
      </c>
      <c r="G283" s="640" t="s">
        <v>563</v>
      </c>
      <c r="H283" s="640" t="s">
        <v>1171</v>
      </c>
      <c r="I283" s="640" t="s">
        <v>1172</v>
      </c>
      <c r="J283" s="640" t="s">
        <v>1173</v>
      </c>
      <c r="K283" s="640" t="s">
        <v>938</v>
      </c>
      <c r="L283" s="642">
        <v>235.77020624193034</v>
      </c>
      <c r="M283" s="642">
        <v>5</v>
      </c>
      <c r="N283" s="643">
        <v>1178.8510312096516</v>
      </c>
    </row>
    <row r="284" spans="1:14" ht="14.4" customHeight="1" x14ac:dyDescent="0.3">
      <c r="A284" s="638" t="s">
        <v>543</v>
      </c>
      <c r="B284" s="639" t="s">
        <v>544</v>
      </c>
      <c r="C284" s="640" t="s">
        <v>556</v>
      </c>
      <c r="D284" s="641" t="s">
        <v>1226</v>
      </c>
      <c r="E284" s="640" t="s">
        <v>705</v>
      </c>
      <c r="F284" s="641" t="s">
        <v>1230</v>
      </c>
      <c r="G284" s="640" t="s">
        <v>563</v>
      </c>
      <c r="H284" s="640" t="s">
        <v>714</v>
      </c>
      <c r="I284" s="640" t="s">
        <v>714</v>
      </c>
      <c r="J284" s="640" t="s">
        <v>715</v>
      </c>
      <c r="K284" s="640" t="s">
        <v>716</v>
      </c>
      <c r="L284" s="642">
        <v>132.07650971986664</v>
      </c>
      <c r="M284" s="642">
        <v>30.6</v>
      </c>
      <c r="N284" s="643">
        <v>4041.5411974279191</v>
      </c>
    </row>
    <row r="285" spans="1:14" ht="14.4" customHeight="1" x14ac:dyDescent="0.3">
      <c r="A285" s="638" t="s">
        <v>543</v>
      </c>
      <c r="B285" s="639" t="s">
        <v>544</v>
      </c>
      <c r="C285" s="640" t="s">
        <v>556</v>
      </c>
      <c r="D285" s="641" t="s">
        <v>1226</v>
      </c>
      <c r="E285" s="640" t="s">
        <v>705</v>
      </c>
      <c r="F285" s="641" t="s">
        <v>1230</v>
      </c>
      <c r="G285" s="640" t="s">
        <v>563</v>
      </c>
      <c r="H285" s="640" t="s">
        <v>837</v>
      </c>
      <c r="I285" s="640" t="s">
        <v>838</v>
      </c>
      <c r="J285" s="640" t="s">
        <v>739</v>
      </c>
      <c r="K285" s="640" t="s">
        <v>740</v>
      </c>
      <c r="L285" s="642">
        <v>135.80034863559442</v>
      </c>
      <c r="M285" s="642">
        <v>31.9</v>
      </c>
      <c r="N285" s="643">
        <v>4332.031121475462</v>
      </c>
    </row>
    <row r="286" spans="1:14" ht="14.4" customHeight="1" x14ac:dyDescent="0.3">
      <c r="A286" s="638" t="s">
        <v>543</v>
      </c>
      <c r="B286" s="639" t="s">
        <v>544</v>
      </c>
      <c r="C286" s="640" t="s">
        <v>556</v>
      </c>
      <c r="D286" s="641" t="s">
        <v>1226</v>
      </c>
      <c r="E286" s="640" t="s">
        <v>705</v>
      </c>
      <c r="F286" s="641" t="s">
        <v>1230</v>
      </c>
      <c r="G286" s="640" t="s">
        <v>563</v>
      </c>
      <c r="H286" s="640" t="s">
        <v>717</v>
      </c>
      <c r="I286" s="640" t="s">
        <v>718</v>
      </c>
      <c r="J286" s="640" t="s">
        <v>719</v>
      </c>
      <c r="K286" s="640" t="s">
        <v>720</v>
      </c>
      <c r="L286" s="642">
        <v>59.822622222222243</v>
      </c>
      <c r="M286" s="642">
        <v>45</v>
      </c>
      <c r="N286" s="643">
        <v>2692.0180000000009</v>
      </c>
    </row>
    <row r="287" spans="1:14" ht="14.4" customHeight="1" x14ac:dyDescent="0.3">
      <c r="A287" s="638" t="s">
        <v>543</v>
      </c>
      <c r="B287" s="639" t="s">
        <v>544</v>
      </c>
      <c r="C287" s="640" t="s">
        <v>556</v>
      </c>
      <c r="D287" s="641" t="s">
        <v>1226</v>
      </c>
      <c r="E287" s="640" t="s">
        <v>705</v>
      </c>
      <c r="F287" s="641" t="s">
        <v>1230</v>
      </c>
      <c r="G287" s="640" t="s">
        <v>563</v>
      </c>
      <c r="H287" s="640" t="s">
        <v>725</v>
      </c>
      <c r="I287" s="640" t="s">
        <v>726</v>
      </c>
      <c r="J287" s="640" t="s">
        <v>727</v>
      </c>
      <c r="K287" s="640" t="s">
        <v>728</v>
      </c>
      <c r="L287" s="642">
        <v>46.83992707297741</v>
      </c>
      <c r="M287" s="642">
        <v>34</v>
      </c>
      <c r="N287" s="643">
        <v>1592.5575204812319</v>
      </c>
    </row>
    <row r="288" spans="1:14" ht="14.4" customHeight="1" x14ac:dyDescent="0.3">
      <c r="A288" s="638" t="s">
        <v>543</v>
      </c>
      <c r="B288" s="639" t="s">
        <v>544</v>
      </c>
      <c r="C288" s="640" t="s">
        <v>556</v>
      </c>
      <c r="D288" s="641" t="s">
        <v>1226</v>
      </c>
      <c r="E288" s="640" t="s">
        <v>705</v>
      </c>
      <c r="F288" s="641" t="s">
        <v>1230</v>
      </c>
      <c r="G288" s="640" t="s">
        <v>563</v>
      </c>
      <c r="H288" s="640" t="s">
        <v>839</v>
      </c>
      <c r="I288" s="640" t="s">
        <v>840</v>
      </c>
      <c r="J288" s="640" t="s">
        <v>841</v>
      </c>
      <c r="K288" s="640" t="s">
        <v>842</v>
      </c>
      <c r="L288" s="642">
        <v>73.905179856115112</v>
      </c>
      <c r="M288" s="642">
        <v>139</v>
      </c>
      <c r="N288" s="643">
        <v>10272.82</v>
      </c>
    </row>
    <row r="289" spans="1:14" ht="14.4" customHeight="1" x14ac:dyDescent="0.3">
      <c r="A289" s="638" t="s">
        <v>543</v>
      </c>
      <c r="B289" s="639" t="s">
        <v>544</v>
      </c>
      <c r="C289" s="640" t="s">
        <v>556</v>
      </c>
      <c r="D289" s="641" t="s">
        <v>1226</v>
      </c>
      <c r="E289" s="640" t="s">
        <v>705</v>
      </c>
      <c r="F289" s="641" t="s">
        <v>1230</v>
      </c>
      <c r="G289" s="640" t="s">
        <v>563</v>
      </c>
      <c r="H289" s="640" t="s">
        <v>1174</v>
      </c>
      <c r="I289" s="640" t="s">
        <v>1175</v>
      </c>
      <c r="J289" s="640" t="s">
        <v>727</v>
      </c>
      <c r="K289" s="640" t="s">
        <v>1176</v>
      </c>
      <c r="L289" s="642">
        <v>44.149999999999991</v>
      </c>
      <c r="M289" s="642">
        <v>4</v>
      </c>
      <c r="N289" s="643">
        <v>176.59999999999997</v>
      </c>
    </row>
    <row r="290" spans="1:14" ht="14.4" customHeight="1" x14ac:dyDescent="0.3">
      <c r="A290" s="638" t="s">
        <v>543</v>
      </c>
      <c r="B290" s="639" t="s">
        <v>544</v>
      </c>
      <c r="C290" s="640" t="s">
        <v>556</v>
      </c>
      <c r="D290" s="641" t="s">
        <v>1226</v>
      </c>
      <c r="E290" s="640" t="s">
        <v>705</v>
      </c>
      <c r="F290" s="641" t="s">
        <v>1230</v>
      </c>
      <c r="G290" s="640" t="s">
        <v>563</v>
      </c>
      <c r="H290" s="640" t="s">
        <v>843</v>
      </c>
      <c r="I290" s="640" t="s">
        <v>844</v>
      </c>
      <c r="J290" s="640" t="s">
        <v>845</v>
      </c>
      <c r="K290" s="640" t="s">
        <v>846</v>
      </c>
      <c r="L290" s="642">
        <v>772.07999999999993</v>
      </c>
      <c r="M290" s="642">
        <v>19.8</v>
      </c>
      <c r="N290" s="643">
        <v>15287.183999999999</v>
      </c>
    </row>
    <row r="291" spans="1:14" ht="14.4" customHeight="1" x14ac:dyDescent="0.3">
      <c r="A291" s="638" t="s">
        <v>543</v>
      </c>
      <c r="B291" s="639" t="s">
        <v>544</v>
      </c>
      <c r="C291" s="640" t="s">
        <v>556</v>
      </c>
      <c r="D291" s="641" t="s">
        <v>1226</v>
      </c>
      <c r="E291" s="640" t="s">
        <v>705</v>
      </c>
      <c r="F291" s="641" t="s">
        <v>1230</v>
      </c>
      <c r="G291" s="640" t="s">
        <v>563</v>
      </c>
      <c r="H291" s="640" t="s">
        <v>847</v>
      </c>
      <c r="I291" s="640" t="s">
        <v>847</v>
      </c>
      <c r="J291" s="640" t="s">
        <v>848</v>
      </c>
      <c r="K291" s="640" t="s">
        <v>849</v>
      </c>
      <c r="L291" s="642">
        <v>462</v>
      </c>
      <c r="M291" s="642">
        <v>5</v>
      </c>
      <c r="N291" s="643">
        <v>2310</v>
      </c>
    </row>
    <row r="292" spans="1:14" ht="14.4" customHeight="1" x14ac:dyDescent="0.3">
      <c r="A292" s="638" t="s">
        <v>543</v>
      </c>
      <c r="B292" s="639" t="s">
        <v>544</v>
      </c>
      <c r="C292" s="640" t="s">
        <v>556</v>
      </c>
      <c r="D292" s="641" t="s">
        <v>1226</v>
      </c>
      <c r="E292" s="640" t="s">
        <v>705</v>
      </c>
      <c r="F292" s="641" t="s">
        <v>1230</v>
      </c>
      <c r="G292" s="640" t="s">
        <v>563</v>
      </c>
      <c r="H292" s="640" t="s">
        <v>1177</v>
      </c>
      <c r="I292" s="640" t="s">
        <v>1177</v>
      </c>
      <c r="J292" s="640" t="s">
        <v>1178</v>
      </c>
      <c r="K292" s="640" t="s">
        <v>855</v>
      </c>
      <c r="L292" s="642">
        <v>144.69690779426509</v>
      </c>
      <c r="M292" s="642">
        <v>46</v>
      </c>
      <c r="N292" s="643">
        <v>6656.0577585361934</v>
      </c>
    </row>
    <row r="293" spans="1:14" ht="14.4" customHeight="1" x14ac:dyDescent="0.3">
      <c r="A293" s="638" t="s">
        <v>543</v>
      </c>
      <c r="B293" s="639" t="s">
        <v>544</v>
      </c>
      <c r="C293" s="640" t="s">
        <v>556</v>
      </c>
      <c r="D293" s="641" t="s">
        <v>1226</v>
      </c>
      <c r="E293" s="640" t="s">
        <v>705</v>
      </c>
      <c r="F293" s="641" t="s">
        <v>1230</v>
      </c>
      <c r="G293" s="640" t="s">
        <v>563</v>
      </c>
      <c r="H293" s="640" t="s">
        <v>1179</v>
      </c>
      <c r="I293" s="640" t="s">
        <v>1179</v>
      </c>
      <c r="J293" s="640" t="s">
        <v>1180</v>
      </c>
      <c r="K293" s="640" t="s">
        <v>1181</v>
      </c>
      <c r="L293" s="642">
        <v>152.9</v>
      </c>
      <c r="M293" s="642">
        <v>2</v>
      </c>
      <c r="N293" s="643">
        <v>305.8</v>
      </c>
    </row>
    <row r="294" spans="1:14" ht="14.4" customHeight="1" x14ac:dyDescent="0.3">
      <c r="A294" s="638" t="s">
        <v>543</v>
      </c>
      <c r="B294" s="639" t="s">
        <v>544</v>
      </c>
      <c r="C294" s="640" t="s">
        <v>556</v>
      </c>
      <c r="D294" s="641" t="s">
        <v>1226</v>
      </c>
      <c r="E294" s="640" t="s">
        <v>705</v>
      </c>
      <c r="F294" s="641" t="s">
        <v>1230</v>
      </c>
      <c r="G294" s="640" t="s">
        <v>563</v>
      </c>
      <c r="H294" s="640" t="s">
        <v>729</v>
      </c>
      <c r="I294" s="640" t="s">
        <v>729</v>
      </c>
      <c r="J294" s="640" t="s">
        <v>730</v>
      </c>
      <c r="K294" s="640" t="s">
        <v>731</v>
      </c>
      <c r="L294" s="642">
        <v>70.084999999999994</v>
      </c>
      <c r="M294" s="642">
        <v>4</v>
      </c>
      <c r="N294" s="643">
        <v>280.33999999999997</v>
      </c>
    </row>
    <row r="295" spans="1:14" ht="14.4" customHeight="1" x14ac:dyDescent="0.3">
      <c r="A295" s="638" t="s">
        <v>543</v>
      </c>
      <c r="B295" s="639" t="s">
        <v>544</v>
      </c>
      <c r="C295" s="640" t="s">
        <v>556</v>
      </c>
      <c r="D295" s="641" t="s">
        <v>1226</v>
      </c>
      <c r="E295" s="640" t="s">
        <v>705</v>
      </c>
      <c r="F295" s="641" t="s">
        <v>1230</v>
      </c>
      <c r="G295" s="640" t="s">
        <v>563</v>
      </c>
      <c r="H295" s="640" t="s">
        <v>850</v>
      </c>
      <c r="I295" s="640" t="s">
        <v>850</v>
      </c>
      <c r="J295" s="640" t="s">
        <v>851</v>
      </c>
      <c r="K295" s="640" t="s">
        <v>852</v>
      </c>
      <c r="L295" s="642">
        <v>316.02999999999997</v>
      </c>
      <c r="M295" s="642">
        <v>2</v>
      </c>
      <c r="N295" s="643">
        <v>632.05999999999995</v>
      </c>
    </row>
    <row r="296" spans="1:14" ht="14.4" customHeight="1" x14ac:dyDescent="0.3">
      <c r="A296" s="638" t="s">
        <v>543</v>
      </c>
      <c r="B296" s="639" t="s">
        <v>544</v>
      </c>
      <c r="C296" s="640" t="s">
        <v>556</v>
      </c>
      <c r="D296" s="641" t="s">
        <v>1226</v>
      </c>
      <c r="E296" s="640" t="s">
        <v>705</v>
      </c>
      <c r="F296" s="641" t="s">
        <v>1230</v>
      </c>
      <c r="G296" s="640" t="s">
        <v>563</v>
      </c>
      <c r="H296" s="640" t="s">
        <v>738</v>
      </c>
      <c r="I296" s="640" t="s">
        <v>738</v>
      </c>
      <c r="J296" s="640" t="s">
        <v>739</v>
      </c>
      <c r="K296" s="640" t="s">
        <v>740</v>
      </c>
      <c r="L296" s="642">
        <v>137.59566125290019</v>
      </c>
      <c r="M296" s="642">
        <v>43.1</v>
      </c>
      <c r="N296" s="643">
        <v>5930.3729999999987</v>
      </c>
    </row>
    <row r="297" spans="1:14" ht="14.4" customHeight="1" x14ac:dyDescent="0.3">
      <c r="A297" s="638" t="s">
        <v>543</v>
      </c>
      <c r="B297" s="639" t="s">
        <v>544</v>
      </c>
      <c r="C297" s="640" t="s">
        <v>556</v>
      </c>
      <c r="D297" s="641" t="s">
        <v>1226</v>
      </c>
      <c r="E297" s="640" t="s">
        <v>705</v>
      </c>
      <c r="F297" s="641" t="s">
        <v>1230</v>
      </c>
      <c r="G297" s="640" t="s">
        <v>563</v>
      </c>
      <c r="H297" s="640" t="s">
        <v>1182</v>
      </c>
      <c r="I297" s="640" t="s">
        <v>1182</v>
      </c>
      <c r="J297" s="640" t="s">
        <v>1178</v>
      </c>
      <c r="K297" s="640" t="s">
        <v>855</v>
      </c>
      <c r="L297" s="642">
        <v>251.45121532498061</v>
      </c>
      <c r="M297" s="642">
        <v>24</v>
      </c>
      <c r="N297" s="643">
        <v>6034.8291677995348</v>
      </c>
    </row>
    <row r="298" spans="1:14" ht="14.4" customHeight="1" x14ac:dyDescent="0.3">
      <c r="A298" s="638" t="s">
        <v>543</v>
      </c>
      <c r="B298" s="639" t="s">
        <v>544</v>
      </c>
      <c r="C298" s="640" t="s">
        <v>556</v>
      </c>
      <c r="D298" s="641" t="s">
        <v>1226</v>
      </c>
      <c r="E298" s="640" t="s">
        <v>705</v>
      </c>
      <c r="F298" s="641" t="s">
        <v>1230</v>
      </c>
      <c r="G298" s="640" t="s">
        <v>741</v>
      </c>
      <c r="H298" s="640" t="s">
        <v>1183</v>
      </c>
      <c r="I298" s="640" t="s">
        <v>1184</v>
      </c>
      <c r="J298" s="640" t="s">
        <v>1185</v>
      </c>
      <c r="K298" s="640" t="s">
        <v>1186</v>
      </c>
      <c r="L298" s="642">
        <v>28.889999999999997</v>
      </c>
      <c r="M298" s="642">
        <v>30</v>
      </c>
      <c r="N298" s="643">
        <v>866.69999999999993</v>
      </c>
    </row>
    <row r="299" spans="1:14" ht="14.4" customHeight="1" x14ac:dyDescent="0.3">
      <c r="A299" s="638" t="s">
        <v>543</v>
      </c>
      <c r="B299" s="639" t="s">
        <v>544</v>
      </c>
      <c r="C299" s="640" t="s">
        <v>556</v>
      </c>
      <c r="D299" s="641" t="s">
        <v>1226</v>
      </c>
      <c r="E299" s="640" t="s">
        <v>705</v>
      </c>
      <c r="F299" s="641" t="s">
        <v>1230</v>
      </c>
      <c r="G299" s="640" t="s">
        <v>741</v>
      </c>
      <c r="H299" s="640" t="s">
        <v>853</v>
      </c>
      <c r="I299" s="640" t="s">
        <v>853</v>
      </c>
      <c r="J299" s="640" t="s">
        <v>854</v>
      </c>
      <c r="K299" s="640" t="s">
        <v>855</v>
      </c>
      <c r="L299" s="642">
        <v>34.659999999999997</v>
      </c>
      <c r="M299" s="642">
        <v>47</v>
      </c>
      <c r="N299" s="643">
        <v>1629.0199999999998</v>
      </c>
    </row>
    <row r="300" spans="1:14" ht="14.4" customHeight="1" x14ac:dyDescent="0.3">
      <c r="A300" s="638" t="s">
        <v>543</v>
      </c>
      <c r="B300" s="639" t="s">
        <v>544</v>
      </c>
      <c r="C300" s="640" t="s">
        <v>556</v>
      </c>
      <c r="D300" s="641" t="s">
        <v>1226</v>
      </c>
      <c r="E300" s="640" t="s">
        <v>705</v>
      </c>
      <c r="F300" s="641" t="s">
        <v>1230</v>
      </c>
      <c r="G300" s="640" t="s">
        <v>741</v>
      </c>
      <c r="H300" s="640" t="s">
        <v>856</v>
      </c>
      <c r="I300" s="640" t="s">
        <v>856</v>
      </c>
      <c r="J300" s="640" t="s">
        <v>857</v>
      </c>
      <c r="K300" s="640" t="s">
        <v>858</v>
      </c>
      <c r="L300" s="642">
        <v>536.28333333333319</v>
      </c>
      <c r="M300" s="642">
        <v>4.8</v>
      </c>
      <c r="N300" s="643">
        <v>2574.1599999999994</v>
      </c>
    </row>
    <row r="301" spans="1:14" ht="14.4" customHeight="1" x14ac:dyDescent="0.3">
      <c r="A301" s="638" t="s">
        <v>543</v>
      </c>
      <c r="B301" s="639" t="s">
        <v>544</v>
      </c>
      <c r="C301" s="640" t="s">
        <v>556</v>
      </c>
      <c r="D301" s="641" t="s">
        <v>1226</v>
      </c>
      <c r="E301" s="640" t="s">
        <v>746</v>
      </c>
      <c r="F301" s="641" t="s">
        <v>1231</v>
      </c>
      <c r="G301" s="640" t="s">
        <v>563</v>
      </c>
      <c r="H301" s="640" t="s">
        <v>1187</v>
      </c>
      <c r="I301" s="640" t="s">
        <v>1188</v>
      </c>
      <c r="J301" s="640" t="s">
        <v>1189</v>
      </c>
      <c r="K301" s="640" t="s">
        <v>1190</v>
      </c>
      <c r="L301" s="642">
        <v>108.63</v>
      </c>
      <c r="M301" s="642">
        <v>9</v>
      </c>
      <c r="N301" s="643">
        <v>977.67</v>
      </c>
    </row>
    <row r="302" spans="1:14" ht="14.4" customHeight="1" x14ac:dyDescent="0.3">
      <c r="A302" s="638" t="s">
        <v>543</v>
      </c>
      <c r="B302" s="639" t="s">
        <v>544</v>
      </c>
      <c r="C302" s="640" t="s">
        <v>556</v>
      </c>
      <c r="D302" s="641" t="s">
        <v>1226</v>
      </c>
      <c r="E302" s="640" t="s">
        <v>746</v>
      </c>
      <c r="F302" s="641" t="s">
        <v>1231</v>
      </c>
      <c r="G302" s="640" t="s">
        <v>563</v>
      </c>
      <c r="H302" s="640" t="s">
        <v>751</v>
      </c>
      <c r="I302" s="640" t="s">
        <v>752</v>
      </c>
      <c r="J302" s="640" t="s">
        <v>753</v>
      </c>
      <c r="K302" s="640" t="s">
        <v>754</v>
      </c>
      <c r="L302" s="642">
        <v>107.44530424220744</v>
      </c>
      <c r="M302" s="642">
        <v>13</v>
      </c>
      <c r="N302" s="643">
        <v>1396.7889551486967</v>
      </c>
    </row>
    <row r="303" spans="1:14" ht="14.4" customHeight="1" x14ac:dyDescent="0.3">
      <c r="A303" s="638" t="s">
        <v>543</v>
      </c>
      <c r="B303" s="639" t="s">
        <v>544</v>
      </c>
      <c r="C303" s="640" t="s">
        <v>556</v>
      </c>
      <c r="D303" s="641" t="s">
        <v>1226</v>
      </c>
      <c r="E303" s="640" t="s">
        <v>746</v>
      </c>
      <c r="F303" s="641" t="s">
        <v>1231</v>
      </c>
      <c r="G303" s="640" t="s">
        <v>741</v>
      </c>
      <c r="H303" s="640" t="s">
        <v>859</v>
      </c>
      <c r="I303" s="640" t="s">
        <v>859</v>
      </c>
      <c r="J303" s="640" t="s">
        <v>860</v>
      </c>
      <c r="K303" s="640" t="s">
        <v>861</v>
      </c>
      <c r="L303" s="642">
        <v>159.50000000000003</v>
      </c>
      <c r="M303" s="642">
        <v>10.099999999999998</v>
      </c>
      <c r="N303" s="643">
        <v>1610.9499999999998</v>
      </c>
    </row>
    <row r="304" spans="1:14" ht="14.4" customHeight="1" x14ac:dyDescent="0.3">
      <c r="A304" s="638" t="s">
        <v>543</v>
      </c>
      <c r="B304" s="639" t="s">
        <v>544</v>
      </c>
      <c r="C304" s="640" t="s">
        <v>556</v>
      </c>
      <c r="D304" s="641" t="s">
        <v>1226</v>
      </c>
      <c r="E304" s="640" t="s">
        <v>1191</v>
      </c>
      <c r="F304" s="641" t="s">
        <v>1232</v>
      </c>
      <c r="G304" s="640"/>
      <c r="H304" s="640"/>
      <c r="I304" s="640" t="s">
        <v>1192</v>
      </c>
      <c r="J304" s="640" t="s">
        <v>1193</v>
      </c>
      <c r="K304" s="640"/>
      <c r="L304" s="642">
        <v>955.9</v>
      </c>
      <c r="M304" s="642">
        <v>3</v>
      </c>
      <c r="N304" s="643">
        <v>2867.7</v>
      </c>
    </row>
    <row r="305" spans="1:14" ht="14.4" customHeight="1" x14ac:dyDescent="0.3">
      <c r="A305" s="638" t="s">
        <v>543</v>
      </c>
      <c r="B305" s="639" t="s">
        <v>544</v>
      </c>
      <c r="C305" s="640" t="s">
        <v>556</v>
      </c>
      <c r="D305" s="641" t="s">
        <v>1226</v>
      </c>
      <c r="E305" s="640" t="s">
        <v>1191</v>
      </c>
      <c r="F305" s="641" t="s">
        <v>1232</v>
      </c>
      <c r="G305" s="640"/>
      <c r="H305" s="640"/>
      <c r="I305" s="640" t="s">
        <v>1194</v>
      </c>
      <c r="J305" s="640" t="s">
        <v>1195</v>
      </c>
      <c r="K305" s="640"/>
      <c r="L305" s="642">
        <v>137.80129411764702</v>
      </c>
      <c r="M305" s="642">
        <v>85</v>
      </c>
      <c r="N305" s="643">
        <v>11713.109999999997</v>
      </c>
    </row>
    <row r="306" spans="1:14" ht="14.4" customHeight="1" x14ac:dyDescent="0.3">
      <c r="A306" s="638" t="s">
        <v>543</v>
      </c>
      <c r="B306" s="639" t="s">
        <v>544</v>
      </c>
      <c r="C306" s="640" t="s">
        <v>556</v>
      </c>
      <c r="D306" s="641" t="s">
        <v>1226</v>
      </c>
      <c r="E306" s="640" t="s">
        <v>1191</v>
      </c>
      <c r="F306" s="641" t="s">
        <v>1232</v>
      </c>
      <c r="G306" s="640"/>
      <c r="H306" s="640"/>
      <c r="I306" s="640" t="s">
        <v>1196</v>
      </c>
      <c r="J306" s="640" t="s">
        <v>1197</v>
      </c>
      <c r="K306" s="640" t="s">
        <v>1198</v>
      </c>
      <c r="L306" s="642">
        <v>0</v>
      </c>
      <c r="M306" s="642">
        <v>12</v>
      </c>
      <c r="N306" s="643">
        <v>0</v>
      </c>
    </row>
    <row r="307" spans="1:14" ht="14.4" customHeight="1" x14ac:dyDescent="0.3">
      <c r="A307" s="638" t="s">
        <v>543</v>
      </c>
      <c r="B307" s="639" t="s">
        <v>544</v>
      </c>
      <c r="C307" s="640" t="s">
        <v>556</v>
      </c>
      <c r="D307" s="641" t="s">
        <v>1226</v>
      </c>
      <c r="E307" s="640" t="s">
        <v>1191</v>
      </c>
      <c r="F307" s="641" t="s">
        <v>1232</v>
      </c>
      <c r="G307" s="640"/>
      <c r="H307" s="640"/>
      <c r="I307" s="640" t="s">
        <v>1199</v>
      </c>
      <c r="J307" s="640" t="s">
        <v>1200</v>
      </c>
      <c r="K307" s="640"/>
      <c r="L307" s="642">
        <v>2945.8</v>
      </c>
      <c r="M307" s="642">
        <v>5</v>
      </c>
      <c r="N307" s="643">
        <v>14729.000000000002</v>
      </c>
    </row>
    <row r="308" spans="1:14" ht="14.4" customHeight="1" x14ac:dyDescent="0.3">
      <c r="A308" s="638" t="s">
        <v>543</v>
      </c>
      <c r="B308" s="639" t="s">
        <v>544</v>
      </c>
      <c r="C308" s="640" t="s">
        <v>556</v>
      </c>
      <c r="D308" s="641" t="s">
        <v>1226</v>
      </c>
      <c r="E308" s="640" t="s">
        <v>1201</v>
      </c>
      <c r="F308" s="641" t="s">
        <v>1233</v>
      </c>
      <c r="G308" s="640" t="s">
        <v>563</v>
      </c>
      <c r="H308" s="640" t="s">
        <v>1202</v>
      </c>
      <c r="I308" s="640" t="s">
        <v>1202</v>
      </c>
      <c r="J308" s="640" t="s">
        <v>1203</v>
      </c>
      <c r="K308" s="640" t="s">
        <v>1204</v>
      </c>
      <c r="L308" s="642">
        <v>1221</v>
      </c>
      <c r="M308" s="642">
        <v>31</v>
      </c>
      <c r="N308" s="643">
        <v>37851</v>
      </c>
    </row>
    <row r="309" spans="1:14" ht="14.4" customHeight="1" x14ac:dyDescent="0.3">
      <c r="A309" s="638" t="s">
        <v>543</v>
      </c>
      <c r="B309" s="639" t="s">
        <v>544</v>
      </c>
      <c r="C309" s="640" t="s">
        <v>556</v>
      </c>
      <c r="D309" s="641" t="s">
        <v>1226</v>
      </c>
      <c r="E309" s="640" t="s">
        <v>1201</v>
      </c>
      <c r="F309" s="641" t="s">
        <v>1233</v>
      </c>
      <c r="G309" s="640" t="s">
        <v>563</v>
      </c>
      <c r="H309" s="640" t="s">
        <v>1205</v>
      </c>
      <c r="I309" s="640" t="s">
        <v>1205</v>
      </c>
      <c r="J309" s="640" t="s">
        <v>1206</v>
      </c>
      <c r="K309" s="640" t="s">
        <v>1207</v>
      </c>
      <c r="L309" s="642">
        <v>1496</v>
      </c>
      <c r="M309" s="642">
        <v>17</v>
      </c>
      <c r="N309" s="643">
        <v>25432</v>
      </c>
    </row>
    <row r="310" spans="1:14" ht="14.4" customHeight="1" x14ac:dyDescent="0.3">
      <c r="A310" s="638" t="s">
        <v>543</v>
      </c>
      <c r="B310" s="639" t="s">
        <v>544</v>
      </c>
      <c r="C310" s="640" t="s">
        <v>556</v>
      </c>
      <c r="D310" s="641" t="s">
        <v>1226</v>
      </c>
      <c r="E310" s="640" t="s">
        <v>1208</v>
      </c>
      <c r="F310" s="641" t="s">
        <v>1234</v>
      </c>
      <c r="G310" s="640" t="s">
        <v>563</v>
      </c>
      <c r="H310" s="640" t="s">
        <v>1209</v>
      </c>
      <c r="I310" s="640" t="s">
        <v>591</v>
      </c>
      <c r="J310" s="640" t="s">
        <v>1210</v>
      </c>
      <c r="K310" s="640" t="s">
        <v>1211</v>
      </c>
      <c r="L310" s="642">
        <v>538.89558709496805</v>
      </c>
      <c r="M310" s="642">
        <v>396</v>
      </c>
      <c r="N310" s="643">
        <v>213402.65248960734</v>
      </c>
    </row>
    <row r="311" spans="1:14" ht="14.4" customHeight="1" x14ac:dyDescent="0.3">
      <c r="A311" s="638" t="s">
        <v>543</v>
      </c>
      <c r="B311" s="639" t="s">
        <v>544</v>
      </c>
      <c r="C311" s="640" t="s">
        <v>556</v>
      </c>
      <c r="D311" s="641" t="s">
        <v>1226</v>
      </c>
      <c r="E311" s="640" t="s">
        <v>1208</v>
      </c>
      <c r="F311" s="641" t="s">
        <v>1234</v>
      </c>
      <c r="G311" s="640" t="s">
        <v>563</v>
      </c>
      <c r="H311" s="640" t="s">
        <v>1212</v>
      </c>
      <c r="I311" s="640" t="s">
        <v>591</v>
      </c>
      <c r="J311" s="640" t="s">
        <v>1210</v>
      </c>
      <c r="K311" s="640" t="s">
        <v>1213</v>
      </c>
      <c r="L311" s="642">
        <v>640.46778571428536</v>
      </c>
      <c r="M311" s="642">
        <v>7</v>
      </c>
      <c r="N311" s="643">
        <v>4483.2744999999977</v>
      </c>
    </row>
    <row r="312" spans="1:14" ht="14.4" customHeight="1" x14ac:dyDescent="0.3">
      <c r="A312" s="638" t="s">
        <v>543</v>
      </c>
      <c r="B312" s="639" t="s">
        <v>544</v>
      </c>
      <c r="C312" s="640" t="s">
        <v>556</v>
      </c>
      <c r="D312" s="641" t="s">
        <v>1226</v>
      </c>
      <c r="E312" s="640" t="s">
        <v>1208</v>
      </c>
      <c r="F312" s="641" t="s">
        <v>1234</v>
      </c>
      <c r="G312" s="640" t="s">
        <v>563</v>
      </c>
      <c r="H312" s="640" t="s">
        <v>1214</v>
      </c>
      <c r="I312" s="640" t="s">
        <v>591</v>
      </c>
      <c r="J312" s="640" t="s">
        <v>1210</v>
      </c>
      <c r="K312" s="640" t="s">
        <v>1215</v>
      </c>
      <c r="L312" s="642">
        <v>731.18513202872748</v>
      </c>
      <c r="M312" s="642">
        <v>369</v>
      </c>
      <c r="N312" s="643">
        <v>269807.31371860043</v>
      </c>
    </row>
    <row r="313" spans="1:14" ht="14.4" customHeight="1" x14ac:dyDescent="0.3">
      <c r="A313" s="638" t="s">
        <v>543</v>
      </c>
      <c r="B313" s="639" t="s">
        <v>544</v>
      </c>
      <c r="C313" s="640" t="s">
        <v>556</v>
      </c>
      <c r="D313" s="641" t="s">
        <v>1226</v>
      </c>
      <c r="E313" s="640" t="s">
        <v>1208</v>
      </c>
      <c r="F313" s="641" t="s">
        <v>1234</v>
      </c>
      <c r="G313" s="640" t="s">
        <v>563</v>
      </c>
      <c r="H313" s="640" t="s">
        <v>1216</v>
      </c>
      <c r="I313" s="640" t="s">
        <v>591</v>
      </c>
      <c r="J313" s="640" t="s">
        <v>1210</v>
      </c>
      <c r="K313" s="640" t="s">
        <v>1217</v>
      </c>
      <c r="L313" s="642">
        <v>1079.6943195414226</v>
      </c>
      <c r="M313" s="642">
        <v>89</v>
      </c>
      <c r="N313" s="643">
        <v>96092.794439186604</v>
      </c>
    </row>
    <row r="314" spans="1:14" ht="14.4" customHeight="1" x14ac:dyDescent="0.3">
      <c r="A314" s="638" t="s">
        <v>543</v>
      </c>
      <c r="B314" s="639" t="s">
        <v>544</v>
      </c>
      <c r="C314" s="640" t="s">
        <v>559</v>
      </c>
      <c r="D314" s="641" t="s">
        <v>1227</v>
      </c>
      <c r="E314" s="640" t="s">
        <v>1218</v>
      </c>
      <c r="F314" s="641" t="s">
        <v>1235</v>
      </c>
      <c r="G314" s="640" t="s">
        <v>563</v>
      </c>
      <c r="H314" s="640" t="s">
        <v>1219</v>
      </c>
      <c r="I314" s="640" t="s">
        <v>1219</v>
      </c>
      <c r="J314" s="640" t="s">
        <v>1220</v>
      </c>
      <c r="K314" s="640" t="s">
        <v>1221</v>
      </c>
      <c r="L314" s="642">
        <v>9881.3101561463227</v>
      </c>
      <c r="M314" s="642">
        <v>80</v>
      </c>
      <c r="N314" s="643">
        <v>790504.81249170576</v>
      </c>
    </row>
    <row r="315" spans="1:14" ht="14.4" customHeight="1" thickBot="1" x14ac:dyDescent="0.35">
      <c r="A315" s="644" t="s">
        <v>543</v>
      </c>
      <c r="B315" s="645" t="s">
        <v>544</v>
      </c>
      <c r="C315" s="646" t="s">
        <v>559</v>
      </c>
      <c r="D315" s="647" t="s">
        <v>1227</v>
      </c>
      <c r="E315" s="646" t="s">
        <v>1218</v>
      </c>
      <c r="F315" s="647" t="s">
        <v>1235</v>
      </c>
      <c r="G315" s="646" t="s">
        <v>563</v>
      </c>
      <c r="H315" s="646" t="s">
        <v>1222</v>
      </c>
      <c r="I315" s="646" t="s">
        <v>1222</v>
      </c>
      <c r="J315" s="646" t="s">
        <v>1220</v>
      </c>
      <c r="K315" s="646" t="s">
        <v>1223</v>
      </c>
      <c r="L315" s="648">
        <v>19768.243436001449</v>
      </c>
      <c r="M315" s="648">
        <v>203</v>
      </c>
      <c r="N315" s="649">
        <v>4012953.4175082939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4" customWidth="1"/>
    <col min="2" max="2" width="10" style="326" customWidth="1"/>
    <col min="3" max="3" width="5.5546875" style="329" customWidth="1"/>
    <col min="4" max="4" width="10" style="326" customWidth="1"/>
    <col min="5" max="5" width="5.5546875" style="329" customWidth="1"/>
    <col min="6" max="6" width="10" style="326" customWidth="1"/>
    <col min="7" max="16384" width="8.88671875" style="244"/>
  </cols>
  <sheetData>
    <row r="1" spans="1:6" ht="37.200000000000003" customHeight="1" thickBot="1" x14ac:dyDescent="0.4">
      <c r="A1" s="501" t="s">
        <v>197</v>
      </c>
      <c r="B1" s="502"/>
      <c r="C1" s="502"/>
      <c r="D1" s="502"/>
      <c r="E1" s="502"/>
      <c r="F1" s="502"/>
    </row>
    <row r="2" spans="1:6" ht="14.4" customHeight="1" thickBot="1" x14ac:dyDescent="0.35">
      <c r="A2" s="368" t="s">
        <v>301</v>
      </c>
      <c r="B2" s="67"/>
      <c r="C2" s="68"/>
      <c r="D2" s="69"/>
      <c r="E2" s="68"/>
      <c r="F2" s="69"/>
    </row>
    <row r="3" spans="1:6" ht="14.4" customHeight="1" thickBot="1" x14ac:dyDescent="0.35">
      <c r="A3" s="199"/>
      <c r="B3" s="503" t="s">
        <v>153</v>
      </c>
      <c r="C3" s="504"/>
      <c r="D3" s="505" t="s">
        <v>152</v>
      </c>
      <c r="E3" s="504"/>
      <c r="F3" s="97" t="s">
        <v>3</v>
      </c>
    </row>
    <row r="4" spans="1:6" ht="14.4" customHeight="1" thickBot="1" x14ac:dyDescent="0.35">
      <c r="A4" s="650" t="s">
        <v>177</v>
      </c>
      <c r="B4" s="651" t="s">
        <v>14</v>
      </c>
      <c r="C4" s="652" t="s">
        <v>2</v>
      </c>
      <c r="D4" s="651" t="s">
        <v>14</v>
      </c>
      <c r="E4" s="652" t="s">
        <v>2</v>
      </c>
      <c r="F4" s="653" t="s">
        <v>14</v>
      </c>
    </row>
    <row r="5" spans="1:6" ht="14.4" customHeight="1" x14ac:dyDescent="0.3">
      <c r="A5" s="665" t="s">
        <v>1236</v>
      </c>
      <c r="B5" s="636">
        <v>12364.933105893755</v>
      </c>
      <c r="C5" s="655">
        <v>0.17947929712076605</v>
      </c>
      <c r="D5" s="636">
        <v>56528.434008051292</v>
      </c>
      <c r="E5" s="655">
        <v>0.82052070287923395</v>
      </c>
      <c r="F5" s="637">
        <v>68893.367113945045</v>
      </c>
    </row>
    <row r="6" spans="1:6" ht="14.4" customHeight="1" x14ac:dyDescent="0.3">
      <c r="A6" s="666" t="s">
        <v>1237</v>
      </c>
      <c r="B6" s="642"/>
      <c r="C6" s="656">
        <v>0</v>
      </c>
      <c r="D6" s="642">
        <v>2068.3541030907563</v>
      </c>
      <c r="E6" s="656">
        <v>1</v>
      </c>
      <c r="F6" s="643">
        <v>2068.3541030907563</v>
      </c>
    </row>
    <row r="7" spans="1:6" ht="14.4" customHeight="1" thickBot="1" x14ac:dyDescent="0.35">
      <c r="A7" s="667" t="s">
        <v>1238</v>
      </c>
      <c r="B7" s="658"/>
      <c r="C7" s="659">
        <v>0</v>
      </c>
      <c r="D7" s="658">
        <v>613.64964852484127</v>
      </c>
      <c r="E7" s="659">
        <v>1</v>
      </c>
      <c r="F7" s="660">
        <v>613.64964852484127</v>
      </c>
    </row>
    <row r="8" spans="1:6" ht="14.4" customHeight="1" thickBot="1" x14ac:dyDescent="0.35">
      <c r="A8" s="661" t="s">
        <v>3</v>
      </c>
      <c r="B8" s="662">
        <v>12364.933105893755</v>
      </c>
      <c r="C8" s="663">
        <v>0.17275402078067742</v>
      </c>
      <c r="D8" s="662">
        <v>59210.437759666893</v>
      </c>
      <c r="E8" s="663">
        <v>0.82724597921932275</v>
      </c>
      <c r="F8" s="664">
        <v>71575.370865560632</v>
      </c>
    </row>
    <row r="9" spans="1:6" ht="14.4" customHeight="1" thickBot="1" x14ac:dyDescent="0.35"/>
    <row r="10" spans="1:6" ht="14.4" customHeight="1" x14ac:dyDescent="0.3">
      <c r="A10" s="665" t="s">
        <v>1239</v>
      </c>
      <c r="B10" s="636">
        <v>7163.9531127497867</v>
      </c>
      <c r="C10" s="655">
        <v>0.7973119981328326</v>
      </c>
      <c r="D10" s="636">
        <v>1821.1783408424471</v>
      </c>
      <c r="E10" s="655">
        <v>0.2026880018671674</v>
      </c>
      <c r="F10" s="637">
        <v>8985.1314535922338</v>
      </c>
    </row>
    <row r="11" spans="1:6" ht="14.4" customHeight="1" x14ac:dyDescent="0.3">
      <c r="A11" s="666" t="s">
        <v>1240</v>
      </c>
      <c r="B11" s="642">
        <v>2758.6400000000003</v>
      </c>
      <c r="C11" s="656">
        <v>1</v>
      </c>
      <c r="D11" s="642"/>
      <c r="E11" s="656">
        <v>0</v>
      </c>
      <c r="F11" s="643">
        <v>2758.6400000000003</v>
      </c>
    </row>
    <row r="12" spans="1:6" ht="14.4" customHeight="1" x14ac:dyDescent="0.3">
      <c r="A12" s="666" t="s">
        <v>1241</v>
      </c>
      <c r="B12" s="642">
        <v>1419.0499931439695</v>
      </c>
      <c r="C12" s="656">
        <v>0.43108136670856489</v>
      </c>
      <c r="D12" s="642">
        <v>1872.7879352240332</v>
      </c>
      <c r="E12" s="656">
        <v>0.56891863329143522</v>
      </c>
      <c r="F12" s="643">
        <v>3291.8379283680024</v>
      </c>
    </row>
    <row r="13" spans="1:6" ht="14.4" customHeight="1" x14ac:dyDescent="0.3">
      <c r="A13" s="666" t="s">
        <v>1242</v>
      </c>
      <c r="B13" s="642">
        <v>955.9</v>
      </c>
      <c r="C13" s="656">
        <v>0.22018420473745015</v>
      </c>
      <c r="D13" s="642">
        <v>3385.4649999999992</v>
      </c>
      <c r="E13" s="656">
        <v>0.77981579526254996</v>
      </c>
      <c r="F13" s="643">
        <v>4341.3649999999989</v>
      </c>
    </row>
    <row r="14" spans="1:6" ht="14.4" customHeight="1" x14ac:dyDescent="0.3">
      <c r="A14" s="666" t="s">
        <v>1243</v>
      </c>
      <c r="B14" s="642">
        <v>67.39</v>
      </c>
      <c r="C14" s="656">
        <v>1</v>
      </c>
      <c r="D14" s="642"/>
      <c r="E14" s="656">
        <v>0</v>
      </c>
      <c r="F14" s="643">
        <v>67.39</v>
      </c>
    </row>
    <row r="15" spans="1:6" ht="14.4" customHeight="1" x14ac:dyDescent="0.3">
      <c r="A15" s="666" t="s">
        <v>1244</v>
      </c>
      <c r="B15" s="642"/>
      <c r="C15" s="656">
        <v>0</v>
      </c>
      <c r="D15" s="642">
        <v>35233.728582089883</v>
      </c>
      <c r="E15" s="656">
        <v>1</v>
      </c>
      <c r="F15" s="643">
        <v>35233.728582089883</v>
      </c>
    </row>
    <row r="16" spans="1:6" ht="14.4" customHeight="1" x14ac:dyDescent="0.3">
      <c r="A16" s="666" t="s">
        <v>1245</v>
      </c>
      <c r="B16" s="642"/>
      <c r="C16" s="656">
        <v>0</v>
      </c>
      <c r="D16" s="642">
        <v>866.69999999999993</v>
      </c>
      <c r="E16" s="656">
        <v>1</v>
      </c>
      <c r="F16" s="643">
        <v>866.69999999999993</v>
      </c>
    </row>
    <row r="17" spans="1:6" ht="14.4" customHeight="1" x14ac:dyDescent="0.3">
      <c r="A17" s="666" t="s">
        <v>1246</v>
      </c>
      <c r="B17" s="642"/>
      <c r="C17" s="656">
        <v>0</v>
      </c>
      <c r="D17" s="642">
        <v>345.85</v>
      </c>
      <c r="E17" s="656">
        <v>1</v>
      </c>
      <c r="F17" s="643">
        <v>345.85</v>
      </c>
    </row>
    <row r="18" spans="1:6" ht="14.4" customHeight="1" x14ac:dyDescent="0.3">
      <c r="A18" s="666" t="s">
        <v>1247</v>
      </c>
      <c r="B18" s="642"/>
      <c r="C18" s="656">
        <v>0</v>
      </c>
      <c r="D18" s="642">
        <v>2316.2399999999998</v>
      </c>
      <c r="E18" s="656">
        <v>1</v>
      </c>
      <c r="F18" s="643">
        <v>2316.2399999999998</v>
      </c>
    </row>
    <row r="19" spans="1:6" ht="14.4" customHeight="1" x14ac:dyDescent="0.3">
      <c r="A19" s="666" t="s">
        <v>1248</v>
      </c>
      <c r="B19" s="642"/>
      <c r="C19" s="656">
        <v>0</v>
      </c>
      <c r="D19" s="642">
        <v>1770.4499999999998</v>
      </c>
      <c r="E19" s="656">
        <v>1</v>
      </c>
      <c r="F19" s="643">
        <v>1770.4499999999998</v>
      </c>
    </row>
    <row r="20" spans="1:6" ht="14.4" customHeight="1" x14ac:dyDescent="0.3">
      <c r="A20" s="666" t="s">
        <v>1249</v>
      </c>
      <c r="B20" s="642"/>
      <c r="C20" s="656">
        <v>0</v>
      </c>
      <c r="D20" s="642">
        <v>360.28</v>
      </c>
      <c r="E20" s="656">
        <v>1</v>
      </c>
      <c r="F20" s="643">
        <v>360.28</v>
      </c>
    </row>
    <row r="21" spans="1:6" ht="14.4" customHeight="1" x14ac:dyDescent="0.3">
      <c r="A21" s="666" t="s">
        <v>1250</v>
      </c>
      <c r="B21" s="642"/>
      <c r="C21" s="656">
        <v>0</v>
      </c>
      <c r="D21" s="642">
        <v>264</v>
      </c>
      <c r="E21" s="656">
        <v>1</v>
      </c>
      <c r="F21" s="643">
        <v>264</v>
      </c>
    </row>
    <row r="22" spans="1:6" ht="14.4" customHeight="1" x14ac:dyDescent="0.3">
      <c r="A22" s="666" t="s">
        <v>1251</v>
      </c>
      <c r="B22" s="642"/>
      <c r="C22" s="656">
        <v>0</v>
      </c>
      <c r="D22" s="642">
        <v>1703.7287516155975</v>
      </c>
      <c r="E22" s="656">
        <v>1</v>
      </c>
      <c r="F22" s="643">
        <v>1703.7287516155975</v>
      </c>
    </row>
    <row r="23" spans="1:6" ht="14.4" customHeight="1" x14ac:dyDescent="0.3">
      <c r="A23" s="666" t="s">
        <v>1252</v>
      </c>
      <c r="B23" s="642"/>
      <c r="C23" s="656">
        <v>0</v>
      </c>
      <c r="D23" s="642">
        <v>2712.6000000000004</v>
      </c>
      <c r="E23" s="656">
        <v>1</v>
      </c>
      <c r="F23" s="643">
        <v>2712.6000000000004</v>
      </c>
    </row>
    <row r="24" spans="1:6" ht="14.4" customHeight="1" x14ac:dyDescent="0.3">
      <c r="A24" s="666" t="s">
        <v>1253</v>
      </c>
      <c r="B24" s="642"/>
      <c r="C24" s="656">
        <v>0</v>
      </c>
      <c r="D24" s="642">
        <v>1975.62</v>
      </c>
      <c r="E24" s="656">
        <v>1</v>
      </c>
      <c r="F24" s="643">
        <v>1975.62</v>
      </c>
    </row>
    <row r="25" spans="1:6" ht="14.4" customHeight="1" x14ac:dyDescent="0.3">
      <c r="A25" s="666" t="s">
        <v>1254</v>
      </c>
      <c r="B25" s="642"/>
      <c r="C25" s="656">
        <v>0</v>
      </c>
      <c r="D25" s="642">
        <v>3736.8551498949346</v>
      </c>
      <c r="E25" s="656">
        <v>1</v>
      </c>
      <c r="F25" s="643">
        <v>3736.8551498949346</v>
      </c>
    </row>
    <row r="26" spans="1:6" ht="14.4" customHeight="1" x14ac:dyDescent="0.3">
      <c r="A26" s="666" t="s">
        <v>1255</v>
      </c>
      <c r="B26" s="642"/>
      <c r="C26" s="656">
        <v>0</v>
      </c>
      <c r="D26" s="642">
        <v>67.110000000000014</v>
      </c>
      <c r="E26" s="656">
        <v>1</v>
      </c>
      <c r="F26" s="643">
        <v>67.110000000000014</v>
      </c>
    </row>
    <row r="27" spans="1:6" ht="14.4" customHeight="1" thickBot="1" x14ac:dyDescent="0.35">
      <c r="A27" s="667" t="s">
        <v>1256</v>
      </c>
      <c r="B27" s="658"/>
      <c r="C27" s="659">
        <v>0</v>
      </c>
      <c r="D27" s="658">
        <v>777.84399999999982</v>
      </c>
      <c r="E27" s="659">
        <v>1</v>
      </c>
      <c r="F27" s="660">
        <v>777.84399999999982</v>
      </c>
    </row>
    <row r="28" spans="1:6" ht="14.4" customHeight="1" thickBot="1" x14ac:dyDescent="0.35">
      <c r="A28" s="661" t="s">
        <v>3</v>
      </c>
      <c r="B28" s="662">
        <v>12364.933105893757</v>
      </c>
      <c r="C28" s="663">
        <v>0.17275402078067742</v>
      </c>
      <c r="D28" s="662">
        <v>59210.437759666893</v>
      </c>
      <c r="E28" s="663">
        <v>0.82724597921932264</v>
      </c>
      <c r="F28" s="664">
        <v>71575.370865560646</v>
      </c>
    </row>
  </sheetData>
  <mergeCells count="3">
    <mergeCell ref="A1:F1"/>
    <mergeCell ref="B3:C3"/>
    <mergeCell ref="D3:E3"/>
  </mergeCells>
  <conditionalFormatting sqref="C5:C1048576">
    <cfRule type="cellIs" dxfId="6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3</vt:i4>
      </vt:variant>
    </vt:vector>
  </HeadingPairs>
  <TitlesOfParts>
    <vt:vector size="3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2017-01-31T11:03:40Z</dcterms:modified>
</cp:coreProperties>
</file>