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Lékaři" sheetId="429" r:id="rId21"/>
    <sheet name="ZV Vykáz.-A Detail" sheetId="345" r:id="rId22"/>
    <sheet name="ZV Vykáz.-A Det.Lék." sheetId="430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2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Det.Lék.'!$A$5:$S$5</definedName>
    <definedName name="_xlnm._FilterDatabase" localSheetId="21" hidden="1">'ZV Vykáz.-A Detail'!$A$5:$R$5</definedName>
    <definedName name="_xlnm._FilterDatabase" localSheetId="20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CaseMix!$A$1:$O$39</definedName>
  </definedNames>
  <calcPr calcId="152511"/>
</workbook>
</file>

<file path=xl/calcChain.xml><?xml version="1.0" encoding="utf-8"?>
<calcChain xmlns="http://schemas.openxmlformats.org/spreadsheetml/2006/main">
  <c r="V32" i="371" l="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9" i="371"/>
  <c r="U11" i="371"/>
  <c r="U15" i="371"/>
  <c r="U17" i="371"/>
  <c r="U19" i="371"/>
  <c r="U21" i="371"/>
  <c r="U23" i="371"/>
  <c r="U25" i="371"/>
  <c r="U27" i="371"/>
  <c r="U29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6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0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AO6" i="419"/>
  <c r="AK6" i="419"/>
  <c r="AG6" i="419"/>
  <c r="AC6" i="419"/>
  <c r="U6" i="419"/>
  <c r="Q6" i="419"/>
  <c r="I6" i="419"/>
  <c r="E6" i="419"/>
  <c r="G6" i="419"/>
  <c r="AS6" i="419"/>
  <c r="Y6" i="419"/>
  <c r="M6" i="419"/>
  <c r="K6" i="419"/>
  <c r="AR6" i="419"/>
  <c r="AN6" i="419"/>
  <c r="AJ6" i="419"/>
  <c r="AF6" i="419"/>
  <c r="AB6" i="419"/>
  <c r="X6" i="419"/>
  <c r="T6" i="419"/>
  <c r="P6" i="419"/>
  <c r="L6" i="419"/>
  <c r="H6" i="419"/>
  <c r="AQ6" i="419"/>
  <c r="AM6" i="419"/>
  <c r="AI6" i="419"/>
  <c r="AE6" i="419"/>
  <c r="AA6" i="419"/>
  <c r="W6" i="419"/>
  <c r="S6" i="419"/>
  <c r="O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D4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5" i="383"/>
  <c r="A34" i="383"/>
  <c r="A33" i="383"/>
  <c r="A32" i="383"/>
  <c r="A31" i="383"/>
  <c r="A30" i="383"/>
  <c r="A29" i="383"/>
  <c r="A27" i="383"/>
  <c r="A25" i="383"/>
  <c r="A22" i="383"/>
  <c r="A21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<sst xmlns="http://schemas.openxmlformats.org/spreadsheetml/2006/main" count="7515" uniqueCount="2023">
  <si>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</si>
  <si>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</si>
  <si>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</si>
  <si>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</si>
  <si>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</si>
  <si>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</si>
  <si>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</si>
  <si>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</si>
  <si>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</si>
  <si>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</si>
  <si>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</si>
  <si>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</si>
  <si>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</si>
  <si>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</si>
  <si>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</si>
  <si>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</si>
  <si>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</si>
  <si>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</si>
  <si>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</si>
  <si>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</si>
  <si>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</si>
  <si>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</si>
  <si>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</si>
  <si>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</si>
  <si>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</si>
  <si>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</si>
  <si>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</si>
  <si>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</si>
  <si>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</si>
  <si>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</si>
  <si>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</si>
  <si>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</si>
  <si>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</si>
  <si>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</si>
  <si>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</si>
  <si>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</si>
  <si>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</si>
  <si>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</si>
  <si>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</si>
  <si>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</si>
  <si>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</si>
  <si>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</si>
  <si>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</si>
  <si>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</si>
  <si>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</si>
  <si>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</si>
  <si>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</si>
  <si>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</si>
  <si>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</si>
  <si>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</si>
  <si>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</si>
  <si>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</si>
  <si>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</si>
  <si>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</si>
  <si>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</si>
  <si>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</si>
  <si>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</si>
  <si>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</si>
  <si>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</si>
  <si>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</si>
  <si>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</si>
  <si>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</si>
  <si>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</si>
  <si>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</si>
  <si>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</si>
  <si>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</si>
  <si>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</si>
  <si>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</si>
  <si>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</si>
  <si>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</si>
  <si>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</si>
  <si>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</si>
  <si>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</si>
  <si>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</si>
  <si>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</si>
  <si>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</si>
  <si>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</si>
  <si>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</si>
  <si>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</si>
  <si>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</si>
  <si>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</si>
  <si>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</si>
  <si>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</si>
  <si>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</si>
  <si>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</si>
  <si>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</si>
  <si>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</si>
  <si>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</si>
  <si>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</si>
  <si>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</si>
  <si>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</si>
  <si>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</si>
  <si>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</si>
  <si>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</si>
  <si>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</si>
  <si>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</si>
  <si>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</si>
  <si>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</si>
  <si>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</si>
  <si>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</si>
  <si>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</si>
  <si>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</si>
  <si>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</si>
  <si>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</si>
  <si>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</si>
  <si>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</si>
  <si>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</si>
  <si>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</si>
  <si>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</si>
  <si>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</si>
  <si>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</si>
  <si>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</si>
  <si>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</si>
  <si>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</si>
  <si>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</si>
  <si>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</si>
  <si>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</si>
  <si>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</si>
  <si>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</si>
  <si>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</si>
  <si>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</si>
  <si>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</si>
  <si>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</si>
  <si>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</si>
  <si>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</si>
  <si>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</si>
  <si>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</si>
  <si>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</si>
  <si>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</si>
  <si>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</si>
  <si>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</si>
  <si>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</si>
  <si>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</si>
  <si>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</si>
  <si>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</si>
  <si>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</si>
  <si>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</si>
  <si>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</si>
  <si>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</si>
  <si>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</si>
  <si>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</si>
  <si>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</si>
  <si>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</si>
  <si>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</si>
  <si>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</si>
  <si>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</si>
  <si>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</si>
  <si>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</si>
  <si>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</si>
  <si>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</si>
  <si>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</si>
  <si>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</si>
  <si>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</si>
  <si>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</si>
  <si>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</si>
  <si>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</si>
  <si>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</si>
  <si>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</si>
  <si>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</si>
  <si>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</si>
  <si>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</si>
  <si>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</si>
  <si>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</si>
  <si>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</si>
  <si>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</si>
  <si>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</si>
  <si>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</si>
  <si>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</si>
  <si>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</si>
  <si>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</si>
  <si>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</si>
  <si>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</si>
  <si>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</si>
  <si>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</si>
  <si>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</si>
  <si>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</si>
  <si>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</si>
  <si>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</si>
  <si>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</si>
  <si>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</si>
  <si>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</si>
  <si>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</si>
  <si>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</si>
  <si>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</si>
  <si>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</si>
  <si>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</si>
  <si>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</si>
  <si>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</si>
  <si>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</si>
  <si>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</si>
  <si>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</si>
  <si>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</si>
  <si>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</si>
  <si>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</si>
  <si>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</si>
  <si>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</si>
  <si>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</si>
  <si>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</si>
  <si>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</si>
  <si>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</si>
  <si>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</si>
  <si>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</si>
  <si>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</si>
  <si>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</si>
  <si>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</si>
  <si>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</si>
  <si>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</si>
  <si>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</si>
  <si>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</si>
  <si>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</si>
  <si>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</si>
  <si>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</si>
  <si>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</si>
  <si>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</si>
  <si>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</si>
  <si>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</si>
  <si>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</si>
  <si>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</si>
  <si>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</si>
  <si>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</si>
  <si>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</si>
  <si>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</si>
  <si>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</si>
  <si>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</si>
  <si>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</si>
  <si>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</si>
  <si>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</si>
  <si>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</si>
  <si>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</si>
  <si>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</si>
  <si>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</si>
  <si>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</si>
  <si>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</si>
  <si>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</si>
  <si>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</si>
  <si>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</si>
  <si>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</si>
  <si>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</si>
  <si>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</si>
  <si>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</si>
  <si>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</si>
  <si>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</si>
  <si>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</si>
  <si>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</si>
  <si>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</si>
  <si>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</si>
  <si>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</si>
  <si>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</si>
  <si>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</si>
  <si>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</si>
  <si>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</si>
  <si>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</si>
  <si>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</si>
  <si>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</si>
  <si>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</si>
  <si>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</si>
  <si>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</si>
  <si>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</si>
  <si>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</si>
  <si>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</si>
  <si>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</si>
  <si>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</si>
  <si>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</si>
  <si>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</si>
  <si>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</si>
  <si>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</si>
  <si>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</si>
  <si>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</si>
  <si>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</si>
  <si>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</si>
  <si>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</si>
  <si>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</si>
  <si>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</si>
  <si>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</si>
  <si>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</si>
  <si>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</si>
  <si>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</si>
  <si>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</si>
  <si>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</si>
  <si>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</si>
  <si>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</si>
  <si>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</si>
  <si>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</si>
  <si>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</si>
  <si>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</si>
  <si>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</si>
  <si>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</si>
  <si>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</si>
  <si>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</si>
  <si>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</si>
  <si>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</si>
  <si>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</si>
  <si>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</si>
  <si>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</si>
  <si>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</si>
  <si>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</si>
  <si>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</si>
  <si>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</si>
  <si>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</si>
  <si>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</si>
  <si>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</si>
  <si>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</si>
  <si>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</si>
  <si>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</si>
  <si>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</si>
  <si>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</si>
  <si>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</si>
  <si>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</si>
  <si>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</si>
  <si>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</si>
  <si>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</si>
  <si>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</si>
  <si>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</si>
  <si>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</si>
  <si>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</si>
  <si>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</si>
  <si>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</si>
  <si>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</si>
  <si>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</si>
  <si>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</si>
  <si>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</si>
  <si>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</si>
  <si>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</si>
  <si>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</si>
  <si>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</si>
  <si>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</si>
  <si>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</si>
  <si>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</si>
  <si>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</si>
  <si>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</si>
  <si>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</si>
  <si>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</si>
  <si>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</si>
  <si>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</si>
  <si>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</si>
  <si>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</si>
  <si>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</si>
  <si>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</si>
  <si>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</si>
  <si>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</si>
  <si>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</si>
  <si>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</si>
  <si>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</si>
  <si>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</si>
  <si>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</si>
  <si>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</si>
  <si>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</si>
  <si>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</si>
  <si>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</si>
  <si>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</si>
  <si>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</si>
  <si>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</si>
  <si>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</si>
  <si>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</si>
  <si>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</si>
  <si>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</si>
  <si>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</si>
  <si>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</si>
  <si>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</si>
  <si>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</si>
  <si>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</si>
  <si>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</si>
  <si>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</si>
  <si>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</si>
  <si>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</si>
  <si>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</si>
  <si>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</si>
  <si>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</si>
  <si>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</si>
  <si>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</si>
  <si>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</si>
  <si>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</si>
  <si>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</si>
  <si>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</si>
  <si>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</si>
  <si>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</si>
  <si>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</si>
  <si>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</si>
  <si>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</si>
  <si>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</si>
  <si>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</si>
  <si>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</si>
  <si>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</si>
  <si>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</si>
  <si>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</si>
  <si>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</si>
  <si>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</si>
  <si>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</si>
  <si>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</si>
  <si>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</si>
  <si>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</si>
  <si>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</si>
  <si>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</si>
  <si>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</si>
  <si>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</si>
  <si>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</si>
  <si>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</si>
  <si>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</si>
  <si>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</si>
  <si>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</si>
  <si>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</si>
  <si>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</si>
  <si>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</si>
  <si>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</si>
  <si>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</si>
  <si>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</si>
  <si>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</si>
  <si>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</si>
  <si>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</si>
  <si>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</si>
  <si>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</si>
  <si>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</si>
  <si>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</si>
  <si>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</si>
  <si>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</si>
  <si>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</si>
  <si>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</si>
  <si>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</si>
  <si>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</si>
  <si>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</si>
  <si>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</si>
  <si>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</si>
  <si>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</si>
  <si>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</si>
  <si>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</si>
  <si>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</si>
  <si>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</si>
  <si>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</si>
  <si>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</si>
  <si>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</si>
  <si>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</si>
  <si>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</si>
  <si>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</si>
  <si>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</si>
  <si>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</si>
  <si>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</si>
  <si>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</si>
  <si>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</si>
  <si>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</si>
  <si>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</si>
  <si>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</si>
  <si>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</si>
  <si>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</si>
  <si>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</si>
  <si>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</si>
  <si>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</si>
  <si>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</si>
  <si>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</si>
  <si>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</si>
  <si>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</si>
  <si>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</si>
  <si>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51810     Náklady - projekty EU</t>
  </si>
  <si>
    <t>51810000     náklady - projekty EU</t>
  </si>
  <si>
    <t>51874     Ostatní služby</t>
  </si>
  <si>
    <t>51874004     služby poradenské (odborní poradci)</t>
  </si>
  <si>
    <t>51874010     ostatní služby - zdravotní</t>
  </si>
  <si>
    <t>51874018     propagace, reklama, tisk (TM)</t>
  </si>
  <si>
    <t>51874020     konference  - zajišť.dodavatelsky (ubyt., nájem, ostat.sl.)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</si>
  <si>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</si>
  <si>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</si>
  <si>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</si>
  <si>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</si>
  <si>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</si>
  <si>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</si>
  <si>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</si>
  <si>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</si>
  <si>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</si>
  <si>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</si>
  <si>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</si>
  <si>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</si>
  <si>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</si>
  <si>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</si>
  <si>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</si>
  <si>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</si>
  <si>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</si>
  <si>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</si>
  <si>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</si>
  <si>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</si>
  <si>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</si>
  <si>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</si>
  <si>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</si>
  <si>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</si>
  <si>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</si>
  <si>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</si>
  <si>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</si>
  <si>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</si>
  <si>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</si>
  <si>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</si>
  <si>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</si>
  <si>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</si>
  <si>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</si>
  <si>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</si>
  <si>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</si>
  <si>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</si>
  <si>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</si>
  <si>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</si>
  <si>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</si>
  <si>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</si>
  <si>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</si>
  <si>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</si>
  <si>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</si>
  <si>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</si>
  <si>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</si>
  <si>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</si>
  <si>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</si>
  <si>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</si>
  <si>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</si>
  <si>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</si>
  <si>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</si>
  <si>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</si>
  <si>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</si>
  <si>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</si>
  <si>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</si>
  <si>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</si>
  <si>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</si>
  <si>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</si>
  <si>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</si>
  <si>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</si>
  <si>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</si>
  <si>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</si>
  <si>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</si>
  <si>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</si>
  <si>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</si>
  <si>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</si>
  <si>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</si>
  <si>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</si>
  <si>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</si>
  <si>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</si>
  <si>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</si>
  <si>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</si>
  <si>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</si>
  <si>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</si>
  <si>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</si>
  <si>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</si>
  <si>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</si>
  <si>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</si>
  <si>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</si>
  <si>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</si>
  <si>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</si>
  <si>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</si>
  <si>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</si>
  <si>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</si>
  <si>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</si>
  <si>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</si>
  <si>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</si>
  <si>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</si>
  <si>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</si>
  <si>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</si>
  <si>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</si>
  <si>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</si>
  <si>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</si>
  <si>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</si>
  <si>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</si>
  <si>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</si>
  <si>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</si>
  <si>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</si>
  <si>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</si>
  <si>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</si>
  <si>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</si>
  <si>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</si>
  <si>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</si>
  <si>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</si>
  <si>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</si>
  <si>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</si>
  <si>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</si>
  <si>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</si>
  <si>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</si>
  <si>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</si>
  <si>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</si>
  <si>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</si>
  <si>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</si>
  <si>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</si>
  <si>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</si>
  <si>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</si>
  <si>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</si>
  <si>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</si>
  <si>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</si>
  <si>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</si>
  <si>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</si>
  <si>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</si>
  <si>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</si>
  <si>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</si>
  <si>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</si>
  <si>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</si>
  <si>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Novorozenecké oddělení</t>
  </si>
  <si>
    <t/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</si>
  <si>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</si>
  <si>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</si>
  <si>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</si>
  <si>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</si>
  <si>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</si>
  <si>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</si>
  <si>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</si>
  <si>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</si>
  <si>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</si>
  <si>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</si>
  <si>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</si>
  <si>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</si>
  <si>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</si>
  <si>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</si>
  <si>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</si>
  <si>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</si>
  <si>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</si>
  <si>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</si>
  <si>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</si>
  <si>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</si>
  <si>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</si>
  <si>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</si>
  <si>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</si>
  <si>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</si>
  <si>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</si>
  <si>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</si>
  <si>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</si>
  <si>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</si>
  <si>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</si>
  <si>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</si>
  <si>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</si>
  <si>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</si>
  <si>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</si>
  <si>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</si>
  <si>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</si>
  <si>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</si>
  <si>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</si>
  <si>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</si>
  <si>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</si>
  <si>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</si>
  <si>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</si>
  <si>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152266</t>
  </si>
  <si>
    <t>52266</t>
  </si>
  <si>
    <t>INFADOLAN</t>
  </si>
  <si>
    <t>DRM UNG 1X30GM</t>
  </si>
  <si>
    <t>840220</t>
  </si>
  <si>
    <t>0</t>
  </si>
  <si>
    <t>Lactobacillus acidophil.cps.75 bez laktózy</t>
  </si>
  <si>
    <t>930444</t>
  </si>
  <si>
    <t>KL AQUA PURIF. KUL., FAG. 1 kg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</si>
  <si>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</si>
  <si>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</si>
  <si>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</si>
  <si>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</si>
  <si>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</si>
  <si>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</si>
  <si>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</si>
  <si>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</si>
  <si>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</si>
  <si>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</si>
  <si>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900427</t>
  </si>
  <si>
    <t>KL SOL.METHYLROS.CHL.1% 20 G</t>
  </si>
  <si>
    <t>394627</t>
  </si>
  <si>
    <t>KL BARVA NA  DETI 20 g</t>
  </si>
  <si>
    <t>920352</t>
  </si>
  <si>
    <t>KL HELIANTHI OLEUM 180G</t>
  </si>
  <si>
    <t>921412</t>
  </si>
  <si>
    <t>KL UNG.LENIENS, 30G</t>
  </si>
  <si>
    <t>930332</t>
  </si>
  <si>
    <t>KL BENZINUM 20g</t>
  </si>
  <si>
    <t>930676</t>
  </si>
  <si>
    <t>KL SACCHAROSUM  24 % 40 g</t>
  </si>
  <si>
    <t>500968</t>
  </si>
  <si>
    <t>KL SACCHAROSUM 24%  120g</t>
  </si>
  <si>
    <t>119686</t>
  </si>
  <si>
    <t>NASIVIN 0,01%</t>
  </si>
  <si>
    <t>NAS GTT SOL 1X5ML</t>
  </si>
  <si>
    <t>103073</t>
  </si>
  <si>
    <t>ENGERIX-B 20 MCG</t>
  </si>
  <si>
    <t>INJ SUS 1X1ML/20RG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</si>
  <si>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</si>
  <si>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</si>
  <si>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</si>
  <si>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</si>
  <si>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</si>
  <si>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</si>
  <si>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</si>
  <si>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</si>
  <si>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196413</t>
  </si>
  <si>
    <t>96413</t>
  </si>
  <si>
    <t>GENTAMICIN 40MG LEK</t>
  </si>
  <si>
    <t>INJ 10X2ML/40MG</t>
  </si>
  <si>
    <t>201958</t>
  </si>
  <si>
    <t>AMPICILIN 0,5 BIOTIKA</t>
  </si>
  <si>
    <t>INJ PLV SOL 10X500MG</t>
  </si>
  <si>
    <t>50113014</t>
  </si>
  <si>
    <t>116895</t>
  </si>
  <si>
    <t>16895</t>
  </si>
  <si>
    <t>IMAZOL KRÉMPASTA</t>
  </si>
  <si>
    <t>DRM PST 1X30GM</t>
  </si>
  <si>
    <t>47256</t>
  </si>
  <si>
    <t>GLUKÓZA 5 BRAUN</t>
  </si>
  <si>
    <t>INF SOL 20X100ML-PE</t>
  </si>
  <si>
    <t>395294</t>
  </si>
  <si>
    <t>180306</t>
  </si>
  <si>
    <t>TANTUM VERDE</t>
  </si>
  <si>
    <t>LIQ 1X240ML-PET TR</t>
  </si>
  <si>
    <t>847974</t>
  </si>
  <si>
    <t>125525</t>
  </si>
  <si>
    <t>APO-IBUPROFEN 400 MG</t>
  </si>
  <si>
    <t>POR TBL FLM 30X400MG</t>
  </si>
  <si>
    <t>905097</t>
  </si>
  <si>
    <t>158767</t>
  </si>
  <si>
    <t>DZ OCTENISEPT 250 ml</t>
  </si>
  <si>
    <t>sprej</t>
  </si>
  <si>
    <t>900321</t>
  </si>
  <si>
    <t>KL PRIPRAVEK</t>
  </si>
  <si>
    <t>102668</t>
  </si>
  <si>
    <t>2668</t>
  </si>
  <si>
    <t>OPHTHALMO-HYDROCORTISON LECIVA</t>
  </si>
  <si>
    <t>UNG OPH 1X5GM 0.5%</t>
  </si>
  <si>
    <t>199138</t>
  </si>
  <si>
    <t>99138</t>
  </si>
  <si>
    <t>AKTIFERRIN</t>
  </si>
  <si>
    <t>GTT 1X30ML</t>
  </si>
  <si>
    <t>840987</t>
  </si>
  <si>
    <t>IR  AQUA STERILE OPLACH.6x1000 ml</t>
  </si>
  <si>
    <t>IR OPLACH-FR</t>
  </si>
  <si>
    <t>394072</t>
  </si>
  <si>
    <t>KL KAPSLE</t>
  </si>
  <si>
    <t>844879</t>
  </si>
  <si>
    <t>KL HELIANTHI OLEUM 45g</t>
  </si>
  <si>
    <t>120053</t>
  </si>
  <si>
    <t>20053</t>
  </si>
  <si>
    <t>BENOXI 0.4 % UNIMED PHARMA</t>
  </si>
  <si>
    <t>OPH GTT SOL 1X10ML</t>
  </si>
  <si>
    <t>845628</t>
  </si>
  <si>
    <t>IR OG. COLL.PHENYLEPHRINI 10g 2%</t>
  </si>
  <si>
    <t>COLL  2%</t>
  </si>
  <si>
    <t>920020</t>
  </si>
  <si>
    <t>IR OG. COLL.HOMAT.HYDROBROM.1%10G</t>
  </si>
  <si>
    <t>COLL</t>
  </si>
  <si>
    <t>920367</t>
  </si>
  <si>
    <t>KL EREVIT GTT. 18G</t>
  </si>
  <si>
    <t>921342</t>
  </si>
  <si>
    <t>KL SOL.COFFEINI 1% 50G</t>
  </si>
  <si>
    <t>930224</t>
  </si>
  <si>
    <t>KL BENZINUM 900ml/ 600g</t>
  </si>
  <si>
    <t>UN 3295</t>
  </si>
  <si>
    <t>930317</t>
  </si>
  <si>
    <t>KL ETHANOLUM 60% 802 g FAGRON, KULICH</t>
  </si>
  <si>
    <t>UN 1170</t>
  </si>
  <si>
    <t>160404</t>
  </si>
  <si>
    <t>60404</t>
  </si>
  <si>
    <t>BALNEUM HERMAL</t>
  </si>
  <si>
    <t>LIQ 200ML</t>
  </si>
  <si>
    <t>988271</t>
  </si>
  <si>
    <t>BioLac Baby drops Generica 6 ml</t>
  </si>
  <si>
    <t>50113006</t>
  </si>
  <si>
    <t>841583</t>
  </si>
  <si>
    <t>33218</t>
  </si>
  <si>
    <t>Nutrilon Nutriton ProExpert 135g</t>
  </si>
  <si>
    <t>987826</t>
  </si>
  <si>
    <t>NESTLÉ PreBEBA FM85 200g</t>
  </si>
  <si>
    <t>840010</t>
  </si>
  <si>
    <t>Nutrilon 1 A.R. ProExpert 400g</t>
  </si>
  <si>
    <t>990209</t>
  </si>
  <si>
    <t>NESTLE Beba H.A.1 Premium tekutá 32x90ml</t>
  </si>
  <si>
    <t>991186</t>
  </si>
  <si>
    <t>Nutrilon Protein Supplement ProExpert 50x1g</t>
  </si>
  <si>
    <t>P</t>
  </si>
  <si>
    <t>33938</t>
  </si>
  <si>
    <t>INFATRINI</t>
  </si>
  <si>
    <t>POR SOL 24X125ML</t>
  </si>
  <si>
    <t>72973</t>
  </si>
  <si>
    <t>AMOKSIKLAV 600 MG</t>
  </si>
  <si>
    <t>INJ PLV SOL 5X600MG</t>
  </si>
  <si>
    <t>166366</t>
  </si>
  <si>
    <t>66366</t>
  </si>
  <si>
    <t>OSPAMOX 250MG/5ML</t>
  </si>
  <si>
    <t>GRA SUS 1X60ML</t>
  </si>
  <si>
    <t>131739</t>
  </si>
  <si>
    <t>31739</t>
  </si>
  <si>
    <t>HELICID « 40 INF. LYOF.1X40MG</t>
  </si>
  <si>
    <t>31915</t>
  </si>
  <si>
    <t>GLUKÓZA 10 BRAUN</t>
  </si>
  <si>
    <t>INF SOL 10X500ML-PE</t>
  </si>
  <si>
    <t>51367</t>
  </si>
  <si>
    <t>INF SOL 10X250MLPELAH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</si>
  <si>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</si>
  <si>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</si>
  <si>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</si>
  <si>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</si>
  <si>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</si>
  <si>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</si>
  <si>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</si>
  <si>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</si>
  <si>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</si>
  <si>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</si>
  <si>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</si>
  <si>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132992</t>
  </si>
  <si>
    <t>32992</t>
  </si>
  <si>
    <t>ATROVENT N</t>
  </si>
  <si>
    <t>INH SOL PSS200X20RG</t>
  </si>
  <si>
    <t>149317</t>
  </si>
  <si>
    <t>49317</t>
  </si>
  <si>
    <t>CALCIUM GLUCONICUM 10% B.BRAUN</t>
  </si>
  <si>
    <t>INJ SOL 20X10ML</t>
  </si>
  <si>
    <t>162316</t>
  </si>
  <si>
    <t>62316</t>
  </si>
  <si>
    <t>BETADINE - zelená</t>
  </si>
  <si>
    <t>LIQ 1X120ML</t>
  </si>
  <si>
    <t>846599</t>
  </si>
  <si>
    <t>107754</t>
  </si>
  <si>
    <t>Dobutamin Admeda 250 inf.sol50ml</t>
  </si>
  <si>
    <t>100489</t>
  </si>
  <si>
    <t>489</t>
  </si>
  <si>
    <t>INJ 5X1ML/10MG</t>
  </si>
  <si>
    <t>100536</t>
  </si>
  <si>
    <t>536</t>
  </si>
  <si>
    <t>NORADRENALIN LECIVA</t>
  </si>
  <si>
    <t>102684</t>
  </si>
  <si>
    <t>2684</t>
  </si>
  <si>
    <t>MESOCAIN</t>
  </si>
  <si>
    <t>GEL 1X20GM</t>
  </si>
  <si>
    <t>100874</t>
  </si>
  <si>
    <t>874</t>
  </si>
  <si>
    <t>OPHTHALMO-AZULEN</t>
  </si>
  <si>
    <t>UNG OPH 1X5GM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</si>
  <si>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</si>
  <si>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</si>
  <si>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</si>
  <si>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</si>
  <si>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</si>
  <si>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</si>
  <si>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</si>
  <si>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</si>
  <si>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100512</t>
  </si>
  <si>
    <t>512</t>
  </si>
  <si>
    <t>NATRIUM CHLORATUM BIOTIKA 10%</t>
  </si>
  <si>
    <t>INJ 10X5ML 10%</t>
  </si>
  <si>
    <t>169724</t>
  </si>
  <si>
    <t>69724</t>
  </si>
  <si>
    <t>ARDEAELYTOSOL NA.HYDR.CARB.4.2%</t>
  </si>
  <si>
    <t>INF 1X80ML</t>
  </si>
  <si>
    <t>112023</t>
  </si>
  <si>
    <t>12023</t>
  </si>
  <si>
    <t>VIGANTOL</t>
  </si>
  <si>
    <t>POR GTT SOL 1X10ML</t>
  </si>
  <si>
    <t>117996</t>
  </si>
  <si>
    <t>17996</t>
  </si>
  <si>
    <t>KINEDRYL</t>
  </si>
  <si>
    <t>TBL 10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</si>
  <si>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</si>
  <si>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</si>
  <si>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</si>
  <si>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</si>
  <si>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</si>
  <si>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</si>
  <si>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</si>
  <si>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</si>
  <si>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</si>
  <si>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</si>
  <si>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</si>
  <si>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132082</t>
  </si>
  <si>
    <t>32082</t>
  </si>
  <si>
    <t>IBALGIN 400 (IBUPROFEN 400)</t>
  </si>
  <si>
    <t>TBL OBD 100X400MG</t>
  </si>
  <si>
    <t>156675</t>
  </si>
  <si>
    <t>56675</t>
  </si>
  <si>
    <t>FLOXAL</t>
  </si>
  <si>
    <t>GTT OPH 1X5ML</t>
  </si>
  <si>
    <t>846941</t>
  </si>
  <si>
    <t>Swiss Laktobacilky Baby 30 cps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</si>
  <si>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</si>
  <si>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</si>
  <si>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</si>
  <si>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</si>
  <si>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</si>
  <si>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</si>
  <si>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</si>
  <si>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</si>
  <si>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</si>
  <si>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</si>
  <si>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</si>
  <si>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</si>
  <si>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</si>
  <si>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</si>
  <si>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</si>
  <si>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</si>
  <si>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</si>
  <si>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</si>
  <si>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</si>
  <si>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</si>
  <si>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</si>
  <si>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</si>
  <si>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</si>
  <si>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</si>
  <si>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</si>
  <si>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</si>
  <si>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</si>
  <si>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900892</t>
  </si>
  <si>
    <t>KL SUPP.DIAZEPAMI 0,0005G  10KS</t>
  </si>
  <si>
    <t>920368</t>
  </si>
  <si>
    <t>KL EREVIT GTT. 30G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</si>
  <si>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</si>
  <si>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</si>
  <si>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</si>
  <si>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</si>
  <si>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</si>
  <si>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</si>
  <si>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</si>
  <si>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</si>
  <si>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395180</t>
  </si>
  <si>
    <t>Arfen 400mg/3ml inj. 6 amp.-MIMOŘÁDNÝ DOVOZ!!</t>
  </si>
  <si>
    <t>501606</t>
  </si>
  <si>
    <t>KL CPS CALC.GLUC.+CALC.PHOSPH. 100CPS</t>
  </si>
  <si>
    <t>849266</t>
  </si>
  <si>
    <t>162444</t>
  </si>
  <si>
    <t xml:space="preserve">SUFENTANIL TORREX 5 MCG/ML </t>
  </si>
  <si>
    <t>INJ SOL 5X2ML/10RG</t>
  </si>
  <si>
    <t>157871</t>
  </si>
  <si>
    <t>PARACETAMOL KABI 10 MG/ML</t>
  </si>
  <si>
    <t>INF SOL 10X50ML/500MG</t>
  </si>
  <si>
    <t>127737</t>
  </si>
  <si>
    <t>MIDAZOLAM ACCORD 5 MG/ML</t>
  </si>
  <si>
    <t>INJ+INF SOL 10X1MLX5MG/ML</t>
  </si>
  <si>
    <t>500708</t>
  </si>
  <si>
    <t>Nutrilon 0 Nenatal ProExpert 24 x 70ml</t>
  </si>
  <si>
    <t>850713</t>
  </si>
  <si>
    <t>Nutrilon 0 Nenatal (Premature) ProExpert 400g</t>
  </si>
  <si>
    <t>988073</t>
  </si>
  <si>
    <t>NESTLÉ Beba H.A.1 800g NEW</t>
  </si>
  <si>
    <t>990683</t>
  </si>
  <si>
    <t>Nutrilon 1 Profutura 800g</t>
  </si>
  <si>
    <t>33811</t>
  </si>
  <si>
    <t>NEOCATE INFANT</t>
  </si>
  <si>
    <t>POR PLV SOL 1X400GM</t>
  </si>
  <si>
    <t>131654</t>
  </si>
  <si>
    <t>CEFTAZIDIM KABI 1 GM</t>
  </si>
  <si>
    <t>INJ PLV SOL 10X1GM</t>
  </si>
  <si>
    <t>111706</t>
  </si>
  <si>
    <t>11706</t>
  </si>
  <si>
    <t>BISEPTOL 480</t>
  </si>
  <si>
    <t>INJ 10X5ML</t>
  </si>
  <si>
    <t>186264</t>
  </si>
  <si>
    <t>86264</t>
  </si>
  <si>
    <t>TOBREX</t>
  </si>
  <si>
    <t>GTT OPH 5ML 3MG/1ML</t>
  </si>
  <si>
    <t>105114</t>
  </si>
  <si>
    <t>5114</t>
  </si>
  <si>
    <t>TARGOCID 200MG</t>
  </si>
  <si>
    <t>INJ SIC 1X200MG+SOL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</si>
  <si>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</si>
  <si>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</si>
  <si>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</si>
  <si>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</si>
  <si>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</si>
  <si>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</si>
  <si>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</si>
  <si>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195147</t>
  </si>
  <si>
    <t>AMIKACIN MEDOPHARM 500 MG/2 ML</t>
  </si>
  <si>
    <t>INJ+INF SOL 10X2ML/500MG</t>
  </si>
  <si>
    <t>216183</t>
  </si>
  <si>
    <t>KLACID I.V.</t>
  </si>
  <si>
    <t>INF PLV SOL 1X500MG</t>
  </si>
  <si>
    <t>197000</t>
  </si>
  <si>
    <t>97000</t>
  </si>
  <si>
    <t>METRONIDAZOLE 0.5% POLFA</t>
  </si>
  <si>
    <t>INJ 1X100ML 5MG/1ML</t>
  </si>
  <si>
    <t>166265</t>
  </si>
  <si>
    <t>VANCOMYCIN MYLAN 500 MG</t>
  </si>
  <si>
    <t>183812</t>
  </si>
  <si>
    <t>ARCHIFAR 500 MG</t>
  </si>
  <si>
    <t>INJ+INF PLV SOL 10X500MG</t>
  </si>
  <si>
    <t>164401</t>
  </si>
  <si>
    <t>FLUCONAZOL KABI 2 MG/ML</t>
  </si>
  <si>
    <t>INF SOL 10X100ML/200MG</t>
  </si>
  <si>
    <t>50113008</t>
  </si>
  <si>
    <t>42144</t>
  </si>
  <si>
    <t>Human Albumin 20% 10 ml GRIFOLS</t>
  </si>
  <si>
    <t>0129056</t>
  </si>
  <si>
    <t>ATENATIV 500 I.U. Phoenix</t>
  </si>
  <si>
    <t>50113002</t>
  </si>
  <si>
    <t>17820</t>
  </si>
  <si>
    <t>AMINOVENOES N PAED 10%</t>
  </si>
  <si>
    <t>INF SOL 10X100ML 10%</t>
  </si>
  <si>
    <t>101420</t>
  </si>
  <si>
    <t>SMOFLIPID</t>
  </si>
  <si>
    <t>INF EML 10X100ML</t>
  </si>
  <si>
    <t>50113004</t>
  </si>
  <si>
    <t>501533</t>
  </si>
  <si>
    <t>IR  PARENT.VÝŽIVA  NOVOROZENCI</t>
  </si>
  <si>
    <t>vak 125ml</t>
  </si>
  <si>
    <t>501546</t>
  </si>
  <si>
    <t>vak 250 ml</t>
  </si>
  <si>
    <t>501547</t>
  </si>
  <si>
    <t xml:space="preserve">IR  PARENT.VÝŽIVA </t>
  </si>
  <si>
    <t>vak 500 ml</t>
  </si>
  <si>
    <t>50113016</t>
  </si>
  <si>
    <t>210114</t>
  </si>
  <si>
    <t>SYNAGIS 100 MG/ML</t>
  </si>
  <si>
    <t>INJ SOL 1X0.5ML</t>
  </si>
  <si>
    <t>210115</t>
  </si>
  <si>
    <t>INJ SOL 1X1ML</t>
  </si>
  <si>
    <t>NOVO: lůžkové oddělení 16C</t>
  </si>
  <si>
    <t>NOVO: lůžkové oddělení 16B + 16D</t>
  </si>
  <si>
    <t>NOVO: JIP 16A</t>
  </si>
  <si>
    <t>NOVO: centrum - novorozenecké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</si>
  <si>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</si>
  <si>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</si>
  <si>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</si>
  <si>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</si>
  <si>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</si>
  <si>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parenter. výživa</t>
  </si>
  <si>
    <t>Lékárna - parenter. výživa - výroba</t>
  </si>
  <si>
    <t>Lékárna - centrové léky</t>
  </si>
  <si>
    <t>0931 - NOVO: JIP 16A</t>
  </si>
  <si>
    <t>0912 - NOVO: lůžkové oddělení 16B + 16D</t>
  </si>
  <si>
    <t>A02BC01 - Omeprazol</t>
  </si>
  <si>
    <t>V06XX - Potraviny pro zvláštní lékařské účely (PZLÚ)</t>
  </si>
  <si>
    <t>N01AH03 - Sufentanyl</t>
  </si>
  <si>
    <t>J01XA01 - Vankomycin</t>
  </si>
  <si>
    <t>N02BE01 - Paracetamol</t>
  </si>
  <si>
    <t>N05CD08 - Midazolam</t>
  </si>
  <si>
    <t>J01DH02 - Meropenem</t>
  </si>
  <si>
    <t>J01XD01 - Metronidazol</t>
  </si>
  <si>
    <t>J02AC01 - Flukonazol</t>
  </si>
  <si>
    <t>V06XX</t>
  </si>
  <si>
    <t>NUTRITON</t>
  </si>
  <si>
    <t>POR SOL 1X135G</t>
  </si>
  <si>
    <t>A02BC01</t>
  </si>
  <si>
    <t>HELICID 40 INF</t>
  </si>
  <si>
    <t>40MG INF PLV SOL 1</t>
  </si>
  <si>
    <t>J01DH02</t>
  </si>
  <si>
    <t>ARCHIFAR</t>
  </si>
  <si>
    <t>500MG INJ+INF PLV SOL 10</t>
  </si>
  <si>
    <t>J01XA01</t>
  </si>
  <si>
    <t>VANCOMYCIN MYLAN</t>
  </si>
  <si>
    <t>500MG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</si>
  <si>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</si>
  <si>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</si>
  <si>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</si>
  <si>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</si>
  <si>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</si>
  <si>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</si>
  <si>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N01AH03</t>
  </si>
  <si>
    <t>SUFENTANIL TORREX</t>
  </si>
  <si>
    <t>5MCG/ML INJ SOL 5X2ML</t>
  </si>
  <si>
    <t>N02BE01</t>
  </si>
  <si>
    <t>PARACETAMOL KABI</t>
  </si>
  <si>
    <t>10MG/ML INF SOL 10X50ML</t>
  </si>
  <si>
    <t>N05CD08</t>
  </si>
  <si>
    <t>MIDAZOLAM ACCORD</t>
  </si>
  <si>
    <t>5MG/ML INJ+INF SOL 10X1ML</t>
  </si>
  <si>
    <t>POR PLV SOL 1X400G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</si>
  <si>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</si>
  <si>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</si>
  <si>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</si>
  <si>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</si>
  <si>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0921 - ambulance</t>
  </si>
  <si>
    <t>0931 - JIP 16A</t>
  </si>
  <si>
    <t>0994 - centrum - novorozenecké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</si>
  <si>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</si>
  <si>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</si>
  <si>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</si>
  <si>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</si>
  <si>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</si>
  <si>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</si>
  <si>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</si>
  <si>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</si>
  <si>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 xml:space="preserve"> </t>
  </si>
  <si>
    <t>* Legenda</t>
  </si>
  <si>
    <t>DIAPZT = Pomůcky pro diabetiky, jejichž název začíná slovem "Pumpa"</t>
  </si>
  <si>
    <t>Bodnár Vojtěch</t>
  </si>
  <si>
    <t>Dubrava Lubomír</t>
  </si>
  <si>
    <t>Hálek Jan</t>
  </si>
  <si>
    <t>Mišuth Vladimír</t>
  </si>
  <si>
    <t>Škodová Hana</t>
  </si>
  <si>
    <t>Šuláková Soňa</t>
  </si>
  <si>
    <t>Vránová Ivana</t>
  </si>
  <si>
    <t>Wita Martin</t>
  </si>
  <si>
    <t>Přehled plnění pozitivního listu (PL) - 
   preskripce léčivých přípravků dle objemu Kč mimo PL</t>
  </si>
  <si>
    <t>A02BC02 - Pantoprazol</t>
  </si>
  <si>
    <t>A02BC02</t>
  </si>
  <si>
    <t>119688</t>
  </si>
  <si>
    <t>CONTROLOC</t>
  </si>
  <si>
    <t>40MG TBL ENT 100 I</t>
  </si>
  <si>
    <t>33403</t>
  </si>
  <si>
    <t>NUTRILON 1 NENATAL</t>
  </si>
  <si>
    <t>POR SOL 1X400G</t>
  </si>
  <si>
    <t>33399</t>
  </si>
  <si>
    <t>NUTRILON 0 NENATAL</t>
  </si>
  <si>
    <t>33817</t>
  </si>
  <si>
    <t>POR SOL 4X125ML</t>
  </si>
  <si>
    <t>33839</t>
  </si>
  <si>
    <t>FORTINI PRO DĚTI S VLÁKNINOU - VANILKOVÁ PŘÍCHUŤ</t>
  </si>
  <si>
    <t>POR SOL 1X200ML</t>
  </si>
  <si>
    <t>33821</t>
  </si>
  <si>
    <t>FORTINI CREAMY FRUIT MULTI FIBRE ČERVENÉ OVOCE</t>
  </si>
  <si>
    <t>POR SOL 4X100G</t>
  </si>
  <si>
    <t>33822</t>
  </si>
  <si>
    <t>FORTINI CREAMY FRUIT MULTI FIBRE LETNÍ OVOCE</t>
  </si>
  <si>
    <t>33836</t>
  </si>
  <si>
    <t>FORTINI PRO DĚTI S VLÁKNINOU - NEUTRAL</t>
  </si>
  <si>
    <t>Přehled plnění PL - Preskripce léčivých přípravků - orientační přehled</t>
  </si>
  <si>
    <t>50115004     IUTN - kovové (Z506)</t>
  </si>
  <si>
    <t>0921</t>
  </si>
  <si>
    <t>ambulance</t>
  </si>
  <si>
    <t>ambulance Celkem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</si>
  <si>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</si>
  <si>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</si>
  <si>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</si>
  <si>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</si>
  <si>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</si>
  <si>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</si>
  <si>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ZK522</t>
  </si>
  <si>
    <t>Tampon sterilní z buničité vaty / 20 ks karton á 2400 ks 1230213120</t>
  </si>
  <si>
    <t>ZL410</t>
  </si>
  <si>
    <t>Krytí gelové Hemagel 100 g A2681147</t>
  </si>
  <si>
    <t>ZA674</t>
  </si>
  <si>
    <t>Cévka CN-01, bal.á 40 ks, 646959</t>
  </si>
  <si>
    <t>ZA737</t>
  </si>
  <si>
    <t>Filtr mini spike modrý 4550234</t>
  </si>
  <si>
    <t>ZA743</t>
  </si>
  <si>
    <t>Zkumavka odběrová 0,5 ml tapval fialová 11170</t>
  </si>
  <si>
    <t>ZA746</t>
  </si>
  <si>
    <t>Stříkačka injekční 3-dílná 1 ml L tuberculin Omnifix Solo 9161406V</t>
  </si>
  <si>
    <t>ZA775</t>
  </si>
  <si>
    <t>Sáček močový lepicí dětský pro novoroz. 80x220 mm d744988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</si>
  <si>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</si>
  <si>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</si>
  <si>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</si>
  <si>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</si>
  <si>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</si>
  <si>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</si>
  <si>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</si>
  <si>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</si>
  <si>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</si>
  <si>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</si>
  <si>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ZB338</t>
  </si>
  <si>
    <t>Hadička tlaková spojovací unicath 1,0 mm x 200 cm PB 3120 M</t>
  </si>
  <si>
    <t>ZB384</t>
  </si>
  <si>
    <t>Stříkačka injekční 3-dílná 20 ml LL Omnifix Solo se závitem bal. á 100 ks 4617207V</t>
  </si>
  <si>
    <t>ZB439</t>
  </si>
  <si>
    <t>Odstraňovač náplastí Convacare á 100 ks 0011279 37443</t>
  </si>
  <si>
    <t>ZC722</t>
  </si>
  <si>
    <t>Páska fixační bal. á 12 ks LNOP 1053</t>
  </si>
  <si>
    <t>ZD662</t>
  </si>
  <si>
    <t>Cévka odsávací CH8 s přerušovačem sání  bal. á 60 ks ZAR-CO-A08-60</t>
  </si>
  <si>
    <t>ZF159</t>
  </si>
  <si>
    <t>Nádoba na kontaminovaný odpad 1 l 15-0002</t>
  </si>
  <si>
    <t>ZK799</t>
  </si>
  <si>
    <t>Zátka combi červená 4495101</t>
  </si>
  <si>
    <t>ZL688</t>
  </si>
  <si>
    <t>Proužky Accu-Check Inform IIStrip 50 EU1 á 50 ks 05942861041</t>
  </si>
  <si>
    <t>ZL689</t>
  </si>
  <si>
    <t>Roztok Accu-Check Performa Int´l Controls 1+2 level 04861736</t>
  </si>
  <si>
    <t>ZK083</t>
  </si>
  <si>
    <t>Elektroda EKG bal. á 12 ks 100 BRS-50-K/12</t>
  </si>
  <si>
    <t>ZC793</t>
  </si>
  <si>
    <t>Čidlo saturační neonatální LNOP Neo-L děti 1 - 10 kg adhesivní sens. bal. á 20 ks 1798</t>
  </si>
  <si>
    <t>ZB985</t>
  </si>
  <si>
    <t>Zkumavka močová urin-monovette s pístem 10 ml sterilní bal. á 100 ks 10.252.020</t>
  </si>
  <si>
    <t>ZH286</t>
  </si>
  <si>
    <t>Teploměr digitální s ohebným hrotem Thermoval Kids flex - voděodolný, nárazuvzdorný (91925) 9250532</t>
  </si>
  <si>
    <t>ZB088</t>
  </si>
  <si>
    <t>Kanyla ET 3,0 bez manžety bal. á 10 ks 9336E</t>
  </si>
  <si>
    <t>ZM517</t>
  </si>
  <si>
    <t>Ventil včetně 6 bílých membrán K800.0727</t>
  </si>
  <si>
    <t>ZB428</t>
  </si>
  <si>
    <t>Kanyla ET 2,5 bez manžety bal. á 10 ks 9325E</t>
  </si>
  <si>
    <t>ZN206</t>
  </si>
  <si>
    <t>Lopatka ústní dřevěná lékařská sterilní 150 x 17 mm bal. á 500 ks 4002/SG/CS/L</t>
  </si>
  <si>
    <t>ZA118</t>
  </si>
  <si>
    <t>Kanyla ET 3,5 bez manžetou bal. á 10 ks 9335E</t>
  </si>
  <si>
    <t>ZB416</t>
  </si>
  <si>
    <t>Kanyla ET 4,0 bez manžety bal. á 10 ks 9342E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</si>
  <si>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</si>
  <si>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</si>
  <si>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</si>
  <si>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</si>
  <si>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ZD892</t>
  </si>
  <si>
    <t>Filtr akustický echo screen bal. á 5 ks 1770</t>
  </si>
  <si>
    <t>ZM515</t>
  </si>
  <si>
    <t>Souprava odsávací nástavec+ventil+membrána+láhev šroub. uzávěr+víčko K800.0695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</si>
  <si>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</si>
  <si>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</si>
  <si>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</si>
  <si>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</si>
  <si>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</si>
  <si>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</si>
  <si>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ZN041</t>
  </si>
  <si>
    <t>Rukavice operační gammex latex PF bez pudru 6,5 330048065</t>
  </si>
  <si>
    <t>ZN126</t>
  </si>
  <si>
    <t>Rukavice operační gammex latex PF bez pudru 7,0 330048070</t>
  </si>
  <si>
    <t>DC515</t>
  </si>
  <si>
    <t>Čistící roztok k dekontaminaci 100 ml  (HYPOCHLORID.ROZTOK,S5362)</t>
  </si>
  <si>
    <t>DD305</t>
  </si>
  <si>
    <t>KARTICKY TEST.SCREENING 45X70 á 100 ks</t>
  </si>
  <si>
    <t>ZA318</t>
  </si>
  <si>
    <t>Náplast transpore 1,25 cm x 9,14 m 1527-0</t>
  </si>
  <si>
    <t>ZA516</t>
  </si>
  <si>
    <t>Kompresa NT 7,5 x 7,5 cm/10 ks sterilní karton á 900 ks 1230119526</t>
  </si>
  <si>
    <t>ZA570</t>
  </si>
  <si>
    <t>Krytí tegaderm 4,4 cm x 4,4 cm bal. á 100 ks 1622W</t>
  </si>
  <si>
    <t>ZC845</t>
  </si>
  <si>
    <t>Kompresa NT 10 x 20 cm/5 ks sterilní 26621</t>
  </si>
  <si>
    <t>ZF225</t>
  </si>
  <si>
    <t>Náplast hypoalergenní á 250 ks 5353811</t>
  </si>
  <si>
    <t>ZF351</t>
  </si>
  <si>
    <t>Náplast transpore bílá 1,25 cm x 9,14 m bal. á 24 ks 1534-0</t>
  </si>
  <si>
    <t>ZO123</t>
  </si>
  <si>
    <t>Fixace nosních katetrů nasofix niko M – I dětský bal. á 100 ks 49-625M-I</t>
  </si>
  <si>
    <t>ZA729</t>
  </si>
  <si>
    <t>Tyčinka vatová sterilní velká 1 bal/200 ks 9679520</t>
  </si>
  <si>
    <t>ZA744</t>
  </si>
  <si>
    <t>Kanyla neoflon 24G žlutá BDC391350</t>
  </si>
  <si>
    <t>ZB299</t>
  </si>
  <si>
    <t>Konektor bezjehlový s prodl.hadičkou, bal.á 50 ks, 4097154</t>
  </si>
  <si>
    <t>ZB949</t>
  </si>
  <si>
    <t>Pinzeta UH sterilní HAR478 165 (HAR999565)</t>
  </si>
  <si>
    <t>ZI179</t>
  </si>
  <si>
    <t>Zkumavka s mediem+ flovakovaný tampon eSwab růžový 490CE.A</t>
  </si>
  <si>
    <t>ZK798</t>
  </si>
  <si>
    <t>Zátka combi modrá 4495152</t>
  </si>
  <si>
    <t>ZD030</t>
  </si>
  <si>
    <t>Skalpel jednorázový cutfix sterilní bal. á 10 ks 5518040</t>
  </si>
  <si>
    <t>ZN570</t>
  </si>
  <si>
    <t>Láhev kojenecká jednorázová se šroub.víčkem 50ml multipack bal. á 42 ks 37512</t>
  </si>
  <si>
    <t>ZN573</t>
  </si>
  <si>
    <t>Dudlík růžový 3-rychlostní s ochranným krytem předčasně narozené děti bal. á 180 ks 37585</t>
  </si>
  <si>
    <t>ZN572</t>
  </si>
  <si>
    <t>Láhev kojenecká jednorázová se šroub.víčkem 240ml multipack bal. á 18 ks 37616</t>
  </si>
  <si>
    <t>ZN571</t>
  </si>
  <si>
    <t>Láhev kojenecká jednorázová se šroub.víčkem 130ml multipack bal. á 24 ks 37614</t>
  </si>
  <si>
    <t>ZN574</t>
  </si>
  <si>
    <t>Dudlík modrý 3-rychlostní s ochranným krytem novorozenci a starší bal. á 180 ks 37587</t>
  </si>
  <si>
    <t>ZN575</t>
  </si>
  <si>
    <t>Dudlík červený 1-rychlostní s ochranným krytem novorozenci bal. á 180 ks 37589</t>
  </si>
  <si>
    <t>ZO939</t>
  </si>
  <si>
    <t>Zkumavka liquor PP 10 ml 15,3 x 92 ml šroubovací víčko sterilní s popisem bal.á 100 ks 62.610.018</t>
  </si>
  <si>
    <t>ZA834</t>
  </si>
  <si>
    <t>Jehla injekční 0,7 x 40 mm černá 4660021</t>
  </si>
  <si>
    <t>ZA999</t>
  </si>
  <si>
    <t>Jehla injekční 0,5 x 16 mm oranžová 4657853</t>
  </si>
  <si>
    <t>ZO256</t>
  </si>
  <si>
    <t>Rukavice nitril sempercare bez p. Soft růžové bal. á 200 ks vel. M 34432 - pouze pro novorozence</t>
  </si>
  <si>
    <t>DF171</t>
  </si>
  <si>
    <t>KALIBRAČNÍ ROZTOK 1  S1820 (ABL 825)</t>
  </si>
  <si>
    <t>DF169</t>
  </si>
  <si>
    <t>PROPLACHOVACÍ ROZTOK 600 ml S4980 (ABL 825)</t>
  </si>
  <si>
    <t>DB437</t>
  </si>
  <si>
    <t>KALIBRACNI PLYN 1(10 bar)</t>
  </si>
  <si>
    <t>DF170</t>
  </si>
  <si>
    <t>NOVÝ ČISTÍCÍ ROZTOK s aditivem, S8375 (ABL 825)</t>
  </si>
  <si>
    <t>DF166</t>
  </si>
  <si>
    <t>KALIBRAČNÍ ROZTOK 2  S1830 (ABL 825)</t>
  </si>
  <si>
    <t>DF445</t>
  </si>
  <si>
    <t>Odpadni nadoba D512 600 ml</t>
  </si>
  <si>
    <t>DA376</t>
  </si>
  <si>
    <t>Zachycovače krevních sraženin, Clot Catchers ,250</t>
  </si>
  <si>
    <t>ZA444</t>
  </si>
  <si>
    <t>Tampon nesterilní stáčený 20 x 19 cm bez RTG nití bal. á 100 ks 1320300404</t>
  </si>
  <si>
    <t>ZA544</t>
  </si>
  <si>
    <t>Krytí inadine nepřilnavé 5,0 x 5,0 cm 1/10 SYS01481EE</t>
  </si>
  <si>
    <t>ZA593</t>
  </si>
  <si>
    <t>Tampon sterilní stáčený 20 x 20 cm / 5 ks 28003+</t>
  </si>
  <si>
    <t>ZA627</t>
  </si>
  <si>
    <t>Krytí granuflex extra thin 5 x 10 cm á 10 ks 0021661 187959</t>
  </si>
  <si>
    <t>ZE108</t>
  </si>
  <si>
    <t>Krytí mepilex lite 10 x 10 cm bal. á 5 ks 284100-01</t>
  </si>
  <si>
    <t>ZF108</t>
  </si>
  <si>
    <t>Krytí mepilex lite 6 x  8,5 cm bal. á 5 ks 284000-01</t>
  </si>
  <si>
    <t>ZG613</t>
  </si>
  <si>
    <t>Krytí mepitel one 8 x 10 cm  bal. á 5 ks 289200-00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</si>
  <si>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</si>
  <si>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</si>
  <si>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</si>
  <si>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</si>
  <si>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ZN101</t>
  </si>
  <si>
    <t>Náplast Neo Smile k měření teploty v inkubátoru GIRAFFE bal. á 150 ks N731</t>
  </si>
  <si>
    <t>ZN814</t>
  </si>
  <si>
    <t>Krytí gelové na rány ActiMaris bal. á 20g 3097749</t>
  </si>
  <si>
    <t>ZN100</t>
  </si>
  <si>
    <t>Náplast reflexní k měření teploty v inkubátoru GIRAFFE á 50 ks 0203-1980-300</t>
  </si>
  <si>
    <t>ZA210</t>
  </si>
  <si>
    <t>Cévka vyživovací CV-01 GAM646957</t>
  </si>
  <si>
    <t>ZA687</t>
  </si>
  <si>
    <t>Sáček močový curity s hod. diurézou 200 ml hadička 150 cm 6502</t>
  </si>
  <si>
    <t>ZA691</t>
  </si>
  <si>
    <t>Rampa 3 kohouty discofix 16600C/4085434/</t>
  </si>
  <si>
    <t>ZA749</t>
  </si>
  <si>
    <t>Stříkačka injekční 3-dílná 50 ml LL Omnifix Solo 4617509F</t>
  </si>
  <si>
    <t>ZB102</t>
  </si>
  <si>
    <t>Láhev k odsávačce flovac 1l hadice 1,8 m á 45 ks 000-036-020</t>
  </si>
  <si>
    <t>ZB103</t>
  </si>
  <si>
    <t>Láhev k odsávačce flovac 2l hadice 1,8 m 000-036-021</t>
  </si>
  <si>
    <t>ZB199</t>
  </si>
  <si>
    <t>Kanyla neoflon 26G fialová BDC391349</t>
  </si>
  <si>
    <t>ZB301</t>
  </si>
  <si>
    <t>Rampa 5 kohoutů bez PVC lipidorezistentní bal. á 20 ks RP 5000 M</t>
  </si>
  <si>
    <t>ZB360</t>
  </si>
  <si>
    <t>Rourka rektální CH12 délka 12 cm sterilní bal. á 20 ks 646699</t>
  </si>
  <si>
    <t>ZB488</t>
  </si>
  <si>
    <t>Sprej cavilon 28 ml bal. á 12 ks 3346E</t>
  </si>
  <si>
    <t>ZB501</t>
  </si>
  <si>
    <t>Přerušovač sání fingertip sterilní bal. á 100 ks 07.031.00.000</t>
  </si>
  <si>
    <t>ZB543</t>
  </si>
  <si>
    <t>Souprava odběrová tracheální na odběr sekretu G05206</t>
  </si>
  <si>
    <t>ZB668</t>
  </si>
  <si>
    <t>Hadička spojovací tlaková unicath pr. 1,0 mm x   50 cm á 40 ks PB 3105 M</t>
  </si>
  <si>
    <t>ZB754</t>
  </si>
  <si>
    <t>Zkumavka černá 2 ml 454073</t>
  </si>
  <si>
    <t>ZB755</t>
  </si>
  <si>
    <t>Zkumavka 1,0 ml K3 edta fialová 454034</t>
  </si>
  <si>
    <t>ZB760</t>
  </si>
  <si>
    <t>Zkumavka červená 3 ml 454095</t>
  </si>
  <si>
    <t>ZB815</t>
  </si>
  <si>
    <t>Stříkačka injekční 3-dílná 50 ml LL spec. Original-Perfusor černá s jehlou 50 ml 8728828F</t>
  </si>
  <si>
    <t>ZE308</t>
  </si>
  <si>
    <t>Stříkačka injekční 3-dílná 5 ml LL Omnifix Solo se závitem 4617053V</t>
  </si>
  <si>
    <t>ZH845</t>
  </si>
  <si>
    <t>Tyčinka vatová medcomfort + glyc. citónová příchuť bal. á 75 ks 09157-100</t>
  </si>
  <si>
    <t>ZI681</t>
  </si>
  <si>
    <t>Kapilára heparin litný 140 ul / 2,35 x 90 mm UH bal. á 100 ks 102090</t>
  </si>
  <si>
    <t>ZJ659</t>
  </si>
  <si>
    <t>Kohout trojcestný s bezjehlovým konektorem Discofix C bal. á 100 ks 16494CSF</t>
  </si>
  <si>
    <t>ZK884</t>
  </si>
  <si>
    <t>Kohout trojcestný discofix modrý 4095111</t>
  </si>
  <si>
    <t>ZD992</t>
  </si>
  <si>
    <t>Čidlo saturační masimo jednorázové pro novorozence k monitoru Mindray bal. á 20 ks 2329LHL</t>
  </si>
  <si>
    <t>ZI026</t>
  </si>
  <si>
    <t>Šidítko dětské Flora 03 kytička bal. á 30 ks 1001</t>
  </si>
  <si>
    <t>ZL951</t>
  </si>
  <si>
    <t>Hadička prodlužovací PVC 150 cm pro světlocitlivé léky NO DOP bal. á 20  ks V686423-ND</t>
  </si>
  <si>
    <t>ZI120</t>
  </si>
  <si>
    <t>Manžeta TK novorozenecká č. 4 M1872B + konektory bal. á 10 ks M1872B</t>
  </si>
  <si>
    <t>ZB095</t>
  </si>
  <si>
    <t>Systém odsávací uzavřený TC CH6 neo / pedi 30,5 cm 196-5</t>
  </si>
  <si>
    <t>ZE783</t>
  </si>
  <si>
    <t>Trn na vak jednosměrný bal. á 100 ks 2309E</t>
  </si>
  <si>
    <t>ZL537</t>
  </si>
  <si>
    <t>Čidlo teplotní jednorázové bal. á 10 ks 2074816-001</t>
  </si>
  <si>
    <t>ZM753</t>
  </si>
  <si>
    <t>Sada Infant Flow LP nCPAP aolikátor. okruh, komora zvlhčovače s automatickým plněním bal. á 10 ks 7772011AK</t>
  </si>
  <si>
    <t>ZB708</t>
  </si>
  <si>
    <t>Katetr močový foley CH6 silikon 23.000.14.206</t>
  </si>
  <si>
    <t>ZB334</t>
  </si>
  <si>
    <t>Konektor bezjehlový bionecteur á 50 ks 896.03</t>
  </si>
  <si>
    <t>ZI683</t>
  </si>
  <si>
    <t>Drátek míchací á 500 ks 110009</t>
  </si>
  <si>
    <t>ZM755</t>
  </si>
  <si>
    <t>Čelenka fixační Infant Flow nCPAP S 21 - 26 cm bal. á 10 ks 777040S</t>
  </si>
  <si>
    <t>ZB228</t>
  </si>
  <si>
    <t>Systém hrudní drenáže Pleur-evac bal. á 6 ks pro děti A-6020-08LF</t>
  </si>
  <si>
    <t>ZB195</t>
  </si>
  <si>
    <t>Systém odsávací uzavřený TC CH8 neo / pedi 30,5 cm 198-5</t>
  </si>
  <si>
    <t>ZM754</t>
  </si>
  <si>
    <t>Čelenka fixační Infant Flow nCPAP XS 17 - 21 cm bal. á 10 ks 777040XS</t>
  </si>
  <si>
    <t>ZI035</t>
  </si>
  <si>
    <t>Savička náhradní kulatá k šidítkům Flora kytička 100N</t>
  </si>
  <si>
    <t>ZI682</t>
  </si>
  <si>
    <t>Zátka ke kapiláře á 500 ks (8153) 110180</t>
  </si>
  <si>
    <t>ZC236</t>
  </si>
  <si>
    <t>Cévka odsávací CH10 s přerušovačem sání bal. á 70 ks GCR1021-10</t>
  </si>
  <si>
    <t>ZO932</t>
  </si>
  <si>
    <t>Zkumavka 13 ml PP 101/16,5 mm bílý uzávěr sterilní 60.540.012</t>
  </si>
  <si>
    <t>ZI142</t>
  </si>
  <si>
    <t>Podložka chladící na hypotremii dítěte vel. 38 x 55 cm á 20 ks TP22E MUL.T.PAD</t>
  </si>
  <si>
    <t>ZL818</t>
  </si>
  <si>
    <t>Katetr pupeční dvoucestný 1272.14</t>
  </si>
  <si>
    <t>ZP084</t>
  </si>
  <si>
    <t>Katetr pupeční jednocestný 3,5 Fr x 40 cm 1270.03</t>
  </si>
  <si>
    <t>ZA716</t>
  </si>
  <si>
    <t>Set infuzní intrafix air bez PVC 180 cm 4063002</t>
  </si>
  <si>
    <t>ZE079</t>
  </si>
  <si>
    <t>Set transfúzní non PVC s odvzdušněním a bakteriálním filtrem ZAR-I-TS</t>
  </si>
  <si>
    <t>ZM294</t>
  </si>
  <si>
    <t>Rukavice nitril sempercare bez p. XL bal. á 180 ks 30818</t>
  </si>
  <si>
    <t>ZM293</t>
  </si>
  <si>
    <t>Rukavice nitril sempercare bez p. L bal. á 200 ks 30804</t>
  </si>
  <si>
    <t>ZN108</t>
  </si>
  <si>
    <t>Rukavice operační gammex latex PF bez pudru 8,0 330048080</t>
  </si>
  <si>
    <t>ZN125</t>
  </si>
  <si>
    <t>Rukavice operační gammex latex PF bez pudru 7,5 330048075</t>
  </si>
  <si>
    <t>DG383</t>
  </si>
  <si>
    <t>Bactec PEDS</t>
  </si>
  <si>
    <t>DG388</t>
  </si>
  <si>
    <t>Játrový bujon (10ml)</t>
  </si>
  <si>
    <t>DC320</t>
  </si>
  <si>
    <t>AUTOCHECK TM5+/LEVEL3/S7755</t>
  </si>
  <si>
    <t>DC319</t>
  </si>
  <si>
    <t>AUTOCHECK TM5+/LEVEL1/S7735</t>
  </si>
  <si>
    <t>DC402</t>
  </si>
  <si>
    <t>AUTOCHECK TM5+/LEVEL2/S7745</t>
  </si>
  <si>
    <t>ZD406</t>
  </si>
  <si>
    <t>Okruh dýchací pro novorozence jednorázový 150 cm á 10 ks 305/8173</t>
  </si>
  <si>
    <t>ZK465</t>
  </si>
  <si>
    <t>Hadička propojovací ventilátor/zvlhčovač jednorázová k ventilátoru Fabian bal. á 10 ks 270.520</t>
  </si>
  <si>
    <t>ZM999</t>
  </si>
  <si>
    <t>Adaptér HFO autoklávovatelný k ventilátoru Fabian 7209</t>
  </si>
  <si>
    <t>ZN141</t>
  </si>
  <si>
    <t>Okruh dýchací vyhřívaný s přívodní hadicí komorou nízkoprůtokovou zvlhčovací patronou Vapotherm pro rozsah průtoku 2-8 l/min. bal. á 5 ks PF-DPC-</t>
  </si>
  <si>
    <t>ZN304</t>
  </si>
  <si>
    <t>Nostrilka Infant Flow LP nCPAP velikost XS bal. á 10 ks 777000XS</t>
  </si>
  <si>
    <t>ZI235</t>
  </si>
  <si>
    <t>Komora pro zvlhčovače jednorázová k ventilátoru Fabian bal. á 10 ks 500380</t>
  </si>
  <si>
    <t>ZO954</t>
  </si>
  <si>
    <t>Aplikátor nasální Solo k Vapothermu bal. á 25 ks SOLO1300</t>
  </si>
  <si>
    <t>ZM993</t>
  </si>
  <si>
    <t>Senzor průtokový novorozenecký autoklávovatelný k ventilátoru Fabian 1031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</si>
  <si>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</si>
  <si>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</si>
  <si>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</si>
  <si>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</si>
  <si>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</si>
  <si>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</si>
  <si>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</si>
  <si>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</si>
  <si>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</si>
  <si>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</si>
  <si>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50115070</t>
  </si>
  <si>
    <t>513 SZM katetry (112 02 101)</t>
  </si>
  <si>
    <t>50115063</t>
  </si>
  <si>
    <t>528 SZM sety (112 02 105)</t>
  </si>
  <si>
    <t>50115079</t>
  </si>
  <si>
    <t>542 SZM Intenzivní péče (112 02 100)</t>
  </si>
  <si>
    <t>Spotřeba zdravotnického materiálu - orientační přehled</t>
  </si>
  <si>
    <t>ON Data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</si>
  <si>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</si>
  <si>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</si>
  <si>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</si>
  <si>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</si>
  <si>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</si>
  <si>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</si>
  <si>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</si>
  <si>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Drápalová Radka</t>
  </si>
  <si>
    <t>Faixová Petra</t>
  </si>
  <si>
    <t>Zdravotní výkony vykázané na pracovišti v rámci ambulantní péče dle lékařů *</t>
  </si>
  <si>
    <t>06</t>
  </si>
  <si>
    <t>301</t>
  </si>
  <si>
    <t>(prázdné)</t>
  </si>
  <si>
    <t>1</t>
  </si>
  <si>
    <t>0027635</t>
  </si>
  <si>
    <t>SYNAGI</t>
  </si>
  <si>
    <t>0027636</t>
  </si>
  <si>
    <t>0210115</t>
  </si>
  <si>
    <t>0210114</t>
  </si>
  <si>
    <t>SYNAGIS</t>
  </si>
  <si>
    <t>V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</si>
  <si>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</si>
  <si>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</si>
  <si>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</si>
  <si>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</si>
  <si>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</si>
  <si>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</si>
  <si>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31023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</si>
  <si>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</si>
  <si>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</si>
  <si>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</si>
  <si>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</si>
  <si>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</si>
  <si>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</si>
  <si>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</si>
  <si>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</si>
  <si>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</si>
  <si>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</si>
  <si>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</si>
  <si>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</si>
  <si>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</si>
  <si>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99999</t>
  </si>
  <si>
    <t>Nespecifikovany vykon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</si>
  <si>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</si>
  <si>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</si>
  <si>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10 - Dětská klinika</t>
  </si>
  <si>
    <t>3F4</t>
  </si>
  <si>
    <t>0005114</t>
  </si>
  <si>
    <t>TARGOCID</t>
  </si>
  <si>
    <t>0053922</t>
  </si>
  <si>
    <t>CIPHIN PRO INFUSIONE 200 MG/100 ML</t>
  </si>
  <si>
    <t>0065989</t>
  </si>
  <si>
    <t>MYCOMAX INF</t>
  </si>
  <si>
    <t>0068999</t>
  </si>
  <si>
    <t>0083487</t>
  </si>
  <si>
    <t>MERONEM</t>
  </si>
  <si>
    <t>0092206</t>
  </si>
  <si>
    <t>AUGMENTIN 600 MG</t>
  </si>
  <si>
    <t>0096413</t>
  </si>
  <si>
    <t>GENTAMICIN LEK 40 MG/2 ML</t>
  </si>
  <si>
    <t>0137499</t>
  </si>
  <si>
    <t>0164350</t>
  </si>
  <si>
    <t>TAZOCIN 4 G/0,5 G</t>
  </si>
  <si>
    <t>0113453</t>
  </si>
  <si>
    <t>PIPERACILLIN/TAZOBACTAM KABI</t>
  </si>
  <si>
    <t>0166265</t>
  </si>
  <si>
    <t>2</t>
  </si>
  <si>
    <t>0007957</t>
  </si>
  <si>
    <t>Erytrocyty deleukotizované</t>
  </si>
  <si>
    <t>0407942</t>
  </si>
  <si>
    <t>Příplatek za ozáření</t>
  </si>
  <si>
    <t>00631</t>
  </si>
  <si>
    <t>OD TYPU 31 - PRO NEMOCNICE TYPU 3, (KATEGORIE 6)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</si>
  <si>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</si>
  <si>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</si>
  <si>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</si>
  <si>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</si>
  <si>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</si>
  <si>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</si>
  <si>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</si>
  <si>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</si>
  <si>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</si>
  <si>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</si>
  <si>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</si>
  <si>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</si>
  <si>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</si>
  <si>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</si>
  <si>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</si>
  <si>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</si>
  <si>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34452</t>
  </si>
  <si>
    <t>(VZP) PORODNÍ VÁHA NOVOROZENCE OD 1000 DO 1499 GRA</t>
  </si>
  <si>
    <t>3T4</t>
  </si>
  <si>
    <t>0011592</t>
  </si>
  <si>
    <t>METRONIDAZOL B. BRAUN</t>
  </si>
  <si>
    <t>0042144</t>
  </si>
  <si>
    <t>HUMAN ALBUMIN GRIFOLS 20%</t>
  </si>
  <si>
    <t>0072973</t>
  </si>
  <si>
    <t>0087226</t>
  </si>
  <si>
    <t>0092289</t>
  </si>
  <si>
    <t>EDICIN</t>
  </si>
  <si>
    <t>0142077</t>
  </si>
  <si>
    <t>0198192</t>
  </si>
  <si>
    <t>SEFOTAK 1 G</t>
  </si>
  <si>
    <t>0107960</t>
  </si>
  <si>
    <t>Trombocyty z aferézy deleukotizované</t>
  </si>
  <si>
    <t>0207921</t>
  </si>
  <si>
    <t>Plazma čerstvá zmrazená</t>
  </si>
  <si>
    <t>00671</t>
  </si>
  <si>
    <t>OD TYPU 71 - PRO NEMOCNICE TYPU 3, (KATEGORIE 6) -</t>
  </si>
  <si>
    <t>00675</t>
  </si>
  <si>
    <t>OD TYPU 75 - PRO NEMOCNICE TYPU 3, (KATEGORIE 6) -</t>
  </si>
  <si>
    <t>34450</t>
  </si>
  <si>
    <t>(VZP) PORODNÍ VÁHA NOVOROZENCE POD 750 GRAMŮ</t>
  </si>
  <si>
    <t>00678</t>
  </si>
  <si>
    <t>OD TYPU 78 - PRO NEMOCNICE TYPU 3, (KATEGORIE 6) -</t>
  </si>
  <si>
    <t>00672</t>
  </si>
  <si>
    <t>OD TYPU 72 - PRO NEMOCNICE TYPU 3, (KATEGORIE 6) -</t>
  </si>
  <si>
    <t>34451</t>
  </si>
  <si>
    <t>(VZP) PORODNÍ VÁHA NOVOROZENCE OD 750 DO 999 GRAMŮ</t>
  </si>
  <si>
    <t>90955</t>
  </si>
  <si>
    <t>(DRG) VENTILAČNÍ PODPORA U NOVOROZENCŮ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</si>
  <si>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</si>
  <si>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</si>
  <si>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</si>
  <si>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</si>
  <si>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</si>
  <si>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63589</t>
  </si>
  <si>
    <t>SALPINGEKTOMIE NEBO ADNEXEKTOMIE A NEBO RESEKCE OV</t>
  </si>
  <si>
    <t>51111</t>
  </si>
  <si>
    <t>OPERACE CYSTY NEBO HEMANGIOMU NEBO LIPOMU NEBO PIL</t>
  </si>
  <si>
    <t>APENDEKTOMIE NEBO OPERAČNÍ DRENÁŽ PERIAPENDIKULÁRN</t>
  </si>
  <si>
    <t>52221</t>
  </si>
  <si>
    <t>ATRESIE TENKÉHO STŘEVA VČETNĚ DUODENA U NOVOROZENC</t>
  </si>
  <si>
    <t>52237</t>
  </si>
  <si>
    <t xml:space="preserve">KOREKCE VYSOKÉ VROZENÉ ANOREKTÁLNÍ NEPRŮCHODNOSTI </t>
  </si>
  <si>
    <t>606</t>
  </si>
  <si>
    <t>66031</t>
  </si>
  <si>
    <t>PREVENTIVNÍ VYŠETŘENÍ KYČELNÍCH KLOUBŮ U KOJENCE</t>
  </si>
  <si>
    <t>7F6</t>
  </si>
  <si>
    <t>76335</t>
  </si>
  <si>
    <t>OPERAČNÍ REVIZE PERIRENÁLNÍCH NEBO PERIURETERÁLNÍC</t>
  </si>
  <si>
    <t>10</t>
  </si>
  <si>
    <t>Zdravotní výkony vykázané na pracovišti pro pacienty hospitalizované ve FNOL - orientační přehled</t>
  </si>
  <si>
    <t>15601</t>
  </si>
  <si>
    <t>A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</si>
  <si>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</si>
  <si>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</si>
  <si>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</si>
  <si>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</si>
  <si>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</si>
  <si>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</si>
  <si>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</si>
  <si>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</si>
  <si>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</si>
  <si>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</si>
  <si>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</si>
  <si>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</si>
  <si>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</si>
  <si>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</si>
  <si>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</si>
  <si>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</si>
  <si>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</si>
  <si>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</si>
  <si>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</si>
  <si>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</si>
  <si>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</si>
  <si>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</si>
  <si>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</si>
  <si>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</si>
  <si>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</si>
  <si>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</si>
  <si>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</si>
  <si>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</si>
  <si>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</si>
  <si>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</si>
  <si>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15720</t>
  </si>
  <si>
    <t xml:space="preserve">NOVOROZENEC, VÁHA PŘI PORODU &gt; 2499G, SE SYNDROMEM DÝCHACÍCH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</si>
  <si>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</si>
  <si>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</si>
  <si>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</si>
  <si>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</si>
  <si>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</si>
  <si>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</si>
  <si>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</si>
  <si>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</si>
  <si>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</si>
  <si>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</si>
  <si>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</si>
  <si>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</si>
  <si>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</si>
  <si>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99980</t>
  </si>
  <si>
    <t xml:space="preserve">HLAVNÍ DIAGNÓZA NEPLATNÁ JAKO PROPOUŠTĚCÍ DIAGNÓZA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</si>
  <si>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</si>
  <si>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</si>
  <si>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</si>
  <si>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</si>
  <si>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</si>
  <si>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</si>
  <si>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</si>
  <si>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</si>
  <si>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</si>
  <si>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</si>
  <si>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</si>
  <si>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</si>
  <si>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</si>
  <si>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</si>
  <si>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</si>
  <si>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</si>
  <si>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</si>
  <si>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</si>
  <si>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</si>
  <si>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</si>
  <si>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818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</si>
  <si>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</si>
  <si>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</si>
  <si>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</si>
  <si>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</si>
  <si>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</si>
  <si>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</si>
  <si>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</si>
  <si>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</si>
  <si>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</si>
  <si>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</si>
  <si>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</si>
  <si>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</si>
  <si>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</si>
  <si>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</si>
  <si>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</si>
  <si>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</si>
  <si>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</si>
  <si>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</si>
  <si>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</si>
  <si>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</si>
  <si>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</si>
  <si>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</si>
  <si>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</si>
  <si>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</si>
  <si>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</si>
  <si>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</si>
  <si>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</si>
  <si>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</si>
  <si>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</si>
  <si>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</si>
  <si>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96199</t>
  </si>
  <si>
    <t>PROTEIN C - FUNKČNÍ AKTIVITA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</si>
  <si>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</si>
  <si>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</si>
  <si>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</si>
  <si>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</si>
  <si>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</si>
  <si>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</si>
  <si>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</si>
  <si>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</si>
  <si>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</si>
  <si>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</si>
  <si>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</si>
  <si>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</si>
  <si>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</si>
  <si>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</si>
  <si>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</si>
  <si>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</si>
  <si>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</si>
  <si>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</si>
  <si>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</si>
  <si>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</si>
  <si>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</si>
  <si>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</si>
  <si>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</si>
  <si>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</si>
  <si>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</si>
  <si>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</si>
  <si>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</si>
  <si>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</si>
  <si>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</si>
  <si>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</si>
  <si>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</si>
  <si>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</si>
  <si>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</si>
  <si>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</si>
  <si>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</si>
  <si>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</si>
  <si>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81641</t>
  </si>
  <si>
    <t>ŽELEZO CELKOVÉ</t>
  </si>
  <si>
    <t>81651</t>
  </si>
  <si>
    <t xml:space="preserve">VYŠETŘENÍ DĚDIČNÝCH PORUCH METABOLISMU (DÁLE DPM)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</si>
  <si>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</si>
  <si>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</si>
  <si>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</si>
  <si>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</si>
  <si>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</si>
  <si>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</si>
  <si>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</si>
  <si>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</si>
  <si>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</si>
  <si>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</si>
  <si>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</si>
  <si>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</si>
  <si>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</si>
  <si>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</si>
  <si>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</si>
  <si>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</si>
  <si>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</si>
  <si>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</si>
  <si>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</si>
  <si>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</si>
  <si>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</si>
  <si>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</si>
  <si>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93191</t>
  </si>
  <si>
    <t>TESTOSTERON</t>
  </si>
  <si>
    <t>93227</t>
  </si>
  <si>
    <t>ANTIGEN SQUAMÓZNÍCH NÁDOROVÝCH BUNĚK (SCC)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</si>
  <si>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</si>
  <si>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</si>
  <si>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</si>
  <si>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</si>
  <si>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</si>
  <si>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</si>
  <si>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</si>
  <si>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</si>
  <si>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</si>
  <si>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</si>
  <si>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</si>
  <si>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</si>
  <si>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</si>
  <si>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</si>
  <si>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</si>
  <si>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</si>
  <si>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</si>
  <si>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</si>
  <si>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</si>
  <si>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</si>
  <si>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</si>
  <si>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</si>
  <si>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</si>
  <si>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</si>
  <si>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</si>
  <si>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</si>
  <si>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</si>
  <si>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</si>
  <si>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</si>
  <si>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</si>
  <si>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</si>
  <si>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</si>
  <si>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</si>
  <si>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</si>
  <si>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</si>
  <si>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</si>
  <si>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</si>
  <si>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</si>
  <si>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</si>
  <si>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</si>
  <si>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</si>
  <si>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</si>
  <si>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</si>
  <si>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</si>
  <si>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</si>
  <si>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</si>
  <si>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</si>
  <si>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</si>
  <si>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</si>
  <si>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</si>
  <si>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</si>
  <si>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</si>
  <si>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</si>
  <si>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</si>
  <si>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</si>
  <si>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</si>
  <si>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</si>
  <si>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</si>
  <si>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93133</t>
  </si>
  <si>
    <t>LUTROPIN (LH)</t>
  </si>
  <si>
    <t>81339</t>
  </si>
  <si>
    <t>AMINOKYSELINY STANOVENÍ CELKOVÉHO SPEKTRA V BIOLOG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</si>
  <si>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</si>
  <si>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</si>
  <si>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</si>
  <si>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</si>
  <si>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</si>
  <si>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</si>
  <si>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</si>
  <si>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</si>
  <si>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</si>
  <si>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</si>
  <si>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</si>
  <si>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</si>
  <si>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</si>
  <si>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</si>
  <si>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</si>
  <si>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</si>
  <si>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81665</t>
  </si>
  <si>
    <t>VYŠ. DPM - AKTIVITA LYZOSOMÁLNÍCH ENZYMŮ S NERADIO</t>
  </si>
  <si>
    <t>81675</t>
  </si>
  <si>
    <t>MIKROALBUMINURIE</t>
  </si>
  <si>
    <t>93183</t>
  </si>
  <si>
    <t>SEXUÁLNÍ HORMONY VÁZAJÍCÍ GLOBULIN (SHBG)</t>
  </si>
  <si>
    <t>81123</t>
  </si>
  <si>
    <t>BILIRUBIN KONJUGOVANÝ STATIM</t>
  </si>
  <si>
    <t>94195</t>
  </si>
  <si>
    <t>SYNTÉZA cDNA REVERZNÍ TRANSKRIPCÍ</t>
  </si>
  <si>
    <t>81165</t>
  </si>
  <si>
    <t>KREATINKINÁZA (CK) STATIM</t>
  </si>
  <si>
    <t>81749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</si>
  <si>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</si>
  <si>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</si>
  <si>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</si>
  <si>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</si>
  <si>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</si>
  <si>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</si>
  <si>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</si>
  <si>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</si>
  <si>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81489</t>
  </si>
  <si>
    <t>KATECHOLAMIN A JEHO METABOLITY</t>
  </si>
  <si>
    <t>93139</t>
  </si>
  <si>
    <t>ADRENOKORTIKOTROPIN (ACTH)</t>
  </si>
  <si>
    <t>81775</t>
  </si>
  <si>
    <t>KVANTITATIVNÍ ANALÝZA MOCE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</si>
  <si>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</si>
  <si>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</si>
  <si>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</si>
  <si>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</si>
  <si>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</si>
  <si>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</si>
  <si>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81757</t>
  </si>
  <si>
    <t>SEMIKVANTITATIVNÍ FLUORIMETRICKÉ STANOVENÍ BIOTINI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</si>
  <si>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</si>
  <si>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</si>
  <si>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</si>
  <si>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</si>
  <si>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</si>
  <si>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</si>
  <si>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</si>
  <si>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0077018</t>
  </si>
  <si>
    <t>ULTRAVIST 370</t>
  </si>
  <si>
    <t>0077019</t>
  </si>
  <si>
    <t>0077024</t>
  </si>
  <si>
    <t>ULTRAVIST 300</t>
  </si>
  <si>
    <t>0093626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</si>
  <si>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</si>
  <si>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</si>
  <si>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</si>
  <si>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</si>
  <si>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</si>
  <si>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</si>
  <si>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89167</t>
  </si>
  <si>
    <t>CYSTOGRAFIE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</si>
  <si>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</si>
  <si>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</si>
  <si>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</si>
  <si>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</si>
  <si>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</si>
  <si>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</si>
  <si>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</si>
  <si>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</si>
  <si>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</si>
  <si>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</si>
  <si>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</si>
  <si>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</si>
  <si>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</si>
  <si>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</si>
  <si>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</si>
  <si>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</si>
  <si>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</si>
  <si>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</si>
  <si>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</si>
  <si>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</si>
  <si>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</si>
  <si>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</si>
  <si>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</si>
  <si>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</si>
  <si>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</si>
  <si>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</si>
  <si>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</si>
  <si>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</si>
  <si>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</si>
  <si>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PROTI ANTIGENŮM VIRŮ HEPATITI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</si>
  <si>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</si>
  <si>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</si>
  <si>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</si>
  <si>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</si>
  <si>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</si>
  <si>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</si>
  <si>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</si>
  <si>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</si>
  <si>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</si>
  <si>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</si>
  <si>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</si>
  <si>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</si>
  <si>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</si>
  <si>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</si>
  <si>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</si>
  <si>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</si>
  <si>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</si>
  <si>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</si>
  <si>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</si>
  <si>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</si>
  <si>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</si>
  <si>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</si>
  <si>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</si>
  <si>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</si>
  <si>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</si>
  <si>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</si>
  <si>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</si>
  <si>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</si>
  <si>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</si>
  <si>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</si>
  <si>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</si>
  <si>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</si>
  <si>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</si>
  <si>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</si>
  <si>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</si>
  <si>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</si>
  <si>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</si>
  <si>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</si>
  <si>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</si>
  <si>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</si>
  <si>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</si>
  <si>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</si>
  <si>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</si>
  <si>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</si>
  <si>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</si>
  <si>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</si>
  <si>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</si>
  <si>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</si>
  <si>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</si>
  <si>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</si>
  <si>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</si>
  <si>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</si>
  <si>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</si>
  <si>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</si>
  <si>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</si>
  <si>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</si>
  <si>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</si>
  <si>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</si>
  <si>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</si>
  <si>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</si>
  <si>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</si>
  <si>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</si>
  <si>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</si>
  <si>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</si>
  <si>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</si>
  <si>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</si>
  <si>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</si>
  <si>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</si>
  <si>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</si>
  <si>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</si>
  <si>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</si>
  <si>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</si>
  <si>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</si>
  <si>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</si>
  <si>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</si>
  <si>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</si>
  <si>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</si>
  <si>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</si>
  <si>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</si>
  <si>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</si>
  <si>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</si>
  <si>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</si>
  <si>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</si>
  <si>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</si>
  <si>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</si>
  <si>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</si>
  <si>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</si>
  <si>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</si>
  <si>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</si>
  <si>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</si>
  <si>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</si>
  <si>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</si>
  <si>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</si>
  <si>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</si>
  <si>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</si>
  <si>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</si>
  <si>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</si>
  <si>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</si>
  <si>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</si>
  <si>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91567</t>
  </si>
  <si>
    <t>IMUNOANALYTICKÉ STANOVENÍ AUTOPROTILÁTEK</t>
  </si>
  <si>
    <t>94191</t>
  </si>
  <si>
    <t>FOTOGRAFIE GELU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</si>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</sst>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50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5" xfId="53" applyNumberFormat="1" applyFont="1" applyFill="1" applyBorder="1"/>
    <xf numFmtId="9" fontId="3" fillId="0" borderId="6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0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9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6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0" xfId="33" applyFont="1" applyFill="1" applyBorder="1" applyAlignment="1">
      <alignment horizontal="center" vertical="center"/>
    </xf>
    <xf numFmtId="9" fontId="3" fillId="0" borderId="6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3" xfId="53" applyFont="1" applyFill="1" applyBorder="1" applyAlignment="1">
      <alignment horizontal="right"/>
    </xf>
    <xf numFmtId="164" fontId="34" fillId="0" borderId="68" xfId="53" applyNumberFormat="1" applyFont="1" applyFill="1" applyBorder="1"/>
    <xf numFmtId="164" fontId="34" fillId="0" borderId="69" xfId="53" applyNumberFormat="1" applyFont="1" applyFill="1" applyBorder="1"/>
    <xf numFmtId="9" fontId="34" fillId="0" borderId="70" xfId="83" applyNumberFormat="1" applyFont="1" applyFill="1" applyBorder="1"/>
    <xf numFmtId="3" fontId="34" fillId="0" borderId="7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48" xfId="0" applyFont="1" applyFill="1" applyBorder="1" applyAlignment="1">
      <alignment horizontal="center"/>
    </xf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3" fontId="3" fillId="0" borderId="66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7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4" xfId="26" applyNumberFormat="1" applyFont="1" applyFill="1" applyBorder="1"/>
    <xf numFmtId="3" fontId="32" fillId="7" borderId="57" xfId="26" applyNumberFormat="1" applyFont="1" applyFill="1" applyBorder="1"/>
    <xf numFmtId="167" fontId="34" fillId="7" borderId="62" xfId="86" applyNumberFormat="1" applyFont="1" applyFill="1" applyBorder="1" applyAlignment="1">
      <alignment horizontal="right"/>
    </xf>
    <xf numFmtId="3" fontId="32" fillId="7" borderId="75" xfId="26" applyNumberFormat="1" applyFont="1" applyFill="1" applyBorder="1"/>
    <xf numFmtId="167" fontId="34" fillId="7" borderId="62" xfId="86" applyNumberFormat="1" applyFont="1" applyFill="1" applyBorder="1"/>
    <xf numFmtId="3" fontId="32" fillId="0" borderId="74" xfId="26" applyNumberFormat="1" applyFont="1" applyFill="1" applyBorder="1" applyAlignment="1">
      <alignment horizontal="center"/>
    </xf>
    <xf numFmtId="3" fontId="32" fillId="0" borderId="62" xfId="26" applyNumberFormat="1" applyFont="1" applyFill="1" applyBorder="1" applyAlignment="1">
      <alignment horizontal="center"/>
    </xf>
    <xf numFmtId="3" fontId="32" fillId="7" borderId="74" xfId="26" applyNumberFormat="1" applyFont="1" applyFill="1" applyBorder="1" applyAlignment="1">
      <alignment horizontal="center"/>
    </xf>
    <xf numFmtId="3" fontId="32" fillId="7" borderId="6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58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9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6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56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6" xfId="0" applyNumberFormat="1" applyFont="1" applyFill="1" applyBorder="1"/>
    <xf numFmtId="3" fontId="60" fillId="9" borderId="77" xfId="0" applyNumberFormat="1" applyFont="1" applyFill="1" applyBorder="1"/>
    <xf numFmtId="3" fontId="60" fillId="9" borderId="7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0" xfId="0" applyNumberFormat="1" applyFont="1" applyFill="1" applyBorder="1" applyAlignment="1">
      <alignment horizontal="center" vertical="center"/>
    </xf>
    <xf numFmtId="0" fontId="42" fillId="2" borderId="81" xfId="0" applyFont="1" applyFill="1" applyBorder="1" applyAlignment="1">
      <alignment horizontal="center" vertical="center"/>
    </xf>
    <xf numFmtId="3" fontId="62" fillId="2" borderId="83" xfId="0" applyNumberFormat="1" applyFont="1" applyFill="1" applyBorder="1" applyAlignment="1">
      <alignment horizontal="center" vertical="center" wrapText="1"/>
    </xf>
    <xf numFmtId="0" fontId="62" fillId="2" borderId="84" xfId="0" applyFont="1" applyFill="1" applyBorder="1" applyAlignment="1">
      <alignment horizontal="center" vertical="center" wrapText="1"/>
    </xf>
    <xf numFmtId="0" fontId="42" fillId="2" borderId="86" xfId="0" applyFont="1" applyFill="1" applyBorder="1" applyAlignment="1"/>
    <xf numFmtId="0" fontId="42" fillId="2" borderId="88" xfId="0" applyFont="1" applyFill="1" applyBorder="1" applyAlignment="1">
      <alignment horizontal="left" indent="1"/>
    </xf>
    <xf numFmtId="0" fontId="42" fillId="2" borderId="94" xfId="0" applyFont="1" applyFill="1" applyBorder="1" applyAlignment="1">
      <alignment horizontal="left" indent="1"/>
    </xf>
    <xf numFmtId="0" fontId="42" fillId="4" borderId="86" xfId="0" applyFont="1" applyFill="1" applyBorder="1" applyAlignment="1"/>
    <xf numFmtId="0" fontId="42" fillId="4" borderId="88" xfId="0" applyFont="1" applyFill="1" applyBorder="1" applyAlignment="1">
      <alignment horizontal="left" indent="1"/>
    </xf>
    <xf numFmtId="0" fontId="42" fillId="4" borderId="99" xfId="0" applyFont="1" applyFill="1" applyBorder="1" applyAlignment="1">
      <alignment horizontal="left" indent="1"/>
    </xf>
    <xf numFmtId="0" fontId="35" fillId="2" borderId="88" xfId="0" quotePrefix="1" applyFont="1" applyFill="1" applyBorder="1" applyAlignment="1">
      <alignment horizontal="left" indent="2"/>
    </xf>
    <xf numFmtId="0" fontId="35" fillId="2" borderId="94" xfId="0" quotePrefix="1" applyFont="1" applyFill="1" applyBorder="1" applyAlignment="1">
      <alignment horizontal="left" indent="2"/>
    </xf>
    <xf numFmtId="0" fontId="42" fillId="2" borderId="86" xfId="0" applyFont="1" applyFill="1" applyBorder="1" applyAlignment="1">
      <alignment horizontal="left" indent="1"/>
    </xf>
    <xf numFmtId="0" fontId="42" fillId="2" borderId="99" xfId="0" applyFont="1" applyFill="1" applyBorder="1" applyAlignment="1">
      <alignment horizontal="left" indent="1"/>
    </xf>
    <xf numFmtId="0" fontId="42" fillId="4" borderId="94" xfId="0" applyFont="1" applyFill="1" applyBorder="1" applyAlignment="1">
      <alignment horizontal="left" indent="1"/>
    </xf>
    <xf numFmtId="0" fontId="35" fillId="0" borderId="104" xfId="0" applyFont="1" applyBorder="1"/>
    <xf numFmtId="3" fontId="35" fillId="0" borderId="104" xfId="0" applyNumberFormat="1" applyFont="1" applyBorder="1"/>
    <xf numFmtId="0" fontId="42" fillId="4" borderId="78" xfId="0" applyFont="1" applyFill="1" applyBorder="1" applyAlignment="1">
      <alignment horizontal="center" vertical="center"/>
    </xf>
    <xf numFmtId="0" fontId="42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3" xfId="0" applyNumberFormat="1" applyFont="1" applyFill="1" applyBorder="1" applyAlignment="1">
      <alignment horizontal="center" vertical="center"/>
    </xf>
    <xf numFmtId="3" fontId="62" fillId="2" borderId="101" xfId="0" applyNumberFormat="1" applyFont="1" applyFill="1" applyBorder="1" applyAlignment="1">
      <alignment horizontal="center" vertical="center" wrapText="1"/>
    </xf>
    <xf numFmtId="173" fontId="42" fillId="4" borderId="87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4" borderId="81" xfId="0" applyNumberFormat="1" applyFont="1" applyFill="1" applyBorder="1" applyAlignment="1"/>
    <xf numFmtId="173" fontId="42" fillId="0" borderId="89" xfId="0" applyNumberFormat="1" applyFont="1" applyBorder="1"/>
    <xf numFmtId="173" fontId="35" fillId="0" borderId="93" xfId="0" applyNumberFormat="1" applyFont="1" applyBorder="1"/>
    <xf numFmtId="173" fontId="35" fillId="0" borderId="91" xfId="0" applyNumberFormat="1" applyFont="1" applyBorder="1"/>
    <xf numFmtId="173" fontId="35" fillId="0" borderId="92" xfId="0" applyNumberFormat="1" applyFont="1" applyBorder="1"/>
    <xf numFmtId="173" fontId="42" fillId="0" borderId="100" xfId="0" applyNumberFormat="1" applyFont="1" applyBorder="1"/>
    <xf numFmtId="173" fontId="35" fillId="0" borderId="101" xfId="0" applyNumberFormat="1" applyFont="1" applyBorder="1"/>
    <xf numFmtId="173" fontId="35" fillId="0" borderId="84" xfId="0" applyNumberFormat="1" applyFont="1" applyBorder="1"/>
    <xf numFmtId="173" fontId="35" fillId="0" borderId="85" xfId="0" applyNumberFormat="1" applyFont="1" applyBorder="1"/>
    <xf numFmtId="173" fontId="42" fillId="2" borderId="102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2" borderId="81" xfId="0" applyNumberFormat="1" applyFont="1" applyFill="1" applyBorder="1" applyAlignment="1"/>
    <xf numFmtId="173" fontId="42" fillId="0" borderId="95" xfId="0" applyNumberFormat="1" applyFont="1" applyBorder="1"/>
    <xf numFmtId="173" fontId="35" fillId="0" borderId="96" xfId="0" applyNumberFormat="1" applyFont="1" applyBorder="1"/>
    <xf numFmtId="173" fontId="35" fillId="0" borderId="97" xfId="0" applyNumberFormat="1" applyFont="1" applyBorder="1"/>
    <xf numFmtId="173" fontId="42" fillId="0" borderId="87" xfId="0" applyNumberFormat="1" applyFont="1" applyBorder="1"/>
    <xf numFmtId="173" fontId="35" fillId="0" borderId="103" xfId="0" applyNumberFormat="1" applyFont="1" applyBorder="1"/>
    <xf numFmtId="173" fontId="35" fillId="0" borderId="81" xfId="0" applyNumberFormat="1" applyFont="1" applyBorder="1"/>
    <xf numFmtId="174" fontId="42" fillId="2" borderId="87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35" fillId="2" borderId="81" xfId="0" applyNumberFormat="1" applyFont="1" applyFill="1" applyBorder="1" applyAlignment="1"/>
    <xf numFmtId="174" fontId="42" fillId="0" borderId="89" xfId="0" applyNumberFormat="1" applyFont="1" applyBorder="1"/>
    <xf numFmtId="174" fontId="35" fillId="0" borderId="90" xfId="0" applyNumberFormat="1" applyFont="1" applyBorder="1"/>
    <xf numFmtId="174" fontId="35" fillId="0" borderId="91" xfId="0" applyNumberFormat="1" applyFont="1" applyBorder="1"/>
    <xf numFmtId="174" fontId="35" fillId="0" borderId="93" xfId="0" applyNumberFormat="1" applyFont="1" applyBorder="1"/>
    <xf numFmtId="174" fontId="42" fillId="0" borderId="95" xfId="0" applyNumberFormat="1" applyFont="1" applyBorder="1"/>
    <xf numFmtId="174" fontId="35" fillId="0" borderId="96" xfId="0" applyNumberFormat="1" applyFont="1" applyBorder="1"/>
    <xf numFmtId="174" fontId="35" fillId="0" borderId="9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87" xfId="0" applyNumberFormat="1" applyFont="1" applyFill="1" applyBorder="1" applyAlignment="1">
      <alignment horizontal="center"/>
    </xf>
    <xf numFmtId="175" fontId="42" fillId="0" borderId="95" xfId="0" applyNumberFormat="1" applyFont="1" applyBorder="1"/>
    <xf numFmtId="0" fontId="34" fillId="2" borderId="112" xfId="74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8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8" xfId="53" applyNumberFormat="1" applyFont="1" applyFill="1" applyBorder="1"/>
    <xf numFmtId="3" fontId="34" fillId="0" borderId="6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2" xfId="0" applyFont="1" applyFill="1" applyBorder="1"/>
    <xf numFmtId="0" fontId="35" fillId="0" borderId="93" xfId="0" applyFont="1" applyBorder="1" applyAlignment="1"/>
    <xf numFmtId="9" fontId="35" fillId="0" borderId="9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42" fillId="0" borderId="89" xfId="0" applyNumberFormat="1" applyFont="1" applyBorder="1"/>
    <xf numFmtId="9" fontId="35" fillId="0" borderId="93" xfId="0" applyNumberFormat="1" applyFont="1" applyBorder="1"/>
    <xf numFmtId="9" fontId="35" fillId="0" borderId="91" xfId="0" applyNumberFormat="1" applyFont="1" applyBorder="1"/>
    <xf numFmtId="9" fontId="35" fillId="0" borderId="92" xfId="0" applyNumberFormat="1" applyFont="1" applyBorder="1"/>
    <xf numFmtId="0" fontId="62" fillId="2" borderId="101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3" fontId="42" fillId="4" borderId="103" xfId="0" applyNumberFormat="1" applyFont="1" applyFill="1" applyBorder="1" applyAlignment="1"/>
    <xf numFmtId="173" fontId="42" fillId="2" borderId="103" xfId="0" applyNumberFormat="1" applyFont="1" applyFill="1" applyBorder="1" applyAlignment="1"/>
    <xf numFmtId="49" fontId="40" fillId="2" borderId="9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5" xfId="26" applyNumberFormat="1" applyFont="1" applyFill="1" applyBorder="1"/>
    <xf numFmtId="167" fontId="32" fillId="7" borderId="116" xfId="26" applyNumberFormat="1" applyFont="1" applyFill="1" applyBorder="1"/>
    <xf numFmtId="0" fontId="28" fillId="4" borderId="8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90" xfId="0" applyFont="1" applyBorder="1"/>
    <xf numFmtId="0" fontId="34" fillId="2" borderId="7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81" xfId="0" applyNumberFormat="1" applyFont="1" applyFill="1" applyBorder="1" applyAlignment="1">
      <alignment horizontal="center" vertical="center"/>
    </xf>
    <xf numFmtId="3" fontId="62" fillId="2" borderId="8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56" xfId="26" applyNumberFormat="1" applyFont="1" applyFill="1" applyBorder="1"/>
    <xf numFmtId="3" fontId="34" fillId="7" borderId="8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3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12" xfId="81" applyFont="1" applyFill="1" applyBorder="1" applyAlignment="1">
      <alignment horizontal="center"/>
    </xf>
    <xf numFmtId="0" fontId="34" fillId="2" borderId="8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34" fillId="2" borderId="10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1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1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59" xfId="0" applyFont="1" applyFill="1" applyBorder="1" applyAlignment="1">
      <alignment vertical="center"/>
    </xf>
    <xf numFmtId="3" fontId="34" fillId="2" borderId="61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4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3" fontId="34" fillId="2" borderId="113" xfId="26" applyNumberFormat="1" applyFont="1" applyFill="1" applyBorder="1" applyAlignment="1">
      <alignment horizontal="center"/>
    </xf>
    <xf numFmtId="3" fontId="34" fillId="2" borderId="7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1" xfId="0" quotePrefix="1" applyFont="1" applyFill="1" applyBorder="1" applyAlignment="1">
      <alignment horizontal="center"/>
    </xf>
    <xf numFmtId="0" fontId="34" fillId="2" borderId="49" xfId="0" applyFont="1" applyFill="1" applyBorder="1" applyAlignment="1">
      <alignment horizontal="center"/>
    </xf>
    <xf numFmtId="9" fontId="47" fillId="2" borderId="49" xfId="0" applyNumberFormat="1" applyFont="1" applyFill="1" applyBorder="1" applyAlignment="1">
      <alignment horizontal="center" vertical="top"/>
    </xf>
    <xf numFmtId="0" fontId="34" fillId="2" borderId="78" xfId="0" applyNumberFormat="1" applyFont="1" applyFill="1" applyBorder="1" applyAlignment="1">
      <alignment horizontal="center" vertical="top"/>
    </xf>
    <xf numFmtId="0" fontId="34" fillId="2" borderId="78" xfId="0" applyFont="1" applyFill="1" applyBorder="1" applyAlignment="1">
      <alignment horizontal="center" vertical="top" wrapText="1"/>
    </xf>
    <xf numFmtId="0" fontId="34" fillId="2" borderId="61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49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78" xfId="26" applyNumberFormat="1" applyFont="1" applyFill="1" applyBorder="1" applyAlignment="1">
      <alignment horizontal="center" vertical="center"/>
    </xf>
    <xf numFmtId="3" fontId="34" fillId="2" borderId="60" xfId="26" applyNumberFormat="1" applyFont="1" applyFill="1" applyBorder="1" applyAlignment="1">
      <alignment horizontal="center" vertical="center"/>
    </xf>
    <xf numFmtId="3" fontId="34" fillId="0" borderId="48" xfId="26" applyNumberFormat="1" applyFont="1" applyFill="1" applyBorder="1" applyAlignment="1">
      <alignment horizontal="right" vertical="top"/>
    </xf>
    <xf numFmtId="3" fontId="34" fillId="0" borderId="104" xfId="26" applyNumberFormat="1" applyFont="1" applyFill="1" applyBorder="1" applyAlignment="1">
      <alignment horizontal="right" vertical="top"/>
    </xf>
    <xf numFmtId="3" fontId="34" fillId="3" borderId="78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 vertical="center" wrapText="1"/>
    </xf>
    <xf numFmtId="3" fontId="34" fillId="3" borderId="61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4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48" xfId="0" applyFont="1" applyFill="1" applyBorder="1" applyAlignment="1">
      <alignment horizontal="right" vertical="top"/>
    </xf>
    <xf numFmtId="0" fontId="35" fillId="0" borderId="104" xfId="0" applyFont="1" applyFill="1" applyBorder="1" applyAlignment="1">
      <alignment horizontal="right" vertical="top"/>
    </xf>
    <xf numFmtId="3" fontId="34" fillId="10" borderId="78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 vertical="center" wrapText="1"/>
    </xf>
    <xf numFmtId="3" fontId="34" fillId="10" borderId="61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4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8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 vertical="center" wrapText="1"/>
    </xf>
    <xf numFmtId="3" fontId="34" fillId="4" borderId="61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4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1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1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1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1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9" xfId="0" applyNumberFormat="1" applyFont="1" applyFill="1" applyBorder="1" applyAlignment="1">
      <alignment horizontal="right" vertical="top"/>
    </xf>
    <xf numFmtId="3" fontId="36" fillId="11" borderId="120" xfId="0" applyNumberFormat="1" applyFont="1" applyFill="1" applyBorder="1" applyAlignment="1">
      <alignment horizontal="right" vertical="top"/>
    </xf>
    <xf numFmtId="176" fontId="36" fillId="11" borderId="121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176" fontId="36" fillId="11" borderId="122" xfId="0" applyNumberFormat="1" applyFont="1" applyFill="1" applyBorder="1" applyAlignment="1">
      <alignment horizontal="right" vertical="top"/>
    </xf>
    <xf numFmtId="3" fontId="38" fillId="11" borderId="124" xfId="0" applyNumberFormat="1" applyFont="1" applyFill="1" applyBorder="1" applyAlignment="1">
      <alignment horizontal="right" vertical="top"/>
    </xf>
    <xf numFmtId="3" fontId="38" fillId="11" borderId="125" xfId="0" applyNumberFormat="1" applyFont="1" applyFill="1" applyBorder="1" applyAlignment="1">
      <alignment horizontal="right" vertical="top"/>
    </xf>
    <xf numFmtId="0" fontId="38" fillId="11" borderId="126" xfId="0" applyFont="1" applyFill="1" applyBorder="1" applyAlignment="1">
      <alignment horizontal="right" vertical="top"/>
    </xf>
    <xf numFmtId="3" fontId="38" fillId="0" borderId="124" xfId="0" applyNumberFormat="1" applyFont="1" applyBorder="1" applyAlignment="1">
      <alignment horizontal="right" vertical="top"/>
    </xf>
    <xf numFmtId="0" fontId="38" fillId="11" borderId="127" xfId="0" applyFont="1" applyFill="1" applyBorder="1" applyAlignment="1">
      <alignment horizontal="right" vertical="top"/>
    </xf>
    <xf numFmtId="0" fontId="36" fillId="11" borderId="121" xfId="0" applyFont="1" applyFill="1" applyBorder="1" applyAlignment="1">
      <alignment horizontal="right" vertical="top"/>
    </xf>
    <xf numFmtId="0" fontId="36" fillId="11" borderId="122" xfId="0" applyFont="1" applyFill="1" applyBorder="1" applyAlignment="1">
      <alignment horizontal="right" vertical="top"/>
    </xf>
    <xf numFmtId="176" fontId="38" fillId="11" borderId="126" xfId="0" applyNumberFormat="1" applyFont="1" applyFill="1" applyBorder="1" applyAlignment="1">
      <alignment horizontal="right" vertical="top"/>
    </xf>
    <xf numFmtId="176" fontId="38" fillId="11" borderId="127" xfId="0" applyNumberFormat="1" applyFont="1" applyFill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0" borderId="130" xfId="0" applyFont="1" applyBorder="1" applyAlignment="1">
      <alignment horizontal="right" vertical="top"/>
    </xf>
    <xf numFmtId="176" fontId="38" fillId="11" borderId="131" xfId="0" applyNumberFormat="1" applyFont="1" applyFill="1" applyBorder="1" applyAlignment="1">
      <alignment horizontal="right" vertical="top"/>
    </xf>
    <xf numFmtId="0" fontId="40" fillId="12" borderId="118" xfId="0" applyFont="1" applyFill="1" applyBorder="1" applyAlignment="1">
      <alignment vertical="top"/>
    </xf>
    <xf numFmtId="0" fontId="40" fillId="12" borderId="118" xfId="0" applyFont="1" applyFill="1" applyBorder="1" applyAlignment="1">
      <alignment vertical="top" indent="2"/>
    </xf>
    <xf numFmtId="0" fontId="40" fillId="12" borderId="118" xfId="0" applyFont="1" applyFill="1" applyBorder="1" applyAlignment="1">
      <alignment vertical="top" indent="4"/>
    </xf>
    <xf numFmtId="0" fontId="41" fillId="12" borderId="123" xfId="0" applyFont="1" applyFill="1" applyBorder="1" applyAlignment="1">
      <alignment vertical="top" indent="6"/>
    </xf>
    <xf numFmtId="0" fontId="40" fillId="12" borderId="118" xfId="0" applyFont="1" applyFill="1" applyBorder="1" applyAlignment="1">
      <alignment vertical="top" indent="8"/>
    </xf>
    <xf numFmtId="0" fontId="41" fillId="12" borderId="123" xfId="0" applyFont="1" applyFill="1" applyBorder="1" applyAlignment="1">
      <alignment vertical="top" indent="2"/>
    </xf>
    <xf numFmtId="0" fontId="40" fillId="12" borderId="118" xfId="0" applyFont="1" applyFill="1" applyBorder="1" applyAlignment="1">
      <alignment vertical="top" indent="6"/>
    </xf>
    <xf numFmtId="0" fontId="41" fillId="12" borderId="123" xfId="0" applyFont="1" applyFill="1" applyBorder="1" applyAlignment="1">
      <alignment vertical="top" indent="4"/>
    </xf>
    <xf numFmtId="0" fontId="41" fillId="12" borderId="123" xfId="0" applyFont="1" applyFill="1" applyBorder="1" applyAlignment="1">
      <alignment vertical="top"/>
    </xf>
    <xf numFmtId="0" fontId="35" fillId="12" borderId="11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2" xfId="53" applyNumberFormat="1" applyFont="1" applyFill="1" applyBorder="1" applyAlignment="1">
      <alignment horizontal="left"/>
    </xf>
    <xf numFmtId="164" fontId="34" fillId="2" borderId="133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3" fontId="34" fillId="2" borderId="57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0" fontId="35" fillId="0" borderId="80" xfId="0" applyFont="1" applyFill="1" applyBorder="1"/>
    <xf numFmtId="0" fontId="35" fillId="0" borderId="81" xfId="0" applyFont="1" applyFill="1" applyBorder="1"/>
    <xf numFmtId="164" fontId="35" fillId="0" borderId="81" xfId="0" applyNumberFormat="1" applyFont="1" applyFill="1" applyBorder="1"/>
    <xf numFmtId="164" fontId="35" fillId="0" borderId="81" xfId="0" applyNumberFormat="1" applyFont="1" applyFill="1" applyBorder="1" applyAlignment="1">
      <alignment horizontal="right"/>
    </xf>
    <xf numFmtId="3" fontId="35" fillId="0" borderId="81" xfId="0" applyNumberFormat="1" applyFont="1" applyFill="1" applyBorder="1"/>
    <xf numFmtId="3" fontId="35" fillId="0" borderId="82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83" xfId="0" applyFont="1" applyFill="1" applyBorder="1"/>
    <xf numFmtId="0" fontId="35" fillId="0" borderId="84" xfId="0" applyFont="1" applyFill="1" applyBorder="1"/>
    <xf numFmtId="164" fontId="35" fillId="0" borderId="84" xfId="0" applyNumberFormat="1" applyFont="1" applyFill="1" applyBorder="1"/>
    <xf numFmtId="164" fontId="35" fillId="0" borderId="84" xfId="0" applyNumberFormat="1" applyFont="1" applyFill="1" applyBorder="1" applyAlignment="1">
      <alignment horizontal="right"/>
    </xf>
    <xf numFmtId="3" fontId="35" fillId="0" borderId="84" xfId="0" applyNumberFormat="1" applyFont="1" applyFill="1" applyBorder="1"/>
    <xf numFmtId="3" fontId="35" fillId="0" borderId="85" xfId="0" applyNumberFormat="1" applyFont="1" applyFill="1" applyBorder="1"/>
    <xf numFmtId="0" fontId="42" fillId="2" borderId="132" xfId="0" applyFont="1" applyFill="1" applyBorder="1"/>
    <xf numFmtId="3" fontId="42" fillId="2" borderId="116" xfId="0" applyNumberFormat="1" applyFont="1" applyFill="1" applyBorder="1"/>
    <xf numFmtId="9" fontId="42" fillId="2" borderId="75" xfId="0" applyNumberFormat="1" applyFont="1" applyFill="1" applyBorder="1"/>
    <xf numFmtId="3" fontId="42" fillId="2" borderId="62" xfId="0" applyNumberFormat="1" applyFont="1" applyFill="1" applyBorder="1"/>
    <xf numFmtId="9" fontId="35" fillId="0" borderId="81" xfId="0" applyNumberFormat="1" applyFont="1" applyFill="1" applyBorder="1"/>
    <xf numFmtId="9" fontId="35" fillId="0" borderId="91" xfId="0" applyNumberFormat="1" applyFont="1" applyFill="1" applyBorder="1"/>
    <xf numFmtId="9" fontId="35" fillId="0" borderId="84" xfId="0" applyNumberFormat="1" applyFont="1" applyFill="1" applyBorder="1"/>
    <xf numFmtId="3" fontId="35" fillId="0" borderId="97" xfId="0" applyNumberFormat="1" applyFont="1" applyFill="1" applyBorder="1"/>
    <xf numFmtId="9" fontId="35" fillId="0" borderId="97" xfId="0" applyNumberFormat="1" applyFont="1" applyFill="1" applyBorder="1"/>
    <xf numFmtId="3" fontId="35" fillId="0" borderId="9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80" xfId="0" applyFont="1" applyFill="1" applyBorder="1"/>
    <xf numFmtId="0" fontId="42" fillId="0" borderId="117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0" xfId="0" applyFont="1" applyFill="1" applyBorder="1"/>
    <xf numFmtId="0" fontId="42" fillId="2" borderId="13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5" fillId="0" borderId="82" xfId="0" applyNumberFormat="1" applyFont="1" applyFill="1" applyBorder="1"/>
    <xf numFmtId="9" fontId="35" fillId="0" borderId="92" xfId="0" applyNumberFormat="1" applyFont="1" applyFill="1" applyBorder="1"/>
    <xf numFmtId="9" fontId="35" fillId="0" borderId="85" xfId="0" applyNumberFormat="1" applyFont="1" applyFill="1" applyBorder="1"/>
    <xf numFmtId="0" fontId="42" fillId="0" borderId="112" xfId="0" applyFont="1" applyFill="1" applyBorder="1"/>
    <xf numFmtId="0" fontId="42" fillId="0" borderId="110" xfId="0" applyFont="1" applyFill="1" applyBorder="1" applyAlignment="1">
      <alignment horizontal="left" indent="1"/>
    </xf>
    <xf numFmtId="0" fontId="42" fillId="0" borderId="111" xfId="0" applyFont="1" applyFill="1" applyBorder="1" applyAlignment="1">
      <alignment horizontal="left" indent="1"/>
    </xf>
    <xf numFmtId="9" fontId="35" fillId="0" borderId="103" xfId="0" applyNumberFormat="1" applyFont="1" applyFill="1" applyBorder="1"/>
    <xf numFmtId="9" fontId="35" fillId="0" borderId="93" xfId="0" applyNumberFormat="1" applyFont="1" applyFill="1" applyBorder="1"/>
    <xf numFmtId="9" fontId="35" fillId="0" borderId="101" xfId="0" applyNumberFormat="1" applyFont="1" applyFill="1" applyBorder="1"/>
    <xf numFmtId="3" fontId="35" fillId="0" borderId="80" xfId="0" applyNumberFormat="1" applyFont="1" applyFill="1" applyBorder="1"/>
    <xf numFmtId="3" fontId="35" fillId="0" borderId="90" xfId="0" applyNumberFormat="1" applyFont="1" applyFill="1" applyBorder="1"/>
    <xf numFmtId="3" fontId="35" fillId="0" borderId="83" xfId="0" applyNumberFormat="1" applyFont="1" applyFill="1" applyBorder="1"/>
    <xf numFmtId="9" fontId="35" fillId="0" borderId="107" xfId="0" applyNumberFormat="1" applyFont="1" applyFill="1" applyBorder="1"/>
    <xf numFmtId="9" fontId="35" fillId="0" borderId="105" xfId="0" applyNumberFormat="1" applyFont="1" applyFill="1" applyBorder="1"/>
    <xf numFmtId="9" fontId="35" fillId="0" borderId="10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2" xfId="0" applyFont="1" applyFill="1" applyBorder="1"/>
    <xf numFmtId="0" fontId="42" fillId="12" borderId="110" xfId="0" applyFont="1" applyFill="1" applyBorder="1"/>
    <xf numFmtId="0" fontId="42" fillId="12" borderId="111" xfId="0" applyFont="1" applyFill="1" applyBorder="1"/>
    <xf numFmtId="0" fontId="3" fillId="2" borderId="97" xfId="80" applyFont="1" applyFill="1" applyBorder="1"/>
    <xf numFmtId="3" fontId="35" fillId="0" borderId="107" xfId="0" applyNumberFormat="1" applyFont="1" applyFill="1" applyBorder="1"/>
    <xf numFmtId="3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35" fillId="0" borderId="112" xfId="0" applyFont="1" applyFill="1" applyBorder="1"/>
    <xf numFmtId="0" fontId="35" fillId="0" borderId="110" xfId="0" applyFont="1" applyFill="1" applyBorder="1"/>
    <xf numFmtId="0" fontId="35" fillId="0" borderId="111" xfId="0" applyFont="1" applyFill="1" applyBorder="1"/>
    <xf numFmtId="3" fontId="35" fillId="0" borderId="103" xfId="0" applyNumberFormat="1" applyFont="1" applyFill="1" applyBorder="1"/>
    <xf numFmtId="3" fontId="35" fillId="0" borderId="93" xfId="0" applyNumberFormat="1" applyFont="1" applyFill="1" applyBorder="1"/>
    <xf numFmtId="3" fontId="35" fillId="0" borderId="101" xfId="0" applyNumberFormat="1" applyFont="1" applyFill="1" applyBorder="1"/>
    <xf numFmtId="0" fontId="0" fillId="0" borderId="135" xfId="0" applyBorder="1" applyAlignment="1">
      <alignment horizontal="center"/>
    </xf>
    <xf numFmtId="0" fontId="0" fillId="0" borderId="136" xfId="0" applyBorder="1" applyAlignment="1">
      <alignment horizontal="center"/>
    </xf>
    <xf numFmtId="173" fontId="42" fillId="4" borderId="136" xfId="0" applyNumberFormat="1" applyFont="1" applyFill="1" applyBorder="1" applyAlignment="1">
      <alignment horizontal="center"/>
    </xf>
    <xf numFmtId="0" fontId="0" fillId="0" borderId="136" xfId="0" applyBorder="1" applyAlignment="1"/>
    <xf numFmtId="0" fontId="0" fillId="0" borderId="137" xfId="0" applyBorder="1" applyAlignment="1">
      <alignment horizontal="right"/>
    </xf>
    <xf numFmtId="0" fontId="0" fillId="0" borderId="138" xfId="0" applyBorder="1" applyAlignment="1">
      <alignment horizontal="right"/>
    </xf>
    <xf numFmtId="173" fontId="35" fillId="0" borderId="138" xfId="0" applyNumberFormat="1" applyFont="1" applyBorder="1" applyAlignment="1">
      <alignment horizontal="right"/>
    </xf>
    <xf numFmtId="173" fontId="35" fillId="0" borderId="138" xfId="0" applyNumberFormat="1" applyFont="1" applyBorder="1" applyAlignment="1">
      <alignment horizontal="right" wrapText="1"/>
    </xf>
    <xf numFmtId="0" fontId="0" fillId="0" borderId="138" xfId="0" applyBorder="1" applyAlignment="1">
      <alignment horizontal="right" wrapText="1"/>
    </xf>
    <xf numFmtId="175" fontId="35" fillId="0" borderId="138" xfId="0" applyNumberFormat="1" applyFont="1" applyBorder="1" applyAlignment="1">
      <alignment horizontal="right"/>
    </xf>
    <xf numFmtId="0" fontId="0" fillId="0" borderId="139" xfId="0" applyBorder="1" applyAlignment="1">
      <alignment horizontal="right"/>
    </xf>
    <xf numFmtId="0" fontId="0" fillId="0" borderId="140" xfId="0" applyBorder="1" applyAlignment="1">
      <alignment horizontal="right"/>
    </xf>
    <xf numFmtId="173" fontId="35" fillId="0" borderId="140" xfId="0" applyNumberFormat="1" applyFont="1" applyBorder="1" applyAlignment="1">
      <alignment horizontal="right"/>
    </xf>
    <xf numFmtId="0" fontId="42" fillId="2" borderId="107" xfId="0" applyFont="1" applyFill="1" applyBorder="1" applyAlignment="1">
      <alignment horizontal="center" vertical="center"/>
    </xf>
    <xf numFmtId="0" fontId="62" fillId="2" borderId="106" xfId="0" applyFont="1" applyFill="1" applyBorder="1" applyAlignment="1">
      <alignment horizontal="center" vertical="center" wrapText="1"/>
    </xf>
    <xf numFmtId="174" fontId="35" fillId="2" borderId="107" xfId="0" applyNumberFormat="1" applyFont="1" applyFill="1" applyBorder="1" applyAlignment="1"/>
    <xf numFmtId="174" fontId="35" fillId="0" borderId="105" xfId="0" applyNumberFormat="1" applyFont="1" applyBorder="1"/>
    <xf numFmtId="174" fontId="35" fillId="0" borderId="142" xfId="0" applyNumberFormat="1" applyFont="1" applyBorder="1"/>
    <xf numFmtId="173" fontId="42" fillId="4" borderId="107" xfId="0" applyNumberFormat="1" applyFont="1" applyFill="1" applyBorder="1" applyAlignment="1"/>
    <xf numFmtId="173" fontId="35" fillId="0" borderId="105" xfId="0" applyNumberFormat="1" applyFont="1" applyBorder="1"/>
    <xf numFmtId="173" fontId="35" fillId="0" borderId="106" xfId="0" applyNumberFormat="1" applyFont="1" applyBorder="1"/>
    <xf numFmtId="173" fontId="42" fillId="2" borderId="107" xfId="0" applyNumberFormat="1" applyFont="1" applyFill="1" applyBorder="1" applyAlignment="1"/>
    <xf numFmtId="173" fontId="35" fillId="0" borderId="142" xfId="0" applyNumberFormat="1" applyFont="1" applyBorder="1"/>
    <xf numFmtId="173" fontId="35" fillId="0" borderId="107" xfId="0" applyNumberFormat="1" applyFont="1" applyBorder="1"/>
    <xf numFmtId="0" fontId="0" fillId="0" borderId="143" xfId="0" applyBorder="1" applyAlignment="1">
      <alignment horizontal="center"/>
    </xf>
    <xf numFmtId="0" fontId="0" fillId="0" borderId="144" xfId="0" applyBorder="1" applyAlignment="1">
      <alignment horizontal="right"/>
    </xf>
    <xf numFmtId="0" fontId="0" fillId="0" borderId="144" xfId="0" applyBorder="1" applyAlignment="1">
      <alignment horizontal="right" wrapText="1"/>
    </xf>
    <xf numFmtId="0" fontId="0" fillId="0" borderId="145" xfId="0" applyBorder="1" applyAlignment="1">
      <alignment horizontal="right"/>
    </xf>
    <xf numFmtId="0" fontId="0" fillId="0" borderId="141" xfId="0" applyBorder="1"/>
    <xf numFmtId="173" fontId="42" fillId="4" borderId="86" xfId="0" applyNumberFormat="1" applyFont="1" applyFill="1" applyBorder="1" applyAlignment="1">
      <alignment horizontal="center"/>
    </xf>
    <xf numFmtId="173" fontId="35" fillId="0" borderId="88" xfId="0" applyNumberFormat="1" applyFont="1" applyBorder="1" applyAlignment="1">
      <alignment horizontal="right"/>
    </xf>
    <xf numFmtId="175" fontId="35" fillId="0" borderId="88" xfId="0" applyNumberFormat="1" applyFont="1" applyBorder="1" applyAlignment="1">
      <alignment horizontal="right"/>
    </xf>
    <xf numFmtId="173" fontId="35" fillId="0" borderId="99" xfId="0" applyNumberFormat="1" applyFont="1" applyBorder="1" applyAlignment="1">
      <alignment horizontal="right"/>
    </xf>
    <xf numFmtId="0" fontId="35" fillId="2" borderId="6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80" xfId="0" applyFont="1" applyFill="1" applyBorder="1" applyAlignment="1">
      <alignment horizontal="left"/>
    </xf>
    <xf numFmtId="169" fontId="67" fillId="4" borderId="81" xfId="0" applyNumberFormat="1" applyFont="1" applyFill="1" applyBorder="1"/>
    <xf numFmtId="9" fontId="67" fillId="4" borderId="81" xfId="0" applyNumberFormat="1" applyFont="1" applyFill="1" applyBorder="1"/>
    <xf numFmtId="9" fontId="67" fillId="4" borderId="82" xfId="0" applyNumberFormat="1" applyFont="1" applyFill="1" applyBorder="1"/>
    <xf numFmtId="169" fontId="0" fillId="0" borderId="84" xfId="0" applyNumberFormat="1" applyBorder="1"/>
    <xf numFmtId="9" fontId="0" fillId="0" borderId="84" xfId="0" applyNumberFormat="1" applyBorder="1"/>
    <xf numFmtId="9" fontId="0" fillId="0" borderId="85" xfId="0" applyNumberFormat="1" applyBorder="1"/>
    <xf numFmtId="0" fontId="67" fillId="0" borderId="83" xfId="0" applyFont="1" applyBorder="1" applyAlignment="1">
      <alignment horizontal="left" indent="1"/>
    </xf>
    <xf numFmtId="169" fontId="0" fillId="0" borderId="91" xfId="0" applyNumberFormat="1" applyBorder="1"/>
    <xf numFmtId="9" fontId="0" fillId="0" borderId="91" xfId="0" applyNumberFormat="1" applyBorder="1"/>
    <xf numFmtId="9" fontId="0" fillId="0" borderId="92" xfId="0" applyNumberFormat="1" applyBorder="1"/>
    <xf numFmtId="0" fontId="67" fillId="4" borderId="90" xfId="0" applyFont="1" applyFill="1" applyBorder="1" applyAlignment="1">
      <alignment horizontal="left"/>
    </xf>
    <xf numFmtId="169" fontId="67" fillId="4" borderId="91" xfId="0" applyNumberFormat="1" applyFont="1" applyFill="1" applyBorder="1"/>
    <xf numFmtId="9" fontId="67" fillId="4" borderId="91" xfId="0" applyNumberFormat="1" applyFont="1" applyFill="1" applyBorder="1"/>
    <xf numFmtId="9" fontId="67" fillId="4" borderId="92" xfId="0" applyNumberFormat="1" applyFont="1" applyFill="1" applyBorder="1"/>
    <xf numFmtId="0" fontId="67" fillId="0" borderId="90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81" xfId="0" applyNumberFormat="1" applyFont="1" applyFill="1" applyBorder="1"/>
    <xf numFmtId="169" fontId="35" fillId="0" borderId="82" xfId="0" applyNumberFormat="1" applyFont="1" applyFill="1" applyBorder="1"/>
    <xf numFmtId="169" fontId="35" fillId="0" borderId="91" xfId="0" applyNumberFormat="1" applyFont="1" applyFill="1" applyBorder="1"/>
    <xf numFmtId="169" fontId="35" fillId="0" borderId="92" xfId="0" applyNumberFormat="1" applyFont="1" applyFill="1" applyBorder="1"/>
    <xf numFmtId="169" fontId="35" fillId="0" borderId="84" xfId="0" applyNumberFormat="1" applyFont="1" applyFill="1" applyBorder="1"/>
    <xf numFmtId="169" fontId="35" fillId="0" borderId="85" xfId="0" applyNumberFormat="1" applyFont="1" applyFill="1" applyBorder="1"/>
    <xf numFmtId="0" fontId="42" fillId="0" borderId="8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34" xfId="0" applyNumberFormat="1" applyFont="1" applyBorder="1"/>
    <xf numFmtId="166" fontId="12" fillId="0" borderId="134" xfId="0" applyNumberFormat="1" applyFont="1" applyBorder="1"/>
    <xf numFmtId="166" fontId="12" fillId="0" borderId="95" xfId="0" applyNumberFormat="1" applyFont="1" applyBorder="1"/>
    <xf numFmtId="166" fontId="5" fillId="0" borderId="134" xfId="0" applyNumberFormat="1" applyFont="1" applyBorder="1" applyAlignment="1">
      <alignment horizontal="right"/>
    </xf>
    <xf numFmtId="166" fontId="5" fillId="0" borderId="95" xfId="0" applyNumberFormat="1" applyFont="1" applyBorder="1" applyAlignment="1">
      <alignment horizontal="right"/>
    </xf>
    <xf numFmtId="3" fontId="5" fillId="0" borderId="134" xfId="0" applyNumberFormat="1" applyFont="1" applyBorder="1" applyAlignment="1">
      <alignment horizontal="right"/>
    </xf>
    <xf numFmtId="177" fontId="5" fillId="0" borderId="134" xfId="0" applyNumberFormat="1" applyFont="1" applyBorder="1" applyAlignment="1">
      <alignment horizontal="right"/>
    </xf>
    <xf numFmtId="4" fontId="5" fillId="0" borderId="134" xfId="0" applyNumberFormat="1" applyFont="1" applyBorder="1" applyAlignment="1">
      <alignment horizontal="right"/>
    </xf>
    <xf numFmtId="3" fontId="5" fillId="0" borderId="134" xfId="0" applyNumberFormat="1" applyFont="1" applyBorder="1"/>
    <xf numFmtId="3" fontId="11" fillId="0" borderId="94" xfId="0" applyNumberFormat="1" applyFont="1" applyBorder="1" applyAlignment="1">
      <alignment horizontal="center"/>
    </xf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3" fontId="12" fillId="0" borderId="134" xfId="0" applyNumberFormat="1" applyFont="1" applyBorder="1" applyAlignment="1">
      <alignment horizontal="right"/>
    </xf>
    <xf numFmtId="166" fontId="12" fillId="0" borderId="134" xfId="0" applyNumberFormat="1" applyFont="1" applyBorder="1" applyAlignment="1">
      <alignment horizontal="right"/>
    </xf>
    <xf numFmtId="166" fontId="11" fillId="0" borderId="95" xfId="0" applyNumberFormat="1" applyFont="1" applyBorder="1" applyAlignment="1">
      <alignment horizontal="right"/>
    </xf>
    <xf numFmtId="166" fontId="12" fillId="0" borderId="95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35" fillId="0" borderId="134" xfId="0" applyNumberFormat="1" applyFont="1" applyBorder="1" applyAlignment="1">
      <alignment horizontal="right"/>
    </xf>
    <xf numFmtId="0" fontId="5" fillId="0" borderId="134" xfId="0" applyFont="1" applyBorder="1"/>
    <xf numFmtId="3" fontId="35" fillId="0" borderId="134" xfId="0" applyNumberFormat="1" applyFont="1" applyBorder="1"/>
    <xf numFmtId="9" fontId="35" fillId="0" borderId="134" xfId="0" applyNumberFormat="1" applyFont="1" applyBorder="1"/>
    <xf numFmtId="166" fontId="35" fillId="0" borderId="134" xfId="0" applyNumberFormat="1" applyFont="1" applyBorder="1"/>
    <xf numFmtId="166" fontId="35" fillId="0" borderId="95" xfId="0" applyNumberFormat="1" applyFont="1" applyBorder="1"/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3" fontId="12" fillId="0" borderId="104" xfId="0" applyNumberFormat="1" applyFont="1" applyBorder="1"/>
    <xf numFmtId="166" fontId="12" fillId="0" borderId="104" xfId="0" applyNumberFormat="1" applyFont="1" applyBorder="1"/>
    <xf numFmtId="166" fontId="12" fillId="0" borderId="79" xfId="0" applyNumberFormat="1" applyFont="1" applyBorder="1"/>
    <xf numFmtId="3" fontId="35" fillId="0" borderId="104" xfId="0" applyNumberFormat="1" applyFont="1" applyBorder="1" applyAlignment="1">
      <alignment horizontal="right"/>
    </xf>
    <xf numFmtId="166" fontId="5" fillId="0" borderId="104" xfId="0" applyNumberFormat="1" applyFont="1" applyBorder="1" applyAlignment="1">
      <alignment horizontal="right"/>
    </xf>
    <xf numFmtId="166" fontId="5" fillId="0" borderId="79" xfId="0" applyNumberFormat="1" applyFont="1" applyBorder="1" applyAlignment="1">
      <alignment horizontal="right"/>
    </xf>
    <xf numFmtId="3" fontId="5" fillId="0" borderId="104" xfId="0" applyNumberFormat="1" applyFont="1" applyBorder="1" applyAlignment="1">
      <alignment horizontal="right"/>
    </xf>
    <xf numFmtId="177" fontId="5" fillId="0" borderId="104" xfId="0" applyNumberFormat="1" applyFont="1" applyBorder="1" applyAlignment="1">
      <alignment horizontal="right"/>
    </xf>
    <xf numFmtId="4" fontId="5" fillId="0" borderId="104" xfId="0" applyNumberFormat="1" applyFont="1" applyBorder="1" applyAlignment="1">
      <alignment horizontal="right"/>
    </xf>
    <xf numFmtId="0" fontId="5" fillId="0" borderId="104" xfId="0" applyFont="1" applyBorder="1"/>
    <xf numFmtId="3" fontId="5" fillId="0" borderId="104" xfId="0" applyNumberFormat="1" applyFont="1" applyBorder="1"/>
    <xf numFmtId="9" fontId="35" fillId="0" borderId="104" xfId="0" applyNumberFormat="1" applyFont="1" applyBorder="1"/>
    <xf numFmtId="3" fontId="11" fillId="0" borderId="78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78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94" xfId="0" applyNumberFormat="1" applyFont="1" applyBorder="1" applyAlignment="1">
      <alignment horizontal="center"/>
    </xf>
    <xf numFmtId="49" fontId="3" fillId="0" borderId="99" xfId="0" applyNumberFormat="1" applyFont="1" applyBorder="1" applyAlignment="1">
      <alignment horizontal="center"/>
    </xf>
    <xf numFmtId="3" fontId="35" fillId="0" borderId="109" xfId="0" applyNumberFormat="1" applyFont="1" applyBorder="1"/>
    <xf numFmtId="166" fontId="35" fillId="0" borderId="109" xfId="0" applyNumberFormat="1" applyFont="1" applyBorder="1"/>
    <xf numFmtId="166" fontId="35" fillId="0" borderId="100" xfId="0" applyNumberFormat="1" applyFont="1" applyBorder="1"/>
    <xf numFmtId="3" fontId="35" fillId="0" borderId="109" xfId="0" applyNumberFormat="1" applyFont="1" applyBorder="1" applyAlignment="1">
      <alignment horizontal="right"/>
    </xf>
    <xf numFmtId="166" fontId="5" fillId="0" borderId="109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3" fontId="12" fillId="0" borderId="109" xfId="0" applyNumberFormat="1" applyFont="1" applyBorder="1" applyAlignment="1">
      <alignment horizontal="right"/>
    </xf>
    <xf numFmtId="166" fontId="12" fillId="0" borderId="109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77" fontId="5" fillId="0" borderId="109" xfId="0" applyNumberFormat="1" applyFont="1" applyBorder="1" applyAlignment="1">
      <alignment horizontal="right"/>
    </xf>
    <xf numFmtId="3" fontId="5" fillId="0" borderId="109" xfId="0" applyNumberFormat="1" applyFont="1" applyBorder="1" applyAlignment="1">
      <alignment horizontal="right"/>
    </xf>
    <xf numFmtId="4" fontId="5" fillId="0" borderId="109" xfId="0" applyNumberFormat="1" applyFont="1" applyBorder="1" applyAlignment="1">
      <alignment horizontal="right"/>
    </xf>
    <xf numFmtId="0" fontId="5" fillId="0" borderId="109" xfId="0" applyFont="1" applyBorder="1"/>
    <xf numFmtId="3" fontId="5" fillId="0" borderId="109" xfId="0" applyNumberFormat="1" applyFont="1" applyBorder="1"/>
    <xf numFmtId="9" fontId="35" fillId="0" borderId="109" xfId="0" applyNumberFormat="1" applyFont="1" applyBorder="1"/>
    <xf numFmtId="3" fontId="11" fillId="0" borderId="9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4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0" fontId="32" fillId="0" borderId="80" xfId="76" applyFont="1" applyFill="1" applyBorder="1"/>
    <xf numFmtId="0" fontId="32" fillId="0" borderId="90" xfId="76" applyFont="1" applyFill="1" applyBorder="1"/>
    <xf numFmtId="0" fontId="32" fillId="0" borderId="83" xfId="76" applyFont="1" applyFill="1" applyBorder="1"/>
    <xf numFmtId="0" fontId="32" fillId="0" borderId="107" xfId="76" applyFont="1" applyFill="1" applyBorder="1"/>
    <xf numFmtId="0" fontId="32" fillId="0" borderId="105" xfId="76" applyFont="1" applyFill="1" applyBorder="1"/>
    <xf numFmtId="0" fontId="32" fillId="0" borderId="106" xfId="76" applyFont="1" applyFill="1" applyBorder="1"/>
    <xf numFmtId="0" fontId="34" fillId="2" borderId="97" xfId="76" applyNumberFormat="1" applyFont="1" applyFill="1" applyBorder="1" applyAlignment="1">
      <alignment horizontal="left"/>
    </xf>
    <xf numFmtId="0" fontId="34" fillId="2" borderId="146" xfId="76" applyNumberFormat="1" applyFont="1" applyFill="1" applyBorder="1" applyAlignment="1">
      <alignment horizontal="left"/>
    </xf>
    <xf numFmtId="3" fontId="32" fillId="0" borderId="80" xfId="76" applyNumberFormat="1" applyFont="1" applyFill="1" applyBorder="1"/>
    <xf numFmtId="3" fontId="32" fillId="0" borderId="81" xfId="76" applyNumberFormat="1" applyFont="1" applyFill="1" applyBorder="1"/>
    <xf numFmtId="3" fontId="32" fillId="0" borderId="90" xfId="76" applyNumberFormat="1" applyFont="1" applyFill="1" applyBorder="1"/>
    <xf numFmtId="3" fontId="32" fillId="0" borderId="91" xfId="76" applyNumberFormat="1" applyFont="1" applyFill="1" applyBorder="1"/>
    <xf numFmtId="3" fontId="32" fillId="0" borderId="83" xfId="76" applyNumberFormat="1" applyFont="1" applyFill="1" applyBorder="1"/>
    <xf numFmtId="3" fontId="32" fillId="0" borderId="84" xfId="76" applyNumberFormat="1" applyFont="1" applyFill="1" applyBorder="1"/>
    <xf numFmtId="9" fontId="32" fillId="0" borderId="107" xfId="76" applyNumberFormat="1" applyFont="1" applyFill="1" applyBorder="1"/>
    <xf numFmtId="9" fontId="32" fillId="0" borderId="105" xfId="76" applyNumberFormat="1" applyFont="1" applyFill="1" applyBorder="1"/>
    <xf numFmtId="9" fontId="32" fillId="0" borderId="106" xfId="76" applyNumberFormat="1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98" xfId="76" applyNumberFormat="1" applyFont="1" applyFill="1" applyBorder="1" applyAlignment="1">
      <alignment horizontal="left"/>
    </xf>
    <xf numFmtId="3" fontId="32" fillId="0" borderId="82" xfId="76" applyNumberFormat="1" applyFont="1" applyFill="1" applyBorder="1"/>
    <xf numFmtId="3" fontId="32" fillId="0" borderId="92" xfId="76" applyNumberFormat="1" applyFont="1" applyFill="1" applyBorder="1"/>
    <xf numFmtId="3" fontId="32" fillId="0" borderId="85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0.7380861207066528</c:v>
                </c:pt>
                <c:pt idx="1">
                  <c:v>1.2978810991585963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24860656"/>
        <c:axId val="-1524855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0.88343319880922855</c:v>
                </c:pt>
                <c:pt idx="1">
                  <c:v>0.88343319880922855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24849776"/>
        <c:axId val="-1524860112"/>
      </c:scatterChart>
      <c:catAx>
        <c:axId val="-152486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2485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485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4860656"/>
        <c:crosses val="autoZero"/>
        <c:crossBetween val="between"/>
      </c:valAx>
      <c:valAx>
        <c:axId val="-1524849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24860112"/>
        <c:crosses val="max"/>
        <c:crossBetween val="midCat"/>
      </c:valAx>
      <c:valAx>
        <c:axId val="-1524860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24849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0.96654611211573238</c:v>
                </c:pt>
                <c:pt idx="1">
                  <c:v>0.95370692655760525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24854128"/>
        <c:axId val="-152485358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24852496"/>
        <c:axId val="-1524851408"/>
      </c:scatterChart>
      <c:catAx>
        <c:axId val="-152485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2485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48535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524854128"/>
        <c:crosses val="autoZero"/>
        <c:crossBetween val="between"/>
      </c:valAx>
      <c:valAx>
        <c:axId val="-1524852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24851408"/>
        <c:crosses val="max"/>
        <c:crossBetween val="midCat"/>
      </c:valAx>
      <c:valAx>
        <c:axId val="-15248514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5248524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37" bestFit="1" customWidth="1"/>
    <col min="2" max="2" width="102.21875" style="237" bestFit="1" customWidth="1"/>
    <col min="3" max="3" width="16.109375" style="51" hidden="1" customWidth="1"/>
    <col min="4" max="16384" width="8.88671875" style="237"/>
  </cols>
  <sheetData>
    <row r="1" spans="1:3" ht="18.600000000000001" customHeight="1" thickBot="1" x14ac:dyDescent="0.4">
      <c r="A1" s="504" t="s">
        <v>125</v>
      </c>
      <c r="B1" s="504"/>
    </row>
    <row r="2" spans="1:3" ht="14.4" customHeight="1" thickBot="1" x14ac:dyDescent="0.35">
      <c r="A2" s="360" t="s">
        <v>344</v>
      </c>
      <c r="B2" s="50"/>
    </row>
    <row r="3" spans="1:3" ht="14.4" customHeight="1" thickBot="1" x14ac:dyDescent="0.35">
      <c r="A3" s="500" t="s">
        <v>174</v>
      </c>
      <c r="B3" s="501"/>
    </row>
    <row r="4" spans="1:3" ht="14.4" customHeight="1" x14ac:dyDescent="0.3">
      <c r="A4" s="254" t="str">
        <f t="shared" ref="A4:A8" si="0">HYPERLINK("#'"&amp;C4&amp;"'!A1",C4)</f>
        <v>Motivace</v>
      </c>
      <c r="B4" s="168" t="s">
        <v>143</v>
      </c>
      <c r="C4" s="51" t="s">
        <v>144</v>
      </c>
    </row>
    <row r="5" spans="1:3" ht="14.4" customHeight="1" x14ac:dyDescent="0.3">
      <c r="A5" s="255" t="str">
        <f t="shared" si="0"/>
        <v>HI</v>
      </c>
      <c r="B5" s="169" t="s">
        <v>167</v>
      </c>
      <c r="C5" s="51" t="s">
        <v>129</v>
      </c>
    </row>
    <row r="6" spans="1:3" ht="14.4" customHeight="1" x14ac:dyDescent="0.3">
      <c r="A6" s="256" t="str">
        <f t="shared" si="0"/>
        <v>HI Graf</v>
      </c>
      <c r="B6" s="170" t="s">
        <v>121</v>
      </c>
      <c r="C6" s="51" t="s">
        <v>130</v>
      </c>
    </row>
    <row r="7" spans="1:3" ht="14.4" customHeight="1" x14ac:dyDescent="0.3">
      <c r="A7" s="256" t="str">
        <f t="shared" si="0"/>
        <v>Man Tab</v>
      </c>
      <c r="B7" s="170" t="s">
        <v>346</v>
      </c>
      <c r="C7" s="51" t="s">
        <v>131</v>
      </c>
    </row>
    <row r="8" spans="1:3" ht="14.4" customHeight="1" thickBot="1" x14ac:dyDescent="0.35">
      <c r="A8" s="257" t="str">
        <f t="shared" si="0"/>
        <v>HV</v>
      </c>
      <c r="B8" s="171" t="s">
        <v>54</v>
      </c>
      <c r="C8" s="51" t="s">
        <v>59</v>
      </c>
    </row>
    <row r="9" spans="1:3" ht="14.4" customHeight="1" thickBot="1" x14ac:dyDescent="0.35">
      <c r="A9" s="172"/>
      <c r="B9" s="172"/>
    </row>
    <row r="10" spans="1:3" ht="14.4" customHeight="1" thickBot="1" x14ac:dyDescent="0.35">
      <c r="A10" s="502" t="s">
        <v>126</v>
      </c>
      <c r="B10" s="501"/>
    </row>
    <row r="11" spans="1:3" ht="14.4" customHeight="1" x14ac:dyDescent="0.3">
      <c r="A11" s="258" t="str">
        <f t="shared" ref="A11" si="1">HYPERLINK("#'"&amp;C11&amp;"'!A1",C11)</f>
        <v>Léky Žádanky</v>
      </c>
      <c r="B11" s="169" t="s">
        <v>168</v>
      </c>
      <c r="C11" s="51" t="s">
        <v>132</v>
      </c>
    </row>
    <row r="12" spans="1:3" ht="14.4" customHeight="1" x14ac:dyDescent="0.3">
      <c r="A12" s="256" t="str">
        <f t="shared" ref="A12:A22" si="2">HYPERLINK("#'"&amp;C12&amp;"'!A1",C12)</f>
        <v>LŽ Detail</v>
      </c>
      <c r="B12" s="170" t="s">
        <v>196</v>
      </c>
      <c r="C12" s="51" t="s">
        <v>133</v>
      </c>
    </row>
    <row r="13" spans="1:3" ht="28.8" customHeight="1" x14ac:dyDescent="0.3">
      <c r="A13" s="256" t="str">
        <f t="shared" si="2"/>
        <v>LŽ PL</v>
      </c>
      <c r="B13" s="715" t="s">
        <v>197</v>
      </c>
      <c r="C13" s="51" t="s">
        <v>178</v>
      </c>
    </row>
    <row r="14" spans="1:3" ht="14.4" customHeight="1" x14ac:dyDescent="0.3">
      <c r="A14" s="256" t="str">
        <f t="shared" si="2"/>
        <v>LŽ PL Detail</v>
      </c>
      <c r="B14" s="170" t="s">
        <v>1042</v>
      </c>
      <c r="C14" s="51" t="s">
        <v>180</v>
      </c>
    </row>
    <row r="15" spans="1:3" ht="14.4" customHeight="1" x14ac:dyDescent="0.3">
      <c r="A15" s="256" t="str">
        <f t="shared" si="2"/>
        <v>LŽ Statim</v>
      </c>
      <c r="B15" s="441" t="s">
        <v>272</v>
      </c>
      <c r="C15" s="51" t="s">
        <v>282</v>
      </c>
    </row>
    <row r="16" spans="1:3" ht="14.4" customHeight="1" x14ac:dyDescent="0.3">
      <c r="A16" s="256" t="str">
        <f t="shared" si="2"/>
        <v>Léky Recepty</v>
      </c>
      <c r="B16" s="170" t="s">
        <v>169</v>
      </c>
      <c r="C16" s="51" t="s">
        <v>134</v>
      </c>
    </row>
    <row r="17" spans="1:3" ht="14.4" customHeight="1" x14ac:dyDescent="0.3">
      <c r="A17" s="256" t="str">
        <f t="shared" si="2"/>
        <v>LRp Lékaři</v>
      </c>
      <c r="B17" s="170" t="s">
        <v>183</v>
      </c>
      <c r="C17" s="51" t="s">
        <v>184</v>
      </c>
    </row>
    <row r="18" spans="1:3" ht="28.8" customHeight="1" x14ac:dyDescent="0.3">
      <c r="A18" s="256" t="str">
        <f t="shared" si="2"/>
        <v>LRp PL</v>
      </c>
      <c r="B18" s="715" t="s">
        <v>1068</v>
      </c>
      <c r="C18" s="51" t="s">
        <v>179</v>
      </c>
    </row>
    <row r="19" spans="1:3" ht="14.4" customHeight="1" x14ac:dyDescent="0.3">
      <c r="A19" s="256" t="str">
        <f>HYPERLINK("#'"&amp;C19&amp;"'!A1",C19)</f>
        <v>LRp PL Detail</v>
      </c>
      <c r="B19" s="170" t="s">
        <v>1091</v>
      </c>
      <c r="C19" s="51" t="s">
        <v>181</v>
      </c>
    </row>
    <row r="20" spans="1:3" ht="14.4" customHeight="1" x14ac:dyDescent="0.3">
      <c r="A20" s="258" t="str">
        <f t="shared" ref="A20" si="3">HYPERLINK("#'"&amp;C20&amp;"'!A1",C20)</f>
        <v>Materiál Žádanky</v>
      </c>
      <c r="B20" s="170" t="s">
        <v>170</v>
      </c>
      <c r="C20" s="51" t="s">
        <v>135</v>
      </c>
    </row>
    <row r="21" spans="1:3" ht="14.4" customHeight="1" x14ac:dyDescent="0.3">
      <c r="A21" s="256" t="str">
        <f t="shared" si="2"/>
        <v>MŽ Detail</v>
      </c>
      <c r="B21" s="170" t="s">
        <v>1414</v>
      </c>
      <c r="C21" s="51" t="s">
        <v>136</v>
      </c>
    </row>
    <row r="22" spans="1:3" ht="14.4" customHeight="1" thickBot="1" x14ac:dyDescent="0.35">
      <c r="A22" s="258" t="str">
        <f t="shared" si="2"/>
        <v>Osobní náklady</v>
      </c>
      <c r="B22" s="170" t="s">
        <v>123</v>
      </c>
      <c r="C22" s="51" t="s">
        <v>137</v>
      </c>
    </row>
    <row r="23" spans="1:3" ht="14.4" customHeight="1" thickBot="1" x14ac:dyDescent="0.35">
      <c r="A23" s="173"/>
      <c r="B23" s="173"/>
    </row>
    <row r="24" spans="1:3" ht="14.4" customHeight="1" thickBot="1" x14ac:dyDescent="0.35">
      <c r="A24" s="503" t="s">
        <v>127</v>
      </c>
      <c r="B24" s="501"/>
    </row>
    <row r="25" spans="1:3" ht="14.4" customHeight="1" x14ac:dyDescent="0.3">
      <c r="A25" s="259" t="str">
        <f t="shared" ref="A25:A36" si="4">HYPERLINK("#'"&amp;C25&amp;"'!A1",C25)</f>
        <v>ZV Vykáz.-A</v>
      </c>
      <c r="B25" s="169" t="s">
        <v>1418</v>
      </c>
      <c r="C25" s="51" t="s">
        <v>145</v>
      </c>
    </row>
    <row r="26" spans="1:3" ht="14.4" customHeight="1" x14ac:dyDescent="0.3">
      <c r="A26" s="256" t="str">
        <f t="shared" ref="A26" si="5">HYPERLINK("#'"&amp;C26&amp;"'!A1",C26)</f>
        <v>ZV Vykáz.-A Lékaři</v>
      </c>
      <c r="B26" s="170" t="s">
        <v>1425</v>
      </c>
      <c r="C26" s="51" t="s">
        <v>285</v>
      </c>
    </row>
    <row r="27" spans="1:3" ht="14.4" customHeight="1" x14ac:dyDescent="0.3">
      <c r="A27" s="256" t="str">
        <f t="shared" si="4"/>
        <v>ZV Vykáz.-A Detail</v>
      </c>
      <c r="B27" s="170" t="s">
        <v>1459</v>
      </c>
      <c r="C27" s="51" t="s">
        <v>146</v>
      </c>
    </row>
    <row r="28" spans="1:3" ht="14.4" customHeight="1" x14ac:dyDescent="0.3">
      <c r="A28" s="483" t="str">
        <f>HYPERLINK("#'"&amp;C28&amp;"'!A1",C28)</f>
        <v>ZV Vykáz.-A Det.Lék.</v>
      </c>
      <c r="B28" s="170" t="s">
        <v>1460</v>
      </c>
      <c r="C28" s="51" t="s">
        <v>328</v>
      </c>
    </row>
    <row r="29" spans="1:3" ht="14.4" customHeight="1" x14ac:dyDescent="0.3">
      <c r="A29" s="256" t="str">
        <f t="shared" si="4"/>
        <v>ZV Vykáz.-H</v>
      </c>
      <c r="B29" s="170" t="s">
        <v>149</v>
      </c>
      <c r="C29" s="51" t="s">
        <v>147</v>
      </c>
    </row>
    <row r="30" spans="1:3" ht="14.4" customHeight="1" x14ac:dyDescent="0.3">
      <c r="A30" s="256" t="str">
        <f t="shared" si="4"/>
        <v>ZV Vykáz.-H Detail</v>
      </c>
      <c r="B30" s="170" t="s">
        <v>1558</v>
      </c>
      <c r="C30" s="51" t="s">
        <v>148</v>
      </c>
    </row>
    <row r="31" spans="1:3" ht="14.4" customHeight="1" x14ac:dyDescent="0.3">
      <c r="A31" s="259" t="str">
        <f t="shared" si="4"/>
        <v>CaseMix</v>
      </c>
      <c r="B31" s="170" t="s">
        <v>128</v>
      </c>
      <c r="C31" s="51" t="s">
        <v>138</v>
      </c>
    </row>
    <row r="32" spans="1:3" ht="14.4" customHeight="1" x14ac:dyDescent="0.3">
      <c r="A32" s="256" t="str">
        <f t="shared" si="4"/>
        <v>ALOS</v>
      </c>
      <c r="B32" s="170" t="s">
        <v>108</v>
      </c>
      <c r="C32" s="51" t="s">
        <v>79</v>
      </c>
    </row>
    <row r="33" spans="1:3" ht="14.4" customHeight="1" x14ac:dyDescent="0.3">
      <c r="A33" s="256" t="str">
        <f t="shared" si="4"/>
        <v>Total</v>
      </c>
      <c r="B33" s="170" t="s">
        <v>1608</v>
      </c>
      <c r="C33" s="51" t="s">
        <v>139</v>
      </c>
    </row>
    <row r="34" spans="1:3" ht="14.4" customHeight="1" x14ac:dyDescent="0.3">
      <c r="A34" s="256" t="str">
        <f t="shared" si="4"/>
        <v>ZV Vyžád.</v>
      </c>
      <c r="B34" s="170" t="s">
        <v>150</v>
      </c>
      <c r="C34" s="51" t="s">
        <v>142</v>
      </c>
    </row>
    <row r="35" spans="1:3" ht="14.4" customHeight="1" x14ac:dyDescent="0.3">
      <c r="A35" s="256" t="str">
        <f t="shared" si="4"/>
        <v>ZV Vyžád. Detail</v>
      </c>
      <c r="B35" s="170" t="s">
        <v>2020</v>
      </c>
      <c r="C35" s="51" t="s">
        <v>141</v>
      </c>
    </row>
    <row r="36" spans="1:3" ht="14.4" customHeight="1" x14ac:dyDescent="0.3">
      <c r="A36" s="256" t="str">
        <f t="shared" si="4"/>
        <v>OD TISS</v>
      </c>
      <c r="B36" s="170" t="s">
        <v>173</v>
      </c>
      <c r="C36" s="51" t="s">
        <v>140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7" bestFit="1" customWidth="1"/>
    <col min="2" max="2" width="8.88671875" style="237" bestFit="1" customWidth="1"/>
    <col min="3" max="3" width="7" style="237" bestFit="1" customWidth="1"/>
    <col min="4" max="4" width="53.44140625" style="237" bestFit="1" customWidth="1"/>
    <col min="5" max="5" width="28.44140625" style="237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7"/>
  </cols>
  <sheetData>
    <row r="1" spans="1:13" ht="18.600000000000001" customHeight="1" thickBot="1" x14ac:dyDescent="0.4">
      <c r="A1" s="543" t="s">
        <v>1042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04"/>
      <c r="M1" s="504"/>
    </row>
    <row r="2" spans="1:13" ht="14.4" customHeight="1" thickBot="1" x14ac:dyDescent="0.35">
      <c r="A2" s="360" t="s">
        <v>344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6" t="s">
        <v>151</v>
      </c>
      <c r="F3" s="47">
        <f>SUBTOTAL(9,F6:F1048576)</f>
        <v>9</v>
      </c>
      <c r="G3" s="47">
        <f>SUBTOTAL(9,G6:G1048576)</f>
        <v>764.87000000000012</v>
      </c>
      <c r="H3" s="48">
        <f>IF(M3=0,0,G3/M3)</f>
        <v>5.8600265239999297E-2</v>
      </c>
      <c r="I3" s="47">
        <f>SUBTOTAL(9,I6:I1048576)</f>
        <v>78.400000000000006</v>
      </c>
      <c r="J3" s="47">
        <f>SUBTOTAL(9,J6:J1048576)</f>
        <v>12287.46</v>
      </c>
      <c r="K3" s="48">
        <f>IF(M3=0,0,J3/M3)</f>
        <v>0.9413997347600005</v>
      </c>
      <c r="L3" s="47">
        <f>SUBTOTAL(9,L6:L1048576)</f>
        <v>87.4</v>
      </c>
      <c r="M3" s="49">
        <f>SUBTOTAL(9,M6:M1048576)</f>
        <v>13052.330000000002</v>
      </c>
    </row>
    <row r="4" spans="1:13" ht="14.4" customHeight="1" thickBot="1" x14ac:dyDescent="0.35">
      <c r="A4" s="45"/>
      <c r="B4" s="45"/>
      <c r="C4" s="45"/>
      <c r="D4" s="45"/>
      <c r="E4" s="46"/>
      <c r="F4" s="547" t="s">
        <v>153</v>
      </c>
      <c r="G4" s="548"/>
      <c r="H4" s="549"/>
      <c r="I4" s="550" t="s">
        <v>152</v>
      </c>
      <c r="J4" s="548"/>
      <c r="K4" s="549"/>
      <c r="L4" s="551" t="s">
        <v>3</v>
      </c>
      <c r="M4" s="552"/>
    </row>
    <row r="5" spans="1:13" ht="14.4" customHeight="1" thickBot="1" x14ac:dyDescent="0.35">
      <c r="A5" s="699" t="s">
        <v>154</v>
      </c>
      <c r="B5" s="717" t="s">
        <v>155</v>
      </c>
      <c r="C5" s="717" t="s">
        <v>83</v>
      </c>
      <c r="D5" s="717" t="s">
        <v>156</v>
      </c>
      <c r="E5" s="717" t="s">
        <v>157</v>
      </c>
      <c r="F5" s="718" t="s">
        <v>21</v>
      </c>
      <c r="G5" s="718" t="s">
        <v>14</v>
      </c>
      <c r="H5" s="701" t="s">
        <v>158</v>
      </c>
      <c r="I5" s="700" t="s">
        <v>21</v>
      </c>
      <c r="J5" s="718" t="s">
        <v>14</v>
      </c>
      <c r="K5" s="701" t="s">
        <v>158</v>
      </c>
      <c r="L5" s="700" t="s">
        <v>21</v>
      </c>
      <c r="M5" s="719" t="s">
        <v>14</v>
      </c>
    </row>
    <row r="6" spans="1:13" ht="14.4" customHeight="1" x14ac:dyDescent="0.3">
      <c r="A6" s="681" t="s">
        <v>593</v>
      </c>
      <c r="B6" s="682" t="s">
        <v>1014</v>
      </c>
      <c r="C6" s="682" t="s">
        <v>746</v>
      </c>
      <c r="D6" s="682" t="s">
        <v>1015</v>
      </c>
      <c r="E6" s="682" t="s">
        <v>1016</v>
      </c>
      <c r="F6" s="685">
        <v>1</v>
      </c>
      <c r="G6" s="685">
        <v>188.55</v>
      </c>
      <c r="H6" s="703">
        <v>1</v>
      </c>
      <c r="I6" s="685"/>
      <c r="J6" s="685"/>
      <c r="K6" s="703">
        <v>0</v>
      </c>
      <c r="L6" s="685">
        <v>1</v>
      </c>
      <c r="M6" s="686">
        <v>188.55</v>
      </c>
    </row>
    <row r="7" spans="1:13" ht="14.4" customHeight="1" x14ac:dyDescent="0.3">
      <c r="A7" s="687" t="s">
        <v>593</v>
      </c>
      <c r="B7" s="688" t="s">
        <v>1014</v>
      </c>
      <c r="C7" s="688" t="s">
        <v>757</v>
      </c>
      <c r="D7" s="688" t="s">
        <v>758</v>
      </c>
      <c r="E7" s="688" t="s">
        <v>759</v>
      </c>
      <c r="F7" s="691"/>
      <c r="G7" s="691"/>
      <c r="H7" s="704">
        <v>0</v>
      </c>
      <c r="I7" s="691">
        <v>1</v>
      </c>
      <c r="J7" s="691">
        <v>1872.7900000000004</v>
      </c>
      <c r="K7" s="704">
        <v>1</v>
      </c>
      <c r="L7" s="691">
        <v>1</v>
      </c>
      <c r="M7" s="692">
        <v>1872.7900000000004</v>
      </c>
    </row>
    <row r="8" spans="1:13" ht="14.4" customHeight="1" x14ac:dyDescent="0.3">
      <c r="A8" s="687" t="s">
        <v>596</v>
      </c>
      <c r="B8" s="688" t="s">
        <v>1017</v>
      </c>
      <c r="C8" s="688" t="s">
        <v>768</v>
      </c>
      <c r="D8" s="688" t="s">
        <v>1018</v>
      </c>
      <c r="E8" s="688" t="s">
        <v>1019</v>
      </c>
      <c r="F8" s="691">
        <v>8</v>
      </c>
      <c r="G8" s="691">
        <v>576.32000000000005</v>
      </c>
      <c r="H8" s="704">
        <v>1</v>
      </c>
      <c r="I8" s="691"/>
      <c r="J8" s="691"/>
      <c r="K8" s="704">
        <v>0</v>
      </c>
      <c r="L8" s="691">
        <v>8</v>
      </c>
      <c r="M8" s="692">
        <v>576.32000000000005</v>
      </c>
    </row>
    <row r="9" spans="1:13" ht="14.4" customHeight="1" x14ac:dyDescent="0.3">
      <c r="A9" s="687" t="s">
        <v>596</v>
      </c>
      <c r="B9" s="688" t="s">
        <v>1020</v>
      </c>
      <c r="C9" s="688" t="s">
        <v>958</v>
      </c>
      <c r="D9" s="688" t="s">
        <v>1021</v>
      </c>
      <c r="E9" s="688" t="s">
        <v>1022</v>
      </c>
      <c r="F9" s="691"/>
      <c r="G9" s="691"/>
      <c r="H9" s="704">
        <v>0</v>
      </c>
      <c r="I9" s="691">
        <v>2</v>
      </c>
      <c r="J9" s="691">
        <v>2786.6099999999997</v>
      </c>
      <c r="K9" s="704">
        <v>1</v>
      </c>
      <c r="L9" s="691">
        <v>2</v>
      </c>
      <c r="M9" s="692">
        <v>2786.6099999999997</v>
      </c>
    </row>
    <row r="10" spans="1:13" ht="14.4" customHeight="1" x14ac:dyDescent="0.3">
      <c r="A10" s="687" t="s">
        <v>596</v>
      </c>
      <c r="B10" s="688" t="s">
        <v>1023</v>
      </c>
      <c r="C10" s="688" t="s">
        <v>956</v>
      </c>
      <c r="D10" s="688" t="s">
        <v>1024</v>
      </c>
      <c r="E10" s="688" t="s">
        <v>1025</v>
      </c>
      <c r="F10" s="691"/>
      <c r="G10" s="691"/>
      <c r="H10" s="704">
        <v>0</v>
      </c>
      <c r="I10" s="691">
        <v>16</v>
      </c>
      <c r="J10" s="691">
        <v>566.96</v>
      </c>
      <c r="K10" s="704">
        <v>1</v>
      </c>
      <c r="L10" s="691">
        <v>16</v>
      </c>
      <c r="M10" s="692">
        <v>566.96</v>
      </c>
    </row>
    <row r="11" spans="1:13" ht="14.4" customHeight="1" x14ac:dyDescent="0.3">
      <c r="A11" s="687" t="s">
        <v>596</v>
      </c>
      <c r="B11" s="688" t="s">
        <v>1026</v>
      </c>
      <c r="C11" s="688" t="s">
        <v>953</v>
      </c>
      <c r="D11" s="688" t="s">
        <v>1027</v>
      </c>
      <c r="E11" s="688" t="s">
        <v>1028</v>
      </c>
      <c r="F11" s="691"/>
      <c r="G11" s="691"/>
      <c r="H11" s="704">
        <v>0</v>
      </c>
      <c r="I11" s="691">
        <v>10</v>
      </c>
      <c r="J11" s="691">
        <v>293.7000000000001</v>
      </c>
      <c r="K11" s="704">
        <v>1</v>
      </c>
      <c r="L11" s="691">
        <v>10</v>
      </c>
      <c r="M11" s="692">
        <v>293.7000000000001</v>
      </c>
    </row>
    <row r="12" spans="1:13" ht="14.4" customHeight="1" x14ac:dyDescent="0.3">
      <c r="A12" s="687" t="s">
        <v>596</v>
      </c>
      <c r="B12" s="688" t="s">
        <v>1029</v>
      </c>
      <c r="C12" s="688" t="s">
        <v>961</v>
      </c>
      <c r="D12" s="688" t="s">
        <v>1030</v>
      </c>
      <c r="E12" s="688" t="s">
        <v>1031</v>
      </c>
      <c r="F12" s="691"/>
      <c r="G12" s="691"/>
      <c r="H12" s="704">
        <v>0</v>
      </c>
      <c r="I12" s="691">
        <v>1.4</v>
      </c>
      <c r="J12" s="691">
        <v>223.3</v>
      </c>
      <c r="K12" s="704">
        <v>1</v>
      </c>
      <c r="L12" s="691">
        <v>1.4</v>
      </c>
      <c r="M12" s="692">
        <v>223.3</v>
      </c>
    </row>
    <row r="13" spans="1:13" ht="14.4" customHeight="1" x14ac:dyDescent="0.3">
      <c r="A13" s="687" t="s">
        <v>596</v>
      </c>
      <c r="B13" s="688" t="s">
        <v>1032</v>
      </c>
      <c r="C13" s="688" t="s">
        <v>904</v>
      </c>
      <c r="D13" s="688" t="s">
        <v>1033</v>
      </c>
      <c r="E13" s="688" t="s">
        <v>1034</v>
      </c>
      <c r="F13" s="691"/>
      <c r="G13" s="691"/>
      <c r="H13" s="704">
        <v>0</v>
      </c>
      <c r="I13" s="691">
        <v>40</v>
      </c>
      <c r="J13" s="691">
        <v>3355.6000000000004</v>
      </c>
      <c r="K13" s="704">
        <v>1</v>
      </c>
      <c r="L13" s="691">
        <v>40</v>
      </c>
      <c r="M13" s="692">
        <v>3355.6000000000004</v>
      </c>
    </row>
    <row r="14" spans="1:13" ht="14.4" customHeight="1" x14ac:dyDescent="0.3">
      <c r="A14" s="687" t="s">
        <v>596</v>
      </c>
      <c r="B14" s="688" t="s">
        <v>1035</v>
      </c>
      <c r="C14" s="688" t="s">
        <v>907</v>
      </c>
      <c r="D14" s="688" t="s">
        <v>1036</v>
      </c>
      <c r="E14" s="688" t="s">
        <v>1037</v>
      </c>
      <c r="F14" s="691"/>
      <c r="G14" s="691"/>
      <c r="H14" s="704">
        <v>0</v>
      </c>
      <c r="I14" s="691">
        <v>1</v>
      </c>
      <c r="J14" s="691">
        <v>247.5</v>
      </c>
      <c r="K14" s="704">
        <v>1</v>
      </c>
      <c r="L14" s="691">
        <v>1</v>
      </c>
      <c r="M14" s="692">
        <v>247.5</v>
      </c>
    </row>
    <row r="15" spans="1:13" ht="14.4" customHeight="1" x14ac:dyDescent="0.3">
      <c r="A15" s="687" t="s">
        <v>596</v>
      </c>
      <c r="B15" s="688" t="s">
        <v>1038</v>
      </c>
      <c r="C15" s="688" t="s">
        <v>910</v>
      </c>
      <c r="D15" s="688" t="s">
        <v>1039</v>
      </c>
      <c r="E15" s="688" t="s">
        <v>1040</v>
      </c>
      <c r="F15" s="691"/>
      <c r="G15" s="691"/>
      <c r="H15" s="704">
        <v>0</v>
      </c>
      <c r="I15" s="691">
        <v>5</v>
      </c>
      <c r="J15" s="691">
        <v>336.59999999999997</v>
      </c>
      <c r="K15" s="704">
        <v>1</v>
      </c>
      <c r="L15" s="691">
        <v>5</v>
      </c>
      <c r="M15" s="692">
        <v>336.59999999999997</v>
      </c>
    </row>
    <row r="16" spans="1:13" ht="14.4" customHeight="1" thickBot="1" x14ac:dyDescent="0.35">
      <c r="A16" s="693" t="s">
        <v>596</v>
      </c>
      <c r="B16" s="694" t="s">
        <v>1014</v>
      </c>
      <c r="C16" s="694" t="s">
        <v>921</v>
      </c>
      <c r="D16" s="694" t="s">
        <v>922</v>
      </c>
      <c r="E16" s="694" t="s">
        <v>1041</v>
      </c>
      <c r="F16" s="697"/>
      <c r="G16" s="697"/>
      <c r="H16" s="705">
        <v>0</v>
      </c>
      <c r="I16" s="697">
        <v>2</v>
      </c>
      <c r="J16" s="697">
        <v>2604.4</v>
      </c>
      <c r="K16" s="705">
        <v>1</v>
      </c>
      <c r="L16" s="697">
        <v>2</v>
      </c>
      <c r="M16" s="698">
        <v>2604.4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7"/>
  </cols>
  <sheetData>
    <row r="1" spans="1:17" ht="18.600000000000001" customHeight="1" thickBot="1" x14ac:dyDescent="0.4">
      <c r="A1" s="543" t="s">
        <v>272</v>
      </c>
      <c r="B1" s="543"/>
      <c r="C1" s="543"/>
      <c r="D1" s="543"/>
      <c r="E1" s="543"/>
      <c r="F1" s="505"/>
      <c r="G1" s="505"/>
      <c r="H1" s="505"/>
      <c r="I1" s="505"/>
      <c r="J1" s="536"/>
      <c r="K1" s="536"/>
      <c r="L1" s="536"/>
      <c r="M1" s="536"/>
      <c r="N1" s="536"/>
      <c r="O1" s="536"/>
      <c r="P1" s="536"/>
      <c r="Q1" s="536"/>
    </row>
    <row r="2" spans="1:17" ht="14.4" customHeight="1" thickBot="1" x14ac:dyDescent="0.35">
      <c r="A2" s="360" t="s">
        <v>344</v>
      </c>
      <c r="B2" s="326"/>
      <c r="C2" s="326"/>
      <c r="D2" s="326"/>
      <c r="E2" s="326"/>
    </row>
    <row r="3" spans="1:17" ht="14.4" customHeight="1" thickBot="1" x14ac:dyDescent="0.35">
      <c r="A3" s="434" t="s">
        <v>3</v>
      </c>
      <c r="B3" s="438">
        <f>SUM(B6:B1048576)</f>
        <v>663</v>
      </c>
      <c r="C3" s="439">
        <f>SUM(C6:C1048576)</f>
        <v>154</v>
      </c>
      <c r="D3" s="439">
        <f>SUM(D6:D1048576)</f>
        <v>38</v>
      </c>
      <c r="E3" s="440">
        <f>SUM(E6:E1048576)</f>
        <v>4</v>
      </c>
      <c r="F3" s="437">
        <f>IF(SUM($B3:$E3)=0,"",B3/SUM($B3:$E3))</f>
        <v>0.77182770663562283</v>
      </c>
      <c r="G3" s="435">
        <f t="shared" ref="G3:I3" si="0">IF(SUM($B3:$E3)=0,"",C3/SUM($B3:$E3))</f>
        <v>0.17927823050058206</v>
      </c>
      <c r="H3" s="435">
        <f t="shared" si="0"/>
        <v>4.4237485448195578E-2</v>
      </c>
      <c r="I3" s="436">
        <f t="shared" si="0"/>
        <v>4.6565774155995342E-3</v>
      </c>
      <c r="J3" s="439">
        <f>SUM(J6:J1048576)</f>
        <v>114</v>
      </c>
      <c r="K3" s="439">
        <f>SUM(K6:K1048576)</f>
        <v>86</v>
      </c>
      <c r="L3" s="439">
        <f>SUM(L6:L1048576)</f>
        <v>38</v>
      </c>
      <c r="M3" s="440">
        <f>SUM(M6:M1048576)</f>
        <v>2</v>
      </c>
      <c r="N3" s="437">
        <f>IF(SUM($J3:$M3)=0,"",J3/SUM($J3:$M3))</f>
        <v>0.47499999999999998</v>
      </c>
      <c r="O3" s="435">
        <f t="shared" ref="O3:Q3" si="1">IF(SUM($J3:$M3)=0,"",K3/SUM($J3:$M3))</f>
        <v>0.35833333333333334</v>
      </c>
      <c r="P3" s="435">
        <f t="shared" si="1"/>
        <v>0.15833333333333333</v>
      </c>
      <c r="Q3" s="436">
        <f t="shared" si="1"/>
        <v>8.3333333333333332E-3</v>
      </c>
    </row>
    <row r="4" spans="1:17" ht="14.4" customHeight="1" thickBot="1" x14ac:dyDescent="0.35">
      <c r="A4" s="433"/>
      <c r="B4" s="556" t="s">
        <v>274</v>
      </c>
      <c r="C4" s="557"/>
      <c r="D4" s="557"/>
      <c r="E4" s="558"/>
      <c r="F4" s="553" t="s">
        <v>279</v>
      </c>
      <c r="G4" s="554"/>
      <c r="H4" s="554"/>
      <c r="I4" s="555"/>
      <c r="J4" s="556" t="s">
        <v>280</v>
      </c>
      <c r="K4" s="557"/>
      <c r="L4" s="557"/>
      <c r="M4" s="558"/>
      <c r="N4" s="553" t="s">
        <v>281</v>
      </c>
      <c r="O4" s="554"/>
      <c r="P4" s="554"/>
      <c r="Q4" s="555"/>
    </row>
    <row r="5" spans="1:17" ht="14.4" customHeight="1" thickBot="1" x14ac:dyDescent="0.35">
      <c r="A5" s="720" t="s">
        <v>273</v>
      </c>
      <c r="B5" s="721" t="s">
        <v>275</v>
      </c>
      <c r="C5" s="721" t="s">
        <v>276</v>
      </c>
      <c r="D5" s="721" t="s">
        <v>277</v>
      </c>
      <c r="E5" s="722" t="s">
        <v>278</v>
      </c>
      <c r="F5" s="723" t="s">
        <v>275</v>
      </c>
      <c r="G5" s="724" t="s">
        <v>276</v>
      </c>
      <c r="H5" s="724" t="s">
        <v>277</v>
      </c>
      <c r="I5" s="725" t="s">
        <v>278</v>
      </c>
      <c r="J5" s="721" t="s">
        <v>275</v>
      </c>
      <c r="K5" s="721" t="s">
        <v>276</v>
      </c>
      <c r="L5" s="721" t="s">
        <v>277</v>
      </c>
      <c r="M5" s="722" t="s">
        <v>278</v>
      </c>
      <c r="N5" s="723" t="s">
        <v>275</v>
      </c>
      <c r="O5" s="724" t="s">
        <v>276</v>
      </c>
      <c r="P5" s="724" t="s">
        <v>277</v>
      </c>
      <c r="Q5" s="725" t="s">
        <v>278</v>
      </c>
    </row>
    <row r="6" spans="1:17" ht="14.4" customHeight="1" x14ac:dyDescent="0.3">
      <c r="A6" s="729" t="s">
        <v>1043</v>
      </c>
      <c r="B6" s="735"/>
      <c r="C6" s="685"/>
      <c r="D6" s="685"/>
      <c r="E6" s="686"/>
      <c r="F6" s="732"/>
      <c r="G6" s="703"/>
      <c r="H6" s="703"/>
      <c r="I6" s="738"/>
      <c r="J6" s="735"/>
      <c r="K6" s="685"/>
      <c r="L6" s="685"/>
      <c r="M6" s="686"/>
      <c r="N6" s="732"/>
      <c r="O6" s="703"/>
      <c r="P6" s="703"/>
      <c r="Q6" s="726"/>
    </row>
    <row r="7" spans="1:17" ht="14.4" customHeight="1" x14ac:dyDescent="0.3">
      <c r="A7" s="730" t="s">
        <v>1044</v>
      </c>
      <c r="B7" s="736">
        <v>113</v>
      </c>
      <c r="C7" s="691">
        <v>2</v>
      </c>
      <c r="D7" s="691">
        <v>4</v>
      </c>
      <c r="E7" s="692"/>
      <c r="F7" s="733">
        <v>0.94957983193277307</v>
      </c>
      <c r="G7" s="704">
        <v>1.680672268907563E-2</v>
      </c>
      <c r="H7" s="704">
        <v>3.3613445378151259E-2</v>
      </c>
      <c r="I7" s="739">
        <v>0</v>
      </c>
      <c r="J7" s="736">
        <v>31</v>
      </c>
      <c r="K7" s="691">
        <v>2</v>
      </c>
      <c r="L7" s="691">
        <v>4</v>
      </c>
      <c r="M7" s="692"/>
      <c r="N7" s="733">
        <v>0.83783783783783783</v>
      </c>
      <c r="O7" s="704">
        <v>5.4054054054054057E-2</v>
      </c>
      <c r="P7" s="704">
        <v>0.10810810810810811</v>
      </c>
      <c r="Q7" s="727">
        <v>0</v>
      </c>
    </row>
    <row r="8" spans="1:17" ht="14.4" customHeight="1" x14ac:dyDescent="0.3">
      <c r="A8" s="730" t="s">
        <v>1045</v>
      </c>
      <c r="B8" s="736">
        <v>196</v>
      </c>
      <c r="C8" s="691">
        <v>36</v>
      </c>
      <c r="D8" s="691">
        <v>1</v>
      </c>
      <c r="E8" s="692"/>
      <c r="F8" s="733">
        <v>0.84120171673819744</v>
      </c>
      <c r="G8" s="704">
        <v>0.15450643776824036</v>
      </c>
      <c r="H8" s="704">
        <v>4.2918454935622317E-3</v>
      </c>
      <c r="I8" s="739">
        <v>0</v>
      </c>
      <c r="J8" s="736">
        <v>44</v>
      </c>
      <c r="K8" s="691">
        <v>31</v>
      </c>
      <c r="L8" s="691">
        <v>1</v>
      </c>
      <c r="M8" s="692"/>
      <c r="N8" s="733">
        <v>0.57894736842105265</v>
      </c>
      <c r="O8" s="704">
        <v>0.40789473684210525</v>
      </c>
      <c r="P8" s="704">
        <v>1.3157894736842105E-2</v>
      </c>
      <c r="Q8" s="727">
        <v>0</v>
      </c>
    </row>
    <row r="9" spans="1:17" ht="14.4" customHeight="1" x14ac:dyDescent="0.3">
      <c r="A9" s="730" t="s">
        <v>1046</v>
      </c>
      <c r="B9" s="736">
        <v>6</v>
      </c>
      <c r="C9" s="691"/>
      <c r="D9" s="691"/>
      <c r="E9" s="692"/>
      <c r="F9" s="733">
        <v>1</v>
      </c>
      <c r="G9" s="704">
        <v>0</v>
      </c>
      <c r="H9" s="704">
        <v>0</v>
      </c>
      <c r="I9" s="739">
        <v>0</v>
      </c>
      <c r="J9" s="736">
        <v>2</v>
      </c>
      <c r="K9" s="691"/>
      <c r="L9" s="691"/>
      <c r="M9" s="692"/>
      <c r="N9" s="733">
        <v>1</v>
      </c>
      <c r="O9" s="704">
        <v>0</v>
      </c>
      <c r="P9" s="704">
        <v>0</v>
      </c>
      <c r="Q9" s="727">
        <v>0</v>
      </c>
    </row>
    <row r="10" spans="1:17" ht="14.4" customHeight="1" x14ac:dyDescent="0.3">
      <c r="A10" s="730" t="s">
        <v>1047</v>
      </c>
      <c r="B10" s="736">
        <v>348</v>
      </c>
      <c r="C10" s="691">
        <v>116</v>
      </c>
      <c r="D10" s="691">
        <v>33</v>
      </c>
      <c r="E10" s="692"/>
      <c r="F10" s="733">
        <v>0.7002012072434608</v>
      </c>
      <c r="G10" s="704">
        <v>0.23340040241448692</v>
      </c>
      <c r="H10" s="704">
        <v>6.6398390342052319E-2</v>
      </c>
      <c r="I10" s="739">
        <v>0</v>
      </c>
      <c r="J10" s="736">
        <v>37</v>
      </c>
      <c r="K10" s="691">
        <v>53</v>
      </c>
      <c r="L10" s="691">
        <v>33</v>
      </c>
      <c r="M10" s="692"/>
      <c r="N10" s="733">
        <v>0.30081300813008133</v>
      </c>
      <c r="O10" s="704">
        <v>0.43089430894308944</v>
      </c>
      <c r="P10" s="704">
        <v>0.26829268292682928</v>
      </c>
      <c r="Q10" s="727">
        <v>0</v>
      </c>
    </row>
    <row r="11" spans="1:17" ht="14.4" customHeight="1" thickBot="1" x14ac:dyDescent="0.35">
      <c r="A11" s="731" t="s">
        <v>1048</v>
      </c>
      <c r="B11" s="737"/>
      <c r="C11" s="697"/>
      <c r="D11" s="697"/>
      <c r="E11" s="698">
        <v>4</v>
      </c>
      <c r="F11" s="734">
        <v>0</v>
      </c>
      <c r="G11" s="705">
        <v>0</v>
      </c>
      <c r="H11" s="705">
        <v>0</v>
      </c>
      <c r="I11" s="740">
        <v>1</v>
      </c>
      <c r="J11" s="737"/>
      <c r="K11" s="697"/>
      <c r="L11" s="697"/>
      <c r="M11" s="698">
        <v>2</v>
      </c>
      <c r="N11" s="734">
        <v>0</v>
      </c>
      <c r="O11" s="705">
        <v>0</v>
      </c>
      <c r="P11" s="705">
        <v>0</v>
      </c>
      <c r="Q11" s="728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37" customWidth="1"/>
    <col min="2" max="2" width="34.21875" style="237" customWidth="1"/>
    <col min="3" max="3" width="11.109375" style="237" bestFit="1" customWidth="1"/>
    <col min="4" max="4" width="7.33203125" style="237" bestFit="1" customWidth="1"/>
    <col min="5" max="5" width="11.109375" style="237" bestFit="1" customWidth="1"/>
    <col min="6" max="6" width="5.33203125" style="237" customWidth="1"/>
    <col min="7" max="7" width="7.33203125" style="237" bestFit="1" customWidth="1"/>
    <col min="8" max="8" width="5.33203125" style="237" customWidth="1"/>
    <col min="9" max="9" width="11.109375" style="237" customWidth="1"/>
    <col min="10" max="10" width="5.33203125" style="237" customWidth="1"/>
    <col min="11" max="11" width="7.33203125" style="237" customWidth="1"/>
    <col min="12" max="12" width="5.33203125" style="237" customWidth="1"/>
    <col min="13" max="13" width="0" style="237" hidden="1" customWidth="1"/>
    <col min="14" max="16384" width="8.88671875" style="237"/>
  </cols>
  <sheetData>
    <row r="1" spans="1:14" ht="18.600000000000001" customHeight="1" thickBot="1" x14ac:dyDescent="0.4">
      <c r="A1" s="543" t="s">
        <v>169</v>
      </c>
      <c r="B1" s="543"/>
      <c r="C1" s="543"/>
      <c r="D1" s="543"/>
      <c r="E1" s="543"/>
      <c r="F1" s="543"/>
      <c r="G1" s="543"/>
      <c r="H1" s="543"/>
      <c r="I1" s="505"/>
      <c r="J1" s="505"/>
      <c r="K1" s="505"/>
      <c r="L1" s="505"/>
    </row>
    <row r="2" spans="1:14" ht="14.4" customHeight="1" thickBot="1" x14ac:dyDescent="0.35">
      <c r="A2" s="360" t="s">
        <v>344</v>
      </c>
      <c r="B2" s="318"/>
      <c r="C2" s="318"/>
      <c r="D2" s="318"/>
      <c r="E2" s="318"/>
      <c r="F2" s="318"/>
      <c r="G2" s="318"/>
      <c r="H2" s="318"/>
    </row>
    <row r="3" spans="1:14" ht="14.4" customHeight="1" thickBot="1" x14ac:dyDescent="0.35">
      <c r="A3" s="252"/>
      <c r="B3" s="252"/>
      <c r="C3" s="560" t="s">
        <v>15</v>
      </c>
      <c r="D3" s="559"/>
      <c r="E3" s="559" t="s">
        <v>16</v>
      </c>
      <c r="F3" s="559"/>
      <c r="G3" s="559"/>
      <c r="H3" s="559"/>
      <c r="I3" s="559" t="s">
        <v>182</v>
      </c>
      <c r="J3" s="559"/>
      <c r="K3" s="559"/>
      <c r="L3" s="561"/>
    </row>
    <row r="4" spans="1:14" ht="14.4" customHeight="1" thickBot="1" x14ac:dyDescent="0.35">
      <c r="A4" s="98" t="s">
        <v>17</v>
      </c>
      <c r="B4" s="99" t="s">
        <v>18</v>
      </c>
      <c r="C4" s="100" t="s">
        <v>19</v>
      </c>
      <c r="D4" s="100" t="s">
        <v>20</v>
      </c>
      <c r="E4" s="100" t="s">
        <v>19</v>
      </c>
      <c r="F4" s="100" t="s">
        <v>2</v>
      </c>
      <c r="G4" s="100" t="s">
        <v>20</v>
      </c>
      <c r="H4" s="100" t="s">
        <v>2</v>
      </c>
      <c r="I4" s="100" t="s">
        <v>19</v>
      </c>
      <c r="J4" s="100" t="s">
        <v>2</v>
      </c>
      <c r="K4" s="100" t="s">
        <v>20</v>
      </c>
      <c r="L4" s="101" t="s">
        <v>2</v>
      </c>
    </row>
    <row r="5" spans="1:14" ht="14.4" customHeight="1" x14ac:dyDescent="0.3">
      <c r="A5" s="671">
        <v>9</v>
      </c>
      <c r="B5" s="672" t="s">
        <v>584</v>
      </c>
      <c r="C5" s="675">
        <v>271473.72000000003</v>
      </c>
      <c r="D5" s="675">
        <v>68</v>
      </c>
      <c r="E5" s="675">
        <v>237199.54</v>
      </c>
      <c r="F5" s="741">
        <v>0.87374770567110505</v>
      </c>
      <c r="G5" s="675">
        <v>52</v>
      </c>
      <c r="H5" s="741">
        <v>0.76470588235294112</v>
      </c>
      <c r="I5" s="675">
        <v>34274.18</v>
      </c>
      <c r="J5" s="741">
        <v>0.12625229432889487</v>
      </c>
      <c r="K5" s="675">
        <v>16</v>
      </c>
      <c r="L5" s="741">
        <v>0.23529411764705882</v>
      </c>
      <c r="M5" s="675" t="s">
        <v>67</v>
      </c>
      <c r="N5" s="260"/>
    </row>
    <row r="6" spans="1:14" ht="14.4" customHeight="1" x14ac:dyDescent="0.3">
      <c r="A6" s="671">
        <v>9</v>
      </c>
      <c r="B6" s="672" t="s">
        <v>1049</v>
      </c>
      <c r="C6" s="675">
        <v>271173.72000000003</v>
      </c>
      <c r="D6" s="675">
        <v>64</v>
      </c>
      <c r="E6" s="675">
        <v>237199.54</v>
      </c>
      <c r="F6" s="741">
        <v>0.87471433441264135</v>
      </c>
      <c r="G6" s="675">
        <v>50</v>
      </c>
      <c r="H6" s="741">
        <v>0.78125</v>
      </c>
      <c r="I6" s="675">
        <v>33974.18</v>
      </c>
      <c r="J6" s="741">
        <v>0.12528566558735851</v>
      </c>
      <c r="K6" s="675">
        <v>14</v>
      </c>
      <c r="L6" s="741">
        <v>0.21875</v>
      </c>
      <c r="M6" s="675" t="s">
        <v>1</v>
      </c>
      <c r="N6" s="260"/>
    </row>
    <row r="7" spans="1:14" ht="14.4" customHeight="1" x14ac:dyDescent="0.3">
      <c r="A7" s="671">
        <v>9</v>
      </c>
      <c r="B7" s="672" t="s">
        <v>1050</v>
      </c>
      <c r="C7" s="675">
        <v>0</v>
      </c>
      <c r="D7" s="675">
        <v>2</v>
      </c>
      <c r="E7" s="675">
        <v>0</v>
      </c>
      <c r="F7" s="741" t="s">
        <v>585</v>
      </c>
      <c r="G7" s="675">
        <v>2</v>
      </c>
      <c r="H7" s="741">
        <v>1</v>
      </c>
      <c r="I7" s="675" t="s">
        <v>585</v>
      </c>
      <c r="J7" s="741" t="s">
        <v>585</v>
      </c>
      <c r="K7" s="675" t="s">
        <v>585</v>
      </c>
      <c r="L7" s="741">
        <v>0</v>
      </c>
      <c r="M7" s="675" t="s">
        <v>1</v>
      </c>
      <c r="N7" s="260"/>
    </row>
    <row r="8" spans="1:14" ht="14.4" customHeight="1" x14ac:dyDescent="0.3">
      <c r="A8" s="671">
        <v>9</v>
      </c>
      <c r="B8" s="672" t="s">
        <v>1051</v>
      </c>
      <c r="C8" s="675">
        <v>300</v>
      </c>
      <c r="D8" s="675">
        <v>2</v>
      </c>
      <c r="E8" s="675" t="s">
        <v>585</v>
      </c>
      <c r="F8" s="741">
        <v>0</v>
      </c>
      <c r="G8" s="675" t="s">
        <v>585</v>
      </c>
      <c r="H8" s="741">
        <v>0</v>
      </c>
      <c r="I8" s="675">
        <v>300</v>
      </c>
      <c r="J8" s="741">
        <v>1</v>
      </c>
      <c r="K8" s="675">
        <v>2</v>
      </c>
      <c r="L8" s="741">
        <v>1</v>
      </c>
      <c r="M8" s="675" t="s">
        <v>1</v>
      </c>
      <c r="N8" s="260"/>
    </row>
    <row r="9" spans="1:14" ht="14.4" customHeight="1" x14ac:dyDescent="0.3">
      <c r="A9" s="671" t="s">
        <v>1052</v>
      </c>
      <c r="B9" s="672" t="s">
        <v>3</v>
      </c>
      <c r="C9" s="675">
        <v>271473.72000000003</v>
      </c>
      <c r="D9" s="675">
        <v>68</v>
      </c>
      <c r="E9" s="675">
        <v>237199.54</v>
      </c>
      <c r="F9" s="741">
        <v>0.87374770567110505</v>
      </c>
      <c r="G9" s="675">
        <v>52</v>
      </c>
      <c r="H9" s="741">
        <v>0.76470588235294112</v>
      </c>
      <c r="I9" s="675">
        <v>34274.18</v>
      </c>
      <c r="J9" s="741">
        <v>0.12625229432889487</v>
      </c>
      <c r="K9" s="675">
        <v>16</v>
      </c>
      <c r="L9" s="741">
        <v>0.23529411764705882</v>
      </c>
      <c r="M9" s="675" t="s">
        <v>587</v>
      </c>
      <c r="N9" s="260"/>
    </row>
    <row r="11" spans="1:14" ht="14.4" customHeight="1" x14ac:dyDescent="0.3">
      <c r="A11" s="671">
        <v>9</v>
      </c>
      <c r="B11" s="672" t="s">
        <v>584</v>
      </c>
      <c r="C11" s="675" t="s">
        <v>585</v>
      </c>
      <c r="D11" s="675" t="s">
        <v>585</v>
      </c>
      <c r="E11" s="675" t="s">
        <v>585</v>
      </c>
      <c r="F11" s="741" t="s">
        <v>585</v>
      </c>
      <c r="G11" s="675" t="s">
        <v>585</v>
      </c>
      <c r="H11" s="741" t="s">
        <v>585</v>
      </c>
      <c r="I11" s="675" t="s">
        <v>585</v>
      </c>
      <c r="J11" s="741" t="s">
        <v>585</v>
      </c>
      <c r="K11" s="675" t="s">
        <v>585</v>
      </c>
      <c r="L11" s="741" t="s">
        <v>585</v>
      </c>
      <c r="M11" s="675" t="s">
        <v>67</v>
      </c>
      <c r="N11" s="260"/>
    </row>
    <row r="12" spans="1:14" ht="14.4" customHeight="1" x14ac:dyDescent="0.3">
      <c r="A12" s="671" t="s">
        <v>1053</v>
      </c>
      <c r="B12" s="672" t="s">
        <v>1049</v>
      </c>
      <c r="C12" s="675">
        <v>2358.48</v>
      </c>
      <c r="D12" s="675">
        <v>8</v>
      </c>
      <c r="E12" s="675">
        <v>1768.86</v>
      </c>
      <c r="F12" s="741">
        <v>0.75</v>
      </c>
      <c r="G12" s="675">
        <v>6</v>
      </c>
      <c r="H12" s="741">
        <v>0.75</v>
      </c>
      <c r="I12" s="675">
        <v>589.62</v>
      </c>
      <c r="J12" s="741">
        <v>0.25</v>
      </c>
      <c r="K12" s="675">
        <v>2</v>
      </c>
      <c r="L12" s="741">
        <v>0.25</v>
      </c>
      <c r="M12" s="675" t="s">
        <v>1</v>
      </c>
      <c r="N12" s="260"/>
    </row>
    <row r="13" spans="1:14" ht="14.4" customHeight="1" x14ac:dyDescent="0.3">
      <c r="A13" s="671" t="s">
        <v>1053</v>
      </c>
      <c r="B13" s="672" t="s">
        <v>1054</v>
      </c>
      <c r="C13" s="675">
        <v>2358.48</v>
      </c>
      <c r="D13" s="675">
        <v>8</v>
      </c>
      <c r="E13" s="675">
        <v>1768.86</v>
      </c>
      <c r="F13" s="741">
        <v>0.75</v>
      </c>
      <c r="G13" s="675">
        <v>6</v>
      </c>
      <c r="H13" s="741">
        <v>0.75</v>
      </c>
      <c r="I13" s="675">
        <v>589.62</v>
      </c>
      <c r="J13" s="741">
        <v>0.25</v>
      </c>
      <c r="K13" s="675">
        <v>2</v>
      </c>
      <c r="L13" s="741">
        <v>0.25</v>
      </c>
      <c r="M13" s="675" t="s">
        <v>591</v>
      </c>
      <c r="N13" s="260"/>
    </row>
    <row r="14" spans="1:14" ht="14.4" customHeight="1" x14ac:dyDescent="0.3">
      <c r="A14" s="671" t="s">
        <v>585</v>
      </c>
      <c r="B14" s="672" t="s">
        <v>585</v>
      </c>
      <c r="C14" s="675" t="s">
        <v>585</v>
      </c>
      <c r="D14" s="675" t="s">
        <v>585</v>
      </c>
      <c r="E14" s="675" t="s">
        <v>585</v>
      </c>
      <c r="F14" s="741" t="s">
        <v>585</v>
      </c>
      <c r="G14" s="675" t="s">
        <v>585</v>
      </c>
      <c r="H14" s="741" t="s">
        <v>585</v>
      </c>
      <c r="I14" s="675" t="s">
        <v>585</v>
      </c>
      <c r="J14" s="741" t="s">
        <v>585</v>
      </c>
      <c r="K14" s="675" t="s">
        <v>585</v>
      </c>
      <c r="L14" s="741" t="s">
        <v>585</v>
      </c>
      <c r="M14" s="675" t="s">
        <v>592</v>
      </c>
      <c r="N14" s="260"/>
    </row>
    <row r="15" spans="1:14" ht="14.4" customHeight="1" x14ac:dyDescent="0.3">
      <c r="A15" s="671" t="s">
        <v>1055</v>
      </c>
      <c r="B15" s="672" t="s">
        <v>1049</v>
      </c>
      <c r="C15" s="675">
        <v>268815.24</v>
      </c>
      <c r="D15" s="675">
        <v>56</v>
      </c>
      <c r="E15" s="675">
        <v>235430.68000000002</v>
      </c>
      <c r="F15" s="741">
        <v>0.8758085293080855</v>
      </c>
      <c r="G15" s="675">
        <v>44</v>
      </c>
      <c r="H15" s="741">
        <v>0.7857142857142857</v>
      </c>
      <c r="I15" s="675">
        <v>33384.559999999998</v>
      </c>
      <c r="J15" s="741">
        <v>0.12419147069191463</v>
      </c>
      <c r="K15" s="675">
        <v>12</v>
      </c>
      <c r="L15" s="741">
        <v>0.21428571428571427</v>
      </c>
      <c r="M15" s="675" t="s">
        <v>1</v>
      </c>
      <c r="N15" s="260"/>
    </row>
    <row r="16" spans="1:14" ht="14.4" customHeight="1" x14ac:dyDescent="0.3">
      <c r="A16" s="671" t="s">
        <v>1055</v>
      </c>
      <c r="B16" s="672" t="s">
        <v>1050</v>
      </c>
      <c r="C16" s="675">
        <v>0</v>
      </c>
      <c r="D16" s="675">
        <v>2</v>
      </c>
      <c r="E16" s="675">
        <v>0</v>
      </c>
      <c r="F16" s="741" t="s">
        <v>585</v>
      </c>
      <c r="G16" s="675">
        <v>2</v>
      </c>
      <c r="H16" s="741">
        <v>1</v>
      </c>
      <c r="I16" s="675" t="s">
        <v>585</v>
      </c>
      <c r="J16" s="741" t="s">
        <v>585</v>
      </c>
      <c r="K16" s="675" t="s">
        <v>585</v>
      </c>
      <c r="L16" s="741">
        <v>0</v>
      </c>
      <c r="M16" s="675" t="s">
        <v>1</v>
      </c>
      <c r="N16" s="260"/>
    </row>
    <row r="17" spans="1:14" ht="14.4" customHeight="1" x14ac:dyDescent="0.3">
      <c r="A17" s="671" t="s">
        <v>1055</v>
      </c>
      <c r="B17" s="672" t="s">
        <v>1051</v>
      </c>
      <c r="C17" s="675">
        <v>300</v>
      </c>
      <c r="D17" s="675">
        <v>2</v>
      </c>
      <c r="E17" s="675" t="s">
        <v>585</v>
      </c>
      <c r="F17" s="741">
        <v>0</v>
      </c>
      <c r="G17" s="675" t="s">
        <v>585</v>
      </c>
      <c r="H17" s="741">
        <v>0</v>
      </c>
      <c r="I17" s="675">
        <v>300</v>
      </c>
      <c r="J17" s="741">
        <v>1</v>
      </c>
      <c r="K17" s="675">
        <v>2</v>
      </c>
      <c r="L17" s="741">
        <v>1</v>
      </c>
      <c r="M17" s="675" t="s">
        <v>1</v>
      </c>
      <c r="N17" s="260"/>
    </row>
    <row r="18" spans="1:14" ht="14.4" customHeight="1" x14ac:dyDescent="0.3">
      <c r="A18" s="671" t="s">
        <v>1055</v>
      </c>
      <c r="B18" s="672" t="s">
        <v>1056</v>
      </c>
      <c r="C18" s="675">
        <v>269115.24</v>
      </c>
      <c r="D18" s="675">
        <v>60</v>
      </c>
      <c r="E18" s="675">
        <v>235430.68000000002</v>
      </c>
      <c r="F18" s="741">
        <v>0.87483220942819895</v>
      </c>
      <c r="G18" s="675">
        <v>46</v>
      </c>
      <c r="H18" s="741">
        <v>0.76666666666666672</v>
      </c>
      <c r="I18" s="675">
        <v>33684.559999999998</v>
      </c>
      <c r="J18" s="741">
        <v>0.12516779057180114</v>
      </c>
      <c r="K18" s="675">
        <v>14</v>
      </c>
      <c r="L18" s="741">
        <v>0.23333333333333334</v>
      </c>
      <c r="M18" s="675" t="s">
        <v>591</v>
      </c>
      <c r="N18" s="260"/>
    </row>
    <row r="19" spans="1:14" ht="14.4" customHeight="1" x14ac:dyDescent="0.3">
      <c r="A19" s="671" t="s">
        <v>585</v>
      </c>
      <c r="B19" s="672" t="s">
        <v>585</v>
      </c>
      <c r="C19" s="675" t="s">
        <v>585</v>
      </c>
      <c r="D19" s="675" t="s">
        <v>585</v>
      </c>
      <c r="E19" s="675" t="s">
        <v>585</v>
      </c>
      <c r="F19" s="741" t="s">
        <v>585</v>
      </c>
      <c r="G19" s="675" t="s">
        <v>585</v>
      </c>
      <c r="H19" s="741" t="s">
        <v>585</v>
      </c>
      <c r="I19" s="675" t="s">
        <v>585</v>
      </c>
      <c r="J19" s="741" t="s">
        <v>585</v>
      </c>
      <c r="K19" s="675" t="s">
        <v>585</v>
      </c>
      <c r="L19" s="741" t="s">
        <v>585</v>
      </c>
      <c r="M19" s="675" t="s">
        <v>592</v>
      </c>
      <c r="N19" s="260"/>
    </row>
    <row r="20" spans="1:14" ht="14.4" customHeight="1" x14ac:dyDescent="0.3">
      <c r="A20" s="671" t="s">
        <v>1052</v>
      </c>
      <c r="B20" s="672" t="s">
        <v>586</v>
      </c>
      <c r="C20" s="675">
        <v>271473.71999999997</v>
      </c>
      <c r="D20" s="675">
        <v>68</v>
      </c>
      <c r="E20" s="675">
        <v>237199.54</v>
      </c>
      <c r="F20" s="741">
        <v>0.87374770567110527</v>
      </c>
      <c r="G20" s="675">
        <v>52</v>
      </c>
      <c r="H20" s="741">
        <v>0.76470588235294112</v>
      </c>
      <c r="I20" s="675">
        <v>34274.18</v>
      </c>
      <c r="J20" s="741">
        <v>0.1262522943288949</v>
      </c>
      <c r="K20" s="675">
        <v>16</v>
      </c>
      <c r="L20" s="741">
        <v>0.23529411764705882</v>
      </c>
      <c r="M20" s="675" t="s">
        <v>587</v>
      </c>
      <c r="N20" s="260"/>
    </row>
    <row r="21" spans="1:14" ht="14.4" customHeight="1" x14ac:dyDescent="0.3">
      <c r="A21" s="742" t="s">
        <v>1057</v>
      </c>
    </row>
    <row r="22" spans="1:14" ht="14.4" customHeight="1" x14ac:dyDescent="0.3">
      <c r="A22" s="743" t="s">
        <v>1058</v>
      </c>
    </row>
    <row r="23" spans="1:14" ht="14.4" customHeight="1" x14ac:dyDescent="0.3">
      <c r="A23" s="742" t="s">
        <v>1059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60" priority="15" stopIfTrue="1" operator="lessThan">
      <formula>0.6</formula>
    </cfRule>
  </conditionalFormatting>
  <conditionalFormatting sqref="B5:B9">
    <cfRule type="expression" dxfId="59" priority="10">
      <formula>AND(LEFT(M5,6)&lt;&gt;"mezera",M5&lt;&gt;"")</formula>
    </cfRule>
  </conditionalFormatting>
  <conditionalFormatting sqref="A5:A9">
    <cfRule type="expression" dxfId="58" priority="8">
      <formula>AND(M5&lt;&gt;"",M5&lt;&gt;"mezeraKL")</formula>
    </cfRule>
  </conditionalFormatting>
  <conditionalFormatting sqref="F5:F9">
    <cfRule type="cellIs" dxfId="57" priority="7" operator="lessThan">
      <formula>0.6</formula>
    </cfRule>
  </conditionalFormatting>
  <conditionalFormatting sqref="B5:L9">
    <cfRule type="expression" dxfId="56" priority="9">
      <formula>OR($M5="KL",$M5="SumaKL")</formula>
    </cfRule>
    <cfRule type="expression" dxfId="55" priority="11">
      <formula>$M5="SumaNS"</formula>
    </cfRule>
  </conditionalFormatting>
  <conditionalFormatting sqref="A5:L9">
    <cfRule type="expression" dxfId="54" priority="12">
      <formula>$M5&lt;&gt;""</formula>
    </cfRule>
  </conditionalFormatting>
  <conditionalFormatting sqref="B11:B20">
    <cfRule type="expression" dxfId="53" priority="4">
      <formula>AND(LEFT(M11,6)&lt;&gt;"mezera",M11&lt;&gt;"")</formula>
    </cfRule>
  </conditionalFormatting>
  <conditionalFormatting sqref="A11:A20">
    <cfRule type="expression" dxfId="52" priority="2">
      <formula>AND(M11&lt;&gt;"",M11&lt;&gt;"mezeraKL")</formula>
    </cfRule>
  </conditionalFormatting>
  <conditionalFormatting sqref="F11:F20">
    <cfRule type="cellIs" dxfId="51" priority="1" operator="lessThan">
      <formula>0.6</formula>
    </cfRule>
  </conditionalFormatting>
  <conditionalFormatting sqref="B11:L20">
    <cfRule type="expression" dxfId="50" priority="3">
      <formula>OR($M11="KL",$M11="SumaKL")</formula>
    </cfRule>
    <cfRule type="expression" dxfId="49" priority="5">
      <formula>$M11="SumaNS"</formula>
    </cfRule>
  </conditionalFormatting>
  <conditionalFormatting sqref="A11:L20">
    <cfRule type="expression" dxfId="48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37" customWidth="1"/>
    <col min="2" max="2" width="11.109375" style="319" bestFit="1" customWidth="1"/>
    <col min="3" max="3" width="11.109375" style="237" hidden="1" customWidth="1"/>
    <col min="4" max="4" width="7.33203125" style="319" bestFit="1" customWidth="1"/>
    <col min="5" max="5" width="7.33203125" style="237" hidden="1" customWidth="1"/>
    <col min="6" max="6" width="11.109375" style="319" bestFit="1" customWidth="1"/>
    <col min="7" max="7" width="5.33203125" style="322" customWidth="1"/>
    <col min="8" max="8" width="7.33203125" style="319" bestFit="1" customWidth="1"/>
    <col min="9" max="9" width="5.33203125" style="322" customWidth="1"/>
    <col min="10" max="10" width="11.109375" style="319" customWidth="1"/>
    <col min="11" max="11" width="5.33203125" style="322" customWidth="1"/>
    <col min="12" max="12" width="7.33203125" style="319" customWidth="1"/>
    <col min="13" max="13" width="5.33203125" style="322" customWidth="1"/>
    <col min="14" max="14" width="0" style="237" hidden="1" customWidth="1"/>
    <col min="15" max="16384" width="8.88671875" style="237"/>
  </cols>
  <sheetData>
    <row r="1" spans="1:13" ht="18.600000000000001" customHeight="1" thickBot="1" x14ac:dyDescent="0.4">
      <c r="A1" s="543" t="s">
        <v>183</v>
      </c>
      <c r="B1" s="543"/>
      <c r="C1" s="543"/>
      <c r="D1" s="543"/>
      <c r="E1" s="543"/>
      <c r="F1" s="543"/>
      <c r="G1" s="543"/>
      <c r="H1" s="543"/>
      <c r="I1" s="543"/>
      <c r="J1" s="505"/>
      <c r="K1" s="505"/>
      <c r="L1" s="505"/>
      <c r="M1" s="505"/>
    </row>
    <row r="2" spans="1:13" ht="14.4" customHeight="1" thickBot="1" x14ac:dyDescent="0.35">
      <c r="A2" s="360" t="s">
        <v>344</v>
      </c>
      <c r="B2" s="326"/>
      <c r="C2" s="318"/>
      <c r="D2" s="326"/>
      <c r="E2" s="318"/>
      <c r="F2" s="326"/>
      <c r="G2" s="327"/>
      <c r="H2" s="326"/>
      <c r="I2" s="327"/>
    </row>
    <row r="3" spans="1:13" ht="14.4" customHeight="1" thickBot="1" x14ac:dyDescent="0.35">
      <c r="A3" s="252"/>
      <c r="B3" s="560" t="s">
        <v>15</v>
      </c>
      <c r="C3" s="562"/>
      <c r="D3" s="559"/>
      <c r="E3" s="251"/>
      <c r="F3" s="559" t="s">
        <v>16</v>
      </c>
      <c r="G3" s="559"/>
      <c r="H3" s="559"/>
      <c r="I3" s="559"/>
      <c r="J3" s="559" t="s">
        <v>182</v>
      </c>
      <c r="K3" s="559"/>
      <c r="L3" s="559"/>
      <c r="M3" s="561"/>
    </row>
    <row r="4" spans="1:13" ht="14.4" customHeight="1" thickBot="1" x14ac:dyDescent="0.35">
      <c r="A4" s="720" t="s">
        <v>159</v>
      </c>
      <c r="B4" s="721" t="s">
        <v>19</v>
      </c>
      <c r="C4" s="747"/>
      <c r="D4" s="721" t="s">
        <v>20</v>
      </c>
      <c r="E4" s="747"/>
      <c r="F4" s="721" t="s">
        <v>19</v>
      </c>
      <c r="G4" s="724" t="s">
        <v>2</v>
      </c>
      <c r="H4" s="721" t="s">
        <v>20</v>
      </c>
      <c r="I4" s="724" t="s">
        <v>2</v>
      </c>
      <c r="J4" s="721" t="s">
        <v>19</v>
      </c>
      <c r="K4" s="724" t="s">
        <v>2</v>
      </c>
      <c r="L4" s="721" t="s">
        <v>20</v>
      </c>
      <c r="M4" s="725" t="s">
        <v>2</v>
      </c>
    </row>
    <row r="5" spans="1:13" ht="14.4" customHeight="1" x14ac:dyDescent="0.3">
      <c r="A5" s="744" t="s">
        <v>1060</v>
      </c>
      <c r="B5" s="735">
        <v>6276.41</v>
      </c>
      <c r="C5" s="682">
        <v>1</v>
      </c>
      <c r="D5" s="748">
        <v>9</v>
      </c>
      <c r="E5" s="751" t="s">
        <v>1060</v>
      </c>
      <c r="F5" s="735">
        <v>5976.41</v>
      </c>
      <c r="G5" s="703">
        <v>0.95220197533303275</v>
      </c>
      <c r="H5" s="685">
        <v>7</v>
      </c>
      <c r="I5" s="726">
        <v>0.77777777777777779</v>
      </c>
      <c r="J5" s="754">
        <v>300</v>
      </c>
      <c r="K5" s="703">
        <v>4.7798024666967268E-2</v>
      </c>
      <c r="L5" s="685">
        <v>2</v>
      </c>
      <c r="M5" s="726">
        <v>0.22222222222222221</v>
      </c>
    </row>
    <row r="6" spans="1:13" ht="14.4" customHeight="1" x14ac:dyDescent="0.3">
      <c r="A6" s="745" t="s">
        <v>1061</v>
      </c>
      <c r="B6" s="736">
        <v>271.94</v>
      </c>
      <c r="C6" s="688">
        <v>1</v>
      </c>
      <c r="D6" s="749">
        <v>2</v>
      </c>
      <c r="E6" s="752" t="s">
        <v>1061</v>
      </c>
      <c r="F6" s="736">
        <v>271.94</v>
      </c>
      <c r="G6" s="704">
        <v>1</v>
      </c>
      <c r="H6" s="691">
        <v>2</v>
      </c>
      <c r="I6" s="727">
        <v>1</v>
      </c>
      <c r="J6" s="755"/>
      <c r="K6" s="704">
        <v>0</v>
      </c>
      <c r="L6" s="691"/>
      <c r="M6" s="727">
        <v>0</v>
      </c>
    </row>
    <row r="7" spans="1:13" ht="14.4" customHeight="1" x14ac:dyDescent="0.3">
      <c r="A7" s="745" t="s">
        <v>1062</v>
      </c>
      <c r="B7" s="736">
        <v>43710.289999999994</v>
      </c>
      <c r="C7" s="688">
        <v>1</v>
      </c>
      <c r="D7" s="749">
        <v>8</v>
      </c>
      <c r="E7" s="752" t="s">
        <v>1062</v>
      </c>
      <c r="F7" s="736">
        <v>36964.299999999996</v>
      </c>
      <c r="G7" s="704">
        <v>0.84566586037292368</v>
      </c>
      <c r="H7" s="691">
        <v>6</v>
      </c>
      <c r="I7" s="727">
        <v>0.75</v>
      </c>
      <c r="J7" s="755">
        <v>6745.99</v>
      </c>
      <c r="K7" s="704">
        <v>0.1543341396270764</v>
      </c>
      <c r="L7" s="691">
        <v>2</v>
      </c>
      <c r="M7" s="727">
        <v>0.25</v>
      </c>
    </row>
    <row r="8" spans="1:13" ht="14.4" customHeight="1" x14ac:dyDescent="0.3">
      <c r="A8" s="745" t="s">
        <v>1063</v>
      </c>
      <c r="B8" s="736">
        <v>204268.17</v>
      </c>
      <c r="C8" s="688">
        <v>1</v>
      </c>
      <c r="D8" s="749">
        <v>33</v>
      </c>
      <c r="E8" s="752" t="s">
        <v>1063</v>
      </c>
      <c r="F8" s="736">
        <v>183040.72</v>
      </c>
      <c r="G8" s="704">
        <v>0.89608048086982905</v>
      </c>
      <c r="H8" s="691">
        <v>25</v>
      </c>
      <c r="I8" s="727">
        <v>0.75757575757575757</v>
      </c>
      <c r="J8" s="755">
        <v>21227.45</v>
      </c>
      <c r="K8" s="704">
        <v>0.10391951913017089</v>
      </c>
      <c r="L8" s="691">
        <v>8</v>
      </c>
      <c r="M8" s="727">
        <v>0.24242424242424243</v>
      </c>
    </row>
    <row r="9" spans="1:13" ht="14.4" customHeight="1" x14ac:dyDescent="0.3">
      <c r="A9" s="745" t="s">
        <v>1064</v>
      </c>
      <c r="B9" s="736">
        <v>139.18</v>
      </c>
      <c r="C9" s="688">
        <v>1</v>
      </c>
      <c r="D9" s="749">
        <v>1</v>
      </c>
      <c r="E9" s="752" t="s">
        <v>1064</v>
      </c>
      <c r="F9" s="736"/>
      <c r="G9" s="704">
        <v>0</v>
      </c>
      <c r="H9" s="691"/>
      <c r="I9" s="727">
        <v>0</v>
      </c>
      <c r="J9" s="755">
        <v>139.18</v>
      </c>
      <c r="K9" s="704">
        <v>1</v>
      </c>
      <c r="L9" s="691">
        <v>1</v>
      </c>
      <c r="M9" s="727">
        <v>1</v>
      </c>
    </row>
    <row r="10" spans="1:13" ht="14.4" customHeight="1" x14ac:dyDescent="0.3">
      <c r="A10" s="745" t="s">
        <v>1065</v>
      </c>
      <c r="B10" s="736">
        <v>562.41</v>
      </c>
      <c r="C10" s="688">
        <v>1</v>
      </c>
      <c r="D10" s="749">
        <v>1</v>
      </c>
      <c r="E10" s="752" t="s">
        <v>1065</v>
      </c>
      <c r="F10" s="736">
        <v>562.41</v>
      </c>
      <c r="G10" s="704">
        <v>1</v>
      </c>
      <c r="H10" s="691">
        <v>1</v>
      </c>
      <c r="I10" s="727">
        <v>1</v>
      </c>
      <c r="J10" s="755"/>
      <c r="K10" s="704">
        <v>0</v>
      </c>
      <c r="L10" s="691"/>
      <c r="M10" s="727">
        <v>0</v>
      </c>
    </row>
    <row r="11" spans="1:13" ht="14.4" customHeight="1" x14ac:dyDescent="0.3">
      <c r="A11" s="745" t="s">
        <v>1066</v>
      </c>
      <c r="B11" s="736">
        <v>2358.48</v>
      </c>
      <c r="C11" s="688">
        <v>1</v>
      </c>
      <c r="D11" s="749">
        <v>8</v>
      </c>
      <c r="E11" s="752" t="s">
        <v>1066</v>
      </c>
      <c r="F11" s="736">
        <v>1768.86</v>
      </c>
      <c r="G11" s="704">
        <v>0.75</v>
      </c>
      <c r="H11" s="691">
        <v>6</v>
      </c>
      <c r="I11" s="727">
        <v>0.75</v>
      </c>
      <c r="J11" s="755">
        <v>589.62</v>
      </c>
      <c r="K11" s="704">
        <v>0.25</v>
      </c>
      <c r="L11" s="691">
        <v>2</v>
      </c>
      <c r="M11" s="727">
        <v>0.25</v>
      </c>
    </row>
    <row r="12" spans="1:13" ht="14.4" customHeight="1" thickBot="1" x14ac:dyDescent="0.35">
      <c r="A12" s="746" t="s">
        <v>1067</v>
      </c>
      <c r="B12" s="737">
        <v>13886.84</v>
      </c>
      <c r="C12" s="694">
        <v>1</v>
      </c>
      <c r="D12" s="750">
        <v>6</v>
      </c>
      <c r="E12" s="753" t="s">
        <v>1067</v>
      </c>
      <c r="F12" s="737">
        <v>8614.9</v>
      </c>
      <c r="G12" s="705">
        <v>0.62036431614391752</v>
      </c>
      <c r="H12" s="697">
        <v>5</v>
      </c>
      <c r="I12" s="728">
        <v>0.83333333333333337</v>
      </c>
      <c r="J12" s="756">
        <v>5271.94</v>
      </c>
      <c r="K12" s="705">
        <v>0.37963568385608243</v>
      </c>
      <c r="L12" s="697">
        <v>1</v>
      </c>
      <c r="M12" s="728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37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7" width="8.88671875" style="237" customWidth="1"/>
    <col min="8" max="16384" width="8.88671875" style="237"/>
  </cols>
  <sheetData>
    <row r="1" spans="1:6" ht="37.799999999999997" customHeight="1" thickBot="1" x14ac:dyDescent="0.4">
      <c r="A1" s="542" t="s">
        <v>1068</v>
      </c>
      <c r="B1" s="543"/>
      <c r="C1" s="543"/>
      <c r="D1" s="543"/>
      <c r="E1" s="543"/>
      <c r="F1" s="543"/>
    </row>
    <row r="2" spans="1:6" ht="14.4" customHeight="1" thickBot="1" x14ac:dyDescent="0.35">
      <c r="A2" s="360" t="s">
        <v>344</v>
      </c>
      <c r="B2" s="67"/>
      <c r="C2" s="68"/>
      <c r="D2" s="69"/>
      <c r="E2" s="68"/>
      <c r="F2" s="69"/>
    </row>
    <row r="3" spans="1:6" ht="14.4" customHeight="1" thickBot="1" x14ac:dyDescent="0.35">
      <c r="A3" s="195"/>
      <c r="B3" s="544" t="s">
        <v>153</v>
      </c>
      <c r="C3" s="545"/>
      <c r="D3" s="546" t="s">
        <v>152</v>
      </c>
      <c r="E3" s="545"/>
      <c r="F3" s="97" t="s">
        <v>3</v>
      </c>
    </row>
    <row r="4" spans="1:6" ht="14.4" customHeight="1" thickBot="1" x14ac:dyDescent="0.35">
      <c r="A4" s="699" t="s">
        <v>201</v>
      </c>
      <c r="B4" s="700" t="s">
        <v>14</v>
      </c>
      <c r="C4" s="701" t="s">
        <v>2</v>
      </c>
      <c r="D4" s="700" t="s">
        <v>14</v>
      </c>
      <c r="E4" s="701" t="s">
        <v>2</v>
      </c>
      <c r="F4" s="702" t="s">
        <v>14</v>
      </c>
    </row>
    <row r="5" spans="1:6" ht="14.4" customHeight="1" x14ac:dyDescent="0.3">
      <c r="A5" s="713" t="s">
        <v>1062</v>
      </c>
      <c r="B5" s="685">
        <v>10364.609999999999</v>
      </c>
      <c r="C5" s="703">
        <v>0.23842968647559368</v>
      </c>
      <c r="D5" s="685">
        <v>33105.689999999995</v>
      </c>
      <c r="E5" s="703">
        <v>0.76157031352440629</v>
      </c>
      <c r="F5" s="686">
        <v>43470.299999999996</v>
      </c>
    </row>
    <row r="6" spans="1:6" ht="14.4" customHeight="1" x14ac:dyDescent="0.3">
      <c r="A6" s="716" t="s">
        <v>1063</v>
      </c>
      <c r="B6" s="691">
        <v>5716.41</v>
      </c>
      <c r="C6" s="704">
        <v>2.8028147930740918E-2</v>
      </c>
      <c r="D6" s="691">
        <v>198236.06000000003</v>
      </c>
      <c r="E6" s="704">
        <v>0.97197185206925907</v>
      </c>
      <c r="F6" s="692">
        <v>203952.47000000003</v>
      </c>
    </row>
    <row r="7" spans="1:6" ht="14.4" customHeight="1" x14ac:dyDescent="0.3">
      <c r="A7" s="716" t="s">
        <v>1067</v>
      </c>
      <c r="B7" s="691">
        <v>1897.56</v>
      </c>
      <c r="C7" s="704">
        <v>0.13664447779336408</v>
      </c>
      <c r="D7" s="691">
        <v>11989.279999999999</v>
      </c>
      <c r="E7" s="704">
        <v>0.86335552220663592</v>
      </c>
      <c r="F7" s="692">
        <v>13886.839999999998</v>
      </c>
    </row>
    <row r="8" spans="1:6" ht="14.4" customHeight="1" x14ac:dyDescent="0.3">
      <c r="A8" s="716" t="s">
        <v>1060</v>
      </c>
      <c r="B8" s="691"/>
      <c r="C8" s="704">
        <v>0</v>
      </c>
      <c r="D8" s="691">
        <v>5495.1</v>
      </c>
      <c r="E8" s="704">
        <v>1</v>
      </c>
      <c r="F8" s="692">
        <v>5495.1</v>
      </c>
    </row>
    <row r="9" spans="1:6" ht="14.4" customHeight="1" thickBot="1" x14ac:dyDescent="0.35">
      <c r="A9" s="714" t="s">
        <v>1066</v>
      </c>
      <c r="B9" s="706"/>
      <c r="C9" s="707">
        <v>0</v>
      </c>
      <c r="D9" s="706">
        <v>2358.48</v>
      </c>
      <c r="E9" s="707">
        <v>1</v>
      </c>
      <c r="F9" s="708">
        <v>2358.48</v>
      </c>
    </row>
    <row r="10" spans="1:6" ht="14.4" customHeight="1" thickBot="1" x14ac:dyDescent="0.35">
      <c r="A10" s="709" t="s">
        <v>3</v>
      </c>
      <c r="B10" s="710">
        <v>17978.579999999998</v>
      </c>
      <c r="C10" s="711">
        <v>6.6794348811217458E-2</v>
      </c>
      <c r="D10" s="710">
        <v>251184.61000000004</v>
      </c>
      <c r="E10" s="711">
        <v>0.93320565118878274</v>
      </c>
      <c r="F10" s="712">
        <v>269163.19</v>
      </c>
    </row>
    <row r="11" spans="1:6" ht="14.4" customHeight="1" thickBot="1" x14ac:dyDescent="0.35"/>
    <row r="12" spans="1:6" ht="14.4" customHeight="1" x14ac:dyDescent="0.3">
      <c r="A12" s="713" t="s">
        <v>1006</v>
      </c>
      <c r="B12" s="685">
        <v>17978.580000000002</v>
      </c>
      <c r="C12" s="703">
        <v>6.6845468249891668E-2</v>
      </c>
      <c r="D12" s="685">
        <v>250978.77000000002</v>
      </c>
      <c r="E12" s="703">
        <v>0.93315453175010832</v>
      </c>
      <c r="F12" s="686">
        <v>268957.35000000003</v>
      </c>
    </row>
    <row r="13" spans="1:6" ht="14.4" customHeight="1" thickBot="1" x14ac:dyDescent="0.35">
      <c r="A13" s="714" t="s">
        <v>1069</v>
      </c>
      <c r="B13" s="706"/>
      <c r="C13" s="707">
        <v>0</v>
      </c>
      <c r="D13" s="706">
        <v>205.84</v>
      </c>
      <c r="E13" s="707">
        <v>1</v>
      </c>
      <c r="F13" s="708">
        <v>205.84</v>
      </c>
    </row>
    <row r="14" spans="1:6" ht="14.4" customHeight="1" thickBot="1" x14ac:dyDescent="0.35">
      <c r="A14" s="709" t="s">
        <v>3</v>
      </c>
      <c r="B14" s="710">
        <v>17978.580000000002</v>
      </c>
      <c r="C14" s="711">
        <v>6.6794348811217458E-2</v>
      </c>
      <c r="D14" s="710">
        <v>251184.61000000002</v>
      </c>
      <c r="E14" s="711">
        <v>0.9332056511887824</v>
      </c>
      <c r="F14" s="712">
        <v>269163.19000000006</v>
      </c>
    </row>
  </sheetData>
  <mergeCells count="3">
    <mergeCell ref="A1:F1"/>
    <mergeCell ref="B3:C3"/>
    <mergeCell ref="D3:E3"/>
  </mergeCells>
  <conditionalFormatting sqref="C5:C1048576">
    <cfRule type="cellIs" dxfId="46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{A9F43A77-805F-4597-A6D3-B9EE842FED5B}</x14:id>
        </ext>
      </extLst>
    </cfRule>
  </conditionalFormatting>
  <conditionalFormatting sqref="F12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{0B76F275-BA74-4811-9236-3F26A5B9B441}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F43A77-805F-4597-A6D3-B9EE842FED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0B76F275-BA74-4811-9236-3F26A5B9B4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37" customWidth="1"/>
    <col min="2" max="2" width="8.88671875" style="237" bestFit="1" customWidth="1"/>
    <col min="3" max="3" width="7" style="237" bestFit="1" customWidth="1"/>
    <col min="4" max="5" width="22.21875" style="237" customWidth="1"/>
    <col min="6" max="6" width="6.6640625" style="319" customWidth="1"/>
    <col min="7" max="7" width="10" style="319" customWidth="1"/>
    <col min="8" max="8" width="6.77734375" style="322" customWidth="1"/>
    <col min="9" max="9" width="6.6640625" style="319" customWidth="1"/>
    <col min="10" max="10" width="10" style="319" customWidth="1"/>
    <col min="11" max="11" width="6.77734375" style="322" customWidth="1"/>
    <col min="12" max="12" width="6.6640625" style="319" customWidth="1"/>
    <col min="13" max="13" width="10" style="319" customWidth="1"/>
    <col min="14" max="16384" width="8.88671875" style="237"/>
  </cols>
  <sheetData>
    <row r="1" spans="1:13" ht="18.600000000000001" customHeight="1" thickBot="1" x14ac:dyDescent="0.4">
      <c r="A1" s="543" t="s">
        <v>1091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04"/>
      <c r="M1" s="504"/>
    </row>
    <row r="2" spans="1:13" ht="14.4" customHeight="1" thickBot="1" x14ac:dyDescent="0.35">
      <c r="A2" s="360" t="s">
        <v>344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6" t="s">
        <v>151</v>
      </c>
      <c r="F3" s="47">
        <f>SUBTOTAL(9,F6:F1048576)</f>
        <v>78</v>
      </c>
      <c r="G3" s="47">
        <f>SUBTOTAL(9,G6:G1048576)</f>
        <v>17978.579999999994</v>
      </c>
      <c r="H3" s="48">
        <f>IF(M3=0,0,G3/M3)</f>
        <v>6.6794348811217444E-2</v>
      </c>
      <c r="I3" s="47">
        <f>SUBTOTAL(9,I6:I1048576)</f>
        <v>198</v>
      </c>
      <c r="J3" s="47">
        <f>SUBTOTAL(9,J6:J1048576)</f>
        <v>251184.61000000002</v>
      </c>
      <c r="K3" s="48">
        <f>IF(M3=0,0,J3/M3)</f>
        <v>0.93320565118878263</v>
      </c>
      <c r="L3" s="47">
        <f>SUBTOTAL(9,L6:L1048576)</f>
        <v>276</v>
      </c>
      <c r="M3" s="49">
        <f>SUBTOTAL(9,M6:M1048576)</f>
        <v>269163.19</v>
      </c>
    </row>
    <row r="4" spans="1:13" ht="14.4" customHeight="1" thickBot="1" x14ac:dyDescent="0.35">
      <c r="A4" s="45"/>
      <c r="B4" s="45"/>
      <c r="C4" s="45"/>
      <c r="D4" s="45"/>
      <c r="E4" s="46"/>
      <c r="F4" s="547" t="s">
        <v>153</v>
      </c>
      <c r="G4" s="548"/>
      <c r="H4" s="549"/>
      <c r="I4" s="550" t="s">
        <v>152</v>
      </c>
      <c r="J4" s="548"/>
      <c r="K4" s="549"/>
      <c r="L4" s="551" t="s">
        <v>3</v>
      </c>
      <c r="M4" s="552"/>
    </row>
    <row r="5" spans="1:13" ht="14.4" customHeight="1" thickBot="1" x14ac:dyDescent="0.35">
      <c r="A5" s="699" t="s">
        <v>159</v>
      </c>
      <c r="B5" s="717" t="s">
        <v>155</v>
      </c>
      <c r="C5" s="717" t="s">
        <v>83</v>
      </c>
      <c r="D5" s="717" t="s">
        <v>156</v>
      </c>
      <c r="E5" s="717" t="s">
        <v>157</v>
      </c>
      <c r="F5" s="718" t="s">
        <v>21</v>
      </c>
      <c r="G5" s="718" t="s">
        <v>14</v>
      </c>
      <c r="H5" s="701" t="s">
        <v>158</v>
      </c>
      <c r="I5" s="700" t="s">
        <v>21</v>
      </c>
      <c r="J5" s="718" t="s">
        <v>14</v>
      </c>
      <c r="K5" s="701" t="s">
        <v>158</v>
      </c>
      <c r="L5" s="700" t="s">
        <v>21</v>
      </c>
      <c r="M5" s="719" t="s">
        <v>14</v>
      </c>
    </row>
    <row r="6" spans="1:13" ht="14.4" customHeight="1" x14ac:dyDescent="0.3">
      <c r="A6" s="681" t="s">
        <v>1060</v>
      </c>
      <c r="B6" s="682" t="s">
        <v>1070</v>
      </c>
      <c r="C6" s="682" t="s">
        <v>1071</v>
      </c>
      <c r="D6" s="682" t="s">
        <v>1072</v>
      </c>
      <c r="E6" s="682" t="s">
        <v>1073</v>
      </c>
      <c r="F6" s="685"/>
      <c r="G6" s="685"/>
      <c r="H6" s="703">
        <v>0</v>
      </c>
      <c r="I6" s="685">
        <v>1</v>
      </c>
      <c r="J6" s="685">
        <v>205.84</v>
      </c>
      <c r="K6" s="703">
        <v>1</v>
      </c>
      <c r="L6" s="685">
        <v>1</v>
      </c>
      <c r="M6" s="686">
        <v>205.84</v>
      </c>
    </row>
    <row r="7" spans="1:13" ht="14.4" customHeight="1" x14ac:dyDescent="0.3">
      <c r="A7" s="687" t="s">
        <v>1060</v>
      </c>
      <c r="B7" s="688" t="s">
        <v>1014</v>
      </c>
      <c r="C7" s="688" t="s">
        <v>757</v>
      </c>
      <c r="D7" s="688" t="s">
        <v>758</v>
      </c>
      <c r="E7" s="688" t="s">
        <v>759</v>
      </c>
      <c r="F7" s="691"/>
      <c r="G7" s="691"/>
      <c r="H7" s="704">
        <v>0</v>
      </c>
      <c r="I7" s="691">
        <v>1</v>
      </c>
      <c r="J7" s="691">
        <v>2635.97</v>
      </c>
      <c r="K7" s="704">
        <v>1</v>
      </c>
      <c r="L7" s="691">
        <v>1</v>
      </c>
      <c r="M7" s="692">
        <v>2635.97</v>
      </c>
    </row>
    <row r="8" spans="1:13" ht="14.4" customHeight="1" x14ac:dyDescent="0.3">
      <c r="A8" s="687" t="s">
        <v>1060</v>
      </c>
      <c r="B8" s="688" t="s">
        <v>1014</v>
      </c>
      <c r="C8" s="688" t="s">
        <v>1074</v>
      </c>
      <c r="D8" s="688" t="s">
        <v>1075</v>
      </c>
      <c r="E8" s="688" t="s">
        <v>1076</v>
      </c>
      <c r="F8" s="691"/>
      <c r="G8" s="691"/>
      <c r="H8" s="704">
        <v>0</v>
      </c>
      <c r="I8" s="691">
        <v>9</v>
      </c>
      <c r="J8" s="691">
        <v>2653.29</v>
      </c>
      <c r="K8" s="704">
        <v>1</v>
      </c>
      <c r="L8" s="691">
        <v>9</v>
      </c>
      <c r="M8" s="692">
        <v>2653.29</v>
      </c>
    </row>
    <row r="9" spans="1:13" ht="14.4" customHeight="1" x14ac:dyDescent="0.3">
      <c r="A9" s="687" t="s">
        <v>1062</v>
      </c>
      <c r="B9" s="688" t="s">
        <v>1014</v>
      </c>
      <c r="C9" s="688" t="s">
        <v>757</v>
      </c>
      <c r="D9" s="688" t="s">
        <v>758</v>
      </c>
      <c r="E9" s="688" t="s">
        <v>759</v>
      </c>
      <c r="F9" s="691"/>
      <c r="G9" s="691"/>
      <c r="H9" s="704">
        <v>0</v>
      </c>
      <c r="I9" s="691">
        <v>12</v>
      </c>
      <c r="J9" s="691">
        <v>31631.639999999996</v>
      </c>
      <c r="K9" s="704">
        <v>1</v>
      </c>
      <c r="L9" s="691">
        <v>12</v>
      </c>
      <c r="M9" s="692">
        <v>31631.639999999996</v>
      </c>
    </row>
    <row r="10" spans="1:13" ht="14.4" customHeight="1" x14ac:dyDescent="0.3">
      <c r="A10" s="687" t="s">
        <v>1062</v>
      </c>
      <c r="B10" s="688" t="s">
        <v>1014</v>
      </c>
      <c r="C10" s="688" t="s">
        <v>1077</v>
      </c>
      <c r="D10" s="688" t="s">
        <v>1078</v>
      </c>
      <c r="E10" s="688" t="s">
        <v>1076</v>
      </c>
      <c r="F10" s="691">
        <v>5</v>
      </c>
      <c r="G10" s="691">
        <v>1474.05</v>
      </c>
      <c r="H10" s="704">
        <v>1</v>
      </c>
      <c r="I10" s="691"/>
      <c r="J10" s="691"/>
      <c r="K10" s="704">
        <v>0</v>
      </c>
      <c r="L10" s="691">
        <v>5</v>
      </c>
      <c r="M10" s="692">
        <v>1474.05</v>
      </c>
    </row>
    <row r="11" spans="1:13" ht="14.4" customHeight="1" x14ac:dyDescent="0.3">
      <c r="A11" s="687" t="s">
        <v>1062</v>
      </c>
      <c r="B11" s="688" t="s">
        <v>1014</v>
      </c>
      <c r="C11" s="688" t="s">
        <v>1074</v>
      </c>
      <c r="D11" s="688" t="s">
        <v>1075</v>
      </c>
      <c r="E11" s="688" t="s">
        <v>1076</v>
      </c>
      <c r="F11" s="691"/>
      <c r="G11" s="691"/>
      <c r="H11" s="704">
        <v>0</v>
      </c>
      <c r="I11" s="691">
        <v>5</v>
      </c>
      <c r="J11" s="691">
        <v>1474.05</v>
      </c>
      <c r="K11" s="704">
        <v>1</v>
      </c>
      <c r="L11" s="691">
        <v>5</v>
      </c>
      <c r="M11" s="692">
        <v>1474.05</v>
      </c>
    </row>
    <row r="12" spans="1:13" ht="14.4" customHeight="1" x14ac:dyDescent="0.3">
      <c r="A12" s="687" t="s">
        <v>1062</v>
      </c>
      <c r="B12" s="688" t="s">
        <v>1014</v>
      </c>
      <c r="C12" s="688" t="s">
        <v>1079</v>
      </c>
      <c r="D12" s="688" t="s">
        <v>758</v>
      </c>
      <c r="E12" s="688" t="s">
        <v>1080</v>
      </c>
      <c r="F12" s="691">
        <v>18</v>
      </c>
      <c r="G12" s="691">
        <v>8890.56</v>
      </c>
      <c r="H12" s="704">
        <v>1</v>
      </c>
      <c r="I12" s="691"/>
      <c r="J12" s="691"/>
      <c r="K12" s="704">
        <v>0</v>
      </c>
      <c r="L12" s="691">
        <v>18</v>
      </c>
      <c r="M12" s="692">
        <v>8890.56</v>
      </c>
    </row>
    <row r="13" spans="1:13" ht="14.4" customHeight="1" x14ac:dyDescent="0.3">
      <c r="A13" s="687" t="s">
        <v>1063</v>
      </c>
      <c r="B13" s="688" t="s">
        <v>1014</v>
      </c>
      <c r="C13" s="688" t="s">
        <v>1081</v>
      </c>
      <c r="D13" s="688" t="s">
        <v>1082</v>
      </c>
      <c r="E13" s="688" t="s">
        <v>1083</v>
      </c>
      <c r="F13" s="691"/>
      <c r="G13" s="691"/>
      <c r="H13" s="704">
        <v>0</v>
      </c>
      <c r="I13" s="691">
        <v>60</v>
      </c>
      <c r="J13" s="691">
        <v>4336.2</v>
      </c>
      <c r="K13" s="704">
        <v>1</v>
      </c>
      <c r="L13" s="691">
        <v>60</v>
      </c>
      <c r="M13" s="692">
        <v>4336.2</v>
      </c>
    </row>
    <row r="14" spans="1:13" ht="14.4" customHeight="1" x14ac:dyDescent="0.3">
      <c r="A14" s="687" t="s">
        <v>1063</v>
      </c>
      <c r="B14" s="688" t="s">
        <v>1014</v>
      </c>
      <c r="C14" s="688" t="s">
        <v>1084</v>
      </c>
      <c r="D14" s="688" t="s">
        <v>1085</v>
      </c>
      <c r="E14" s="688" t="s">
        <v>1086</v>
      </c>
      <c r="F14" s="691">
        <v>20</v>
      </c>
      <c r="G14" s="691">
        <v>2710.7999999999997</v>
      </c>
      <c r="H14" s="704">
        <v>1</v>
      </c>
      <c r="I14" s="691"/>
      <c r="J14" s="691"/>
      <c r="K14" s="704">
        <v>0</v>
      </c>
      <c r="L14" s="691">
        <v>20</v>
      </c>
      <c r="M14" s="692">
        <v>2710.7999999999997</v>
      </c>
    </row>
    <row r="15" spans="1:13" ht="14.4" customHeight="1" x14ac:dyDescent="0.3">
      <c r="A15" s="687" t="s">
        <v>1063</v>
      </c>
      <c r="B15" s="688" t="s">
        <v>1014</v>
      </c>
      <c r="C15" s="688" t="s">
        <v>1087</v>
      </c>
      <c r="D15" s="688" t="s">
        <v>1088</v>
      </c>
      <c r="E15" s="688" t="s">
        <v>1086</v>
      </c>
      <c r="F15" s="691">
        <v>20</v>
      </c>
      <c r="G15" s="691">
        <v>2710.7999999999997</v>
      </c>
      <c r="H15" s="704">
        <v>1</v>
      </c>
      <c r="I15" s="691"/>
      <c r="J15" s="691"/>
      <c r="K15" s="704">
        <v>0</v>
      </c>
      <c r="L15" s="691">
        <v>20</v>
      </c>
      <c r="M15" s="692">
        <v>2710.7999999999997</v>
      </c>
    </row>
    <row r="16" spans="1:13" ht="14.4" customHeight="1" x14ac:dyDescent="0.3">
      <c r="A16" s="687" t="s">
        <v>1063</v>
      </c>
      <c r="B16" s="688" t="s">
        <v>1014</v>
      </c>
      <c r="C16" s="688" t="s">
        <v>757</v>
      </c>
      <c r="D16" s="688" t="s">
        <v>758</v>
      </c>
      <c r="E16" s="688" t="s">
        <v>759</v>
      </c>
      <c r="F16" s="691"/>
      <c r="G16" s="691"/>
      <c r="H16" s="704">
        <v>0</v>
      </c>
      <c r="I16" s="691">
        <v>73</v>
      </c>
      <c r="J16" s="691">
        <v>192425.81000000003</v>
      </c>
      <c r="K16" s="704">
        <v>1</v>
      </c>
      <c r="L16" s="691">
        <v>73</v>
      </c>
      <c r="M16" s="692">
        <v>192425.81000000003</v>
      </c>
    </row>
    <row r="17" spans="1:13" ht="14.4" customHeight="1" x14ac:dyDescent="0.3">
      <c r="A17" s="687" t="s">
        <v>1063</v>
      </c>
      <c r="B17" s="688" t="s">
        <v>1014</v>
      </c>
      <c r="C17" s="688" t="s">
        <v>1077</v>
      </c>
      <c r="D17" s="688" t="s">
        <v>1078</v>
      </c>
      <c r="E17" s="688" t="s">
        <v>1076</v>
      </c>
      <c r="F17" s="691">
        <v>1</v>
      </c>
      <c r="G17" s="691">
        <v>294.81</v>
      </c>
      <c r="H17" s="704">
        <v>1</v>
      </c>
      <c r="I17" s="691"/>
      <c r="J17" s="691"/>
      <c r="K17" s="704">
        <v>0</v>
      </c>
      <c r="L17" s="691">
        <v>1</v>
      </c>
      <c r="M17" s="692">
        <v>294.81</v>
      </c>
    </row>
    <row r="18" spans="1:13" ht="14.4" customHeight="1" x14ac:dyDescent="0.3">
      <c r="A18" s="687" t="s">
        <v>1063</v>
      </c>
      <c r="B18" s="688" t="s">
        <v>1014</v>
      </c>
      <c r="C18" s="688" t="s">
        <v>1074</v>
      </c>
      <c r="D18" s="688" t="s">
        <v>1075</v>
      </c>
      <c r="E18" s="688" t="s">
        <v>1076</v>
      </c>
      <c r="F18" s="691"/>
      <c r="G18" s="691"/>
      <c r="H18" s="704">
        <v>0</v>
      </c>
      <c r="I18" s="691">
        <v>5</v>
      </c>
      <c r="J18" s="691">
        <v>1474.0500000000002</v>
      </c>
      <c r="K18" s="704">
        <v>1</v>
      </c>
      <c r="L18" s="691">
        <v>5</v>
      </c>
      <c r="M18" s="692">
        <v>1474.0500000000002</v>
      </c>
    </row>
    <row r="19" spans="1:13" ht="14.4" customHeight="1" x14ac:dyDescent="0.3">
      <c r="A19" s="687" t="s">
        <v>1066</v>
      </c>
      <c r="B19" s="688" t="s">
        <v>1014</v>
      </c>
      <c r="C19" s="688" t="s">
        <v>1074</v>
      </c>
      <c r="D19" s="688" t="s">
        <v>1075</v>
      </c>
      <c r="E19" s="688" t="s">
        <v>1076</v>
      </c>
      <c r="F19" s="691"/>
      <c r="G19" s="691"/>
      <c r="H19" s="704">
        <v>0</v>
      </c>
      <c r="I19" s="691">
        <v>8</v>
      </c>
      <c r="J19" s="691">
        <v>2358.48</v>
      </c>
      <c r="K19" s="704">
        <v>1</v>
      </c>
      <c r="L19" s="691">
        <v>8</v>
      </c>
      <c r="M19" s="692">
        <v>2358.48</v>
      </c>
    </row>
    <row r="20" spans="1:13" ht="14.4" customHeight="1" x14ac:dyDescent="0.3">
      <c r="A20" s="687" t="s">
        <v>1067</v>
      </c>
      <c r="B20" s="688" t="s">
        <v>1014</v>
      </c>
      <c r="C20" s="688" t="s">
        <v>1089</v>
      </c>
      <c r="D20" s="688" t="s">
        <v>1090</v>
      </c>
      <c r="E20" s="688" t="s">
        <v>1083</v>
      </c>
      <c r="F20" s="691"/>
      <c r="G20" s="691"/>
      <c r="H20" s="704">
        <v>0</v>
      </c>
      <c r="I20" s="691">
        <v>20</v>
      </c>
      <c r="J20" s="691">
        <v>1445.3999999999999</v>
      </c>
      <c r="K20" s="704">
        <v>1</v>
      </c>
      <c r="L20" s="691">
        <v>20</v>
      </c>
      <c r="M20" s="692">
        <v>1445.3999999999999</v>
      </c>
    </row>
    <row r="21" spans="1:13" ht="14.4" customHeight="1" x14ac:dyDescent="0.3">
      <c r="A21" s="687" t="s">
        <v>1067</v>
      </c>
      <c r="B21" s="688" t="s">
        <v>1014</v>
      </c>
      <c r="C21" s="688" t="s">
        <v>1084</v>
      </c>
      <c r="D21" s="688" t="s">
        <v>1085</v>
      </c>
      <c r="E21" s="688" t="s">
        <v>1086</v>
      </c>
      <c r="F21" s="691">
        <v>7</v>
      </c>
      <c r="G21" s="691">
        <v>948.78</v>
      </c>
      <c r="H21" s="704">
        <v>1</v>
      </c>
      <c r="I21" s="691"/>
      <c r="J21" s="691"/>
      <c r="K21" s="704">
        <v>0</v>
      </c>
      <c r="L21" s="691">
        <v>7</v>
      </c>
      <c r="M21" s="692">
        <v>948.78</v>
      </c>
    </row>
    <row r="22" spans="1:13" ht="14.4" customHeight="1" x14ac:dyDescent="0.3">
      <c r="A22" s="687" t="s">
        <v>1067</v>
      </c>
      <c r="B22" s="688" t="s">
        <v>1014</v>
      </c>
      <c r="C22" s="688" t="s">
        <v>1087</v>
      </c>
      <c r="D22" s="688" t="s">
        <v>1088</v>
      </c>
      <c r="E22" s="688" t="s">
        <v>1086</v>
      </c>
      <c r="F22" s="691">
        <v>7</v>
      </c>
      <c r="G22" s="691">
        <v>948.78</v>
      </c>
      <c r="H22" s="704">
        <v>1</v>
      </c>
      <c r="I22" s="691"/>
      <c r="J22" s="691"/>
      <c r="K22" s="704">
        <v>0</v>
      </c>
      <c r="L22" s="691">
        <v>7</v>
      </c>
      <c r="M22" s="692">
        <v>948.78</v>
      </c>
    </row>
    <row r="23" spans="1:13" ht="14.4" customHeight="1" thickBot="1" x14ac:dyDescent="0.35">
      <c r="A23" s="693" t="s">
        <v>1067</v>
      </c>
      <c r="B23" s="694" t="s">
        <v>1014</v>
      </c>
      <c r="C23" s="694" t="s">
        <v>757</v>
      </c>
      <c r="D23" s="694" t="s">
        <v>758</v>
      </c>
      <c r="E23" s="694" t="s">
        <v>759</v>
      </c>
      <c r="F23" s="697"/>
      <c r="G23" s="697"/>
      <c r="H23" s="705">
        <v>0</v>
      </c>
      <c r="I23" s="697">
        <v>4</v>
      </c>
      <c r="J23" s="697">
        <v>10543.88</v>
      </c>
      <c r="K23" s="705">
        <v>1</v>
      </c>
      <c r="L23" s="697">
        <v>4</v>
      </c>
      <c r="M23" s="698">
        <v>10543.88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20" customWidth="1"/>
    <col min="2" max="2" width="61.109375" style="320" customWidth="1"/>
    <col min="3" max="3" width="9.5546875" style="237" hidden="1" customWidth="1" outlineLevel="1"/>
    <col min="4" max="4" width="9.5546875" style="321" customWidth="1" collapsed="1"/>
    <col min="5" max="5" width="2.21875" style="321" customWidth="1"/>
    <col min="6" max="6" width="9.5546875" style="322" customWidth="1"/>
    <col min="7" max="7" width="9.5546875" style="319" customWidth="1"/>
    <col min="8" max="9" width="9.5546875" style="237" customWidth="1"/>
    <col min="10" max="10" width="0" style="237" hidden="1" customWidth="1"/>
    <col min="11" max="16384" width="8.88671875" style="237"/>
  </cols>
  <sheetData>
    <row r="1" spans="1:10" ht="18.600000000000001" customHeight="1" thickBot="1" x14ac:dyDescent="0.4">
      <c r="A1" s="534" t="s">
        <v>170</v>
      </c>
      <c r="B1" s="535"/>
      <c r="C1" s="535"/>
      <c r="D1" s="535"/>
      <c r="E1" s="535"/>
      <c r="F1" s="535"/>
      <c r="G1" s="505"/>
      <c r="H1" s="536"/>
      <c r="I1" s="536"/>
    </row>
    <row r="2" spans="1:10" ht="14.4" customHeight="1" thickBot="1" x14ac:dyDescent="0.35">
      <c r="A2" s="360" t="s">
        <v>344</v>
      </c>
      <c r="B2" s="318"/>
      <c r="C2" s="318"/>
      <c r="D2" s="318"/>
      <c r="E2" s="318"/>
      <c r="F2" s="318"/>
    </row>
    <row r="3" spans="1:10" ht="14.4" customHeight="1" thickBot="1" x14ac:dyDescent="0.35">
      <c r="A3" s="360"/>
      <c r="B3" s="491"/>
      <c r="C3" s="420">
        <v>2015</v>
      </c>
      <c r="D3" s="421">
        <v>2016</v>
      </c>
      <c r="E3" s="11"/>
      <c r="F3" s="513">
        <v>2017</v>
      </c>
      <c r="G3" s="531"/>
      <c r="H3" s="531"/>
      <c r="I3" s="514"/>
    </row>
    <row r="4" spans="1:10" ht="14.4" customHeight="1" thickBot="1" x14ac:dyDescent="0.35">
      <c r="A4" s="425" t="s">
        <v>0</v>
      </c>
      <c r="B4" s="426" t="s">
        <v>270</v>
      </c>
      <c r="C4" s="532" t="s">
        <v>87</v>
      </c>
      <c r="D4" s="533"/>
      <c r="E4" s="427"/>
      <c r="F4" s="422" t="s">
        <v>87</v>
      </c>
      <c r="G4" s="423" t="s">
        <v>88</v>
      </c>
      <c r="H4" s="423" t="s">
        <v>62</v>
      </c>
      <c r="I4" s="424" t="s">
        <v>89</v>
      </c>
    </row>
    <row r="5" spans="1:10" ht="14.4" customHeight="1" x14ac:dyDescent="0.3">
      <c r="A5" s="671" t="s">
        <v>583</v>
      </c>
      <c r="B5" s="672" t="s">
        <v>584</v>
      </c>
      <c r="C5" s="673" t="s">
        <v>585</v>
      </c>
      <c r="D5" s="673" t="s">
        <v>585</v>
      </c>
      <c r="E5" s="673"/>
      <c r="F5" s="673" t="s">
        <v>585</v>
      </c>
      <c r="G5" s="673" t="s">
        <v>585</v>
      </c>
      <c r="H5" s="673" t="s">
        <v>585</v>
      </c>
      <c r="I5" s="674" t="s">
        <v>585</v>
      </c>
      <c r="J5" s="675" t="s">
        <v>67</v>
      </c>
    </row>
    <row r="6" spans="1:10" ht="14.4" customHeight="1" x14ac:dyDescent="0.3">
      <c r="A6" s="671" t="s">
        <v>583</v>
      </c>
      <c r="B6" s="672" t="s">
        <v>1092</v>
      </c>
      <c r="C6" s="673">
        <v>0</v>
      </c>
      <c r="D6" s="673" t="s">
        <v>585</v>
      </c>
      <c r="E6" s="673"/>
      <c r="F6" s="673" t="s">
        <v>585</v>
      </c>
      <c r="G6" s="673" t="s">
        <v>585</v>
      </c>
      <c r="H6" s="673" t="s">
        <v>585</v>
      </c>
      <c r="I6" s="674" t="s">
        <v>585</v>
      </c>
      <c r="J6" s="675" t="s">
        <v>1</v>
      </c>
    </row>
    <row r="7" spans="1:10" ht="14.4" customHeight="1" x14ac:dyDescent="0.3">
      <c r="A7" s="671" t="s">
        <v>583</v>
      </c>
      <c r="B7" s="672" t="s">
        <v>366</v>
      </c>
      <c r="C7" s="673">
        <v>46.774799999999999</v>
      </c>
      <c r="D7" s="673">
        <v>63.770310000000002</v>
      </c>
      <c r="E7" s="673"/>
      <c r="F7" s="673">
        <v>64.187820000000002</v>
      </c>
      <c r="G7" s="673">
        <v>116.66666666666666</v>
      </c>
      <c r="H7" s="673">
        <v>-52.478846666666655</v>
      </c>
      <c r="I7" s="674">
        <v>0.55018131428571437</v>
      </c>
      <c r="J7" s="675" t="s">
        <v>1</v>
      </c>
    </row>
    <row r="8" spans="1:10" ht="14.4" customHeight="1" x14ac:dyDescent="0.3">
      <c r="A8" s="671" t="s">
        <v>583</v>
      </c>
      <c r="B8" s="672" t="s">
        <v>367</v>
      </c>
      <c r="C8" s="673">
        <v>0.74953999999999998</v>
      </c>
      <c r="D8" s="673">
        <v>0</v>
      </c>
      <c r="E8" s="673"/>
      <c r="F8" s="673">
        <v>0</v>
      </c>
      <c r="G8" s="673">
        <v>2.0120447002833334E-2</v>
      </c>
      <c r="H8" s="673">
        <v>-2.0120447002833334E-2</v>
      </c>
      <c r="I8" s="674">
        <v>0</v>
      </c>
      <c r="J8" s="675" t="s">
        <v>1</v>
      </c>
    </row>
    <row r="9" spans="1:10" ht="14.4" customHeight="1" x14ac:dyDescent="0.3">
      <c r="A9" s="671" t="s">
        <v>583</v>
      </c>
      <c r="B9" s="672" t="s">
        <v>368</v>
      </c>
      <c r="C9" s="673">
        <v>23.741770000000002</v>
      </c>
      <c r="D9" s="673">
        <v>27.16629</v>
      </c>
      <c r="E9" s="673"/>
      <c r="F9" s="673">
        <v>40.430049999999994</v>
      </c>
      <c r="G9" s="673">
        <v>39.166666666666501</v>
      </c>
      <c r="H9" s="673">
        <v>1.2633833333334934</v>
      </c>
      <c r="I9" s="674">
        <v>1.032256595744685</v>
      </c>
      <c r="J9" s="675" t="s">
        <v>1</v>
      </c>
    </row>
    <row r="10" spans="1:10" ht="14.4" customHeight="1" x14ac:dyDescent="0.3">
      <c r="A10" s="671" t="s">
        <v>583</v>
      </c>
      <c r="B10" s="672" t="s">
        <v>369</v>
      </c>
      <c r="C10" s="673">
        <v>518.02357000000006</v>
      </c>
      <c r="D10" s="673">
        <v>490.19128999999998</v>
      </c>
      <c r="E10" s="673"/>
      <c r="F10" s="673">
        <v>537.46546000000001</v>
      </c>
      <c r="G10" s="673">
        <v>542.50000000000068</v>
      </c>
      <c r="H10" s="673">
        <v>-5.0345400000006748</v>
      </c>
      <c r="I10" s="674">
        <v>0.99071974193548262</v>
      </c>
      <c r="J10" s="675" t="s">
        <v>1</v>
      </c>
    </row>
    <row r="11" spans="1:10" ht="14.4" customHeight="1" x14ac:dyDescent="0.3">
      <c r="A11" s="671" t="s">
        <v>583</v>
      </c>
      <c r="B11" s="672" t="s">
        <v>370</v>
      </c>
      <c r="C11" s="673">
        <v>2.4175800000000001</v>
      </c>
      <c r="D11" s="673">
        <v>7.7777399999999997</v>
      </c>
      <c r="E11" s="673"/>
      <c r="F11" s="673">
        <v>5.1856600000000004</v>
      </c>
      <c r="G11" s="673">
        <v>7.4999999999998339</v>
      </c>
      <c r="H11" s="673">
        <v>-2.3143399999998335</v>
      </c>
      <c r="I11" s="674">
        <v>0.69142133333334865</v>
      </c>
      <c r="J11" s="675" t="s">
        <v>1</v>
      </c>
    </row>
    <row r="12" spans="1:10" ht="14.4" customHeight="1" x14ac:dyDescent="0.3">
      <c r="A12" s="671" t="s">
        <v>583</v>
      </c>
      <c r="B12" s="672" t="s">
        <v>371</v>
      </c>
      <c r="C12" s="673">
        <v>1.17496</v>
      </c>
      <c r="D12" s="673">
        <v>1.1964600000000001</v>
      </c>
      <c r="E12" s="673"/>
      <c r="F12" s="673">
        <v>0</v>
      </c>
      <c r="G12" s="673">
        <v>1.1666666666666667</v>
      </c>
      <c r="H12" s="673">
        <v>-1.1666666666666667</v>
      </c>
      <c r="I12" s="674">
        <v>0</v>
      </c>
      <c r="J12" s="675" t="s">
        <v>1</v>
      </c>
    </row>
    <row r="13" spans="1:10" ht="14.4" customHeight="1" x14ac:dyDescent="0.3">
      <c r="A13" s="671" t="s">
        <v>583</v>
      </c>
      <c r="B13" s="672" t="s">
        <v>372</v>
      </c>
      <c r="C13" s="673">
        <v>2.5605899999999999</v>
      </c>
      <c r="D13" s="673">
        <v>1.70736</v>
      </c>
      <c r="E13" s="673"/>
      <c r="F13" s="673">
        <v>1.2490000000000001</v>
      </c>
      <c r="G13" s="673">
        <v>1.6666666666663335</v>
      </c>
      <c r="H13" s="673">
        <v>-0.41766666666633334</v>
      </c>
      <c r="I13" s="674">
        <v>0.74940000000014995</v>
      </c>
      <c r="J13" s="675" t="s">
        <v>1</v>
      </c>
    </row>
    <row r="14" spans="1:10" ht="14.4" customHeight="1" x14ac:dyDescent="0.3">
      <c r="A14" s="671" t="s">
        <v>583</v>
      </c>
      <c r="B14" s="672" t="s">
        <v>373</v>
      </c>
      <c r="C14" s="673">
        <v>23.823309999999999</v>
      </c>
      <c r="D14" s="673">
        <v>36.687359999999998</v>
      </c>
      <c r="E14" s="673"/>
      <c r="F14" s="673">
        <v>26.899639999999998</v>
      </c>
      <c r="G14" s="673">
        <v>33.333333333333002</v>
      </c>
      <c r="H14" s="673">
        <v>-6.4336933333330037</v>
      </c>
      <c r="I14" s="674">
        <v>0.80698920000000796</v>
      </c>
      <c r="J14" s="675" t="s">
        <v>1</v>
      </c>
    </row>
    <row r="15" spans="1:10" ht="14.4" customHeight="1" x14ac:dyDescent="0.3">
      <c r="A15" s="671" t="s">
        <v>583</v>
      </c>
      <c r="B15" s="672" t="s">
        <v>374</v>
      </c>
      <c r="C15" s="673">
        <v>8.9963499999999996</v>
      </c>
      <c r="D15" s="673">
        <v>6.2919999999999998</v>
      </c>
      <c r="E15" s="673"/>
      <c r="F15" s="673">
        <v>12.221</v>
      </c>
      <c r="G15" s="673">
        <v>14.166666666666666</v>
      </c>
      <c r="H15" s="673">
        <v>-1.945666666666666</v>
      </c>
      <c r="I15" s="674">
        <v>0.86265882352941181</v>
      </c>
      <c r="J15" s="675" t="s">
        <v>1</v>
      </c>
    </row>
    <row r="16" spans="1:10" ht="14.4" customHeight="1" x14ac:dyDescent="0.3">
      <c r="A16" s="671" t="s">
        <v>583</v>
      </c>
      <c r="B16" s="672" t="s">
        <v>375</v>
      </c>
      <c r="C16" s="673">
        <v>13.4604</v>
      </c>
      <c r="D16" s="673">
        <v>46.76932</v>
      </c>
      <c r="E16" s="673"/>
      <c r="F16" s="673">
        <v>54.266660000000002</v>
      </c>
      <c r="G16" s="673">
        <v>46.666666666666501</v>
      </c>
      <c r="H16" s="673">
        <v>7.5999933333335008</v>
      </c>
      <c r="I16" s="674">
        <v>1.1628570000000042</v>
      </c>
      <c r="J16" s="675" t="s">
        <v>1</v>
      </c>
    </row>
    <row r="17" spans="1:10" ht="14.4" customHeight="1" x14ac:dyDescent="0.3">
      <c r="A17" s="671" t="s">
        <v>583</v>
      </c>
      <c r="B17" s="672" t="s">
        <v>586</v>
      </c>
      <c r="C17" s="673">
        <v>641.72287000000028</v>
      </c>
      <c r="D17" s="673">
        <v>681.55813000000001</v>
      </c>
      <c r="E17" s="673"/>
      <c r="F17" s="673">
        <v>741.90529000000004</v>
      </c>
      <c r="G17" s="673">
        <v>802.8534537803356</v>
      </c>
      <c r="H17" s="673">
        <v>-60.948163780335562</v>
      </c>
      <c r="I17" s="674">
        <v>0.92408556817766241</v>
      </c>
      <c r="J17" s="675" t="s">
        <v>587</v>
      </c>
    </row>
    <row r="19" spans="1:10" ht="14.4" customHeight="1" x14ac:dyDescent="0.3">
      <c r="A19" s="671" t="s">
        <v>583</v>
      </c>
      <c r="B19" s="672" t="s">
        <v>584</v>
      </c>
      <c r="C19" s="673" t="s">
        <v>585</v>
      </c>
      <c r="D19" s="673" t="s">
        <v>585</v>
      </c>
      <c r="E19" s="673"/>
      <c r="F19" s="673" t="s">
        <v>585</v>
      </c>
      <c r="G19" s="673" t="s">
        <v>585</v>
      </c>
      <c r="H19" s="673" t="s">
        <v>585</v>
      </c>
      <c r="I19" s="674" t="s">
        <v>585</v>
      </c>
      <c r="J19" s="675" t="s">
        <v>67</v>
      </c>
    </row>
    <row r="20" spans="1:10" ht="14.4" customHeight="1" x14ac:dyDescent="0.3">
      <c r="A20" s="671" t="s">
        <v>588</v>
      </c>
      <c r="B20" s="672" t="s">
        <v>589</v>
      </c>
      <c r="C20" s="673" t="s">
        <v>585</v>
      </c>
      <c r="D20" s="673" t="s">
        <v>585</v>
      </c>
      <c r="E20" s="673"/>
      <c r="F20" s="673" t="s">
        <v>585</v>
      </c>
      <c r="G20" s="673" t="s">
        <v>585</v>
      </c>
      <c r="H20" s="673" t="s">
        <v>585</v>
      </c>
      <c r="I20" s="674" t="s">
        <v>585</v>
      </c>
      <c r="J20" s="675" t="s">
        <v>0</v>
      </c>
    </row>
    <row r="21" spans="1:10" ht="14.4" customHeight="1" x14ac:dyDescent="0.3">
      <c r="A21" s="671" t="s">
        <v>588</v>
      </c>
      <c r="B21" s="672" t="s">
        <v>366</v>
      </c>
      <c r="C21" s="673">
        <v>0</v>
      </c>
      <c r="D21" s="673">
        <v>0</v>
      </c>
      <c r="E21" s="673"/>
      <c r="F21" s="673">
        <v>20.72072</v>
      </c>
      <c r="G21" s="673">
        <v>35.144021605981166</v>
      </c>
      <c r="H21" s="673">
        <v>-14.423301605981166</v>
      </c>
      <c r="I21" s="674">
        <v>0.58959444745144185</v>
      </c>
      <c r="J21" s="675" t="s">
        <v>1</v>
      </c>
    </row>
    <row r="22" spans="1:10" ht="14.4" customHeight="1" x14ac:dyDescent="0.3">
      <c r="A22" s="671" t="s">
        <v>588</v>
      </c>
      <c r="B22" s="672" t="s">
        <v>368</v>
      </c>
      <c r="C22" s="673">
        <v>3.8588399999999998</v>
      </c>
      <c r="D22" s="673">
        <v>5.9109699999999998</v>
      </c>
      <c r="E22" s="673"/>
      <c r="F22" s="673">
        <v>6.2889599999999994</v>
      </c>
      <c r="G22" s="673">
        <v>7.8725170652416665</v>
      </c>
      <c r="H22" s="673">
        <v>-1.5835570652416671</v>
      </c>
      <c r="I22" s="674">
        <v>0.79884996728259794</v>
      </c>
      <c r="J22" s="675" t="s">
        <v>1</v>
      </c>
    </row>
    <row r="23" spans="1:10" ht="14.4" customHeight="1" x14ac:dyDescent="0.3">
      <c r="A23" s="671" t="s">
        <v>588</v>
      </c>
      <c r="B23" s="672" t="s">
        <v>369</v>
      </c>
      <c r="C23" s="673">
        <v>42.119320000000002</v>
      </c>
      <c r="D23" s="673">
        <v>50.985370000000003</v>
      </c>
      <c r="E23" s="673"/>
      <c r="F23" s="673">
        <v>55.862819999999999</v>
      </c>
      <c r="G23" s="673">
        <v>50.563991727935665</v>
      </c>
      <c r="H23" s="673">
        <v>5.298828272064334</v>
      </c>
      <c r="I23" s="674">
        <v>1.1047945008094926</v>
      </c>
      <c r="J23" s="675" t="s">
        <v>1</v>
      </c>
    </row>
    <row r="24" spans="1:10" ht="14.4" customHeight="1" x14ac:dyDescent="0.3">
      <c r="A24" s="671" t="s">
        <v>588</v>
      </c>
      <c r="B24" s="672" t="s">
        <v>372</v>
      </c>
      <c r="C24" s="673">
        <v>0.11</v>
      </c>
      <c r="D24" s="673">
        <v>0.221</v>
      </c>
      <c r="E24" s="673"/>
      <c r="F24" s="673">
        <v>0.14200000000000002</v>
      </c>
      <c r="G24" s="673">
        <v>0.18136384943666664</v>
      </c>
      <c r="H24" s="673">
        <v>-3.9363849436666626E-2</v>
      </c>
      <c r="I24" s="674">
        <v>0.782956473636094</v>
      </c>
      <c r="J24" s="675" t="s">
        <v>1</v>
      </c>
    </row>
    <row r="25" spans="1:10" ht="14.4" customHeight="1" x14ac:dyDescent="0.3">
      <c r="A25" s="671" t="s">
        <v>588</v>
      </c>
      <c r="B25" s="672" t="s">
        <v>373</v>
      </c>
      <c r="C25" s="673">
        <v>5.8325100000000001</v>
      </c>
      <c r="D25" s="673">
        <v>8.0880600000000005</v>
      </c>
      <c r="E25" s="673"/>
      <c r="F25" s="673">
        <v>4.9569999999999999</v>
      </c>
      <c r="G25" s="673">
        <v>7.5044973460056665</v>
      </c>
      <c r="H25" s="673">
        <v>-2.5474973460056667</v>
      </c>
      <c r="I25" s="674">
        <v>0.66053724472811037</v>
      </c>
      <c r="J25" s="675" t="s">
        <v>1</v>
      </c>
    </row>
    <row r="26" spans="1:10" ht="14.4" customHeight="1" x14ac:dyDescent="0.3">
      <c r="A26" s="671" t="s">
        <v>588</v>
      </c>
      <c r="B26" s="672" t="s">
        <v>375</v>
      </c>
      <c r="C26" s="673">
        <v>0</v>
      </c>
      <c r="D26" s="673">
        <v>0</v>
      </c>
      <c r="E26" s="673"/>
      <c r="F26" s="673">
        <v>0</v>
      </c>
      <c r="G26" s="673">
        <v>0.20224476548549999</v>
      </c>
      <c r="H26" s="673">
        <v>-0.20224476548549999</v>
      </c>
      <c r="I26" s="674">
        <v>0</v>
      </c>
      <c r="J26" s="675" t="s">
        <v>1</v>
      </c>
    </row>
    <row r="27" spans="1:10" ht="14.4" customHeight="1" x14ac:dyDescent="0.3">
      <c r="A27" s="671" t="s">
        <v>588</v>
      </c>
      <c r="B27" s="672" t="s">
        <v>590</v>
      </c>
      <c r="C27" s="673">
        <v>51.920670000000001</v>
      </c>
      <c r="D27" s="673">
        <v>65.205399999999997</v>
      </c>
      <c r="E27" s="673"/>
      <c r="F27" s="673">
        <v>87.971499999999992</v>
      </c>
      <c r="G27" s="673">
        <v>101.46863636008634</v>
      </c>
      <c r="H27" s="673">
        <v>-13.497136360086344</v>
      </c>
      <c r="I27" s="674">
        <v>0.86698218440436658</v>
      </c>
      <c r="J27" s="675" t="s">
        <v>591</v>
      </c>
    </row>
    <row r="28" spans="1:10" ht="14.4" customHeight="1" x14ac:dyDescent="0.3">
      <c r="A28" s="671" t="s">
        <v>585</v>
      </c>
      <c r="B28" s="672" t="s">
        <v>585</v>
      </c>
      <c r="C28" s="673" t="s">
        <v>585</v>
      </c>
      <c r="D28" s="673" t="s">
        <v>585</v>
      </c>
      <c r="E28" s="673"/>
      <c r="F28" s="673" t="s">
        <v>585</v>
      </c>
      <c r="G28" s="673" t="s">
        <v>585</v>
      </c>
      <c r="H28" s="673" t="s">
        <v>585</v>
      </c>
      <c r="I28" s="674" t="s">
        <v>585</v>
      </c>
      <c r="J28" s="675" t="s">
        <v>592</v>
      </c>
    </row>
    <row r="29" spans="1:10" ht="14.4" customHeight="1" x14ac:dyDescent="0.3">
      <c r="A29" s="671" t="s">
        <v>593</v>
      </c>
      <c r="B29" s="672" t="s">
        <v>594</v>
      </c>
      <c r="C29" s="673" t="s">
        <v>585</v>
      </c>
      <c r="D29" s="673" t="s">
        <v>585</v>
      </c>
      <c r="E29" s="673"/>
      <c r="F29" s="673" t="s">
        <v>585</v>
      </c>
      <c r="G29" s="673" t="s">
        <v>585</v>
      </c>
      <c r="H29" s="673" t="s">
        <v>585</v>
      </c>
      <c r="I29" s="674" t="s">
        <v>585</v>
      </c>
      <c r="J29" s="675" t="s">
        <v>0</v>
      </c>
    </row>
    <row r="30" spans="1:10" ht="14.4" customHeight="1" x14ac:dyDescent="0.3">
      <c r="A30" s="671" t="s">
        <v>593</v>
      </c>
      <c r="B30" s="672" t="s">
        <v>366</v>
      </c>
      <c r="C30" s="673">
        <v>0</v>
      </c>
      <c r="D30" s="673">
        <v>15.94431</v>
      </c>
      <c r="E30" s="673"/>
      <c r="F30" s="673">
        <v>25.621070000000003</v>
      </c>
      <c r="G30" s="673">
        <v>55.886791278216002</v>
      </c>
      <c r="H30" s="673">
        <v>-30.265721278215999</v>
      </c>
      <c r="I30" s="674">
        <v>0.45844589417297227</v>
      </c>
      <c r="J30" s="675" t="s">
        <v>1</v>
      </c>
    </row>
    <row r="31" spans="1:10" ht="14.4" customHeight="1" x14ac:dyDescent="0.3">
      <c r="A31" s="671" t="s">
        <v>593</v>
      </c>
      <c r="B31" s="672" t="s">
        <v>367</v>
      </c>
      <c r="C31" s="673" t="s">
        <v>585</v>
      </c>
      <c r="D31" s="673">
        <v>0</v>
      </c>
      <c r="E31" s="673"/>
      <c r="F31" s="673">
        <v>0</v>
      </c>
      <c r="G31" s="673">
        <v>2.0120447002833334E-2</v>
      </c>
      <c r="H31" s="673">
        <v>-2.0120447002833334E-2</v>
      </c>
      <c r="I31" s="674">
        <v>0</v>
      </c>
      <c r="J31" s="675" t="s">
        <v>1</v>
      </c>
    </row>
    <row r="32" spans="1:10" ht="14.4" customHeight="1" x14ac:dyDescent="0.3">
      <c r="A32" s="671" t="s">
        <v>593</v>
      </c>
      <c r="B32" s="672" t="s">
        <v>368</v>
      </c>
      <c r="C32" s="673">
        <v>1.71557</v>
      </c>
      <c r="D32" s="673">
        <v>3.78857</v>
      </c>
      <c r="E32" s="673"/>
      <c r="F32" s="673">
        <v>5.2628300000000001</v>
      </c>
      <c r="G32" s="673">
        <v>5.5030076525884999</v>
      </c>
      <c r="H32" s="673">
        <v>-0.24017765258849977</v>
      </c>
      <c r="I32" s="674">
        <v>0.95635520287246467</v>
      </c>
      <c r="J32" s="675" t="s">
        <v>1</v>
      </c>
    </row>
    <row r="33" spans="1:10" ht="14.4" customHeight="1" x14ac:dyDescent="0.3">
      <c r="A33" s="671" t="s">
        <v>593</v>
      </c>
      <c r="B33" s="672" t="s">
        <v>369</v>
      </c>
      <c r="C33" s="673">
        <v>125.38625</v>
      </c>
      <c r="D33" s="673">
        <v>116.00653</v>
      </c>
      <c r="E33" s="673"/>
      <c r="F33" s="673">
        <v>179.90726000000001</v>
      </c>
      <c r="G33" s="673">
        <v>171.21695023507834</v>
      </c>
      <c r="H33" s="673">
        <v>8.6903097649216647</v>
      </c>
      <c r="I33" s="674">
        <v>1.0507561298866146</v>
      </c>
      <c r="J33" s="675" t="s">
        <v>1</v>
      </c>
    </row>
    <row r="34" spans="1:10" ht="14.4" customHeight="1" x14ac:dyDescent="0.3">
      <c r="A34" s="671" t="s">
        <v>593</v>
      </c>
      <c r="B34" s="672" t="s">
        <v>370</v>
      </c>
      <c r="C34" s="673">
        <v>0</v>
      </c>
      <c r="D34" s="673">
        <v>0.17499999999999999</v>
      </c>
      <c r="E34" s="673"/>
      <c r="F34" s="673">
        <v>0</v>
      </c>
      <c r="G34" s="673">
        <v>3.3209788702166669E-2</v>
      </c>
      <c r="H34" s="673">
        <v>-3.3209788702166669E-2</v>
      </c>
      <c r="I34" s="674">
        <v>0</v>
      </c>
      <c r="J34" s="675" t="s">
        <v>1</v>
      </c>
    </row>
    <row r="35" spans="1:10" ht="14.4" customHeight="1" x14ac:dyDescent="0.3">
      <c r="A35" s="671" t="s">
        <v>593</v>
      </c>
      <c r="B35" s="672" t="s">
        <v>372</v>
      </c>
      <c r="C35" s="673">
        <v>0</v>
      </c>
      <c r="D35" s="673">
        <v>0.24636000000000002</v>
      </c>
      <c r="E35" s="673"/>
      <c r="F35" s="673">
        <v>0.254</v>
      </c>
      <c r="G35" s="673">
        <v>0.22253562432266669</v>
      </c>
      <c r="H35" s="673">
        <v>3.1464375677333317E-2</v>
      </c>
      <c r="I35" s="674">
        <v>1.1413902864905414</v>
      </c>
      <c r="J35" s="675" t="s">
        <v>1</v>
      </c>
    </row>
    <row r="36" spans="1:10" ht="14.4" customHeight="1" x14ac:dyDescent="0.3">
      <c r="A36" s="671" t="s">
        <v>593</v>
      </c>
      <c r="B36" s="672" t="s">
        <v>373</v>
      </c>
      <c r="C36" s="673">
        <v>2.84</v>
      </c>
      <c r="D36" s="673">
        <v>6.1832000000000003</v>
      </c>
      <c r="E36" s="673"/>
      <c r="F36" s="673">
        <v>6.3294999999999995</v>
      </c>
      <c r="G36" s="673">
        <v>6.5872185577053335</v>
      </c>
      <c r="H36" s="673">
        <v>-0.25771855770533403</v>
      </c>
      <c r="I36" s="674">
        <v>0.96087596677601195</v>
      </c>
      <c r="J36" s="675" t="s">
        <v>1</v>
      </c>
    </row>
    <row r="37" spans="1:10" ht="14.4" customHeight="1" x14ac:dyDescent="0.3">
      <c r="A37" s="671" t="s">
        <v>593</v>
      </c>
      <c r="B37" s="672" t="s">
        <v>375</v>
      </c>
      <c r="C37" s="673">
        <v>0</v>
      </c>
      <c r="D37" s="673">
        <v>0</v>
      </c>
      <c r="E37" s="673"/>
      <c r="F37" s="673" t="s">
        <v>585</v>
      </c>
      <c r="G37" s="673" t="s">
        <v>585</v>
      </c>
      <c r="H37" s="673" t="s">
        <v>585</v>
      </c>
      <c r="I37" s="674" t="s">
        <v>585</v>
      </c>
      <c r="J37" s="675" t="s">
        <v>1</v>
      </c>
    </row>
    <row r="38" spans="1:10" ht="14.4" customHeight="1" x14ac:dyDescent="0.3">
      <c r="A38" s="671" t="s">
        <v>593</v>
      </c>
      <c r="B38" s="672" t="s">
        <v>595</v>
      </c>
      <c r="C38" s="673">
        <v>129.94182000000001</v>
      </c>
      <c r="D38" s="673">
        <v>142.34397000000001</v>
      </c>
      <c r="E38" s="673"/>
      <c r="F38" s="673">
        <v>217.37466000000001</v>
      </c>
      <c r="G38" s="673">
        <v>239.46983358361587</v>
      </c>
      <c r="H38" s="673">
        <v>-22.09517358361586</v>
      </c>
      <c r="I38" s="674">
        <v>0.90773295636879925</v>
      </c>
      <c r="J38" s="675" t="s">
        <v>591</v>
      </c>
    </row>
    <row r="39" spans="1:10" ht="14.4" customHeight="1" x14ac:dyDescent="0.3">
      <c r="A39" s="671" t="s">
        <v>585</v>
      </c>
      <c r="B39" s="672" t="s">
        <v>585</v>
      </c>
      <c r="C39" s="673" t="s">
        <v>585</v>
      </c>
      <c r="D39" s="673" t="s">
        <v>585</v>
      </c>
      <c r="E39" s="673"/>
      <c r="F39" s="673" t="s">
        <v>585</v>
      </c>
      <c r="G39" s="673" t="s">
        <v>585</v>
      </c>
      <c r="H39" s="673" t="s">
        <v>585</v>
      </c>
      <c r="I39" s="674" t="s">
        <v>585</v>
      </c>
      <c r="J39" s="675" t="s">
        <v>592</v>
      </c>
    </row>
    <row r="40" spans="1:10" ht="14.4" customHeight="1" x14ac:dyDescent="0.3">
      <c r="A40" s="671" t="s">
        <v>596</v>
      </c>
      <c r="B40" s="672" t="s">
        <v>597</v>
      </c>
      <c r="C40" s="673" t="s">
        <v>585</v>
      </c>
      <c r="D40" s="673" t="s">
        <v>585</v>
      </c>
      <c r="E40" s="673"/>
      <c r="F40" s="673" t="s">
        <v>585</v>
      </c>
      <c r="G40" s="673" t="s">
        <v>585</v>
      </c>
      <c r="H40" s="673" t="s">
        <v>585</v>
      </c>
      <c r="I40" s="674" t="s">
        <v>585</v>
      </c>
      <c r="J40" s="675" t="s">
        <v>0</v>
      </c>
    </row>
    <row r="41" spans="1:10" ht="14.4" customHeight="1" x14ac:dyDescent="0.3">
      <c r="A41" s="671" t="s">
        <v>596</v>
      </c>
      <c r="B41" s="672" t="s">
        <v>1092</v>
      </c>
      <c r="C41" s="673">
        <v>0</v>
      </c>
      <c r="D41" s="673" t="s">
        <v>585</v>
      </c>
      <c r="E41" s="673"/>
      <c r="F41" s="673" t="s">
        <v>585</v>
      </c>
      <c r="G41" s="673" t="s">
        <v>585</v>
      </c>
      <c r="H41" s="673" t="s">
        <v>585</v>
      </c>
      <c r="I41" s="674" t="s">
        <v>585</v>
      </c>
      <c r="J41" s="675" t="s">
        <v>1</v>
      </c>
    </row>
    <row r="42" spans="1:10" ht="14.4" customHeight="1" x14ac:dyDescent="0.3">
      <c r="A42" s="671" t="s">
        <v>596</v>
      </c>
      <c r="B42" s="672" t="s">
        <v>366</v>
      </c>
      <c r="C42" s="673">
        <v>46.774799999999999</v>
      </c>
      <c r="D42" s="673">
        <v>47.826000000000001</v>
      </c>
      <c r="E42" s="673"/>
      <c r="F42" s="673">
        <v>17.846029999999999</v>
      </c>
      <c r="G42" s="673">
        <v>25.6358537824695</v>
      </c>
      <c r="H42" s="673">
        <v>-7.7898237824695009</v>
      </c>
      <c r="I42" s="674">
        <v>0.69613558227592964</v>
      </c>
      <c r="J42" s="675" t="s">
        <v>1</v>
      </c>
    </row>
    <row r="43" spans="1:10" ht="14.4" customHeight="1" x14ac:dyDescent="0.3">
      <c r="A43" s="671" t="s">
        <v>596</v>
      </c>
      <c r="B43" s="672" t="s">
        <v>367</v>
      </c>
      <c r="C43" s="673">
        <v>0.74953999999999998</v>
      </c>
      <c r="D43" s="673">
        <v>0</v>
      </c>
      <c r="E43" s="673"/>
      <c r="F43" s="673" t="s">
        <v>585</v>
      </c>
      <c r="G43" s="673" t="s">
        <v>585</v>
      </c>
      <c r="H43" s="673" t="s">
        <v>585</v>
      </c>
      <c r="I43" s="674" t="s">
        <v>585</v>
      </c>
      <c r="J43" s="675" t="s">
        <v>1</v>
      </c>
    </row>
    <row r="44" spans="1:10" ht="14.4" customHeight="1" x14ac:dyDescent="0.3">
      <c r="A44" s="671" t="s">
        <v>596</v>
      </c>
      <c r="B44" s="672" t="s">
        <v>368</v>
      </c>
      <c r="C44" s="673">
        <v>18.167360000000002</v>
      </c>
      <c r="D44" s="673">
        <v>17.466750000000001</v>
      </c>
      <c r="E44" s="673"/>
      <c r="F44" s="673">
        <v>28.878259999999997</v>
      </c>
      <c r="G44" s="673">
        <v>25.79114194883633</v>
      </c>
      <c r="H44" s="673">
        <v>3.0871180511636673</v>
      </c>
      <c r="I44" s="674">
        <v>1.1196968345677674</v>
      </c>
      <c r="J44" s="675" t="s">
        <v>1</v>
      </c>
    </row>
    <row r="45" spans="1:10" ht="14.4" customHeight="1" x14ac:dyDescent="0.3">
      <c r="A45" s="671" t="s">
        <v>596</v>
      </c>
      <c r="B45" s="672" t="s">
        <v>369</v>
      </c>
      <c r="C45" s="673">
        <v>350.51800000000003</v>
      </c>
      <c r="D45" s="673">
        <v>323.19938999999999</v>
      </c>
      <c r="E45" s="673"/>
      <c r="F45" s="673">
        <v>301.69538</v>
      </c>
      <c r="G45" s="673">
        <v>320.71905803698667</v>
      </c>
      <c r="H45" s="673">
        <v>-19.023678036986666</v>
      </c>
      <c r="I45" s="674">
        <v>0.94068429187394043</v>
      </c>
      <c r="J45" s="675" t="s">
        <v>1</v>
      </c>
    </row>
    <row r="46" spans="1:10" ht="14.4" customHeight="1" x14ac:dyDescent="0.3">
      <c r="A46" s="671" t="s">
        <v>596</v>
      </c>
      <c r="B46" s="672" t="s">
        <v>370</v>
      </c>
      <c r="C46" s="673">
        <v>2.4175800000000001</v>
      </c>
      <c r="D46" s="673">
        <v>7.6027399999999998</v>
      </c>
      <c r="E46" s="673"/>
      <c r="F46" s="673">
        <v>5.1856600000000004</v>
      </c>
      <c r="G46" s="673">
        <v>7.466790211297667</v>
      </c>
      <c r="H46" s="673">
        <v>-2.2811302112976666</v>
      </c>
      <c r="I46" s="674">
        <v>0.69449654446616294</v>
      </c>
      <c r="J46" s="675" t="s">
        <v>1</v>
      </c>
    </row>
    <row r="47" spans="1:10" ht="14.4" customHeight="1" x14ac:dyDescent="0.3">
      <c r="A47" s="671" t="s">
        <v>596</v>
      </c>
      <c r="B47" s="672" t="s">
        <v>371</v>
      </c>
      <c r="C47" s="673">
        <v>1.17496</v>
      </c>
      <c r="D47" s="673">
        <v>1.1964600000000001</v>
      </c>
      <c r="E47" s="673"/>
      <c r="F47" s="673">
        <v>0</v>
      </c>
      <c r="G47" s="673">
        <v>1.1666666666666667</v>
      </c>
      <c r="H47" s="673">
        <v>-1.1666666666666667</v>
      </c>
      <c r="I47" s="674">
        <v>0</v>
      </c>
      <c r="J47" s="675" t="s">
        <v>1</v>
      </c>
    </row>
    <row r="48" spans="1:10" ht="14.4" customHeight="1" x14ac:dyDescent="0.3">
      <c r="A48" s="671" t="s">
        <v>596</v>
      </c>
      <c r="B48" s="672" t="s">
        <v>372</v>
      </c>
      <c r="C48" s="673">
        <v>2.45059</v>
      </c>
      <c r="D48" s="673">
        <v>1.24</v>
      </c>
      <c r="E48" s="673"/>
      <c r="F48" s="673">
        <v>0.85299999999999998</v>
      </c>
      <c r="G48" s="673">
        <v>1.2627671929070001</v>
      </c>
      <c r="H48" s="673">
        <v>-0.40976719290700014</v>
      </c>
      <c r="I48" s="674">
        <v>0.67550060279624435</v>
      </c>
      <c r="J48" s="675" t="s">
        <v>1</v>
      </c>
    </row>
    <row r="49" spans="1:10" ht="14.4" customHeight="1" x14ac:dyDescent="0.3">
      <c r="A49" s="671" t="s">
        <v>596</v>
      </c>
      <c r="B49" s="672" t="s">
        <v>373</v>
      </c>
      <c r="C49" s="673">
        <v>15.1508</v>
      </c>
      <c r="D49" s="673">
        <v>22.4161</v>
      </c>
      <c r="E49" s="673"/>
      <c r="F49" s="673">
        <v>15.61314</v>
      </c>
      <c r="G49" s="673">
        <v>19.241617429622</v>
      </c>
      <c r="H49" s="673">
        <v>-3.6284774296220004</v>
      </c>
      <c r="I49" s="674">
        <v>0.81142554970269554</v>
      </c>
      <c r="J49" s="675" t="s">
        <v>1</v>
      </c>
    </row>
    <row r="50" spans="1:10" ht="14.4" customHeight="1" x14ac:dyDescent="0.3">
      <c r="A50" s="671" t="s">
        <v>596</v>
      </c>
      <c r="B50" s="672" t="s">
        <v>374</v>
      </c>
      <c r="C50" s="673">
        <v>8.9963499999999996</v>
      </c>
      <c r="D50" s="673">
        <v>6.2919999999999998</v>
      </c>
      <c r="E50" s="673"/>
      <c r="F50" s="673">
        <v>12.221</v>
      </c>
      <c r="G50" s="673">
        <v>14.166666666666666</v>
      </c>
      <c r="H50" s="673">
        <v>-1.945666666666666</v>
      </c>
      <c r="I50" s="674">
        <v>0.86265882352941181</v>
      </c>
      <c r="J50" s="675" t="s">
        <v>1</v>
      </c>
    </row>
    <row r="51" spans="1:10" ht="14.4" customHeight="1" x14ac:dyDescent="0.3">
      <c r="A51" s="671" t="s">
        <v>596</v>
      </c>
      <c r="B51" s="672" t="s">
        <v>375</v>
      </c>
      <c r="C51" s="673">
        <v>13.4604</v>
      </c>
      <c r="D51" s="673">
        <v>46.76932</v>
      </c>
      <c r="E51" s="673"/>
      <c r="F51" s="673">
        <v>54.266660000000002</v>
      </c>
      <c r="G51" s="673">
        <v>46.464421901180998</v>
      </c>
      <c r="H51" s="673">
        <v>7.8022380988190037</v>
      </c>
      <c r="I51" s="674">
        <v>1.1679185445460303</v>
      </c>
      <c r="J51" s="675" t="s">
        <v>1</v>
      </c>
    </row>
    <row r="52" spans="1:10" ht="14.4" customHeight="1" x14ac:dyDescent="0.3">
      <c r="A52" s="671" t="s">
        <v>596</v>
      </c>
      <c r="B52" s="672" t="s">
        <v>598</v>
      </c>
      <c r="C52" s="673">
        <v>459.86037999999996</v>
      </c>
      <c r="D52" s="673">
        <v>474.00876</v>
      </c>
      <c r="E52" s="673"/>
      <c r="F52" s="673">
        <v>436.55912999999998</v>
      </c>
      <c r="G52" s="673">
        <v>461.91498383663361</v>
      </c>
      <c r="H52" s="673">
        <v>-25.355853836633628</v>
      </c>
      <c r="I52" s="674">
        <v>0.94510709822394223</v>
      </c>
      <c r="J52" s="675" t="s">
        <v>591</v>
      </c>
    </row>
    <row r="53" spans="1:10" ht="14.4" customHeight="1" x14ac:dyDescent="0.3">
      <c r="A53" s="671" t="s">
        <v>585</v>
      </c>
      <c r="B53" s="672" t="s">
        <v>585</v>
      </c>
      <c r="C53" s="673" t="s">
        <v>585</v>
      </c>
      <c r="D53" s="673" t="s">
        <v>585</v>
      </c>
      <c r="E53" s="673"/>
      <c r="F53" s="673" t="s">
        <v>585</v>
      </c>
      <c r="G53" s="673" t="s">
        <v>585</v>
      </c>
      <c r="H53" s="673" t="s">
        <v>585</v>
      </c>
      <c r="I53" s="674" t="s">
        <v>585</v>
      </c>
      <c r="J53" s="675" t="s">
        <v>592</v>
      </c>
    </row>
    <row r="54" spans="1:10" ht="14.4" customHeight="1" x14ac:dyDescent="0.3">
      <c r="A54" s="671" t="s">
        <v>1093</v>
      </c>
      <c r="B54" s="672" t="s">
        <v>1094</v>
      </c>
      <c r="C54" s="673" t="s">
        <v>585</v>
      </c>
      <c r="D54" s="673" t="s">
        <v>585</v>
      </c>
      <c r="E54" s="673"/>
      <c r="F54" s="673" t="s">
        <v>585</v>
      </c>
      <c r="G54" s="673" t="s">
        <v>585</v>
      </c>
      <c r="H54" s="673" t="s">
        <v>585</v>
      </c>
      <c r="I54" s="674" t="s">
        <v>585</v>
      </c>
      <c r="J54" s="675" t="s">
        <v>0</v>
      </c>
    </row>
    <row r="55" spans="1:10" ht="14.4" customHeight="1" x14ac:dyDescent="0.3">
      <c r="A55" s="671" t="s">
        <v>1093</v>
      </c>
      <c r="B55" s="672" t="s">
        <v>369</v>
      </c>
      <c r="C55" s="673">
        <v>0</v>
      </c>
      <c r="D55" s="673" t="s">
        <v>585</v>
      </c>
      <c r="E55" s="673"/>
      <c r="F55" s="673" t="s">
        <v>585</v>
      </c>
      <c r="G55" s="673" t="s">
        <v>585</v>
      </c>
      <c r="H55" s="673" t="s">
        <v>585</v>
      </c>
      <c r="I55" s="674" t="s">
        <v>585</v>
      </c>
      <c r="J55" s="675" t="s">
        <v>1</v>
      </c>
    </row>
    <row r="56" spans="1:10" ht="14.4" customHeight="1" x14ac:dyDescent="0.3">
      <c r="A56" s="671" t="s">
        <v>1093</v>
      </c>
      <c r="B56" s="672" t="s">
        <v>1095</v>
      </c>
      <c r="C56" s="673">
        <v>0</v>
      </c>
      <c r="D56" s="673" t="s">
        <v>585</v>
      </c>
      <c r="E56" s="673"/>
      <c r="F56" s="673" t="s">
        <v>585</v>
      </c>
      <c r="G56" s="673" t="s">
        <v>585</v>
      </c>
      <c r="H56" s="673" t="s">
        <v>585</v>
      </c>
      <c r="I56" s="674" t="s">
        <v>585</v>
      </c>
      <c r="J56" s="675" t="s">
        <v>591</v>
      </c>
    </row>
    <row r="57" spans="1:10" ht="14.4" customHeight="1" x14ac:dyDescent="0.3">
      <c r="A57" s="671" t="s">
        <v>585</v>
      </c>
      <c r="B57" s="672" t="s">
        <v>585</v>
      </c>
      <c r="C57" s="673" t="s">
        <v>585</v>
      </c>
      <c r="D57" s="673" t="s">
        <v>585</v>
      </c>
      <c r="E57" s="673"/>
      <c r="F57" s="673" t="s">
        <v>585</v>
      </c>
      <c r="G57" s="673" t="s">
        <v>585</v>
      </c>
      <c r="H57" s="673" t="s">
        <v>585</v>
      </c>
      <c r="I57" s="674" t="s">
        <v>585</v>
      </c>
      <c r="J57" s="675" t="s">
        <v>592</v>
      </c>
    </row>
    <row r="58" spans="1:10" ht="14.4" customHeight="1" x14ac:dyDescent="0.3">
      <c r="A58" s="671" t="s">
        <v>583</v>
      </c>
      <c r="B58" s="672" t="s">
        <v>586</v>
      </c>
      <c r="C58" s="673">
        <v>641.72287000000028</v>
      </c>
      <c r="D58" s="673">
        <v>681.55813000000012</v>
      </c>
      <c r="E58" s="673"/>
      <c r="F58" s="673">
        <v>741.90529000000004</v>
      </c>
      <c r="G58" s="673">
        <v>802.8534537803356</v>
      </c>
      <c r="H58" s="673">
        <v>-60.948163780335562</v>
      </c>
      <c r="I58" s="674">
        <v>0.92408556817766241</v>
      </c>
      <c r="J58" s="675" t="s">
        <v>587</v>
      </c>
    </row>
  </sheetData>
  <mergeCells count="3">
    <mergeCell ref="A1:I1"/>
    <mergeCell ref="F3:I3"/>
    <mergeCell ref="C4:D4"/>
  </mergeCells>
  <conditionalFormatting sqref="F18 F59:F65537">
    <cfRule type="cellIs" dxfId="45" priority="18" stopIfTrue="1" operator="greaterThan">
      <formula>1</formula>
    </cfRule>
  </conditionalFormatting>
  <conditionalFormatting sqref="H5:H17">
    <cfRule type="expression" dxfId="44" priority="14">
      <formula>$H5&gt;0</formula>
    </cfRule>
  </conditionalFormatting>
  <conditionalFormatting sqref="I5:I17">
    <cfRule type="expression" dxfId="43" priority="15">
      <formula>$I5&gt;1</formula>
    </cfRule>
  </conditionalFormatting>
  <conditionalFormatting sqref="B5:B17">
    <cfRule type="expression" dxfId="42" priority="11">
      <formula>OR($J5="NS",$J5="SumaNS",$J5="Účet")</formula>
    </cfRule>
  </conditionalFormatting>
  <conditionalFormatting sqref="F5:I17 B5:D17">
    <cfRule type="expression" dxfId="41" priority="17">
      <formula>AND($J5&lt;&gt;"",$J5&lt;&gt;"mezeraKL")</formula>
    </cfRule>
  </conditionalFormatting>
  <conditionalFormatting sqref="B5:D17 F5:I17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9" priority="13">
      <formula>OR($J5="SumaNS",$J5="NS")</formula>
    </cfRule>
  </conditionalFormatting>
  <conditionalFormatting sqref="A5:A17">
    <cfRule type="expression" dxfId="38" priority="9">
      <formula>AND($J5&lt;&gt;"mezeraKL",$J5&lt;&gt;"")</formula>
    </cfRule>
  </conditionalFormatting>
  <conditionalFormatting sqref="A5:A17">
    <cfRule type="expression" dxfId="37" priority="10">
      <formula>AND($J5&lt;&gt;"",$J5&lt;&gt;"mezeraKL")</formula>
    </cfRule>
  </conditionalFormatting>
  <conditionalFormatting sqref="H19:H58">
    <cfRule type="expression" dxfId="36" priority="5">
      <formula>$H19&gt;0</formula>
    </cfRule>
  </conditionalFormatting>
  <conditionalFormatting sqref="A19:A58">
    <cfRule type="expression" dxfId="35" priority="2">
      <formula>AND($J19&lt;&gt;"mezeraKL",$J19&lt;&gt;"")</formula>
    </cfRule>
  </conditionalFormatting>
  <conditionalFormatting sqref="I19:I58">
    <cfRule type="expression" dxfId="34" priority="6">
      <formula>$I19&gt;1</formula>
    </cfRule>
  </conditionalFormatting>
  <conditionalFormatting sqref="B19:B58">
    <cfRule type="expression" dxfId="33" priority="1">
      <formula>OR($J19="NS",$J19="SumaNS",$J19="Účet")</formula>
    </cfRule>
  </conditionalFormatting>
  <conditionalFormatting sqref="A19:D58 F19:I58">
    <cfRule type="expression" dxfId="32" priority="8">
      <formula>AND($J19&lt;&gt;"",$J19&lt;&gt;"mezeraKL")</formula>
    </cfRule>
  </conditionalFormatting>
  <conditionalFormatting sqref="B19:D58 F19:I58">
    <cfRule type="expression" dxfId="31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8 F19:I58">
    <cfRule type="expression" dxfId="30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7" hidden="1" customWidth="1" outlineLevel="1"/>
    <col min="2" max="2" width="28.33203125" style="237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7"/>
  </cols>
  <sheetData>
    <row r="1" spans="1:11" ht="18.600000000000001" customHeight="1" thickBot="1" x14ac:dyDescent="0.4">
      <c r="A1" s="541" t="s">
        <v>1414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</row>
    <row r="2" spans="1:11" ht="14.4" customHeight="1" thickBot="1" x14ac:dyDescent="0.35">
      <c r="A2" s="360" t="s">
        <v>344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537"/>
      <c r="D3" s="538"/>
      <c r="E3" s="538"/>
      <c r="F3" s="538"/>
      <c r="G3" s="538"/>
      <c r="H3" s="250" t="s">
        <v>151</v>
      </c>
      <c r="I3" s="193">
        <f>IF(J3&lt;&gt;0,K3/J3,0)</f>
        <v>6.5681487317958496</v>
      </c>
      <c r="J3" s="193">
        <f>SUBTOTAL(9,J5:J1048576)</f>
        <v>112955</v>
      </c>
      <c r="K3" s="194">
        <f>SUBTOTAL(9,K5:K1048576)</f>
        <v>741905.24000000022</v>
      </c>
    </row>
    <row r="4" spans="1:11" s="320" customFormat="1" ht="14.4" customHeight="1" thickBot="1" x14ac:dyDescent="0.35">
      <c r="A4" s="676" t="s">
        <v>4</v>
      </c>
      <c r="B4" s="677" t="s">
        <v>5</v>
      </c>
      <c r="C4" s="677" t="s">
        <v>0</v>
      </c>
      <c r="D4" s="677" t="s">
        <v>6</v>
      </c>
      <c r="E4" s="677" t="s">
        <v>7</v>
      </c>
      <c r="F4" s="677" t="s">
        <v>1</v>
      </c>
      <c r="G4" s="677" t="s">
        <v>83</v>
      </c>
      <c r="H4" s="678" t="s">
        <v>11</v>
      </c>
      <c r="I4" s="679" t="s">
        <v>176</v>
      </c>
      <c r="J4" s="679" t="s">
        <v>13</v>
      </c>
      <c r="K4" s="680" t="s">
        <v>192</v>
      </c>
    </row>
    <row r="5" spans="1:11" ht="14.4" customHeight="1" x14ac:dyDescent="0.3">
      <c r="A5" s="681" t="s">
        <v>583</v>
      </c>
      <c r="B5" s="682" t="s">
        <v>584</v>
      </c>
      <c r="C5" s="683" t="s">
        <v>588</v>
      </c>
      <c r="D5" s="684" t="s">
        <v>991</v>
      </c>
      <c r="E5" s="683" t="s">
        <v>1398</v>
      </c>
      <c r="F5" s="684" t="s">
        <v>1399</v>
      </c>
      <c r="G5" s="683" t="s">
        <v>1096</v>
      </c>
      <c r="H5" s="683" t="s">
        <v>1097</v>
      </c>
      <c r="I5" s="685">
        <v>28.74</v>
      </c>
      <c r="J5" s="685">
        <v>8</v>
      </c>
      <c r="K5" s="686">
        <v>229.92</v>
      </c>
    </row>
    <row r="6" spans="1:11" ht="14.4" customHeight="1" x14ac:dyDescent="0.3">
      <c r="A6" s="687" t="s">
        <v>583</v>
      </c>
      <c r="B6" s="688" t="s">
        <v>584</v>
      </c>
      <c r="C6" s="689" t="s">
        <v>588</v>
      </c>
      <c r="D6" s="690" t="s">
        <v>991</v>
      </c>
      <c r="E6" s="689" t="s">
        <v>1398</v>
      </c>
      <c r="F6" s="690" t="s">
        <v>1399</v>
      </c>
      <c r="G6" s="689" t="s">
        <v>1098</v>
      </c>
      <c r="H6" s="689" t="s">
        <v>1099</v>
      </c>
      <c r="I6" s="691">
        <v>1.42</v>
      </c>
      <c r="J6" s="691">
        <v>1600</v>
      </c>
      <c r="K6" s="692">
        <v>2275.2600000000002</v>
      </c>
    </row>
    <row r="7" spans="1:11" ht="14.4" customHeight="1" x14ac:dyDescent="0.3">
      <c r="A7" s="687" t="s">
        <v>583</v>
      </c>
      <c r="B7" s="688" t="s">
        <v>584</v>
      </c>
      <c r="C7" s="689" t="s">
        <v>588</v>
      </c>
      <c r="D7" s="690" t="s">
        <v>991</v>
      </c>
      <c r="E7" s="689" t="s">
        <v>1398</v>
      </c>
      <c r="F7" s="690" t="s">
        <v>1399</v>
      </c>
      <c r="G7" s="689" t="s">
        <v>1100</v>
      </c>
      <c r="H7" s="689" t="s">
        <v>1101</v>
      </c>
      <c r="I7" s="691">
        <v>0.14000000000000001</v>
      </c>
      <c r="J7" s="691">
        <v>1100</v>
      </c>
      <c r="K7" s="692">
        <v>154</v>
      </c>
    </row>
    <row r="8" spans="1:11" ht="14.4" customHeight="1" x14ac:dyDescent="0.3">
      <c r="A8" s="687" t="s">
        <v>583</v>
      </c>
      <c r="B8" s="688" t="s">
        <v>584</v>
      </c>
      <c r="C8" s="689" t="s">
        <v>588</v>
      </c>
      <c r="D8" s="690" t="s">
        <v>991</v>
      </c>
      <c r="E8" s="689" t="s">
        <v>1398</v>
      </c>
      <c r="F8" s="690" t="s">
        <v>1399</v>
      </c>
      <c r="G8" s="689" t="s">
        <v>1102</v>
      </c>
      <c r="H8" s="689" t="s">
        <v>1103</v>
      </c>
      <c r="I8" s="691">
        <v>0.3</v>
      </c>
      <c r="J8" s="691">
        <v>9600</v>
      </c>
      <c r="K8" s="692">
        <v>2838.9</v>
      </c>
    </row>
    <row r="9" spans="1:11" ht="14.4" customHeight="1" x14ac:dyDescent="0.3">
      <c r="A9" s="687" t="s">
        <v>583</v>
      </c>
      <c r="B9" s="688" t="s">
        <v>584</v>
      </c>
      <c r="C9" s="689" t="s">
        <v>588</v>
      </c>
      <c r="D9" s="690" t="s">
        <v>991</v>
      </c>
      <c r="E9" s="689" t="s">
        <v>1398</v>
      </c>
      <c r="F9" s="690" t="s">
        <v>1399</v>
      </c>
      <c r="G9" s="689" t="s">
        <v>1104</v>
      </c>
      <c r="H9" s="689" t="s">
        <v>1105</v>
      </c>
      <c r="I9" s="691">
        <v>790.88</v>
      </c>
      <c r="J9" s="691">
        <v>1</v>
      </c>
      <c r="K9" s="692">
        <v>790.88</v>
      </c>
    </row>
    <row r="10" spans="1:11" ht="14.4" customHeight="1" x14ac:dyDescent="0.3">
      <c r="A10" s="687" t="s">
        <v>583</v>
      </c>
      <c r="B10" s="688" t="s">
        <v>584</v>
      </c>
      <c r="C10" s="689" t="s">
        <v>588</v>
      </c>
      <c r="D10" s="690" t="s">
        <v>991</v>
      </c>
      <c r="E10" s="689" t="s">
        <v>1400</v>
      </c>
      <c r="F10" s="690" t="s">
        <v>1401</v>
      </c>
      <c r="G10" s="689" t="s">
        <v>1106</v>
      </c>
      <c r="H10" s="689" t="s">
        <v>1107</v>
      </c>
      <c r="I10" s="691">
        <v>16.399999999999999</v>
      </c>
      <c r="J10" s="691">
        <v>400</v>
      </c>
      <c r="K10" s="692">
        <v>6558.2</v>
      </c>
    </row>
    <row r="11" spans="1:11" ht="14.4" customHeight="1" x14ac:dyDescent="0.3">
      <c r="A11" s="687" t="s">
        <v>583</v>
      </c>
      <c r="B11" s="688" t="s">
        <v>584</v>
      </c>
      <c r="C11" s="689" t="s">
        <v>588</v>
      </c>
      <c r="D11" s="690" t="s">
        <v>991</v>
      </c>
      <c r="E11" s="689" t="s">
        <v>1400</v>
      </c>
      <c r="F11" s="690" t="s">
        <v>1401</v>
      </c>
      <c r="G11" s="689" t="s">
        <v>1108</v>
      </c>
      <c r="H11" s="689" t="s">
        <v>1109</v>
      </c>
      <c r="I11" s="691">
        <v>15.93</v>
      </c>
      <c r="J11" s="691">
        <v>50</v>
      </c>
      <c r="K11" s="692">
        <v>796.5</v>
      </c>
    </row>
    <row r="12" spans="1:11" ht="14.4" customHeight="1" x14ac:dyDescent="0.3">
      <c r="A12" s="687" t="s">
        <v>583</v>
      </c>
      <c r="B12" s="688" t="s">
        <v>584</v>
      </c>
      <c r="C12" s="689" t="s">
        <v>588</v>
      </c>
      <c r="D12" s="690" t="s">
        <v>991</v>
      </c>
      <c r="E12" s="689" t="s">
        <v>1400</v>
      </c>
      <c r="F12" s="690" t="s">
        <v>1401</v>
      </c>
      <c r="G12" s="689" t="s">
        <v>1110</v>
      </c>
      <c r="H12" s="689" t="s">
        <v>1111</v>
      </c>
      <c r="I12" s="691">
        <v>2.5299999999999998</v>
      </c>
      <c r="J12" s="691">
        <v>150</v>
      </c>
      <c r="K12" s="692">
        <v>379.5</v>
      </c>
    </row>
    <row r="13" spans="1:11" ht="14.4" customHeight="1" x14ac:dyDescent="0.3">
      <c r="A13" s="687" t="s">
        <v>583</v>
      </c>
      <c r="B13" s="688" t="s">
        <v>584</v>
      </c>
      <c r="C13" s="689" t="s">
        <v>588</v>
      </c>
      <c r="D13" s="690" t="s">
        <v>991</v>
      </c>
      <c r="E13" s="689" t="s">
        <v>1400</v>
      </c>
      <c r="F13" s="690" t="s">
        <v>1401</v>
      </c>
      <c r="G13" s="689" t="s">
        <v>1112</v>
      </c>
      <c r="H13" s="689" t="s">
        <v>1113</v>
      </c>
      <c r="I13" s="691">
        <v>2.75</v>
      </c>
      <c r="J13" s="691">
        <v>100</v>
      </c>
      <c r="K13" s="692">
        <v>275</v>
      </c>
    </row>
    <row r="14" spans="1:11" ht="14.4" customHeight="1" x14ac:dyDescent="0.3">
      <c r="A14" s="687" t="s">
        <v>583</v>
      </c>
      <c r="B14" s="688" t="s">
        <v>584</v>
      </c>
      <c r="C14" s="689" t="s">
        <v>588</v>
      </c>
      <c r="D14" s="690" t="s">
        <v>991</v>
      </c>
      <c r="E14" s="689" t="s">
        <v>1400</v>
      </c>
      <c r="F14" s="690" t="s">
        <v>1401</v>
      </c>
      <c r="G14" s="689" t="s">
        <v>1114</v>
      </c>
      <c r="H14" s="689" t="s">
        <v>1115</v>
      </c>
      <c r="I14" s="691">
        <v>4.18</v>
      </c>
      <c r="J14" s="691">
        <v>50</v>
      </c>
      <c r="K14" s="692">
        <v>209</v>
      </c>
    </row>
    <row r="15" spans="1:11" ht="14.4" customHeight="1" x14ac:dyDescent="0.3">
      <c r="A15" s="687" t="s">
        <v>583</v>
      </c>
      <c r="B15" s="688" t="s">
        <v>584</v>
      </c>
      <c r="C15" s="689" t="s">
        <v>588</v>
      </c>
      <c r="D15" s="690" t="s">
        <v>991</v>
      </c>
      <c r="E15" s="689" t="s">
        <v>1400</v>
      </c>
      <c r="F15" s="690" t="s">
        <v>1401</v>
      </c>
      <c r="G15" s="689" t="s">
        <v>1116</v>
      </c>
      <c r="H15" s="689" t="s">
        <v>1117</v>
      </c>
      <c r="I15" s="691">
        <v>1.0950000000000002</v>
      </c>
      <c r="J15" s="691">
        <v>600</v>
      </c>
      <c r="K15" s="692">
        <v>657</v>
      </c>
    </row>
    <row r="16" spans="1:11" ht="14.4" customHeight="1" x14ac:dyDescent="0.3">
      <c r="A16" s="687" t="s">
        <v>583</v>
      </c>
      <c r="B16" s="688" t="s">
        <v>584</v>
      </c>
      <c r="C16" s="689" t="s">
        <v>588</v>
      </c>
      <c r="D16" s="690" t="s">
        <v>991</v>
      </c>
      <c r="E16" s="689" t="s">
        <v>1400</v>
      </c>
      <c r="F16" s="690" t="s">
        <v>1401</v>
      </c>
      <c r="G16" s="689" t="s">
        <v>1118</v>
      </c>
      <c r="H16" s="689" t="s">
        <v>1119</v>
      </c>
      <c r="I16" s="691">
        <v>1.6749999999999998</v>
      </c>
      <c r="J16" s="691">
        <v>1800</v>
      </c>
      <c r="K16" s="692">
        <v>3016</v>
      </c>
    </row>
    <row r="17" spans="1:11" ht="14.4" customHeight="1" x14ac:dyDescent="0.3">
      <c r="A17" s="687" t="s">
        <v>583</v>
      </c>
      <c r="B17" s="688" t="s">
        <v>584</v>
      </c>
      <c r="C17" s="689" t="s">
        <v>588</v>
      </c>
      <c r="D17" s="690" t="s">
        <v>991</v>
      </c>
      <c r="E17" s="689" t="s">
        <v>1400</v>
      </c>
      <c r="F17" s="690" t="s">
        <v>1401</v>
      </c>
      <c r="G17" s="689" t="s">
        <v>1120</v>
      </c>
      <c r="H17" s="689" t="s">
        <v>1121</v>
      </c>
      <c r="I17" s="691">
        <v>0.48</v>
      </c>
      <c r="J17" s="691">
        <v>400</v>
      </c>
      <c r="K17" s="692">
        <v>192</v>
      </c>
    </row>
    <row r="18" spans="1:11" ht="14.4" customHeight="1" x14ac:dyDescent="0.3">
      <c r="A18" s="687" t="s">
        <v>583</v>
      </c>
      <c r="B18" s="688" t="s">
        <v>584</v>
      </c>
      <c r="C18" s="689" t="s">
        <v>588</v>
      </c>
      <c r="D18" s="690" t="s">
        <v>991</v>
      </c>
      <c r="E18" s="689" t="s">
        <v>1400</v>
      </c>
      <c r="F18" s="690" t="s">
        <v>1401</v>
      </c>
      <c r="G18" s="689" t="s">
        <v>1122</v>
      </c>
      <c r="H18" s="689" t="s">
        <v>1123</v>
      </c>
      <c r="I18" s="691">
        <v>0.67</v>
      </c>
      <c r="J18" s="691">
        <v>600</v>
      </c>
      <c r="K18" s="692">
        <v>402</v>
      </c>
    </row>
    <row r="19" spans="1:11" ht="14.4" customHeight="1" x14ac:dyDescent="0.3">
      <c r="A19" s="687" t="s">
        <v>583</v>
      </c>
      <c r="B19" s="688" t="s">
        <v>584</v>
      </c>
      <c r="C19" s="689" t="s">
        <v>588</v>
      </c>
      <c r="D19" s="690" t="s">
        <v>991</v>
      </c>
      <c r="E19" s="689" t="s">
        <v>1400</v>
      </c>
      <c r="F19" s="690" t="s">
        <v>1401</v>
      </c>
      <c r="G19" s="689" t="s">
        <v>1124</v>
      </c>
      <c r="H19" s="689" t="s">
        <v>1125</v>
      </c>
      <c r="I19" s="691">
        <v>3.74</v>
      </c>
      <c r="J19" s="691">
        <v>200</v>
      </c>
      <c r="K19" s="692">
        <v>748</v>
      </c>
    </row>
    <row r="20" spans="1:11" ht="14.4" customHeight="1" x14ac:dyDescent="0.3">
      <c r="A20" s="687" t="s">
        <v>583</v>
      </c>
      <c r="B20" s="688" t="s">
        <v>584</v>
      </c>
      <c r="C20" s="689" t="s">
        <v>588</v>
      </c>
      <c r="D20" s="690" t="s">
        <v>991</v>
      </c>
      <c r="E20" s="689" t="s">
        <v>1400</v>
      </c>
      <c r="F20" s="690" t="s">
        <v>1401</v>
      </c>
      <c r="G20" s="689" t="s">
        <v>1126</v>
      </c>
      <c r="H20" s="689" t="s">
        <v>1127</v>
      </c>
      <c r="I20" s="691">
        <v>25.99</v>
      </c>
      <c r="J20" s="691">
        <v>40</v>
      </c>
      <c r="K20" s="692">
        <v>1039.8</v>
      </c>
    </row>
    <row r="21" spans="1:11" ht="14.4" customHeight="1" x14ac:dyDescent="0.3">
      <c r="A21" s="687" t="s">
        <v>583</v>
      </c>
      <c r="B21" s="688" t="s">
        <v>584</v>
      </c>
      <c r="C21" s="689" t="s">
        <v>588</v>
      </c>
      <c r="D21" s="690" t="s">
        <v>991</v>
      </c>
      <c r="E21" s="689" t="s">
        <v>1400</v>
      </c>
      <c r="F21" s="690" t="s">
        <v>1401</v>
      </c>
      <c r="G21" s="689" t="s">
        <v>1128</v>
      </c>
      <c r="H21" s="689" t="s">
        <v>1129</v>
      </c>
      <c r="I21" s="691">
        <v>9.1449999999999996</v>
      </c>
      <c r="J21" s="691">
        <v>200</v>
      </c>
      <c r="K21" s="692">
        <v>1828.9499999999998</v>
      </c>
    </row>
    <row r="22" spans="1:11" ht="14.4" customHeight="1" x14ac:dyDescent="0.3">
      <c r="A22" s="687" t="s">
        <v>583</v>
      </c>
      <c r="B22" s="688" t="s">
        <v>584</v>
      </c>
      <c r="C22" s="689" t="s">
        <v>588</v>
      </c>
      <c r="D22" s="690" t="s">
        <v>991</v>
      </c>
      <c r="E22" s="689" t="s">
        <v>1400</v>
      </c>
      <c r="F22" s="690" t="s">
        <v>1401</v>
      </c>
      <c r="G22" s="689" t="s">
        <v>1130</v>
      </c>
      <c r="H22" s="689" t="s">
        <v>1131</v>
      </c>
      <c r="I22" s="691">
        <v>4.8</v>
      </c>
      <c r="J22" s="691">
        <v>100</v>
      </c>
      <c r="K22" s="692">
        <v>479.86</v>
      </c>
    </row>
    <row r="23" spans="1:11" ht="14.4" customHeight="1" x14ac:dyDescent="0.3">
      <c r="A23" s="687" t="s">
        <v>583</v>
      </c>
      <c r="B23" s="688" t="s">
        <v>584</v>
      </c>
      <c r="C23" s="689" t="s">
        <v>588</v>
      </c>
      <c r="D23" s="690" t="s">
        <v>991</v>
      </c>
      <c r="E23" s="689" t="s">
        <v>1400</v>
      </c>
      <c r="F23" s="690" t="s">
        <v>1401</v>
      </c>
      <c r="G23" s="689" t="s">
        <v>1132</v>
      </c>
      <c r="H23" s="689" t="s">
        <v>1133</v>
      </c>
      <c r="I23" s="691">
        <v>90.91</v>
      </c>
      <c r="J23" s="691">
        <v>24</v>
      </c>
      <c r="K23" s="692">
        <v>2181.84</v>
      </c>
    </row>
    <row r="24" spans="1:11" ht="14.4" customHeight="1" x14ac:dyDescent="0.3">
      <c r="A24" s="687" t="s">
        <v>583</v>
      </c>
      <c r="B24" s="688" t="s">
        <v>584</v>
      </c>
      <c r="C24" s="689" t="s">
        <v>588</v>
      </c>
      <c r="D24" s="690" t="s">
        <v>991</v>
      </c>
      <c r="E24" s="689" t="s">
        <v>1400</v>
      </c>
      <c r="F24" s="690" t="s">
        <v>1401</v>
      </c>
      <c r="G24" s="689" t="s">
        <v>1134</v>
      </c>
      <c r="H24" s="689" t="s">
        <v>1135</v>
      </c>
      <c r="I24" s="691">
        <v>4.3600000000000003</v>
      </c>
      <c r="J24" s="691">
        <v>60</v>
      </c>
      <c r="K24" s="692">
        <v>261.36</v>
      </c>
    </row>
    <row r="25" spans="1:11" ht="14.4" customHeight="1" x14ac:dyDescent="0.3">
      <c r="A25" s="687" t="s">
        <v>583</v>
      </c>
      <c r="B25" s="688" t="s">
        <v>584</v>
      </c>
      <c r="C25" s="689" t="s">
        <v>588</v>
      </c>
      <c r="D25" s="690" t="s">
        <v>991</v>
      </c>
      <c r="E25" s="689" t="s">
        <v>1400</v>
      </c>
      <c r="F25" s="690" t="s">
        <v>1401</v>
      </c>
      <c r="G25" s="689" t="s">
        <v>1136</v>
      </c>
      <c r="H25" s="689" t="s">
        <v>1137</v>
      </c>
      <c r="I25" s="691">
        <v>11.74</v>
      </c>
      <c r="J25" s="691">
        <v>120</v>
      </c>
      <c r="K25" s="692">
        <v>1408.8</v>
      </c>
    </row>
    <row r="26" spans="1:11" ht="14.4" customHeight="1" x14ac:dyDescent="0.3">
      <c r="A26" s="687" t="s">
        <v>583</v>
      </c>
      <c r="B26" s="688" t="s">
        <v>584</v>
      </c>
      <c r="C26" s="689" t="s">
        <v>588</v>
      </c>
      <c r="D26" s="690" t="s">
        <v>991</v>
      </c>
      <c r="E26" s="689" t="s">
        <v>1400</v>
      </c>
      <c r="F26" s="690" t="s">
        <v>1401</v>
      </c>
      <c r="G26" s="689" t="s">
        <v>1138</v>
      </c>
      <c r="H26" s="689" t="s">
        <v>1139</v>
      </c>
      <c r="I26" s="691">
        <v>0.47</v>
      </c>
      <c r="J26" s="691">
        <v>100</v>
      </c>
      <c r="K26" s="692">
        <v>47</v>
      </c>
    </row>
    <row r="27" spans="1:11" ht="14.4" customHeight="1" x14ac:dyDescent="0.3">
      <c r="A27" s="687" t="s">
        <v>583</v>
      </c>
      <c r="B27" s="688" t="s">
        <v>584</v>
      </c>
      <c r="C27" s="689" t="s">
        <v>588</v>
      </c>
      <c r="D27" s="690" t="s">
        <v>991</v>
      </c>
      <c r="E27" s="689" t="s">
        <v>1400</v>
      </c>
      <c r="F27" s="690" t="s">
        <v>1401</v>
      </c>
      <c r="G27" s="689" t="s">
        <v>1140</v>
      </c>
      <c r="H27" s="689" t="s">
        <v>1141</v>
      </c>
      <c r="I27" s="691">
        <v>9.1999999999999993</v>
      </c>
      <c r="J27" s="691">
        <v>300</v>
      </c>
      <c r="K27" s="692">
        <v>2760</v>
      </c>
    </row>
    <row r="28" spans="1:11" ht="14.4" customHeight="1" x14ac:dyDescent="0.3">
      <c r="A28" s="687" t="s">
        <v>583</v>
      </c>
      <c r="B28" s="688" t="s">
        <v>584</v>
      </c>
      <c r="C28" s="689" t="s">
        <v>588</v>
      </c>
      <c r="D28" s="690" t="s">
        <v>991</v>
      </c>
      <c r="E28" s="689" t="s">
        <v>1400</v>
      </c>
      <c r="F28" s="690" t="s">
        <v>1401</v>
      </c>
      <c r="G28" s="689" t="s">
        <v>1142</v>
      </c>
      <c r="H28" s="689" t="s">
        <v>1143</v>
      </c>
      <c r="I28" s="691">
        <v>172.5</v>
      </c>
      <c r="J28" s="691">
        <v>1</v>
      </c>
      <c r="K28" s="692">
        <v>172.5</v>
      </c>
    </row>
    <row r="29" spans="1:11" ht="14.4" customHeight="1" x14ac:dyDescent="0.3">
      <c r="A29" s="687" t="s">
        <v>583</v>
      </c>
      <c r="B29" s="688" t="s">
        <v>584</v>
      </c>
      <c r="C29" s="689" t="s">
        <v>588</v>
      </c>
      <c r="D29" s="690" t="s">
        <v>991</v>
      </c>
      <c r="E29" s="689" t="s">
        <v>1400</v>
      </c>
      <c r="F29" s="690" t="s">
        <v>1401</v>
      </c>
      <c r="G29" s="689" t="s">
        <v>1144</v>
      </c>
      <c r="H29" s="689" t="s">
        <v>1145</v>
      </c>
      <c r="I29" s="691">
        <v>10.83</v>
      </c>
      <c r="J29" s="691">
        <v>60</v>
      </c>
      <c r="K29" s="692">
        <v>649.70000000000005</v>
      </c>
    </row>
    <row r="30" spans="1:11" ht="14.4" customHeight="1" x14ac:dyDescent="0.3">
      <c r="A30" s="687" t="s">
        <v>583</v>
      </c>
      <c r="B30" s="688" t="s">
        <v>584</v>
      </c>
      <c r="C30" s="689" t="s">
        <v>588</v>
      </c>
      <c r="D30" s="690" t="s">
        <v>991</v>
      </c>
      <c r="E30" s="689" t="s">
        <v>1400</v>
      </c>
      <c r="F30" s="690" t="s">
        <v>1401</v>
      </c>
      <c r="G30" s="689" t="s">
        <v>1146</v>
      </c>
      <c r="H30" s="689" t="s">
        <v>1147</v>
      </c>
      <c r="I30" s="691">
        <v>527.99</v>
      </c>
      <c r="J30" s="691">
        <v>40</v>
      </c>
      <c r="K30" s="692">
        <v>21119.41</v>
      </c>
    </row>
    <row r="31" spans="1:11" ht="14.4" customHeight="1" x14ac:dyDescent="0.3">
      <c r="A31" s="687" t="s">
        <v>583</v>
      </c>
      <c r="B31" s="688" t="s">
        <v>584</v>
      </c>
      <c r="C31" s="689" t="s">
        <v>588</v>
      </c>
      <c r="D31" s="690" t="s">
        <v>991</v>
      </c>
      <c r="E31" s="689" t="s">
        <v>1400</v>
      </c>
      <c r="F31" s="690" t="s">
        <v>1401</v>
      </c>
      <c r="G31" s="689" t="s">
        <v>1148</v>
      </c>
      <c r="H31" s="689" t="s">
        <v>1149</v>
      </c>
      <c r="I31" s="691">
        <v>5</v>
      </c>
      <c r="J31" s="691">
        <v>100</v>
      </c>
      <c r="K31" s="692">
        <v>500</v>
      </c>
    </row>
    <row r="32" spans="1:11" ht="14.4" customHeight="1" x14ac:dyDescent="0.3">
      <c r="A32" s="687" t="s">
        <v>583</v>
      </c>
      <c r="B32" s="688" t="s">
        <v>584</v>
      </c>
      <c r="C32" s="689" t="s">
        <v>588</v>
      </c>
      <c r="D32" s="690" t="s">
        <v>991</v>
      </c>
      <c r="E32" s="689" t="s">
        <v>1400</v>
      </c>
      <c r="F32" s="690" t="s">
        <v>1401</v>
      </c>
      <c r="G32" s="689" t="s">
        <v>1150</v>
      </c>
      <c r="H32" s="689" t="s">
        <v>1151</v>
      </c>
      <c r="I32" s="691">
        <v>156.09</v>
      </c>
      <c r="J32" s="691">
        <v>10</v>
      </c>
      <c r="K32" s="692">
        <v>1560.9</v>
      </c>
    </row>
    <row r="33" spans="1:11" ht="14.4" customHeight="1" x14ac:dyDescent="0.3">
      <c r="A33" s="687" t="s">
        <v>583</v>
      </c>
      <c r="B33" s="688" t="s">
        <v>584</v>
      </c>
      <c r="C33" s="689" t="s">
        <v>588</v>
      </c>
      <c r="D33" s="690" t="s">
        <v>991</v>
      </c>
      <c r="E33" s="689" t="s">
        <v>1400</v>
      </c>
      <c r="F33" s="690" t="s">
        <v>1401</v>
      </c>
      <c r="G33" s="689" t="s">
        <v>1152</v>
      </c>
      <c r="H33" s="689" t="s">
        <v>1153</v>
      </c>
      <c r="I33" s="691">
        <v>27.83</v>
      </c>
      <c r="J33" s="691">
        <v>10</v>
      </c>
      <c r="K33" s="692">
        <v>278.3</v>
      </c>
    </row>
    <row r="34" spans="1:11" ht="14.4" customHeight="1" x14ac:dyDescent="0.3">
      <c r="A34" s="687" t="s">
        <v>583</v>
      </c>
      <c r="B34" s="688" t="s">
        <v>584</v>
      </c>
      <c r="C34" s="689" t="s">
        <v>588</v>
      </c>
      <c r="D34" s="690" t="s">
        <v>991</v>
      </c>
      <c r="E34" s="689" t="s">
        <v>1400</v>
      </c>
      <c r="F34" s="690" t="s">
        <v>1401</v>
      </c>
      <c r="G34" s="689" t="s">
        <v>1154</v>
      </c>
      <c r="H34" s="689" t="s">
        <v>1155</v>
      </c>
      <c r="I34" s="691">
        <v>209</v>
      </c>
      <c r="J34" s="691">
        <v>5</v>
      </c>
      <c r="K34" s="692">
        <v>1045.02</v>
      </c>
    </row>
    <row r="35" spans="1:11" ht="14.4" customHeight="1" x14ac:dyDescent="0.3">
      <c r="A35" s="687" t="s">
        <v>583</v>
      </c>
      <c r="B35" s="688" t="s">
        <v>584</v>
      </c>
      <c r="C35" s="689" t="s">
        <v>588</v>
      </c>
      <c r="D35" s="690" t="s">
        <v>991</v>
      </c>
      <c r="E35" s="689" t="s">
        <v>1400</v>
      </c>
      <c r="F35" s="690" t="s">
        <v>1401</v>
      </c>
      <c r="G35" s="689" t="s">
        <v>1156</v>
      </c>
      <c r="H35" s="689" t="s">
        <v>1157</v>
      </c>
      <c r="I35" s="691">
        <v>27.83</v>
      </c>
      <c r="J35" s="691">
        <v>10</v>
      </c>
      <c r="K35" s="692">
        <v>278.3</v>
      </c>
    </row>
    <row r="36" spans="1:11" ht="14.4" customHeight="1" x14ac:dyDescent="0.3">
      <c r="A36" s="687" t="s">
        <v>583</v>
      </c>
      <c r="B36" s="688" t="s">
        <v>584</v>
      </c>
      <c r="C36" s="689" t="s">
        <v>588</v>
      </c>
      <c r="D36" s="690" t="s">
        <v>991</v>
      </c>
      <c r="E36" s="689" t="s">
        <v>1400</v>
      </c>
      <c r="F36" s="690" t="s">
        <v>1401</v>
      </c>
      <c r="G36" s="689" t="s">
        <v>1158</v>
      </c>
      <c r="H36" s="689" t="s">
        <v>1159</v>
      </c>
      <c r="I36" s="691">
        <v>1.05</v>
      </c>
      <c r="J36" s="691">
        <v>300</v>
      </c>
      <c r="K36" s="692">
        <v>315</v>
      </c>
    </row>
    <row r="37" spans="1:11" ht="14.4" customHeight="1" x14ac:dyDescent="0.3">
      <c r="A37" s="687" t="s">
        <v>583</v>
      </c>
      <c r="B37" s="688" t="s">
        <v>584</v>
      </c>
      <c r="C37" s="689" t="s">
        <v>588</v>
      </c>
      <c r="D37" s="690" t="s">
        <v>991</v>
      </c>
      <c r="E37" s="689" t="s">
        <v>1400</v>
      </c>
      <c r="F37" s="690" t="s">
        <v>1401</v>
      </c>
      <c r="G37" s="689" t="s">
        <v>1160</v>
      </c>
      <c r="H37" s="689" t="s">
        <v>1161</v>
      </c>
      <c r="I37" s="691">
        <v>27.83</v>
      </c>
      <c r="J37" s="691">
        <v>10</v>
      </c>
      <c r="K37" s="692">
        <v>278.3</v>
      </c>
    </row>
    <row r="38" spans="1:11" ht="14.4" customHeight="1" x14ac:dyDescent="0.3">
      <c r="A38" s="687" t="s">
        <v>583</v>
      </c>
      <c r="B38" s="688" t="s">
        <v>584</v>
      </c>
      <c r="C38" s="689" t="s">
        <v>588</v>
      </c>
      <c r="D38" s="690" t="s">
        <v>991</v>
      </c>
      <c r="E38" s="689" t="s">
        <v>1400</v>
      </c>
      <c r="F38" s="690" t="s">
        <v>1401</v>
      </c>
      <c r="G38" s="689" t="s">
        <v>1162</v>
      </c>
      <c r="H38" s="689" t="s">
        <v>1163</v>
      </c>
      <c r="I38" s="691">
        <v>27.83</v>
      </c>
      <c r="J38" s="691">
        <v>10</v>
      </c>
      <c r="K38" s="692">
        <v>278.3</v>
      </c>
    </row>
    <row r="39" spans="1:11" ht="14.4" customHeight="1" x14ac:dyDescent="0.3">
      <c r="A39" s="687" t="s">
        <v>583</v>
      </c>
      <c r="B39" s="688" t="s">
        <v>584</v>
      </c>
      <c r="C39" s="689" t="s">
        <v>588</v>
      </c>
      <c r="D39" s="690" t="s">
        <v>991</v>
      </c>
      <c r="E39" s="689" t="s">
        <v>1400</v>
      </c>
      <c r="F39" s="690" t="s">
        <v>1401</v>
      </c>
      <c r="G39" s="689" t="s">
        <v>1164</v>
      </c>
      <c r="H39" s="689" t="s">
        <v>1165</v>
      </c>
      <c r="I39" s="691">
        <v>1.87</v>
      </c>
      <c r="J39" s="691">
        <v>600</v>
      </c>
      <c r="K39" s="692">
        <v>1124.6999999999998</v>
      </c>
    </row>
    <row r="40" spans="1:11" ht="14.4" customHeight="1" x14ac:dyDescent="0.3">
      <c r="A40" s="687" t="s">
        <v>583</v>
      </c>
      <c r="B40" s="688" t="s">
        <v>584</v>
      </c>
      <c r="C40" s="689" t="s">
        <v>588</v>
      </c>
      <c r="D40" s="690" t="s">
        <v>991</v>
      </c>
      <c r="E40" s="689" t="s">
        <v>1400</v>
      </c>
      <c r="F40" s="690" t="s">
        <v>1401</v>
      </c>
      <c r="G40" s="689" t="s">
        <v>1166</v>
      </c>
      <c r="H40" s="689" t="s">
        <v>1167</v>
      </c>
      <c r="I40" s="691">
        <v>1.8733333333333333</v>
      </c>
      <c r="J40" s="691">
        <v>1000</v>
      </c>
      <c r="K40" s="692">
        <v>1872.15</v>
      </c>
    </row>
    <row r="41" spans="1:11" ht="14.4" customHeight="1" x14ac:dyDescent="0.3">
      <c r="A41" s="687" t="s">
        <v>583</v>
      </c>
      <c r="B41" s="688" t="s">
        <v>584</v>
      </c>
      <c r="C41" s="689" t="s">
        <v>588</v>
      </c>
      <c r="D41" s="690" t="s">
        <v>991</v>
      </c>
      <c r="E41" s="689" t="s">
        <v>1400</v>
      </c>
      <c r="F41" s="690" t="s">
        <v>1401</v>
      </c>
      <c r="G41" s="689" t="s">
        <v>1168</v>
      </c>
      <c r="H41" s="689" t="s">
        <v>1169</v>
      </c>
      <c r="I41" s="691">
        <v>310.69</v>
      </c>
      <c r="J41" s="691">
        <v>5</v>
      </c>
      <c r="K41" s="692">
        <v>1553.43</v>
      </c>
    </row>
    <row r="42" spans="1:11" ht="14.4" customHeight="1" x14ac:dyDescent="0.3">
      <c r="A42" s="687" t="s">
        <v>583</v>
      </c>
      <c r="B42" s="688" t="s">
        <v>584</v>
      </c>
      <c r="C42" s="689" t="s">
        <v>588</v>
      </c>
      <c r="D42" s="690" t="s">
        <v>991</v>
      </c>
      <c r="E42" s="689" t="s">
        <v>1400</v>
      </c>
      <c r="F42" s="690" t="s">
        <v>1401</v>
      </c>
      <c r="G42" s="689" t="s">
        <v>1170</v>
      </c>
      <c r="H42" s="689" t="s">
        <v>1171</v>
      </c>
      <c r="I42" s="691">
        <v>399</v>
      </c>
      <c r="J42" s="691">
        <v>4</v>
      </c>
      <c r="K42" s="692">
        <v>1596</v>
      </c>
    </row>
    <row r="43" spans="1:11" ht="14.4" customHeight="1" x14ac:dyDescent="0.3">
      <c r="A43" s="687" t="s">
        <v>583</v>
      </c>
      <c r="B43" s="688" t="s">
        <v>584</v>
      </c>
      <c r="C43" s="689" t="s">
        <v>588</v>
      </c>
      <c r="D43" s="690" t="s">
        <v>991</v>
      </c>
      <c r="E43" s="689" t="s">
        <v>1402</v>
      </c>
      <c r="F43" s="690" t="s">
        <v>1403</v>
      </c>
      <c r="G43" s="689" t="s">
        <v>1172</v>
      </c>
      <c r="H43" s="689" t="s">
        <v>1173</v>
      </c>
      <c r="I43" s="691">
        <v>0.31</v>
      </c>
      <c r="J43" s="691">
        <v>300</v>
      </c>
      <c r="K43" s="692">
        <v>93</v>
      </c>
    </row>
    <row r="44" spans="1:11" ht="14.4" customHeight="1" x14ac:dyDescent="0.3">
      <c r="A44" s="687" t="s">
        <v>583</v>
      </c>
      <c r="B44" s="688" t="s">
        <v>584</v>
      </c>
      <c r="C44" s="689" t="s">
        <v>588</v>
      </c>
      <c r="D44" s="690" t="s">
        <v>991</v>
      </c>
      <c r="E44" s="689" t="s">
        <v>1402</v>
      </c>
      <c r="F44" s="690" t="s">
        <v>1403</v>
      </c>
      <c r="G44" s="689" t="s">
        <v>1174</v>
      </c>
      <c r="H44" s="689" t="s">
        <v>1175</v>
      </c>
      <c r="I44" s="691">
        <v>0.49</v>
      </c>
      <c r="J44" s="691">
        <v>100</v>
      </c>
      <c r="K44" s="692">
        <v>49</v>
      </c>
    </row>
    <row r="45" spans="1:11" ht="14.4" customHeight="1" x14ac:dyDescent="0.3">
      <c r="A45" s="687" t="s">
        <v>583</v>
      </c>
      <c r="B45" s="688" t="s">
        <v>584</v>
      </c>
      <c r="C45" s="689" t="s">
        <v>588</v>
      </c>
      <c r="D45" s="690" t="s">
        <v>991</v>
      </c>
      <c r="E45" s="689" t="s">
        <v>1404</v>
      </c>
      <c r="F45" s="690" t="s">
        <v>1405</v>
      </c>
      <c r="G45" s="689" t="s">
        <v>1176</v>
      </c>
      <c r="H45" s="689" t="s">
        <v>1177</v>
      </c>
      <c r="I45" s="691">
        <v>0.69</v>
      </c>
      <c r="J45" s="691">
        <v>4200</v>
      </c>
      <c r="K45" s="692">
        <v>2898</v>
      </c>
    </row>
    <row r="46" spans="1:11" ht="14.4" customHeight="1" x14ac:dyDescent="0.3">
      <c r="A46" s="687" t="s">
        <v>583</v>
      </c>
      <c r="B46" s="688" t="s">
        <v>584</v>
      </c>
      <c r="C46" s="689" t="s">
        <v>588</v>
      </c>
      <c r="D46" s="690" t="s">
        <v>991</v>
      </c>
      <c r="E46" s="689" t="s">
        <v>1404</v>
      </c>
      <c r="F46" s="690" t="s">
        <v>1405</v>
      </c>
      <c r="G46" s="689" t="s">
        <v>1178</v>
      </c>
      <c r="H46" s="689" t="s">
        <v>1179</v>
      </c>
      <c r="I46" s="691">
        <v>11.15</v>
      </c>
      <c r="J46" s="691">
        <v>100</v>
      </c>
      <c r="K46" s="692">
        <v>1115</v>
      </c>
    </row>
    <row r="47" spans="1:11" ht="14.4" customHeight="1" x14ac:dyDescent="0.3">
      <c r="A47" s="687" t="s">
        <v>583</v>
      </c>
      <c r="B47" s="688" t="s">
        <v>584</v>
      </c>
      <c r="C47" s="689" t="s">
        <v>588</v>
      </c>
      <c r="D47" s="690" t="s">
        <v>991</v>
      </c>
      <c r="E47" s="689" t="s">
        <v>1404</v>
      </c>
      <c r="F47" s="690" t="s">
        <v>1405</v>
      </c>
      <c r="G47" s="689" t="s">
        <v>1180</v>
      </c>
      <c r="H47" s="689" t="s">
        <v>1181</v>
      </c>
      <c r="I47" s="691">
        <v>9.44</v>
      </c>
      <c r="J47" s="691">
        <v>100</v>
      </c>
      <c r="K47" s="692">
        <v>944</v>
      </c>
    </row>
    <row r="48" spans="1:11" ht="14.4" customHeight="1" x14ac:dyDescent="0.3">
      <c r="A48" s="687" t="s">
        <v>583</v>
      </c>
      <c r="B48" s="688" t="s">
        <v>584</v>
      </c>
      <c r="C48" s="689" t="s">
        <v>588</v>
      </c>
      <c r="D48" s="690" t="s">
        <v>991</v>
      </c>
      <c r="E48" s="689" t="s">
        <v>1406</v>
      </c>
      <c r="F48" s="690" t="s">
        <v>1407</v>
      </c>
      <c r="G48" s="689" t="s">
        <v>1182</v>
      </c>
      <c r="H48" s="689" t="s">
        <v>1183</v>
      </c>
      <c r="I48" s="691">
        <v>2210.7199999999998</v>
      </c>
      <c r="J48" s="691">
        <v>1</v>
      </c>
      <c r="K48" s="692">
        <v>2210.7199999999998</v>
      </c>
    </row>
    <row r="49" spans="1:11" ht="14.4" customHeight="1" x14ac:dyDescent="0.3">
      <c r="A49" s="687" t="s">
        <v>583</v>
      </c>
      <c r="B49" s="688" t="s">
        <v>584</v>
      </c>
      <c r="C49" s="689" t="s">
        <v>588</v>
      </c>
      <c r="D49" s="690" t="s">
        <v>991</v>
      </c>
      <c r="E49" s="689" t="s">
        <v>1406</v>
      </c>
      <c r="F49" s="690" t="s">
        <v>1407</v>
      </c>
      <c r="G49" s="689" t="s">
        <v>1184</v>
      </c>
      <c r="H49" s="689" t="s">
        <v>1185</v>
      </c>
      <c r="I49" s="691">
        <v>4627.5</v>
      </c>
      <c r="J49" s="691">
        <v>4</v>
      </c>
      <c r="K49" s="692">
        <v>18510</v>
      </c>
    </row>
    <row r="50" spans="1:11" ht="14.4" customHeight="1" x14ac:dyDescent="0.3">
      <c r="A50" s="687" t="s">
        <v>583</v>
      </c>
      <c r="B50" s="688" t="s">
        <v>584</v>
      </c>
      <c r="C50" s="689" t="s">
        <v>593</v>
      </c>
      <c r="D50" s="690" t="s">
        <v>992</v>
      </c>
      <c r="E50" s="689" t="s">
        <v>1398</v>
      </c>
      <c r="F50" s="690" t="s">
        <v>1399</v>
      </c>
      <c r="G50" s="689" t="s">
        <v>1186</v>
      </c>
      <c r="H50" s="689" t="s">
        <v>1187</v>
      </c>
      <c r="I50" s="691">
        <v>4.3</v>
      </c>
      <c r="J50" s="691">
        <v>24</v>
      </c>
      <c r="K50" s="692">
        <v>103.2</v>
      </c>
    </row>
    <row r="51" spans="1:11" ht="14.4" customHeight="1" x14ac:dyDescent="0.3">
      <c r="A51" s="687" t="s">
        <v>583</v>
      </c>
      <c r="B51" s="688" t="s">
        <v>584</v>
      </c>
      <c r="C51" s="689" t="s">
        <v>593</v>
      </c>
      <c r="D51" s="690" t="s">
        <v>992</v>
      </c>
      <c r="E51" s="689" t="s">
        <v>1398</v>
      </c>
      <c r="F51" s="690" t="s">
        <v>1399</v>
      </c>
      <c r="G51" s="689" t="s">
        <v>1188</v>
      </c>
      <c r="H51" s="689" t="s">
        <v>1189</v>
      </c>
      <c r="I51" s="691">
        <v>0.32</v>
      </c>
      <c r="J51" s="691">
        <v>1800</v>
      </c>
      <c r="K51" s="692">
        <v>575.73</v>
      </c>
    </row>
    <row r="52" spans="1:11" ht="14.4" customHeight="1" x14ac:dyDescent="0.3">
      <c r="A52" s="687" t="s">
        <v>583</v>
      </c>
      <c r="B52" s="688" t="s">
        <v>584</v>
      </c>
      <c r="C52" s="689" t="s">
        <v>593</v>
      </c>
      <c r="D52" s="690" t="s">
        <v>992</v>
      </c>
      <c r="E52" s="689" t="s">
        <v>1398</v>
      </c>
      <c r="F52" s="690" t="s">
        <v>1399</v>
      </c>
      <c r="G52" s="689" t="s">
        <v>1190</v>
      </c>
      <c r="H52" s="689" t="s">
        <v>1191</v>
      </c>
      <c r="I52" s="691">
        <v>2.96</v>
      </c>
      <c r="J52" s="691">
        <v>100</v>
      </c>
      <c r="K52" s="692">
        <v>296</v>
      </c>
    </row>
    <row r="53" spans="1:11" ht="14.4" customHeight="1" x14ac:dyDescent="0.3">
      <c r="A53" s="687" t="s">
        <v>583</v>
      </c>
      <c r="B53" s="688" t="s">
        <v>584</v>
      </c>
      <c r="C53" s="689" t="s">
        <v>593</v>
      </c>
      <c r="D53" s="690" t="s">
        <v>992</v>
      </c>
      <c r="E53" s="689" t="s">
        <v>1398</v>
      </c>
      <c r="F53" s="690" t="s">
        <v>1399</v>
      </c>
      <c r="G53" s="689" t="s">
        <v>1192</v>
      </c>
      <c r="H53" s="689" t="s">
        <v>1193</v>
      </c>
      <c r="I53" s="691">
        <v>1.29</v>
      </c>
      <c r="J53" s="691">
        <v>300</v>
      </c>
      <c r="K53" s="692">
        <v>387</v>
      </c>
    </row>
    <row r="54" spans="1:11" ht="14.4" customHeight="1" x14ac:dyDescent="0.3">
      <c r="A54" s="687" t="s">
        <v>583</v>
      </c>
      <c r="B54" s="688" t="s">
        <v>584</v>
      </c>
      <c r="C54" s="689" t="s">
        <v>593</v>
      </c>
      <c r="D54" s="690" t="s">
        <v>992</v>
      </c>
      <c r="E54" s="689" t="s">
        <v>1398</v>
      </c>
      <c r="F54" s="690" t="s">
        <v>1399</v>
      </c>
      <c r="G54" s="689" t="s">
        <v>1194</v>
      </c>
      <c r="H54" s="689" t="s">
        <v>1195</v>
      </c>
      <c r="I54" s="691">
        <v>0.3</v>
      </c>
      <c r="J54" s="691">
        <v>250</v>
      </c>
      <c r="K54" s="692">
        <v>75.8</v>
      </c>
    </row>
    <row r="55" spans="1:11" ht="14.4" customHeight="1" x14ac:dyDescent="0.3">
      <c r="A55" s="687" t="s">
        <v>583</v>
      </c>
      <c r="B55" s="688" t="s">
        <v>584</v>
      </c>
      <c r="C55" s="689" t="s">
        <v>593</v>
      </c>
      <c r="D55" s="690" t="s">
        <v>992</v>
      </c>
      <c r="E55" s="689" t="s">
        <v>1398</v>
      </c>
      <c r="F55" s="690" t="s">
        <v>1399</v>
      </c>
      <c r="G55" s="689" t="s">
        <v>1196</v>
      </c>
      <c r="H55" s="689" t="s">
        <v>1197</v>
      </c>
      <c r="I55" s="691">
        <v>13.15</v>
      </c>
      <c r="J55" s="691">
        <v>24</v>
      </c>
      <c r="K55" s="692">
        <v>315.60000000000002</v>
      </c>
    </row>
    <row r="56" spans="1:11" ht="14.4" customHeight="1" x14ac:dyDescent="0.3">
      <c r="A56" s="687" t="s">
        <v>583</v>
      </c>
      <c r="B56" s="688" t="s">
        <v>584</v>
      </c>
      <c r="C56" s="689" t="s">
        <v>593</v>
      </c>
      <c r="D56" s="690" t="s">
        <v>992</v>
      </c>
      <c r="E56" s="689" t="s">
        <v>1398</v>
      </c>
      <c r="F56" s="690" t="s">
        <v>1399</v>
      </c>
      <c r="G56" s="689" t="s">
        <v>1102</v>
      </c>
      <c r="H56" s="689" t="s">
        <v>1103</v>
      </c>
      <c r="I56" s="691">
        <v>0.3</v>
      </c>
      <c r="J56" s="691">
        <v>4800</v>
      </c>
      <c r="K56" s="692">
        <v>1440</v>
      </c>
    </row>
    <row r="57" spans="1:11" ht="14.4" customHeight="1" x14ac:dyDescent="0.3">
      <c r="A57" s="687" t="s">
        <v>583</v>
      </c>
      <c r="B57" s="688" t="s">
        <v>584</v>
      </c>
      <c r="C57" s="689" t="s">
        <v>593</v>
      </c>
      <c r="D57" s="690" t="s">
        <v>992</v>
      </c>
      <c r="E57" s="689" t="s">
        <v>1398</v>
      </c>
      <c r="F57" s="690" t="s">
        <v>1399</v>
      </c>
      <c r="G57" s="689" t="s">
        <v>1198</v>
      </c>
      <c r="H57" s="689" t="s">
        <v>1199</v>
      </c>
      <c r="I57" s="691">
        <v>5.17</v>
      </c>
      <c r="J57" s="691">
        <v>400</v>
      </c>
      <c r="K57" s="692">
        <v>2069.5</v>
      </c>
    </row>
    <row r="58" spans="1:11" ht="14.4" customHeight="1" x14ac:dyDescent="0.3">
      <c r="A58" s="687" t="s">
        <v>583</v>
      </c>
      <c r="B58" s="688" t="s">
        <v>584</v>
      </c>
      <c r="C58" s="689" t="s">
        <v>593</v>
      </c>
      <c r="D58" s="690" t="s">
        <v>992</v>
      </c>
      <c r="E58" s="689" t="s">
        <v>1400</v>
      </c>
      <c r="F58" s="690" t="s">
        <v>1401</v>
      </c>
      <c r="G58" s="689" t="s">
        <v>1106</v>
      </c>
      <c r="H58" s="689" t="s">
        <v>1107</v>
      </c>
      <c r="I58" s="691">
        <v>16.399999999999999</v>
      </c>
      <c r="J58" s="691">
        <v>400</v>
      </c>
      <c r="K58" s="692">
        <v>6560</v>
      </c>
    </row>
    <row r="59" spans="1:11" ht="14.4" customHeight="1" x14ac:dyDescent="0.3">
      <c r="A59" s="687" t="s">
        <v>583</v>
      </c>
      <c r="B59" s="688" t="s">
        <v>584</v>
      </c>
      <c r="C59" s="689" t="s">
        <v>593</v>
      </c>
      <c r="D59" s="690" t="s">
        <v>992</v>
      </c>
      <c r="E59" s="689" t="s">
        <v>1400</v>
      </c>
      <c r="F59" s="690" t="s">
        <v>1401</v>
      </c>
      <c r="G59" s="689" t="s">
        <v>1200</v>
      </c>
      <c r="H59" s="689" t="s">
        <v>1201</v>
      </c>
      <c r="I59" s="691">
        <v>1.42</v>
      </c>
      <c r="J59" s="691">
        <v>400</v>
      </c>
      <c r="K59" s="692">
        <v>569.29999999999995</v>
      </c>
    </row>
    <row r="60" spans="1:11" ht="14.4" customHeight="1" x14ac:dyDescent="0.3">
      <c r="A60" s="687" t="s">
        <v>583</v>
      </c>
      <c r="B60" s="688" t="s">
        <v>584</v>
      </c>
      <c r="C60" s="689" t="s">
        <v>593</v>
      </c>
      <c r="D60" s="690" t="s">
        <v>992</v>
      </c>
      <c r="E60" s="689" t="s">
        <v>1400</v>
      </c>
      <c r="F60" s="690" t="s">
        <v>1401</v>
      </c>
      <c r="G60" s="689" t="s">
        <v>1108</v>
      </c>
      <c r="H60" s="689" t="s">
        <v>1109</v>
      </c>
      <c r="I60" s="691">
        <v>15.92</v>
      </c>
      <c r="J60" s="691">
        <v>150</v>
      </c>
      <c r="K60" s="692">
        <v>2388</v>
      </c>
    </row>
    <row r="61" spans="1:11" ht="14.4" customHeight="1" x14ac:dyDescent="0.3">
      <c r="A61" s="687" t="s">
        <v>583</v>
      </c>
      <c r="B61" s="688" t="s">
        <v>584</v>
      </c>
      <c r="C61" s="689" t="s">
        <v>593</v>
      </c>
      <c r="D61" s="690" t="s">
        <v>992</v>
      </c>
      <c r="E61" s="689" t="s">
        <v>1400</v>
      </c>
      <c r="F61" s="690" t="s">
        <v>1401</v>
      </c>
      <c r="G61" s="689" t="s">
        <v>1110</v>
      </c>
      <c r="H61" s="689" t="s">
        <v>1111</v>
      </c>
      <c r="I61" s="691">
        <v>2.5299999999999998</v>
      </c>
      <c r="J61" s="691">
        <v>100</v>
      </c>
      <c r="K61" s="692">
        <v>253</v>
      </c>
    </row>
    <row r="62" spans="1:11" ht="14.4" customHeight="1" x14ac:dyDescent="0.3">
      <c r="A62" s="687" t="s">
        <v>583</v>
      </c>
      <c r="B62" s="688" t="s">
        <v>584</v>
      </c>
      <c r="C62" s="689" t="s">
        <v>593</v>
      </c>
      <c r="D62" s="690" t="s">
        <v>992</v>
      </c>
      <c r="E62" s="689" t="s">
        <v>1400</v>
      </c>
      <c r="F62" s="690" t="s">
        <v>1401</v>
      </c>
      <c r="G62" s="689" t="s">
        <v>1202</v>
      </c>
      <c r="H62" s="689" t="s">
        <v>1203</v>
      </c>
      <c r="I62" s="691">
        <v>30.25</v>
      </c>
      <c r="J62" s="691">
        <v>50</v>
      </c>
      <c r="K62" s="692">
        <v>1512.5</v>
      </c>
    </row>
    <row r="63" spans="1:11" ht="14.4" customHeight="1" x14ac:dyDescent="0.3">
      <c r="A63" s="687" t="s">
        <v>583</v>
      </c>
      <c r="B63" s="688" t="s">
        <v>584</v>
      </c>
      <c r="C63" s="689" t="s">
        <v>593</v>
      </c>
      <c r="D63" s="690" t="s">
        <v>992</v>
      </c>
      <c r="E63" s="689" t="s">
        <v>1400</v>
      </c>
      <c r="F63" s="690" t="s">
        <v>1401</v>
      </c>
      <c r="G63" s="689" t="s">
        <v>1112</v>
      </c>
      <c r="H63" s="689" t="s">
        <v>1113</v>
      </c>
      <c r="I63" s="691">
        <v>2.75</v>
      </c>
      <c r="J63" s="691">
        <v>100</v>
      </c>
      <c r="K63" s="692">
        <v>275</v>
      </c>
    </row>
    <row r="64" spans="1:11" ht="14.4" customHeight="1" x14ac:dyDescent="0.3">
      <c r="A64" s="687" t="s">
        <v>583</v>
      </c>
      <c r="B64" s="688" t="s">
        <v>584</v>
      </c>
      <c r="C64" s="689" t="s">
        <v>593</v>
      </c>
      <c r="D64" s="690" t="s">
        <v>992</v>
      </c>
      <c r="E64" s="689" t="s">
        <v>1400</v>
      </c>
      <c r="F64" s="690" t="s">
        <v>1401</v>
      </c>
      <c r="G64" s="689" t="s">
        <v>1114</v>
      </c>
      <c r="H64" s="689" t="s">
        <v>1115</v>
      </c>
      <c r="I64" s="691">
        <v>4.1900000000000004</v>
      </c>
      <c r="J64" s="691">
        <v>50</v>
      </c>
      <c r="K64" s="692">
        <v>209.5</v>
      </c>
    </row>
    <row r="65" spans="1:11" ht="14.4" customHeight="1" x14ac:dyDescent="0.3">
      <c r="A65" s="687" t="s">
        <v>583</v>
      </c>
      <c r="B65" s="688" t="s">
        <v>584</v>
      </c>
      <c r="C65" s="689" t="s">
        <v>593</v>
      </c>
      <c r="D65" s="690" t="s">
        <v>992</v>
      </c>
      <c r="E65" s="689" t="s">
        <v>1400</v>
      </c>
      <c r="F65" s="690" t="s">
        <v>1401</v>
      </c>
      <c r="G65" s="689" t="s">
        <v>1118</v>
      </c>
      <c r="H65" s="689" t="s">
        <v>1119</v>
      </c>
      <c r="I65" s="691">
        <v>1.67</v>
      </c>
      <c r="J65" s="691">
        <v>2400</v>
      </c>
      <c r="K65" s="692">
        <v>4008</v>
      </c>
    </row>
    <row r="66" spans="1:11" ht="14.4" customHeight="1" x14ac:dyDescent="0.3">
      <c r="A66" s="687" t="s">
        <v>583</v>
      </c>
      <c r="B66" s="688" t="s">
        <v>584</v>
      </c>
      <c r="C66" s="689" t="s">
        <v>593</v>
      </c>
      <c r="D66" s="690" t="s">
        <v>992</v>
      </c>
      <c r="E66" s="689" t="s">
        <v>1400</v>
      </c>
      <c r="F66" s="690" t="s">
        <v>1401</v>
      </c>
      <c r="G66" s="689" t="s">
        <v>1120</v>
      </c>
      <c r="H66" s="689" t="s">
        <v>1121</v>
      </c>
      <c r="I66" s="691">
        <v>0.48</v>
      </c>
      <c r="J66" s="691">
        <v>900</v>
      </c>
      <c r="K66" s="692">
        <v>432</v>
      </c>
    </row>
    <row r="67" spans="1:11" ht="14.4" customHeight="1" x14ac:dyDescent="0.3">
      <c r="A67" s="687" t="s">
        <v>583</v>
      </c>
      <c r="B67" s="688" t="s">
        <v>584</v>
      </c>
      <c r="C67" s="689" t="s">
        <v>593</v>
      </c>
      <c r="D67" s="690" t="s">
        <v>992</v>
      </c>
      <c r="E67" s="689" t="s">
        <v>1400</v>
      </c>
      <c r="F67" s="690" t="s">
        <v>1401</v>
      </c>
      <c r="G67" s="689" t="s">
        <v>1122</v>
      </c>
      <c r="H67" s="689" t="s">
        <v>1123</v>
      </c>
      <c r="I67" s="691">
        <v>0.67</v>
      </c>
      <c r="J67" s="691">
        <v>200</v>
      </c>
      <c r="K67" s="692">
        <v>134</v>
      </c>
    </row>
    <row r="68" spans="1:11" ht="14.4" customHeight="1" x14ac:dyDescent="0.3">
      <c r="A68" s="687" t="s">
        <v>583</v>
      </c>
      <c r="B68" s="688" t="s">
        <v>584</v>
      </c>
      <c r="C68" s="689" t="s">
        <v>593</v>
      </c>
      <c r="D68" s="690" t="s">
        <v>992</v>
      </c>
      <c r="E68" s="689" t="s">
        <v>1400</v>
      </c>
      <c r="F68" s="690" t="s">
        <v>1401</v>
      </c>
      <c r="G68" s="689" t="s">
        <v>1124</v>
      </c>
      <c r="H68" s="689" t="s">
        <v>1125</v>
      </c>
      <c r="I68" s="691">
        <v>3.73</v>
      </c>
      <c r="J68" s="691">
        <v>100</v>
      </c>
      <c r="K68" s="692">
        <v>373</v>
      </c>
    </row>
    <row r="69" spans="1:11" ht="14.4" customHeight="1" x14ac:dyDescent="0.3">
      <c r="A69" s="687" t="s">
        <v>583</v>
      </c>
      <c r="B69" s="688" t="s">
        <v>584</v>
      </c>
      <c r="C69" s="689" t="s">
        <v>593</v>
      </c>
      <c r="D69" s="690" t="s">
        <v>992</v>
      </c>
      <c r="E69" s="689" t="s">
        <v>1400</v>
      </c>
      <c r="F69" s="690" t="s">
        <v>1401</v>
      </c>
      <c r="G69" s="689" t="s">
        <v>1204</v>
      </c>
      <c r="H69" s="689" t="s">
        <v>1205</v>
      </c>
      <c r="I69" s="691">
        <v>32.67</v>
      </c>
      <c r="J69" s="691">
        <v>50</v>
      </c>
      <c r="K69" s="692">
        <v>1633.5</v>
      </c>
    </row>
    <row r="70" spans="1:11" ht="14.4" customHeight="1" x14ac:dyDescent="0.3">
      <c r="A70" s="687" t="s">
        <v>583</v>
      </c>
      <c r="B70" s="688" t="s">
        <v>584</v>
      </c>
      <c r="C70" s="689" t="s">
        <v>593</v>
      </c>
      <c r="D70" s="690" t="s">
        <v>992</v>
      </c>
      <c r="E70" s="689" t="s">
        <v>1400</v>
      </c>
      <c r="F70" s="690" t="s">
        <v>1401</v>
      </c>
      <c r="G70" s="689" t="s">
        <v>1126</v>
      </c>
      <c r="H70" s="689" t="s">
        <v>1127</v>
      </c>
      <c r="I70" s="691">
        <v>26.005000000000003</v>
      </c>
      <c r="J70" s="691">
        <v>120</v>
      </c>
      <c r="K70" s="692">
        <v>3120.6</v>
      </c>
    </row>
    <row r="71" spans="1:11" ht="14.4" customHeight="1" x14ac:dyDescent="0.3">
      <c r="A71" s="687" t="s">
        <v>583</v>
      </c>
      <c r="B71" s="688" t="s">
        <v>584</v>
      </c>
      <c r="C71" s="689" t="s">
        <v>593</v>
      </c>
      <c r="D71" s="690" t="s">
        <v>992</v>
      </c>
      <c r="E71" s="689" t="s">
        <v>1400</v>
      </c>
      <c r="F71" s="690" t="s">
        <v>1401</v>
      </c>
      <c r="G71" s="689" t="s">
        <v>1130</v>
      </c>
      <c r="H71" s="689" t="s">
        <v>1131</v>
      </c>
      <c r="I71" s="691">
        <v>4.8</v>
      </c>
      <c r="J71" s="691">
        <v>100</v>
      </c>
      <c r="K71" s="692">
        <v>479.98</v>
      </c>
    </row>
    <row r="72" spans="1:11" ht="14.4" customHeight="1" x14ac:dyDescent="0.3">
      <c r="A72" s="687" t="s">
        <v>583</v>
      </c>
      <c r="B72" s="688" t="s">
        <v>584</v>
      </c>
      <c r="C72" s="689" t="s">
        <v>593</v>
      </c>
      <c r="D72" s="690" t="s">
        <v>992</v>
      </c>
      <c r="E72" s="689" t="s">
        <v>1400</v>
      </c>
      <c r="F72" s="690" t="s">
        <v>1401</v>
      </c>
      <c r="G72" s="689" t="s">
        <v>1206</v>
      </c>
      <c r="H72" s="689" t="s">
        <v>1207</v>
      </c>
      <c r="I72" s="691">
        <v>2.86</v>
      </c>
      <c r="J72" s="691">
        <v>100</v>
      </c>
      <c r="K72" s="692">
        <v>286</v>
      </c>
    </row>
    <row r="73" spans="1:11" ht="14.4" customHeight="1" x14ac:dyDescent="0.3">
      <c r="A73" s="687" t="s">
        <v>583</v>
      </c>
      <c r="B73" s="688" t="s">
        <v>584</v>
      </c>
      <c r="C73" s="689" t="s">
        <v>593</v>
      </c>
      <c r="D73" s="690" t="s">
        <v>992</v>
      </c>
      <c r="E73" s="689" t="s">
        <v>1400</v>
      </c>
      <c r="F73" s="690" t="s">
        <v>1401</v>
      </c>
      <c r="G73" s="689" t="s">
        <v>1132</v>
      </c>
      <c r="H73" s="689" t="s">
        <v>1133</v>
      </c>
      <c r="I73" s="691">
        <v>90.905000000000001</v>
      </c>
      <c r="J73" s="691">
        <v>24</v>
      </c>
      <c r="K73" s="692">
        <v>2181.75</v>
      </c>
    </row>
    <row r="74" spans="1:11" ht="14.4" customHeight="1" x14ac:dyDescent="0.3">
      <c r="A74" s="687" t="s">
        <v>583</v>
      </c>
      <c r="B74" s="688" t="s">
        <v>584</v>
      </c>
      <c r="C74" s="689" t="s">
        <v>593</v>
      </c>
      <c r="D74" s="690" t="s">
        <v>992</v>
      </c>
      <c r="E74" s="689" t="s">
        <v>1400</v>
      </c>
      <c r="F74" s="690" t="s">
        <v>1401</v>
      </c>
      <c r="G74" s="689" t="s">
        <v>1136</v>
      </c>
      <c r="H74" s="689" t="s">
        <v>1137</v>
      </c>
      <c r="I74" s="691">
        <v>11.734999999999999</v>
      </c>
      <c r="J74" s="691">
        <v>60</v>
      </c>
      <c r="K74" s="692">
        <v>704.09999999999991</v>
      </c>
    </row>
    <row r="75" spans="1:11" ht="14.4" customHeight="1" x14ac:dyDescent="0.3">
      <c r="A75" s="687" t="s">
        <v>583</v>
      </c>
      <c r="B75" s="688" t="s">
        <v>584</v>
      </c>
      <c r="C75" s="689" t="s">
        <v>593</v>
      </c>
      <c r="D75" s="690" t="s">
        <v>992</v>
      </c>
      <c r="E75" s="689" t="s">
        <v>1400</v>
      </c>
      <c r="F75" s="690" t="s">
        <v>1401</v>
      </c>
      <c r="G75" s="689" t="s">
        <v>1208</v>
      </c>
      <c r="H75" s="689" t="s">
        <v>1209</v>
      </c>
      <c r="I75" s="691">
        <v>21.234999999999999</v>
      </c>
      <c r="J75" s="691">
        <v>50</v>
      </c>
      <c r="K75" s="692">
        <v>1061.8000000000002</v>
      </c>
    </row>
    <row r="76" spans="1:11" ht="14.4" customHeight="1" x14ac:dyDescent="0.3">
      <c r="A76" s="687" t="s">
        <v>583</v>
      </c>
      <c r="B76" s="688" t="s">
        <v>584</v>
      </c>
      <c r="C76" s="689" t="s">
        <v>593</v>
      </c>
      <c r="D76" s="690" t="s">
        <v>992</v>
      </c>
      <c r="E76" s="689" t="s">
        <v>1400</v>
      </c>
      <c r="F76" s="690" t="s">
        <v>1401</v>
      </c>
      <c r="G76" s="689" t="s">
        <v>1210</v>
      </c>
      <c r="H76" s="689" t="s">
        <v>1211</v>
      </c>
      <c r="I76" s="691">
        <v>0.47499999999999998</v>
      </c>
      <c r="J76" s="691">
        <v>600</v>
      </c>
      <c r="K76" s="692">
        <v>285</v>
      </c>
    </row>
    <row r="77" spans="1:11" ht="14.4" customHeight="1" x14ac:dyDescent="0.3">
      <c r="A77" s="687" t="s">
        <v>583</v>
      </c>
      <c r="B77" s="688" t="s">
        <v>584</v>
      </c>
      <c r="C77" s="689" t="s">
        <v>593</v>
      </c>
      <c r="D77" s="690" t="s">
        <v>992</v>
      </c>
      <c r="E77" s="689" t="s">
        <v>1400</v>
      </c>
      <c r="F77" s="690" t="s">
        <v>1401</v>
      </c>
      <c r="G77" s="689" t="s">
        <v>1144</v>
      </c>
      <c r="H77" s="689" t="s">
        <v>1145</v>
      </c>
      <c r="I77" s="691">
        <v>10.83</v>
      </c>
      <c r="J77" s="691">
        <v>12</v>
      </c>
      <c r="K77" s="692">
        <v>129.96</v>
      </c>
    </row>
    <row r="78" spans="1:11" ht="14.4" customHeight="1" x14ac:dyDescent="0.3">
      <c r="A78" s="687" t="s">
        <v>583</v>
      </c>
      <c r="B78" s="688" t="s">
        <v>584</v>
      </c>
      <c r="C78" s="689" t="s">
        <v>593</v>
      </c>
      <c r="D78" s="690" t="s">
        <v>992</v>
      </c>
      <c r="E78" s="689" t="s">
        <v>1400</v>
      </c>
      <c r="F78" s="690" t="s">
        <v>1401</v>
      </c>
      <c r="G78" s="689" t="s">
        <v>1146</v>
      </c>
      <c r="H78" s="689" t="s">
        <v>1147</v>
      </c>
      <c r="I78" s="691">
        <v>527.98</v>
      </c>
      <c r="J78" s="691">
        <v>60</v>
      </c>
      <c r="K78" s="692">
        <v>31678.940000000002</v>
      </c>
    </row>
    <row r="79" spans="1:11" ht="14.4" customHeight="1" x14ac:dyDescent="0.3">
      <c r="A79" s="687" t="s">
        <v>583</v>
      </c>
      <c r="B79" s="688" t="s">
        <v>584</v>
      </c>
      <c r="C79" s="689" t="s">
        <v>593</v>
      </c>
      <c r="D79" s="690" t="s">
        <v>992</v>
      </c>
      <c r="E79" s="689" t="s">
        <v>1400</v>
      </c>
      <c r="F79" s="690" t="s">
        <v>1401</v>
      </c>
      <c r="G79" s="689" t="s">
        <v>1212</v>
      </c>
      <c r="H79" s="689" t="s">
        <v>1213</v>
      </c>
      <c r="I79" s="691">
        <v>17.059999999999999</v>
      </c>
      <c r="J79" s="691">
        <v>10</v>
      </c>
      <c r="K79" s="692">
        <v>170.61</v>
      </c>
    </row>
    <row r="80" spans="1:11" ht="14.4" customHeight="1" x14ac:dyDescent="0.3">
      <c r="A80" s="687" t="s">
        <v>583</v>
      </c>
      <c r="B80" s="688" t="s">
        <v>584</v>
      </c>
      <c r="C80" s="689" t="s">
        <v>593</v>
      </c>
      <c r="D80" s="690" t="s">
        <v>992</v>
      </c>
      <c r="E80" s="689" t="s">
        <v>1400</v>
      </c>
      <c r="F80" s="690" t="s">
        <v>1401</v>
      </c>
      <c r="G80" s="689" t="s">
        <v>1148</v>
      </c>
      <c r="H80" s="689" t="s">
        <v>1149</v>
      </c>
      <c r="I80" s="691">
        <v>5</v>
      </c>
      <c r="J80" s="691">
        <v>100</v>
      </c>
      <c r="K80" s="692">
        <v>500</v>
      </c>
    </row>
    <row r="81" spans="1:11" ht="14.4" customHeight="1" x14ac:dyDescent="0.3">
      <c r="A81" s="687" t="s">
        <v>583</v>
      </c>
      <c r="B81" s="688" t="s">
        <v>584</v>
      </c>
      <c r="C81" s="689" t="s">
        <v>593</v>
      </c>
      <c r="D81" s="690" t="s">
        <v>992</v>
      </c>
      <c r="E81" s="689" t="s">
        <v>1400</v>
      </c>
      <c r="F81" s="690" t="s">
        <v>1401</v>
      </c>
      <c r="G81" s="689" t="s">
        <v>1154</v>
      </c>
      <c r="H81" s="689" t="s">
        <v>1155</v>
      </c>
      <c r="I81" s="691">
        <v>209</v>
      </c>
      <c r="J81" s="691">
        <v>2</v>
      </c>
      <c r="K81" s="692">
        <v>418</v>
      </c>
    </row>
    <row r="82" spans="1:11" ht="14.4" customHeight="1" x14ac:dyDescent="0.3">
      <c r="A82" s="687" t="s">
        <v>583</v>
      </c>
      <c r="B82" s="688" t="s">
        <v>584</v>
      </c>
      <c r="C82" s="689" t="s">
        <v>593</v>
      </c>
      <c r="D82" s="690" t="s">
        <v>992</v>
      </c>
      <c r="E82" s="689" t="s">
        <v>1400</v>
      </c>
      <c r="F82" s="690" t="s">
        <v>1401</v>
      </c>
      <c r="G82" s="689" t="s">
        <v>1214</v>
      </c>
      <c r="H82" s="689" t="s">
        <v>1215</v>
      </c>
      <c r="I82" s="691">
        <v>6.41</v>
      </c>
      <c r="J82" s="691">
        <v>7560</v>
      </c>
      <c r="K82" s="692">
        <v>48482.28</v>
      </c>
    </row>
    <row r="83" spans="1:11" ht="14.4" customHeight="1" x14ac:dyDescent="0.3">
      <c r="A83" s="687" t="s">
        <v>583</v>
      </c>
      <c r="B83" s="688" t="s">
        <v>584</v>
      </c>
      <c r="C83" s="689" t="s">
        <v>593</v>
      </c>
      <c r="D83" s="690" t="s">
        <v>992</v>
      </c>
      <c r="E83" s="689" t="s">
        <v>1400</v>
      </c>
      <c r="F83" s="690" t="s">
        <v>1401</v>
      </c>
      <c r="G83" s="689" t="s">
        <v>1216</v>
      </c>
      <c r="H83" s="689" t="s">
        <v>1217</v>
      </c>
      <c r="I83" s="691">
        <v>10.16</v>
      </c>
      <c r="J83" s="691">
        <v>360</v>
      </c>
      <c r="K83" s="692">
        <v>3659.04</v>
      </c>
    </row>
    <row r="84" spans="1:11" ht="14.4" customHeight="1" x14ac:dyDescent="0.3">
      <c r="A84" s="687" t="s">
        <v>583</v>
      </c>
      <c r="B84" s="688" t="s">
        <v>584</v>
      </c>
      <c r="C84" s="689" t="s">
        <v>593</v>
      </c>
      <c r="D84" s="690" t="s">
        <v>992</v>
      </c>
      <c r="E84" s="689" t="s">
        <v>1400</v>
      </c>
      <c r="F84" s="690" t="s">
        <v>1401</v>
      </c>
      <c r="G84" s="689" t="s">
        <v>1218</v>
      </c>
      <c r="H84" s="689" t="s">
        <v>1219</v>
      </c>
      <c r="I84" s="691">
        <v>9.3800000000000008</v>
      </c>
      <c r="J84" s="691">
        <v>1440</v>
      </c>
      <c r="K84" s="692">
        <v>13503.6</v>
      </c>
    </row>
    <row r="85" spans="1:11" ht="14.4" customHeight="1" x14ac:dyDescent="0.3">
      <c r="A85" s="687" t="s">
        <v>583</v>
      </c>
      <c r="B85" s="688" t="s">
        <v>584</v>
      </c>
      <c r="C85" s="689" t="s">
        <v>593</v>
      </c>
      <c r="D85" s="690" t="s">
        <v>992</v>
      </c>
      <c r="E85" s="689" t="s">
        <v>1400</v>
      </c>
      <c r="F85" s="690" t="s">
        <v>1401</v>
      </c>
      <c r="G85" s="689" t="s">
        <v>1220</v>
      </c>
      <c r="H85" s="689" t="s">
        <v>1221</v>
      </c>
      <c r="I85" s="691">
        <v>7.86</v>
      </c>
      <c r="J85" s="691">
        <v>2880</v>
      </c>
      <c r="K85" s="692">
        <v>22651.199999999997</v>
      </c>
    </row>
    <row r="86" spans="1:11" ht="14.4" customHeight="1" x14ac:dyDescent="0.3">
      <c r="A86" s="687" t="s">
        <v>583</v>
      </c>
      <c r="B86" s="688" t="s">
        <v>584</v>
      </c>
      <c r="C86" s="689" t="s">
        <v>593</v>
      </c>
      <c r="D86" s="690" t="s">
        <v>992</v>
      </c>
      <c r="E86" s="689" t="s">
        <v>1400</v>
      </c>
      <c r="F86" s="690" t="s">
        <v>1401</v>
      </c>
      <c r="G86" s="689" t="s">
        <v>1222</v>
      </c>
      <c r="H86" s="689" t="s">
        <v>1223</v>
      </c>
      <c r="I86" s="691">
        <v>10.16</v>
      </c>
      <c r="J86" s="691">
        <v>1800</v>
      </c>
      <c r="K86" s="692">
        <v>18290.879999999997</v>
      </c>
    </row>
    <row r="87" spans="1:11" ht="14.4" customHeight="1" x14ac:dyDescent="0.3">
      <c r="A87" s="687" t="s">
        <v>583</v>
      </c>
      <c r="B87" s="688" t="s">
        <v>584</v>
      </c>
      <c r="C87" s="689" t="s">
        <v>593</v>
      </c>
      <c r="D87" s="690" t="s">
        <v>992</v>
      </c>
      <c r="E87" s="689" t="s">
        <v>1400</v>
      </c>
      <c r="F87" s="690" t="s">
        <v>1401</v>
      </c>
      <c r="G87" s="689" t="s">
        <v>1224</v>
      </c>
      <c r="H87" s="689" t="s">
        <v>1225</v>
      </c>
      <c r="I87" s="691">
        <v>8.83</v>
      </c>
      <c r="J87" s="691">
        <v>1440</v>
      </c>
      <c r="K87" s="692">
        <v>12719.52</v>
      </c>
    </row>
    <row r="88" spans="1:11" ht="14.4" customHeight="1" x14ac:dyDescent="0.3">
      <c r="A88" s="687" t="s">
        <v>583</v>
      </c>
      <c r="B88" s="688" t="s">
        <v>584</v>
      </c>
      <c r="C88" s="689" t="s">
        <v>593</v>
      </c>
      <c r="D88" s="690" t="s">
        <v>992</v>
      </c>
      <c r="E88" s="689" t="s">
        <v>1400</v>
      </c>
      <c r="F88" s="690" t="s">
        <v>1401</v>
      </c>
      <c r="G88" s="689" t="s">
        <v>1164</v>
      </c>
      <c r="H88" s="689" t="s">
        <v>1165</v>
      </c>
      <c r="I88" s="691">
        <v>2.0299999999999998</v>
      </c>
      <c r="J88" s="691">
        <v>100</v>
      </c>
      <c r="K88" s="692">
        <v>202.9</v>
      </c>
    </row>
    <row r="89" spans="1:11" ht="14.4" customHeight="1" x14ac:dyDescent="0.3">
      <c r="A89" s="687" t="s">
        <v>583</v>
      </c>
      <c r="B89" s="688" t="s">
        <v>584</v>
      </c>
      <c r="C89" s="689" t="s">
        <v>593</v>
      </c>
      <c r="D89" s="690" t="s">
        <v>992</v>
      </c>
      <c r="E89" s="689" t="s">
        <v>1400</v>
      </c>
      <c r="F89" s="690" t="s">
        <v>1401</v>
      </c>
      <c r="G89" s="689" t="s">
        <v>1166</v>
      </c>
      <c r="H89" s="689" t="s">
        <v>1167</v>
      </c>
      <c r="I89" s="691">
        <v>1.88</v>
      </c>
      <c r="J89" s="691">
        <v>100</v>
      </c>
      <c r="K89" s="692">
        <v>188</v>
      </c>
    </row>
    <row r="90" spans="1:11" ht="14.4" customHeight="1" x14ac:dyDescent="0.3">
      <c r="A90" s="687" t="s">
        <v>583</v>
      </c>
      <c r="B90" s="688" t="s">
        <v>584</v>
      </c>
      <c r="C90" s="689" t="s">
        <v>593</v>
      </c>
      <c r="D90" s="690" t="s">
        <v>992</v>
      </c>
      <c r="E90" s="689" t="s">
        <v>1400</v>
      </c>
      <c r="F90" s="690" t="s">
        <v>1401</v>
      </c>
      <c r="G90" s="689" t="s">
        <v>1170</v>
      </c>
      <c r="H90" s="689" t="s">
        <v>1171</v>
      </c>
      <c r="I90" s="691">
        <v>399</v>
      </c>
      <c r="J90" s="691">
        <v>2</v>
      </c>
      <c r="K90" s="692">
        <v>798</v>
      </c>
    </row>
    <row r="91" spans="1:11" ht="14.4" customHeight="1" x14ac:dyDescent="0.3">
      <c r="A91" s="687" t="s">
        <v>583</v>
      </c>
      <c r="B91" s="688" t="s">
        <v>584</v>
      </c>
      <c r="C91" s="689" t="s">
        <v>593</v>
      </c>
      <c r="D91" s="690" t="s">
        <v>992</v>
      </c>
      <c r="E91" s="689" t="s">
        <v>1400</v>
      </c>
      <c r="F91" s="690" t="s">
        <v>1401</v>
      </c>
      <c r="G91" s="689" t="s">
        <v>1226</v>
      </c>
      <c r="H91" s="689" t="s">
        <v>1227</v>
      </c>
      <c r="I91" s="691">
        <v>4.7300000000000004</v>
      </c>
      <c r="J91" s="691">
        <v>10</v>
      </c>
      <c r="K91" s="692">
        <v>47.3</v>
      </c>
    </row>
    <row r="92" spans="1:11" ht="14.4" customHeight="1" x14ac:dyDescent="0.3">
      <c r="A92" s="687" t="s">
        <v>583</v>
      </c>
      <c r="B92" s="688" t="s">
        <v>584</v>
      </c>
      <c r="C92" s="689" t="s">
        <v>593</v>
      </c>
      <c r="D92" s="690" t="s">
        <v>992</v>
      </c>
      <c r="E92" s="689" t="s">
        <v>1402</v>
      </c>
      <c r="F92" s="690" t="s">
        <v>1403</v>
      </c>
      <c r="G92" s="689" t="s">
        <v>1228</v>
      </c>
      <c r="H92" s="689" t="s">
        <v>1229</v>
      </c>
      <c r="I92" s="691">
        <v>0.3</v>
      </c>
      <c r="J92" s="691">
        <v>200</v>
      </c>
      <c r="K92" s="692">
        <v>60</v>
      </c>
    </row>
    <row r="93" spans="1:11" ht="14.4" customHeight="1" x14ac:dyDescent="0.3">
      <c r="A93" s="687" t="s">
        <v>583</v>
      </c>
      <c r="B93" s="688" t="s">
        <v>584</v>
      </c>
      <c r="C93" s="689" t="s">
        <v>593</v>
      </c>
      <c r="D93" s="690" t="s">
        <v>992</v>
      </c>
      <c r="E93" s="689" t="s">
        <v>1402</v>
      </c>
      <c r="F93" s="690" t="s">
        <v>1403</v>
      </c>
      <c r="G93" s="689" t="s">
        <v>1230</v>
      </c>
      <c r="H93" s="689" t="s">
        <v>1231</v>
      </c>
      <c r="I93" s="691">
        <v>0.48</v>
      </c>
      <c r="J93" s="691">
        <v>200</v>
      </c>
      <c r="K93" s="692">
        <v>96</v>
      </c>
    </row>
    <row r="94" spans="1:11" ht="14.4" customHeight="1" x14ac:dyDescent="0.3">
      <c r="A94" s="687" t="s">
        <v>583</v>
      </c>
      <c r="B94" s="688" t="s">
        <v>584</v>
      </c>
      <c r="C94" s="689" t="s">
        <v>593</v>
      </c>
      <c r="D94" s="690" t="s">
        <v>992</v>
      </c>
      <c r="E94" s="689" t="s">
        <v>1402</v>
      </c>
      <c r="F94" s="690" t="s">
        <v>1403</v>
      </c>
      <c r="G94" s="689" t="s">
        <v>1174</v>
      </c>
      <c r="H94" s="689" t="s">
        <v>1175</v>
      </c>
      <c r="I94" s="691">
        <v>0.49</v>
      </c>
      <c r="J94" s="691">
        <v>200</v>
      </c>
      <c r="K94" s="692">
        <v>98</v>
      </c>
    </row>
    <row r="95" spans="1:11" ht="14.4" customHeight="1" x14ac:dyDescent="0.3">
      <c r="A95" s="687" t="s">
        <v>583</v>
      </c>
      <c r="B95" s="688" t="s">
        <v>584</v>
      </c>
      <c r="C95" s="689" t="s">
        <v>593</v>
      </c>
      <c r="D95" s="690" t="s">
        <v>992</v>
      </c>
      <c r="E95" s="689" t="s">
        <v>1404</v>
      </c>
      <c r="F95" s="690" t="s">
        <v>1405</v>
      </c>
      <c r="G95" s="689" t="s">
        <v>1176</v>
      </c>
      <c r="H95" s="689" t="s">
        <v>1177</v>
      </c>
      <c r="I95" s="691">
        <v>0.69</v>
      </c>
      <c r="J95" s="691">
        <v>8000</v>
      </c>
      <c r="K95" s="692">
        <v>5520</v>
      </c>
    </row>
    <row r="96" spans="1:11" ht="14.4" customHeight="1" x14ac:dyDescent="0.3">
      <c r="A96" s="687" t="s">
        <v>583</v>
      </c>
      <c r="B96" s="688" t="s">
        <v>584</v>
      </c>
      <c r="C96" s="689" t="s">
        <v>593</v>
      </c>
      <c r="D96" s="690" t="s">
        <v>992</v>
      </c>
      <c r="E96" s="689" t="s">
        <v>1404</v>
      </c>
      <c r="F96" s="690" t="s">
        <v>1405</v>
      </c>
      <c r="G96" s="689" t="s">
        <v>1180</v>
      </c>
      <c r="H96" s="689" t="s">
        <v>1181</v>
      </c>
      <c r="I96" s="691">
        <v>12.59</v>
      </c>
      <c r="J96" s="691">
        <v>50</v>
      </c>
      <c r="K96" s="692">
        <v>629.5</v>
      </c>
    </row>
    <row r="97" spans="1:11" ht="14.4" customHeight="1" x14ac:dyDescent="0.3">
      <c r="A97" s="687" t="s">
        <v>583</v>
      </c>
      <c r="B97" s="688" t="s">
        <v>584</v>
      </c>
      <c r="C97" s="689" t="s">
        <v>593</v>
      </c>
      <c r="D97" s="690" t="s">
        <v>992</v>
      </c>
      <c r="E97" s="689" t="s">
        <v>1404</v>
      </c>
      <c r="F97" s="690" t="s">
        <v>1405</v>
      </c>
      <c r="G97" s="689" t="s">
        <v>1232</v>
      </c>
      <c r="H97" s="689" t="s">
        <v>1233</v>
      </c>
      <c r="I97" s="691">
        <v>0.9</v>
      </c>
      <c r="J97" s="691">
        <v>200</v>
      </c>
      <c r="K97" s="692">
        <v>180</v>
      </c>
    </row>
    <row r="98" spans="1:11" ht="14.4" customHeight="1" x14ac:dyDescent="0.3">
      <c r="A98" s="687" t="s">
        <v>583</v>
      </c>
      <c r="B98" s="688" t="s">
        <v>584</v>
      </c>
      <c r="C98" s="689" t="s">
        <v>593</v>
      </c>
      <c r="D98" s="690" t="s">
        <v>992</v>
      </c>
      <c r="E98" s="689" t="s">
        <v>1406</v>
      </c>
      <c r="F98" s="690" t="s">
        <v>1407</v>
      </c>
      <c r="G98" s="689" t="s">
        <v>1234</v>
      </c>
      <c r="H98" s="689" t="s">
        <v>1235</v>
      </c>
      <c r="I98" s="691">
        <v>3035.31</v>
      </c>
      <c r="J98" s="691">
        <v>2</v>
      </c>
      <c r="K98" s="692">
        <v>6070.62</v>
      </c>
    </row>
    <row r="99" spans="1:11" ht="14.4" customHeight="1" x14ac:dyDescent="0.3">
      <c r="A99" s="687" t="s">
        <v>583</v>
      </c>
      <c r="B99" s="688" t="s">
        <v>584</v>
      </c>
      <c r="C99" s="689" t="s">
        <v>593</v>
      </c>
      <c r="D99" s="690" t="s">
        <v>992</v>
      </c>
      <c r="E99" s="689" t="s">
        <v>1406</v>
      </c>
      <c r="F99" s="690" t="s">
        <v>1407</v>
      </c>
      <c r="G99" s="689" t="s">
        <v>1236</v>
      </c>
      <c r="H99" s="689" t="s">
        <v>1237</v>
      </c>
      <c r="I99" s="691">
        <v>2722.5</v>
      </c>
      <c r="J99" s="691">
        <v>3</v>
      </c>
      <c r="K99" s="692">
        <v>8167.5</v>
      </c>
    </row>
    <row r="100" spans="1:11" ht="14.4" customHeight="1" x14ac:dyDescent="0.3">
      <c r="A100" s="687" t="s">
        <v>583</v>
      </c>
      <c r="B100" s="688" t="s">
        <v>584</v>
      </c>
      <c r="C100" s="689" t="s">
        <v>593</v>
      </c>
      <c r="D100" s="690" t="s">
        <v>992</v>
      </c>
      <c r="E100" s="689" t="s">
        <v>1406</v>
      </c>
      <c r="F100" s="690" t="s">
        <v>1407</v>
      </c>
      <c r="G100" s="689" t="s">
        <v>1238</v>
      </c>
      <c r="H100" s="689" t="s">
        <v>1239</v>
      </c>
      <c r="I100" s="691">
        <v>2277.85</v>
      </c>
      <c r="J100" s="691">
        <v>1</v>
      </c>
      <c r="K100" s="692">
        <v>2277.85</v>
      </c>
    </row>
    <row r="101" spans="1:11" ht="14.4" customHeight="1" x14ac:dyDescent="0.3">
      <c r="A101" s="687" t="s">
        <v>583</v>
      </c>
      <c r="B101" s="688" t="s">
        <v>584</v>
      </c>
      <c r="C101" s="689" t="s">
        <v>593</v>
      </c>
      <c r="D101" s="690" t="s">
        <v>992</v>
      </c>
      <c r="E101" s="689" t="s">
        <v>1406</v>
      </c>
      <c r="F101" s="690" t="s">
        <v>1407</v>
      </c>
      <c r="G101" s="689" t="s">
        <v>1240</v>
      </c>
      <c r="H101" s="689" t="s">
        <v>1241</v>
      </c>
      <c r="I101" s="691">
        <v>3130.75</v>
      </c>
      <c r="J101" s="691">
        <v>1</v>
      </c>
      <c r="K101" s="692">
        <v>3130.75</v>
      </c>
    </row>
    <row r="102" spans="1:11" ht="14.4" customHeight="1" x14ac:dyDescent="0.3">
      <c r="A102" s="687" t="s">
        <v>583</v>
      </c>
      <c r="B102" s="688" t="s">
        <v>584</v>
      </c>
      <c r="C102" s="689" t="s">
        <v>593</v>
      </c>
      <c r="D102" s="690" t="s">
        <v>992</v>
      </c>
      <c r="E102" s="689" t="s">
        <v>1406</v>
      </c>
      <c r="F102" s="690" t="s">
        <v>1407</v>
      </c>
      <c r="G102" s="689" t="s">
        <v>1242</v>
      </c>
      <c r="H102" s="689" t="s">
        <v>1243</v>
      </c>
      <c r="I102" s="691">
        <v>3035.31</v>
      </c>
      <c r="J102" s="691">
        <v>1</v>
      </c>
      <c r="K102" s="692">
        <v>3035.31</v>
      </c>
    </row>
    <row r="103" spans="1:11" ht="14.4" customHeight="1" x14ac:dyDescent="0.3">
      <c r="A103" s="687" t="s">
        <v>583</v>
      </c>
      <c r="B103" s="688" t="s">
        <v>584</v>
      </c>
      <c r="C103" s="689" t="s">
        <v>593</v>
      </c>
      <c r="D103" s="690" t="s">
        <v>992</v>
      </c>
      <c r="E103" s="689" t="s">
        <v>1406</v>
      </c>
      <c r="F103" s="690" t="s">
        <v>1407</v>
      </c>
      <c r="G103" s="689" t="s">
        <v>1244</v>
      </c>
      <c r="H103" s="689" t="s">
        <v>1245</v>
      </c>
      <c r="I103" s="691">
        <v>213.35</v>
      </c>
      <c r="J103" s="691">
        <v>3</v>
      </c>
      <c r="K103" s="692">
        <v>640.04</v>
      </c>
    </row>
    <row r="104" spans="1:11" ht="14.4" customHeight="1" x14ac:dyDescent="0.3">
      <c r="A104" s="687" t="s">
        <v>583</v>
      </c>
      <c r="B104" s="688" t="s">
        <v>584</v>
      </c>
      <c r="C104" s="689" t="s">
        <v>593</v>
      </c>
      <c r="D104" s="690" t="s">
        <v>992</v>
      </c>
      <c r="E104" s="689" t="s">
        <v>1406</v>
      </c>
      <c r="F104" s="690" t="s">
        <v>1407</v>
      </c>
      <c r="G104" s="689" t="s">
        <v>1246</v>
      </c>
      <c r="H104" s="689" t="s">
        <v>1247</v>
      </c>
      <c r="I104" s="691">
        <v>1149.5</v>
      </c>
      <c r="J104" s="691">
        <v>2</v>
      </c>
      <c r="K104" s="692">
        <v>2299</v>
      </c>
    </row>
    <row r="105" spans="1:11" ht="14.4" customHeight="1" x14ac:dyDescent="0.3">
      <c r="A105" s="687" t="s">
        <v>583</v>
      </c>
      <c r="B105" s="688" t="s">
        <v>584</v>
      </c>
      <c r="C105" s="689" t="s">
        <v>596</v>
      </c>
      <c r="D105" s="690" t="s">
        <v>993</v>
      </c>
      <c r="E105" s="689" t="s">
        <v>1398</v>
      </c>
      <c r="F105" s="690" t="s">
        <v>1399</v>
      </c>
      <c r="G105" s="689" t="s">
        <v>1186</v>
      </c>
      <c r="H105" s="689" t="s">
        <v>1187</v>
      </c>
      <c r="I105" s="691">
        <v>4.3049999999999997</v>
      </c>
      <c r="J105" s="691">
        <v>48</v>
      </c>
      <c r="K105" s="692">
        <v>206.64</v>
      </c>
    </row>
    <row r="106" spans="1:11" ht="14.4" customHeight="1" x14ac:dyDescent="0.3">
      <c r="A106" s="687" t="s">
        <v>583</v>
      </c>
      <c r="B106" s="688" t="s">
        <v>584</v>
      </c>
      <c r="C106" s="689" t="s">
        <v>596</v>
      </c>
      <c r="D106" s="690" t="s">
        <v>993</v>
      </c>
      <c r="E106" s="689" t="s">
        <v>1398</v>
      </c>
      <c r="F106" s="690" t="s">
        <v>1399</v>
      </c>
      <c r="G106" s="689" t="s">
        <v>1248</v>
      </c>
      <c r="H106" s="689" t="s">
        <v>1249</v>
      </c>
      <c r="I106" s="691">
        <v>0.42</v>
      </c>
      <c r="J106" s="691">
        <v>2000</v>
      </c>
      <c r="K106" s="692">
        <v>840</v>
      </c>
    </row>
    <row r="107" spans="1:11" ht="14.4" customHeight="1" x14ac:dyDescent="0.3">
      <c r="A107" s="687" t="s">
        <v>583</v>
      </c>
      <c r="B107" s="688" t="s">
        <v>584</v>
      </c>
      <c r="C107" s="689" t="s">
        <v>596</v>
      </c>
      <c r="D107" s="690" t="s">
        <v>993</v>
      </c>
      <c r="E107" s="689" t="s">
        <v>1398</v>
      </c>
      <c r="F107" s="690" t="s">
        <v>1399</v>
      </c>
      <c r="G107" s="689" t="s">
        <v>1096</v>
      </c>
      <c r="H107" s="689" t="s">
        <v>1097</v>
      </c>
      <c r="I107" s="691">
        <v>28.74</v>
      </c>
      <c r="J107" s="691">
        <v>1</v>
      </c>
      <c r="K107" s="692">
        <v>28.74</v>
      </c>
    </row>
    <row r="108" spans="1:11" ht="14.4" customHeight="1" x14ac:dyDescent="0.3">
      <c r="A108" s="687" t="s">
        <v>583</v>
      </c>
      <c r="B108" s="688" t="s">
        <v>584</v>
      </c>
      <c r="C108" s="689" t="s">
        <v>596</v>
      </c>
      <c r="D108" s="690" t="s">
        <v>993</v>
      </c>
      <c r="E108" s="689" t="s">
        <v>1398</v>
      </c>
      <c r="F108" s="690" t="s">
        <v>1399</v>
      </c>
      <c r="G108" s="689" t="s">
        <v>1098</v>
      </c>
      <c r="H108" s="689" t="s">
        <v>1099</v>
      </c>
      <c r="I108" s="691">
        <v>1.4249999999999998</v>
      </c>
      <c r="J108" s="691">
        <v>1000</v>
      </c>
      <c r="K108" s="692">
        <v>1427.3</v>
      </c>
    </row>
    <row r="109" spans="1:11" ht="14.4" customHeight="1" x14ac:dyDescent="0.3">
      <c r="A109" s="687" t="s">
        <v>583</v>
      </c>
      <c r="B109" s="688" t="s">
        <v>584</v>
      </c>
      <c r="C109" s="689" t="s">
        <v>596</v>
      </c>
      <c r="D109" s="690" t="s">
        <v>993</v>
      </c>
      <c r="E109" s="689" t="s">
        <v>1398</v>
      </c>
      <c r="F109" s="690" t="s">
        <v>1399</v>
      </c>
      <c r="G109" s="689" t="s">
        <v>1188</v>
      </c>
      <c r="H109" s="689" t="s">
        <v>1189</v>
      </c>
      <c r="I109" s="691">
        <v>0.32</v>
      </c>
      <c r="J109" s="691">
        <v>3600</v>
      </c>
      <c r="K109" s="692">
        <v>1150.6500000000001</v>
      </c>
    </row>
    <row r="110" spans="1:11" ht="14.4" customHeight="1" x14ac:dyDescent="0.3">
      <c r="A110" s="687" t="s">
        <v>583</v>
      </c>
      <c r="B110" s="688" t="s">
        <v>584</v>
      </c>
      <c r="C110" s="689" t="s">
        <v>596</v>
      </c>
      <c r="D110" s="690" t="s">
        <v>993</v>
      </c>
      <c r="E110" s="689" t="s">
        <v>1398</v>
      </c>
      <c r="F110" s="690" t="s">
        <v>1399</v>
      </c>
      <c r="G110" s="689" t="s">
        <v>1250</v>
      </c>
      <c r="H110" s="689" t="s">
        <v>1251</v>
      </c>
      <c r="I110" s="691">
        <v>22.15</v>
      </c>
      <c r="J110" s="691">
        <v>25</v>
      </c>
      <c r="K110" s="692">
        <v>553.75</v>
      </c>
    </row>
    <row r="111" spans="1:11" ht="14.4" customHeight="1" x14ac:dyDescent="0.3">
      <c r="A111" s="687" t="s">
        <v>583</v>
      </c>
      <c r="B111" s="688" t="s">
        <v>584</v>
      </c>
      <c r="C111" s="689" t="s">
        <v>596</v>
      </c>
      <c r="D111" s="690" t="s">
        <v>993</v>
      </c>
      <c r="E111" s="689" t="s">
        <v>1398</v>
      </c>
      <c r="F111" s="690" t="s">
        <v>1399</v>
      </c>
      <c r="G111" s="689" t="s">
        <v>1190</v>
      </c>
      <c r="H111" s="689" t="s">
        <v>1191</v>
      </c>
      <c r="I111" s="691">
        <v>2.9550000000000001</v>
      </c>
      <c r="J111" s="691">
        <v>500</v>
      </c>
      <c r="K111" s="692">
        <v>1476.65</v>
      </c>
    </row>
    <row r="112" spans="1:11" ht="14.4" customHeight="1" x14ac:dyDescent="0.3">
      <c r="A112" s="687" t="s">
        <v>583</v>
      </c>
      <c r="B112" s="688" t="s">
        <v>584</v>
      </c>
      <c r="C112" s="689" t="s">
        <v>596</v>
      </c>
      <c r="D112" s="690" t="s">
        <v>993</v>
      </c>
      <c r="E112" s="689" t="s">
        <v>1398</v>
      </c>
      <c r="F112" s="690" t="s">
        <v>1399</v>
      </c>
      <c r="G112" s="689" t="s">
        <v>1252</v>
      </c>
      <c r="H112" s="689" t="s">
        <v>1253</v>
      </c>
      <c r="I112" s="691">
        <v>0.67</v>
      </c>
      <c r="J112" s="691">
        <v>1000</v>
      </c>
      <c r="K112" s="692">
        <v>670</v>
      </c>
    </row>
    <row r="113" spans="1:11" ht="14.4" customHeight="1" x14ac:dyDescent="0.3">
      <c r="A113" s="687" t="s">
        <v>583</v>
      </c>
      <c r="B113" s="688" t="s">
        <v>584</v>
      </c>
      <c r="C113" s="689" t="s">
        <v>596</v>
      </c>
      <c r="D113" s="690" t="s">
        <v>993</v>
      </c>
      <c r="E113" s="689" t="s">
        <v>1398</v>
      </c>
      <c r="F113" s="690" t="s">
        <v>1399</v>
      </c>
      <c r="G113" s="689" t="s">
        <v>1254</v>
      </c>
      <c r="H113" s="689" t="s">
        <v>1255</v>
      </c>
      <c r="I113" s="691">
        <v>48.48</v>
      </c>
      <c r="J113" s="691">
        <v>30</v>
      </c>
      <c r="K113" s="692">
        <v>1454.31</v>
      </c>
    </row>
    <row r="114" spans="1:11" ht="14.4" customHeight="1" x14ac:dyDescent="0.3">
      <c r="A114" s="687" t="s">
        <v>583</v>
      </c>
      <c r="B114" s="688" t="s">
        <v>584</v>
      </c>
      <c r="C114" s="689" t="s">
        <v>596</v>
      </c>
      <c r="D114" s="690" t="s">
        <v>993</v>
      </c>
      <c r="E114" s="689" t="s">
        <v>1398</v>
      </c>
      <c r="F114" s="690" t="s">
        <v>1399</v>
      </c>
      <c r="G114" s="689" t="s">
        <v>1192</v>
      </c>
      <c r="H114" s="689" t="s">
        <v>1193</v>
      </c>
      <c r="I114" s="691">
        <v>1.29</v>
      </c>
      <c r="J114" s="691">
        <v>1300</v>
      </c>
      <c r="K114" s="692">
        <v>1677</v>
      </c>
    </row>
    <row r="115" spans="1:11" ht="14.4" customHeight="1" x14ac:dyDescent="0.3">
      <c r="A115" s="687" t="s">
        <v>583</v>
      </c>
      <c r="B115" s="688" t="s">
        <v>584</v>
      </c>
      <c r="C115" s="689" t="s">
        <v>596</v>
      </c>
      <c r="D115" s="690" t="s">
        <v>993</v>
      </c>
      <c r="E115" s="689" t="s">
        <v>1398</v>
      </c>
      <c r="F115" s="690" t="s">
        <v>1399</v>
      </c>
      <c r="G115" s="689" t="s">
        <v>1256</v>
      </c>
      <c r="H115" s="689" t="s">
        <v>1257</v>
      </c>
      <c r="I115" s="691">
        <v>120.69</v>
      </c>
      <c r="J115" s="691">
        <v>30</v>
      </c>
      <c r="K115" s="692">
        <v>3620.78</v>
      </c>
    </row>
    <row r="116" spans="1:11" ht="14.4" customHeight="1" x14ac:dyDescent="0.3">
      <c r="A116" s="687" t="s">
        <v>583</v>
      </c>
      <c r="B116" s="688" t="s">
        <v>584</v>
      </c>
      <c r="C116" s="689" t="s">
        <v>596</v>
      </c>
      <c r="D116" s="690" t="s">
        <v>993</v>
      </c>
      <c r="E116" s="689" t="s">
        <v>1398</v>
      </c>
      <c r="F116" s="690" t="s">
        <v>1399</v>
      </c>
      <c r="G116" s="689" t="s">
        <v>1258</v>
      </c>
      <c r="H116" s="689" t="s">
        <v>1259</v>
      </c>
      <c r="I116" s="691">
        <v>85.42</v>
      </c>
      <c r="J116" s="691">
        <v>35</v>
      </c>
      <c r="K116" s="692">
        <v>2989.77</v>
      </c>
    </row>
    <row r="117" spans="1:11" ht="14.4" customHeight="1" x14ac:dyDescent="0.3">
      <c r="A117" s="687" t="s">
        <v>583</v>
      </c>
      <c r="B117" s="688" t="s">
        <v>584</v>
      </c>
      <c r="C117" s="689" t="s">
        <v>596</v>
      </c>
      <c r="D117" s="690" t="s">
        <v>993</v>
      </c>
      <c r="E117" s="689" t="s">
        <v>1398</v>
      </c>
      <c r="F117" s="690" t="s">
        <v>1399</v>
      </c>
      <c r="G117" s="689" t="s">
        <v>1196</v>
      </c>
      <c r="H117" s="689" t="s">
        <v>1197</v>
      </c>
      <c r="I117" s="691">
        <v>13.15</v>
      </c>
      <c r="J117" s="691">
        <v>48</v>
      </c>
      <c r="K117" s="692">
        <v>631.1</v>
      </c>
    </row>
    <row r="118" spans="1:11" ht="14.4" customHeight="1" x14ac:dyDescent="0.3">
      <c r="A118" s="687" t="s">
        <v>583</v>
      </c>
      <c r="B118" s="688" t="s">
        <v>584</v>
      </c>
      <c r="C118" s="689" t="s">
        <v>596</v>
      </c>
      <c r="D118" s="690" t="s">
        <v>993</v>
      </c>
      <c r="E118" s="689" t="s">
        <v>1398</v>
      </c>
      <c r="F118" s="690" t="s">
        <v>1399</v>
      </c>
      <c r="G118" s="689" t="s">
        <v>1260</v>
      </c>
      <c r="H118" s="689" t="s">
        <v>1261</v>
      </c>
      <c r="I118" s="691">
        <v>124.41</v>
      </c>
      <c r="J118" s="691">
        <v>5</v>
      </c>
      <c r="K118" s="692">
        <v>622.04</v>
      </c>
    </row>
    <row r="119" spans="1:11" ht="14.4" customHeight="1" x14ac:dyDescent="0.3">
      <c r="A119" s="687" t="s">
        <v>583</v>
      </c>
      <c r="B119" s="688" t="s">
        <v>584</v>
      </c>
      <c r="C119" s="689" t="s">
        <v>596</v>
      </c>
      <c r="D119" s="690" t="s">
        <v>993</v>
      </c>
      <c r="E119" s="689" t="s">
        <v>1398</v>
      </c>
      <c r="F119" s="690" t="s">
        <v>1399</v>
      </c>
      <c r="G119" s="689" t="s">
        <v>1262</v>
      </c>
      <c r="H119" s="689" t="s">
        <v>1263</v>
      </c>
      <c r="I119" s="691">
        <v>0.85</v>
      </c>
      <c r="J119" s="691">
        <v>200</v>
      </c>
      <c r="K119" s="692">
        <v>170</v>
      </c>
    </row>
    <row r="120" spans="1:11" ht="14.4" customHeight="1" x14ac:dyDescent="0.3">
      <c r="A120" s="687" t="s">
        <v>583</v>
      </c>
      <c r="B120" s="688" t="s">
        <v>584</v>
      </c>
      <c r="C120" s="689" t="s">
        <v>596</v>
      </c>
      <c r="D120" s="690" t="s">
        <v>993</v>
      </c>
      <c r="E120" s="689" t="s">
        <v>1398</v>
      </c>
      <c r="F120" s="690" t="s">
        <v>1399</v>
      </c>
      <c r="G120" s="689" t="s">
        <v>1264</v>
      </c>
      <c r="H120" s="689" t="s">
        <v>1265</v>
      </c>
      <c r="I120" s="691">
        <v>1.51</v>
      </c>
      <c r="J120" s="691">
        <v>50</v>
      </c>
      <c r="K120" s="692">
        <v>75.5</v>
      </c>
    </row>
    <row r="121" spans="1:11" ht="14.4" customHeight="1" x14ac:dyDescent="0.3">
      <c r="A121" s="687" t="s">
        <v>583</v>
      </c>
      <c r="B121" s="688" t="s">
        <v>584</v>
      </c>
      <c r="C121" s="689" t="s">
        <v>596</v>
      </c>
      <c r="D121" s="690" t="s">
        <v>993</v>
      </c>
      <c r="E121" s="689" t="s">
        <v>1398</v>
      </c>
      <c r="F121" s="690" t="s">
        <v>1399</v>
      </c>
      <c r="G121" s="689" t="s">
        <v>1102</v>
      </c>
      <c r="H121" s="689" t="s">
        <v>1103</v>
      </c>
      <c r="I121" s="691">
        <v>0.29499999999999998</v>
      </c>
      <c r="J121" s="691">
        <v>4800</v>
      </c>
      <c r="K121" s="692">
        <v>1406.7</v>
      </c>
    </row>
    <row r="122" spans="1:11" ht="14.4" customHeight="1" x14ac:dyDescent="0.3">
      <c r="A122" s="687" t="s">
        <v>583</v>
      </c>
      <c r="B122" s="688" t="s">
        <v>584</v>
      </c>
      <c r="C122" s="689" t="s">
        <v>596</v>
      </c>
      <c r="D122" s="690" t="s">
        <v>993</v>
      </c>
      <c r="E122" s="689" t="s">
        <v>1398</v>
      </c>
      <c r="F122" s="690" t="s">
        <v>1399</v>
      </c>
      <c r="G122" s="689" t="s">
        <v>1104</v>
      </c>
      <c r="H122" s="689" t="s">
        <v>1105</v>
      </c>
      <c r="I122" s="691">
        <v>790.88</v>
      </c>
      <c r="J122" s="691">
        <v>1</v>
      </c>
      <c r="K122" s="692">
        <v>790.88</v>
      </c>
    </row>
    <row r="123" spans="1:11" ht="14.4" customHeight="1" x14ac:dyDescent="0.3">
      <c r="A123" s="687" t="s">
        <v>583</v>
      </c>
      <c r="B123" s="688" t="s">
        <v>584</v>
      </c>
      <c r="C123" s="689" t="s">
        <v>596</v>
      </c>
      <c r="D123" s="690" t="s">
        <v>993</v>
      </c>
      <c r="E123" s="689" t="s">
        <v>1398</v>
      </c>
      <c r="F123" s="690" t="s">
        <v>1399</v>
      </c>
      <c r="G123" s="689" t="s">
        <v>1266</v>
      </c>
      <c r="H123" s="689" t="s">
        <v>1267</v>
      </c>
      <c r="I123" s="691">
        <v>21.78</v>
      </c>
      <c r="J123" s="691">
        <v>300</v>
      </c>
      <c r="K123" s="692">
        <v>6534</v>
      </c>
    </row>
    <row r="124" spans="1:11" ht="14.4" customHeight="1" x14ac:dyDescent="0.3">
      <c r="A124" s="687" t="s">
        <v>583</v>
      </c>
      <c r="B124" s="688" t="s">
        <v>584</v>
      </c>
      <c r="C124" s="689" t="s">
        <v>596</v>
      </c>
      <c r="D124" s="690" t="s">
        <v>993</v>
      </c>
      <c r="E124" s="689" t="s">
        <v>1398</v>
      </c>
      <c r="F124" s="690" t="s">
        <v>1399</v>
      </c>
      <c r="G124" s="689" t="s">
        <v>1268</v>
      </c>
      <c r="H124" s="689" t="s">
        <v>1269</v>
      </c>
      <c r="I124" s="691">
        <v>355.35</v>
      </c>
      <c r="J124" s="691">
        <v>1</v>
      </c>
      <c r="K124" s="692">
        <v>355.35</v>
      </c>
    </row>
    <row r="125" spans="1:11" ht="14.4" customHeight="1" x14ac:dyDescent="0.3">
      <c r="A125" s="687" t="s">
        <v>583</v>
      </c>
      <c r="B125" s="688" t="s">
        <v>584</v>
      </c>
      <c r="C125" s="689" t="s">
        <v>596</v>
      </c>
      <c r="D125" s="690" t="s">
        <v>993</v>
      </c>
      <c r="E125" s="689" t="s">
        <v>1398</v>
      </c>
      <c r="F125" s="690" t="s">
        <v>1399</v>
      </c>
      <c r="G125" s="689" t="s">
        <v>1270</v>
      </c>
      <c r="H125" s="689" t="s">
        <v>1271</v>
      </c>
      <c r="I125" s="691">
        <v>23.23</v>
      </c>
      <c r="J125" s="691">
        <v>50</v>
      </c>
      <c r="K125" s="692">
        <v>1161.5999999999999</v>
      </c>
    </row>
    <row r="126" spans="1:11" ht="14.4" customHeight="1" x14ac:dyDescent="0.3">
      <c r="A126" s="687" t="s">
        <v>583</v>
      </c>
      <c r="B126" s="688" t="s">
        <v>584</v>
      </c>
      <c r="C126" s="689" t="s">
        <v>596</v>
      </c>
      <c r="D126" s="690" t="s">
        <v>993</v>
      </c>
      <c r="E126" s="689" t="s">
        <v>1398</v>
      </c>
      <c r="F126" s="690" t="s">
        <v>1399</v>
      </c>
      <c r="G126" s="689" t="s">
        <v>1198</v>
      </c>
      <c r="H126" s="689" t="s">
        <v>1199</v>
      </c>
      <c r="I126" s="691">
        <v>5.1749999999999998</v>
      </c>
      <c r="J126" s="691">
        <v>200</v>
      </c>
      <c r="K126" s="692">
        <v>1035.5</v>
      </c>
    </row>
    <row r="127" spans="1:11" ht="14.4" customHeight="1" x14ac:dyDescent="0.3">
      <c r="A127" s="687" t="s">
        <v>583</v>
      </c>
      <c r="B127" s="688" t="s">
        <v>584</v>
      </c>
      <c r="C127" s="689" t="s">
        <v>596</v>
      </c>
      <c r="D127" s="690" t="s">
        <v>993</v>
      </c>
      <c r="E127" s="689" t="s">
        <v>1400</v>
      </c>
      <c r="F127" s="690" t="s">
        <v>1401</v>
      </c>
      <c r="G127" s="689" t="s">
        <v>1272</v>
      </c>
      <c r="H127" s="689" t="s">
        <v>1273</v>
      </c>
      <c r="I127" s="691">
        <v>11.675000000000001</v>
      </c>
      <c r="J127" s="691">
        <v>80</v>
      </c>
      <c r="K127" s="692">
        <v>934</v>
      </c>
    </row>
    <row r="128" spans="1:11" ht="14.4" customHeight="1" x14ac:dyDescent="0.3">
      <c r="A128" s="687" t="s">
        <v>583</v>
      </c>
      <c r="B128" s="688" t="s">
        <v>584</v>
      </c>
      <c r="C128" s="689" t="s">
        <v>596</v>
      </c>
      <c r="D128" s="690" t="s">
        <v>993</v>
      </c>
      <c r="E128" s="689" t="s">
        <v>1400</v>
      </c>
      <c r="F128" s="690" t="s">
        <v>1401</v>
      </c>
      <c r="G128" s="689" t="s">
        <v>1106</v>
      </c>
      <c r="H128" s="689" t="s">
        <v>1107</v>
      </c>
      <c r="I128" s="691">
        <v>16.395</v>
      </c>
      <c r="J128" s="691">
        <v>1200</v>
      </c>
      <c r="K128" s="692">
        <v>19672</v>
      </c>
    </row>
    <row r="129" spans="1:11" ht="14.4" customHeight="1" x14ac:dyDescent="0.3">
      <c r="A129" s="687" t="s">
        <v>583</v>
      </c>
      <c r="B129" s="688" t="s">
        <v>584</v>
      </c>
      <c r="C129" s="689" t="s">
        <v>596</v>
      </c>
      <c r="D129" s="690" t="s">
        <v>993</v>
      </c>
      <c r="E129" s="689" t="s">
        <v>1400</v>
      </c>
      <c r="F129" s="690" t="s">
        <v>1401</v>
      </c>
      <c r="G129" s="689" t="s">
        <v>1274</v>
      </c>
      <c r="H129" s="689" t="s">
        <v>1275</v>
      </c>
      <c r="I129" s="691">
        <v>260.14999999999998</v>
      </c>
      <c r="J129" s="691">
        <v>13</v>
      </c>
      <c r="K129" s="692">
        <v>3381.95</v>
      </c>
    </row>
    <row r="130" spans="1:11" ht="14.4" customHeight="1" x14ac:dyDescent="0.3">
      <c r="A130" s="687" t="s">
        <v>583</v>
      </c>
      <c r="B130" s="688" t="s">
        <v>584</v>
      </c>
      <c r="C130" s="689" t="s">
        <v>596</v>
      </c>
      <c r="D130" s="690" t="s">
        <v>993</v>
      </c>
      <c r="E130" s="689" t="s">
        <v>1400</v>
      </c>
      <c r="F130" s="690" t="s">
        <v>1401</v>
      </c>
      <c r="G130" s="689" t="s">
        <v>1276</v>
      </c>
      <c r="H130" s="689" t="s">
        <v>1277</v>
      </c>
      <c r="I130" s="691">
        <v>58.37</v>
      </c>
      <c r="J130" s="691">
        <v>100</v>
      </c>
      <c r="K130" s="692">
        <v>5837</v>
      </c>
    </row>
    <row r="131" spans="1:11" ht="14.4" customHeight="1" x14ac:dyDescent="0.3">
      <c r="A131" s="687" t="s">
        <v>583</v>
      </c>
      <c r="B131" s="688" t="s">
        <v>584</v>
      </c>
      <c r="C131" s="689" t="s">
        <v>596</v>
      </c>
      <c r="D131" s="690" t="s">
        <v>993</v>
      </c>
      <c r="E131" s="689" t="s">
        <v>1400</v>
      </c>
      <c r="F131" s="690" t="s">
        <v>1401</v>
      </c>
      <c r="G131" s="689" t="s">
        <v>1108</v>
      </c>
      <c r="H131" s="689" t="s">
        <v>1109</v>
      </c>
      <c r="I131" s="691">
        <v>15.925000000000001</v>
      </c>
      <c r="J131" s="691">
        <v>350</v>
      </c>
      <c r="K131" s="692">
        <v>5573</v>
      </c>
    </row>
    <row r="132" spans="1:11" ht="14.4" customHeight="1" x14ac:dyDescent="0.3">
      <c r="A132" s="687" t="s">
        <v>583</v>
      </c>
      <c r="B132" s="688" t="s">
        <v>584</v>
      </c>
      <c r="C132" s="689" t="s">
        <v>596</v>
      </c>
      <c r="D132" s="690" t="s">
        <v>993</v>
      </c>
      <c r="E132" s="689" t="s">
        <v>1400</v>
      </c>
      <c r="F132" s="690" t="s">
        <v>1401</v>
      </c>
      <c r="G132" s="689" t="s">
        <v>1110</v>
      </c>
      <c r="H132" s="689" t="s">
        <v>1111</v>
      </c>
      <c r="I132" s="691">
        <v>2.5299999999999998</v>
      </c>
      <c r="J132" s="691">
        <v>150</v>
      </c>
      <c r="K132" s="692">
        <v>379.5</v>
      </c>
    </row>
    <row r="133" spans="1:11" ht="14.4" customHeight="1" x14ac:dyDescent="0.3">
      <c r="A133" s="687" t="s">
        <v>583</v>
      </c>
      <c r="B133" s="688" t="s">
        <v>584</v>
      </c>
      <c r="C133" s="689" t="s">
        <v>596</v>
      </c>
      <c r="D133" s="690" t="s">
        <v>993</v>
      </c>
      <c r="E133" s="689" t="s">
        <v>1400</v>
      </c>
      <c r="F133" s="690" t="s">
        <v>1401</v>
      </c>
      <c r="G133" s="689" t="s">
        <v>1202</v>
      </c>
      <c r="H133" s="689" t="s">
        <v>1203</v>
      </c>
      <c r="I133" s="691">
        <v>30.25</v>
      </c>
      <c r="J133" s="691">
        <v>300</v>
      </c>
      <c r="K133" s="692">
        <v>9075</v>
      </c>
    </row>
    <row r="134" spans="1:11" ht="14.4" customHeight="1" x14ac:dyDescent="0.3">
      <c r="A134" s="687" t="s">
        <v>583</v>
      </c>
      <c r="B134" s="688" t="s">
        <v>584</v>
      </c>
      <c r="C134" s="689" t="s">
        <v>596</v>
      </c>
      <c r="D134" s="690" t="s">
        <v>993</v>
      </c>
      <c r="E134" s="689" t="s">
        <v>1400</v>
      </c>
      <c r="F134" s="690" t="s">
        <v>1401</v>
      </c>
      <c r="G134" s="689" t="s">
        <v>1112</v>
      </c>
      <c r="H134" s="689" t="s">
        <v>1113</v>
      </c>
      <c r="I134" s="691">
        <v>2.75</v>
      </c>
      <c r="J134" s="691">
        <v>400</v>
      </c>
      <c r="K134" s="692">
        <v>1100</v>
      </c>
    </row>
    <row r="135" spans="1:11" ht="14.4" customHeight="1" x14ac:dyDescent="0.3">
      <c r="A135" s="687" t="s">
        <v>583</v>
      </c>
      <c r="B135" s="688" t="s">
        <v>584</v>
      </c>
      <c r="C135" s="689" t="s">
        <v>596</v>
      </c>
      <c r="D135" s="690" t="s">
        <v>993</v>
      </c>
      <c r="E135" s="689" t="s">
        <v>1400</v>
      </c>
      <c r="F135" s="690" t="s">
        <v>1401</v>
      </c>
      <c r="G135" s="689" t="s">
        <v>1278</v>
      </c>
      <c r="H135" s="689" t="s">
        <v>1279</v>
      </c>
      <c r="I135" s="691">
        <v>7.43</v>
      </c>
      <c r="J135" s="691">
        <v>200</v>
      </c>
      <c r="K135" s="692">
        <v>1486</v>
      </c>
    </row>
    <row r="136" spans="1:11" ht="14.4" customHeight="1" x14ac:dyDescent="0.3">
      <c r="A136" s="687" t="s">
        <v>583</v>
      </c>
      <c r="B136" s="688" t="s">
        <v>584</v>
      </c>
      <c r="C136" s="689" t="s">
        <v>596</v>
      </c>
      <c r="D136" s="690" t="s">
        <v>993</v>
      </c>
      <c r="E136" s="689" t="s">
        <v>1400</v>
      </c>
      <c r="F136" s="690" t="s">
        <v>1401</v>
      </c>
      <c r="G136" s="689" t="s">
        <v>1114</v>
      </c>
      <c r="H136" s="689" t="s">
        <v>1115</v>
      </c>
      <c r="I136" s="691">
        <v>4.1900000000000004</v>
      </c>
      <c r="J136" s="691">
        <v>100</v>
      </c>
      <c r="K136" s="692">
        <v>419</v>
      </c>
    </row>
    <row r="137" spans="1:11" ht="14.4" customHeight="1" x14ac:dyDescent="0.3">
      <c r="A137" s="687" t="s">
        <v>583</v>
      </c>
      <c r="B137" s="688" t="s">
        <v>584</v>
      </c>
      <c r="C137" s="689" t="s">
        <v>596</v>
      </c>
      <c r="D137" s="690" t="s">
        <v>993</v>
      </c>
      <c r="E137" s="689" t="s">
        <v>1400</v>
      </c>
      <c r="F137" s="690" t="s">
        <v>1401</v>
      </c>
      <c r="G137" s="689" t="s">
        <v>1116</v>
      </c>
      <c r="H137" s="689" t="s">
        <v>1117</v>
      </c>
      <c r="I137" s="691">
        <v>1.0950000000000002</v>
      </c>
      <c r="J137" s="691">
        <v>800</v>
      </c>
      <c r="K137" s="692">
        <v>875</v>
      </c>
    </row>
    <row r="138" spans="1:11" ht="14.4" customHeight="1" x14ac:dyDescent="0.3">
      <c r="A138" s="687" t="s">
        <v>583</v>
      </c>
      <c r="B138" s="688" t="s">
        <v>584</v>
      </c>
      <c r="C138" s="689" t="s">
        <v>596</v>
      </c>
      <c r="D138" s="690" t="s">
        <v>993</v>
      </c>
      <c r="E138" s="689" t="s">
        <v>1400</v>
      </c>
      <c r="F138" s="690" t="s">
        <v>1401</v>
      </c>
      <c r="G138" s="689" t="s">
        <v>1118</v>
      </c>
      <c r="H138" s="689" t="s">
        <v>1119</v>
      </c>
      <c r="I138" s="691">
        <v>1.67</v>
      </c>
      <c r="J138" s="691">
        <v>2800</v>
      </c>
      <c r="K138" s="692">
        <v>4676</v>
      </c>
    </row>
    <row r="139" spans="1:11" ht="14.4" customHeight="1" x14ac:dyDescent="0.3">
      <c r="A139" s="687" t="s">
        <v>583</v>
      </c>
      <c r="B139" s="688" t="s">
        <v>584</v>
      </c>
      <c r="C139" s="689" t="s">
        <v>596</v>
      </c>
      <c r="D139" s="690" t="s">
        <v>993</v>
      </c>
      <c r="E139" s="689" t="s">
        <v>1400</v>
      </c>
      <c r="F139" s="690" t="s">
        <v>1401</v>
      </c>
      <c r="G139" s="689" t="s">
        <v>1120</v>
      </c>
      <c r="H139" s="689" t="s">
        <v>1121</v>
      </c>
      <c r="I139" s="691">
        <v>0.48</v>
      </c>
      <c r="J139" s="691">
        <v>1500</v>
      </c>
      <c r="K139" s="692">
        <v>720</v>
      </c>
    </row>
    <row r="140" spans="1:11" ht="14.4" customHeight="1" x14ac:dyDescent="0.3">
      <c r="A140" s="687" t="s">
        <v>583</v>
      </c>
      <c r="B140" s="688" t="s">
        <v>584</v>
      </c>
      <c r="C140" s="689" t="s">
        <v>596</v>
      </c>
      <c r="D140" s="690" t="s">
        <v>993</v>
      </c>
      <c r="E140" s="689" t="s">
        <v>1400</v>
      </c>
      <c r="F140" s="690" t="s">
        <v>1401</v>
      </c>
      <c r="G140" s="689" t="s">
        <v>1122</v>
      </c>
      <c r="H140" s="689" t="s">
        <v>1123</v>
      </c>
      <c r="I140" s="691">
        <v>0.67</v>
      </c>
      <c r="J140" s="691">
        <v>900</v>
      </c>
      <c r="K140" s="692">
        <v>603</v>
      </c>
    </row>
    <row r="141" spans="1:11" ht="14.4" customHeight="1" x14ac:dyDescent="0.3">
      <c r="A141" s="687" t="s">
        <v>583</v>
      </c>
      <c r="B141" s="688" t="s">
        <v>584</v>
      </c>
      <c r="C141" s="689" t="s">
        <v>596</v>
      </c>
      <c r="D141" s="690" t="s">
        <v>993</v>
      </c>
      <c r="E141" s="689" t="s">
        <v>1400</v>
      </c>
      <c r="F141" s="690" t="s">
        <v>1401</v>
      </c>
      <c r="G141" s="689" t="s">
        <v>1124</v>
      </c>
      <c r="H141" s="689" t="s">
        <v>1125</v>
      </c>
      <c r="I141" s="691">
        <v>3.74</v>
      </c>
      <c r="J141" s="691">
        <v>250</v>
      </c>
      <c r="K141" s="692">
        <v>935</v>
      </c>
    </row>
    <row r="142" spans="1:11" ht="14.4" customHeight="1" x14ac:dyDescent="0.3">
      <c r="A142" s="687" t="s">
        <v>583</v>
      </c>
      <c r="B142" s="688" t="s">
        <v>584</v>
      </c>
      <c r="C142" s="689" t="s">
        <v>596</v>
      </c>
      <c r="D142" s="690" t="s">
        <v>993</v>
      </c>
      <c r="E142" s="689" t="s">
        <v>1400</v>
      </c>
      <c r="F142" s="690" t="s">
        <v>1401</v>
      </c>
      <c r="G142" s="689" t="s">
        <v>1280</v>
      </c>
      <c r="H142" s="689" t="s">
        <v>1281</v>
      </c>
      <c r="I142" s="691">
        <v>81.739999999999995</v>
      </c>
      <c r="J142" s="691">
        <v>20</v>
      </c>
      <c r="K142" s="692">
        <v>1634.8</v>
      </c>
    </row>
    <row r="143" spans="1:11" ht="14.4" customHeight="1" x14ac:dyDescent="0.3">
      <c r="A143" s="687" t="s">
        <v>583</v>
      </c>
      <c r="B143" s="688" t="s">
        <v>584</v>
      </c>
      <c r="C143" s="689" t="s">
        <v>596</v>
      </c>
      <c r="D143" s="690" t="s">
        <v>993</v>
      </c>
      <c r="E143" s="689" t="s">
        <v>1400</v>
      </c>
      <c r="F143" s="690" t="s">
        <v>1401</v>
      </c>
      <c r="G143" s="689" t="s">
        <v>1282</v>
      </c>
      <c r="H143" s="689" t="s">
        <v>1283</v>
      </c>
      <c r="I143" s="691">
        <v>80.510000000000005</v>
      </c>
      <c r="J143" s="691">
        <v>10</v>
      </c>
      <c r="K143" s="692">
        <v>805.1</v>
      </c>
    </row>
    <row r="144" spans="1:11" ht="14.4" customHeight="1" x14ac:dyDescent="0.3">
      <c r="A144" s="687" t="s">
        <v>583</v>
      </c>
      <c r="B144" s="688" t="s">
        <v>584</v>
      </c>
      <c r="C144" s="689" t="s">
        <v>596</v>
      </c>
      <c r="D144" s="690" t="s">
        <v>993</v>
      </c>
      <c r="E144" s="689" t="s">
        <v>1400</v>
      </c>
      <c r="F144" s="690" t="s">
        <v>1401</v>
      </c>
      <c r="G144" s="689" t="s">
        <v>1284</v>
      </c>
      <c r="H144" s="689" t="s">
        <v>1285</v>
      </c>
      <c r="I144" s="691">
        <v>30.25</v>
      </c>
      <c r="J144" s="691">
        <v>50</v>
      </c>
      <c r="K144" s="692">
        <v>1512.5</v>
      </c>
    </row>
    <row r="145" spans="1:11" ht="14.4" customHeight="1" x14ac:dyDescent="0.3">
      <c r="A145" s="687" t="s">
        <v>583</v>
      </c>
      <c r="B145" s="688" t="s">
        <v>584</v>
      </c>
      <c r="C145" s="689" t="s">
        <v>596</v>
      </c>
      <c r="D145" s="690" t="s">
        <v>993</v>
      </c>
      <c r="E145" s="689" t="s">
        <v>1400</v>
      </c>
      <c r="F145" s="690" t="s">
        <v>1401</v>
      </c>
      <c r="G145" s="689" t="s">
        <v>1204</v>
      </c>
      <c r="H145" s="689" t="s">
        <v>1205</v>
      </c>
      <c r="I145" s="691">
        <v>32.67</v>
      </c>
      <c r="J145" s="691">
        <v>300</v>
      </c>
      <c r="K145" s="692">
        <v>9801</v>
      </c>
    </row>
    <row r="146" spans="1:11" ht="14.4" customHeight="1" x14ac:dyDescent="0.3">
      <c r="A146" s="687" t="s">
        <v>583</v>
      </c>
      <c r="B146" s="688" t="s">
        <v>584</v>
      </c>
      <c r="C146" s="689" t="s">
        <v>596</v>
      </c>
      <c r="D146" s="690" t="s">
        <v>993</v>
      </c>
      <c r="E146" s="689" t="s">
        <v>1400</v>
      </c>
      <c r="F146" s="690" t="s">
        <v>1401</v>
      </c>
      <c r="G146" s="689" t="s">
        <v>1286</v>
      </c>
      <c r="H146" s="689" t="s">
        <v>1287</v>
      </c>
      <c r="I146" s="691">
        <v>108.3</v>
      </c>
      <c r="J146" s="691">
        <v>20</v>
      </c>
      <c r="K146" s="692">
        <v>2165.9</v>
      </c>
    </row>
    <row r="147" spans="1:11" ht="14.4" customHeight="1" x14ac:dyDescent="0.3">
      <c r="A147" s="687" t="s">
        <v>583</v>
      </c>
      <c r="B147" s="688" t="s">
        <v>584</v>
      </c>
      <c r="C147" s="689" t="s">
        <v>596</v>
      </c>
      <c r="D147" s="690" t="s">
        <v>993</v>
      </c>
      <c r="E147" s="689" t="s">
        <v>1400</v>
      </c>
      <c r="F147" s="690" t="s">
        <v>1401</v>
      </c>
      <c r="G147" s="689" t="s">
        <v>1126</v>
      </c>
      <c r="H147" s="689" t="s">
        <v>1127</v>
      </c>
      <c r="I147" s="691">
        <v>26.015000000000001</v>
      </c>
      <c r="J147" s="691">
        <v>720</v>
      </c>
      <c r="K147" s="692">
        <v>18732.8</v>
      </c>
    </row>
    <row r="148" spans="1:11" ht="14.4" customHeight="1" x14ac:dyDescent="0.3">
      <c r="A148" s="687" t="s">
        <v>583</v>
      </c>
      <c r="B148" s="688" t="s">
        <v>584</v>
      </c>
      <c r="C148" s="689" t="s">
        <v>596</v>
      </c>
      <c r="D148" s="690" t="s">
        <v>993</v>
      </c>
      <c r="E148" s="689" t="s">
        <v>1400</v>
      </c>
      <c r="F148" s="690" t="s">
        <v>1401</v>
      </c>
      <c r="G148" s="689" t="s">
        <v>1288</v>
      </c>
      <c r="H148" s="689" t="s">
        <v>1289</v>
      </c>
      <c r="I148" s="691">
        <v>14.3</v>
      </c>
      <c r="J148" s="691">
        <v>60</v>
      </c>
      <c r="K148" s="692">
        <v>858.13000000000011</v>
      </c>
    </row>
    <row r="149" spans="1:11" ht="14.4" customHeight="1" x14ac:dyDescent="0.3">
      <c r="A149" s="687" t="s">
        <v>583</v>
      </c>
      <c r="B149" s="688" t="s">
        <v>584</v>
      </c>
      <c r="C149" s="689" t="s">
        <v>596</v>
      </c>
      <c r="D149" s="690" t="s">
        <v>993</v>
      </c>
      <c r="E149" s="689" t="s">
        <v>1400</v>
      </c>
      <c r="F149" s="690" t="s">
        <v>1401</v>
      </c>
      <c r="G149" s="689" t="s">
        <v>1128</v>
      </c>
      <c r="H149" s="689" t="s">
        <v>1129</v>
      </c>
      <c r="I149" s="691">
        <v>9.15</v>
      </c>
      <c r="J149" s="691">
        <v>300</v>
      </c>
      <c r="K149" s="692">
        <v>2745</v>
      </c>
    </row>
    <row r="150" spans="1:11" ht="14.4" customHeight="1" x14ac:dyDescent="0.3">
      <c r="A150" s="687" t="s">
        <v>583</v>
      </c>
      <c r="B150" s="688" t="s">
        <v>584</v>
      </c>
      <c r="C150" s="689" t="s">
        <v>596</v>
      </c>
      <c r="D150" s="690" t="s">
        <v>993</v>
      </c>
      <c r="E150" s="689" t="s">
        <v>1400</v>
      </c>
      <c r="F150" s="690" t="s">
        <v>1401</v>
      </c>
      <c r="G150" s="689" t="s">
        <v>1130</v>
      </c>
      <c r="H150" s="689" t="s">
        <v>1131</v>
      </c>
      <c r="I150" s="691">
        <v>4.8</v>
      </c>
      <c r="J150" s="691">
        <v>900</v>
      </c>
      <c r="K150" s="692">
        <v>4319.8999999999996</v>
      </c>
    </row>
    <row r="151" spans="1:11" ht="14.4" customHeight="1" x14ac:dyDescent="0.3">
      <c r="A151" s="687" t="s">
        <v>583</v>
      </c>
      <c r="B151" s="688" t="s">
        <v>584</v>
      </c>
      <c r="C151" s="689" t="s">
        <v>596</v>
      </c>
      <c r="D151" s="690" t="s">
        <v>993</v>
      </c>
      <c r="E151" s="689" t="s">
        <v>1400</v>
      </c>
      <c r="F151" s="690" t="s">
        <v>1401</v>
      </c>
      <c r="G151" s="689" t="s">
        <v>1290</v>
      </c>
      <c r="H151" s="689" t="s">
        <v>1291</v>
      </c>
      <c r="I151" s="691">
        <v>206.04</v>
      </c>
      <c r="J151" s="691">
        <v>2</v>
      </c>
      <c r="K151" s="692">
        <v>412.08</v>
      </c>
    </row>
    <row r="152" spans="1:11" ht="14.4" customHeight="1" x14ac:dyDescent="0.3">
      <c r="A152" s="687" t="s">
        <v>583</v>
      </c>
      <c r="B152" s="688" t="s">
        <v>584</v>
      </c>
      <c r="C152" s="689" t="s">
        <v>596</v>
      </c>
      <c r="D152" s="690" t="s">
        <v>993</v>
      </c>
      <c r="E152" s="689" t="s">
        <v>1400</v>
      </c>
      <c r="F152" s="690" t="s">
        <v>1401</v>
      </c>
      <c r="G152" s="689" t="s">
        <v>1292</v>
      </c>
      <c r="H152" s="689" t="s">
        <v>1293</v>
      </c>
      <c r="I152" s="691">
        <v>2.64</v>
      </c>
      <c r="J152" s="691">
        <v>100</v>
      </c>
      <c r="K152" s="692">
        <v>263.89999999999998</v>
      </c>
    </row>
    <row r="153" spans="1:11" ht="14.4" customHeight="1" x14ac:dyDescent="0.3">
      <c r="A153" s="687" t="s">
        <v>583</v>
      </c>
      <c r="B153" s="688" t="s">
        <v>584</v>
      </c>
      <c r="C153" s="689" t="s">
        <v>596</v>
      </c>
      <c r="D153" s="690" t="s">
        <v>993</v>
      </c>
      <c r="E153" s="689" t="s">
        <v>1400</v>
      </c>
      <c r="F153" s="690" t="s">
        <v>1401</v>
      </c>
      <c r="G153" s="689" t="s">
        <v>1294</v>
      </c>
      <c r="H153" s="689" t="s">
        <v>1295</v>
      </c>
      <c r="I153" s="691">
        <v>16.46</v>
      </c>
      <c r="J153" s="691">
        <v>10</v>
      </c>
      <c r="K153" s="692">
        <v>164.6</v>
      </c>
    </row>
    <row r="154" spans="1:11" ht="14.4" customHeight="1" x14ac:dyDescent="0.3">
      <c r="A154" s="687" t="s">
        <v>583</v>
      </c>
      <c r="B154" s="688" t="s">
        <v>584</v>
      </c>
      <c r="C154" s="689" t="s">
        <v>596</v>
      </c>
      <c r="D154" s="690" t="s">
        <v>993</v>
      </c>
      <c r="E154" s="689" t="s">
        <v>1400</v>
      </c>
      <c r="F154" s="690" t="s">
        <v>1401</v>
      </c>
      <c r="G154" s="689" t="s">
        <v>1296</v>
      </c>
      <c r="H154" s="689" t="s">
        <v>1297</v>
      </c>
      <c r="I154" s="691">
        <v>26.02</v>
      </c>
      <c r="J154" s="691">
        <v>400</v>
      </c>
      <c r="K154" s="692">
        <v>10406</v>
      </c>
    </row>
    <row r="155" spans="1:11" ht="14.4" customHeight="1" x14ac:dyDescent="0.3">
      <c r="A155" s="687" t="s">
        <v>583</v>
      </c>
      <c r="B155" s="688" t="s">
        <v>584</v>
      </c>
      <c r="C155" s="689" t="s">
        <v>596</v>
      </c>
      <c r="D155" s="690" t="s">
        <v>993</v>
      </c>
      <c r="E155" s="689" t="s">
        <v>1400</v>
      </c>
      <c r="F155" s="690" t="s">
        <v>1401</v>
      </c>
      <c r="G155" s="689" t="s">
        <v>1298</v>
      </c>
      <c r="H155" s="689" t="s">
        <v>1299</v>
      </c>
      <c r="I155" s="691">
        <v>1.9</v>
      </c>
      <c r="J155" s="691">
        <v>2</v>
      </c>
      <c r="K155" s="692">
        <v>3.8</v>
      </c>
    </row>
    <row r="156" spans="1:11" ht="14.4" customHeight="1" x14ac:dyDescent="0.3">
      <c r="A156" s="687" t="s">
        <v>583</v>
      </c>
      <c r="B156" s="688" t="s">
        <v>584</v>
      </c>
      <c r="C156" s="689" t="s">
        <v>596</v>
      </c>
      <c r="D156" s="690" t="s">
        <v>993</v>
      </c>
      <c r="E156" s="689" t="s">
        <v>1400</v>
      </c>
      <c r="F156" s="690" t="s">
        <v>1401</v>
      </c>
      <c r="G156" s="689" t="s">
        <v>1300</v>
      </c>
      <c r="H156" s="689" t="s">
        <v>1301</v>
      </c>
      <c r="I156" s="691">
        <v>2.38</v>
      </c>
      <c r="J156" s="691">
        <v>50</v>
      </c>
      <c r="K156" s="692">
        <v>119</v>
      </c>
    </row>
    <row r="157" spans="1:11" ht="14.4" customHeight="1" x14ac:dyDescent="0.3">
      <c r="A157" s="687" t="s">
        <v>583</v>
      </c>
      <c r="B157" s="688" t="s">
        <v>584</v>
      </c>
      <c r="C157" s="689" t="s">
        <v>596</v>
      </c>
      <c r="D157" s="690" t="s">
        <v>993</v>
      </c>
      <c r="E157" s="689" t="s">
        <v>1400</v>
      </c>
      <c r="F157" s="690" t="s">
        <v>1401</v>
      </c>
      <c r="G157" s="689" t="s">
        <v>1302</v>
      </c>
      <c r="H157" s="689" t="s">
        <v>1303</v>
      </c>
      <c r="I157" s="691">
        <v>1.8</v>
      </c>
      <c r="J157" s="691">
        <v>50</v>
      </c>
      <c r="K157" s="692">
        <v>90</v>
      </c>
    </row>
    <row r="158" spans="1:11" ht="14.4" customHeight="1" x14ac:dyDescent="0.3">
      <c r="A158" s="687" t="s">
        <v>583</v>
      </c>
      <c r="B158" s="688" t="s">
        <v>584</v>
      </c>
      <c r="C158" s="689" t="s">
        <v>596</v>
      </c>
      <c r="D158" s="690" t="s">
        <v>993</v>
      </c>
      <c r="E158" s="689" t="s">
        <v>1400</v>
      </c>
      <c r="F158" s="690" t="s">
        <v>1401</v>
      </c>
      <c r="G158" s="689" t="s">
        <v>1304</v>
      </c>
      <c r="H158" s="689" t="s">
        <v>1305</v>
      </c>
      <c r="I158" s="691">
        <v>37.14</v>
      </c>
      <c r="J158" s="691">
        <v>60</v>
      </c>
      <c r="K158" s="692">
        <v>2228.3999999999996</v>
      </c>
    </row>
    <row r="159" spans="1:11" ht="14.4" customHeight="1" x14ac:dyDescent="0.3">
      <c r="A159" s="687" t="s">
        <v>583</v>
      </c>
      <c r="B159" s="688" t="s">
        <v>584</v>
      </c>
      <c r="C159" s="689" t="s">
        <v>596</v>
      </c>
      <c r="D159" s="690" t="s">
        <v>993</v>
      </c>
      <c r="E159" s="689" t="s">
        <v>1400</v>
      </c>
      <c r="F159" s="690" t="s">
        <v>1401</v>
      </c>
      <c r="G159" s="689" t="s">
        <v>1132</v>
      </c>
      <c r="H159" s="689" t="s">
        <v>1133</v>
      </c>
      <c r="I159" s="691">
        <v>90.90666666666668</v>
      </c>
      <c r="J159" s="691">
        <v>48</v>
      </c>
      <c r="K159" s="692">
        <v>4363.42</v>
      </c>
    </row>
    <row r="160" spans="1:11" ht="14.4" customHeight="1" x14ac:dyDescent="0.3">
      <c r="A160" s="687" t="s">
        <v>583</v>
      </c>
      <c r="B160" s="688" t="s">
        <v>584</v>
      </c>
      <c r="C160" s="689" t="s">
        <v>596</v>
      </c>
      <c r="D160" s="690" t="s">
        <v>993</v>
      </c>
      <c r="E160" s="689" t="s">
        <v>1400</v>
      </c>
      <c r="F160" s="690" t="s">
        <v>1401</v>
      </c>
      <c r="G160" s="689" t="s">
        <v>1306</v>
      </c>
      <c r="H160" s="689" t="s">
        <v>1307</v>
      </c>
      <c r="I160" s="691">
        <v>5.42</v>
      </c>
      <c r="J160" s="691">
        <v>600</v>
      </c>
      <c r="K160" s="692">
        <v>3251.17</v>
      </c>
    </row>
    <row r="161" spans="1:11" ht="14.4" customHeight="1" x14ac:dyDescent="0.3">
      <c r="A161" s="687" t="s">
        <v>583</v>
      </c>
      <c r="B161" s="688" t="s">
        <v>584</v>
      </c>
      <c r="C161" s="689" t="s">
        <v>596</v>
      </c>
      <c r="D161" s="690" t="s">
        <v>993</v>
      </c>
      <c r="E161" s="689" t="s">
        <v>1400</v>
      </c>
      <c r="F161" s="690" t="s">
        <v>1401</v>
      </c>
      <c r="G161" s="689" t="s">
        <v>1136</v>
      </c>
      <c r="H161" s="689" t="s">
        <v>1137</v>
      </c>
      <c r="I161" s="691">
        <v>11.734999999999999</v>
      </c>
      <c r="J161" s="691">
        <v>130</v>
      </c>
      <c r="K161" s="692">
        <v>1525.4</v>
      </c>
    </row>
    <row r="162" spans="1:11" ht="14.4" customHeight="1" x14ac:dyDescent="0.3">
      <c r="A162" s="687" t="s">
        <v>583</v>
      </c>
      <c r="B162" s="688" t="s">
        <v>584</v>
      </c>
      <c r="C162" s="689" t="s">
        <v>596</v>
      </c>
      <c r="D162" s="690" t="s">
        <v>993</v>
      </c>
      <c r="E162" s="689" t="s">
        <v>1400</v>
      </c>
      <c r="F162" s="690" t="s">
        <v>1401</v>
      </c>
      <c r="G162" s="689" t="s">
        <v>1308</v>
      </c>
      <c r="H162" s="689" t="s">
        <v>1309</v>
      </c>
      <c r="I162" s="691">
        <v>1.2749999999999999</v>
      </c>
      <c r="J162" s="691">
        <v>225</v>
      </c>
      <c r="K162" s="692">
        <v>286.5</v>
      </c>
    </row>
    <row r="163" spans="1:11" ht="14.4" customHeight="1" x14ac:dyDescent="0.3">
      <c r="A163" s="687" t="s">
        <v>583</v>
      </c>
      <c r="B163" s="688" t="s">
        <v>584</v>
      </c>
      <c r="C163" s="689" t="s">
        <v>596</v>
      </c>
      <c r="D163" s="690" t="s">
        <v>993</v>
      </c>
      <c r="E163" s="689" t="s">
        <v>1400</v>
      </c>
      <c r="F163" s="690" t="s">
        <v>1401</v>
      </c>
      <c r="G163" s="689" t="s">
        <v>1208</v>
      </c>
      <c r="H163" s="689" t="s">
        <v>1209</v>
      </c>
      <c r="I163" s="691">
        <v>21.23</v>
      </c>
      <c r="J163" s="691">
        <v>350</v>
      </c>
      <c r="K163" s="692">
        <v>7430.5</v>
      </c>
    </row>
    <row r="164" spans="1:11" ht="14.4" customHeight="1" x14ac:dyDescent="0.3">
      <c r="A164" s="687" t="s">
        <v>583</v>
      </c>
      <c r="B164" s="688" t="s">
        <v>584</v>
      </c>
      <c r="C164" s="689" t="s">
        <v>596</v>
      </c>
      <c r="D164" s="690" t="s">
        <v>993</v>
      </c>
      <c r="E164" s="689" t="s">
        <v>1400</v>
      </c>
      <c r="F164" s="690" t="s">
        <v>1401</v>
      </c>
      <c r="G164" s="689" t="s">
        <v>1310</v>
      </c>
      <c r="H164" s="689" t="s">
        <v>1311</v>
      </c>
      <c r="I164" s="691">
        <v>2.88</v>
      </c>
      <c r="J164" s="691">
        <v>300</v>
      </c>
      <c r="K164" s="692">
        <v>863.94</v>
      </c>
    </row>
    <row r="165" spans="1:11" ht="14.4" customHeight="1" x14ac:dyDescent="0.3">
      <c r="A165" s="687" t="s">
        <v>583</v>
      </c>
      <c r="B165" s="688" t="s">
        <v>584</v>
      </c>
      <c r="C165" s="689" t="s">
        <v>596</v>
      </c>
      <c r="D165" s="690" t="s">
        <v>993</v>
      </c>
      <c r="E165" s="689" t="s">
        <v>1400</v>
      </c>
      <c r="F165" s="690" t="s">
        <v>1401</v>
      </c>
      <c r="G165" s="689" t="s">
        <v>1312</v>
      </c>
      <c r="H165" s="689" t="s">
        <v>1313</v>
      </c>
      <c r="I165" s="691">
        <v>18.149999999999999</v>
      </c>
      <c r="J165" s="691">
        <v>200</v>
      </c>
      <c r="K165" s="692">
        <v>3630</v>
      </c>
    </row>
    <row r="166" spans="1:11" ht="14.4" customHeight="1" x14ac:dyDescent="0.3">
      <c r="A166" s="687" t="s">
        <v>583</v>
      </c>
      <c r="B166" s="688" t="s">
        <v>584</v>
      </c>
      <c r="C166" s="689" t="s">
        <v>596</v>
      </c>
      <c r="D166" s="690" t="s">
        <v>993</v>
      </c>
      <c r="E166" s="689" t="s">
        <v>1400</v>
      </c>
      <c r="F166" s="690" t="s">
        <v>1401</v>
      </c>
      <c r="G166" s="689" t="s">
        <v>1138</v>
      </c>
      <c r="H166" s="689" t="s">
        <v>1139</v>
      </c>
      <c r="I166" s="691">
        <v>0.47</v>
      </c>
      <c r="J166" s="691">
        <v>600</v>
      </c>
      <c r="K166" s="692">
        <v>282</v>
      </c>
    </row>
    <row r="167" spans="1:11" ht="14.4" customHeight="1" x14ac:dyDescent="0.3">
      <c r="A167" s="687" t="s">
        <v>583</v>
      </c>
      <c r="B167" s="688" t="s">
        <v>584</v>
      </c>
      <c r="C167" s="689" t="s">
        <v>596</v>
      </c>
      <c r="D167" s="690" t="s">
        <v>993</v>
      </c>
      <c r="E167" s="689" t="s">
        <v>1400</v>
      </c>
      <c r="F167" s="690" t="s">
        <v>1401</v>
      </c>
      <c r="G167" s="689" t="s">
        <v>1314</v>
      </c>
      <c r="H167" s="689" t="s">
        <v>1315</v>
      </c>
      <c r="I167" s="691">
        <v>4.03</v>
      </c>
      <c r="J167" s="691">
        <v>350</v>
      </c>
      <c r="K167" s="692">
        <v>1410.5</v>
      </c>
    </row>
    <row r="168" spans="1:11" ht="14.4" customHeight="1" x14ac:dyDescent="0.3">
      <c r="A168" s="687" t="s">
        <v>583</v>
      </c>
      <c r="B168" s="688" t="s">
        <v>584</v>
      </c>
      <c r="C168" s="689" t="s">
        <v>596</v>
      </c>
      <c r="D168" s="690" t="s">
        <v>993</v>
      </c>
      <c r="E168" s="689" t="s">
        <v>1400</v>
      </c>
      <c r="F168" s="690" t="s">
        <v>1401</v>
      </c>
      <c r="G168" s="689" t="s">
        <v>1316</v>
      </c>
      <c r="H168" s="689" t="s">
        <v>1317</v>
      </c>
      <c r="I168" s="691">
        <v>502.15</v>
      </c>
      <c r="J168" s="691">
        <v>80</v>
      </c>
      <c r="K168" s="692">
        <v>40172</v>
      </c>
    </row>
    <row r="169" spans="1:11" ht="14.4" customHeight="1" x14ac:dyDescent="0.3">
      <c r="A169" s="687" t="s">
        <v>583</v>
      </c>
      <c r="B169" s="688" t="s">
        <v>584</v>
      </c>
      <c r="C169" s="689" t="s">
        <v>596</v>
      </c>
      <c r="D169" s="690" t="s">
        <v>993</v>
      </c>
      <c r="E169" s="689" t="s">
        <v>1400</v>
      </c>
      <c r="F169" s="690" t="s">
        <v>1401</v>
      </c>
      <c r="G169" s="689" t="s">
        <v>1318</v>
      </c>
      <c r="H169" s="689" t="s">
        <v>1319</v>
      </c>
      <c r="I169" s="691">
        <v>12.1</v>
      </c>
      <c r="J169" s="691">
        <v>60</v>
      </c>
      <c r="K169" s="692">
        <v>726</v>
      </c>
    </row>
    <row r="170" spans="1:11" ht="14.4" customHeight="1" x14ac:dyDescent="0.3">
      <c r="A170" s="687" t="s">
        <v>583</v>
      </c>
      <c r="B170" s="688" t="s">
        <v>584</v>
      </c>
      <c r="C170" s="689" t="s">
        <v>596</v>
      </c>
      <c r="D170" s="690" t="s">
        <v>993</v>
      </c>
      <c r="E170" s="689" t="s">
        <v>1400</v>
      </c>
      <c r="F170" s="690" t="s">
        <v>1401</v>
      </c>
      <c r="G170" s="689" t="s">
        <v>1140</v>
      </c>
      <c r="H170" s="689" t="s">
        <v>1141</v>
      </c>
      <c r="I170" s="691">
        <v>9.1999999999999993</v>
      </c>
      <c r="J170" s="691">
        <v>100</v>
      </c>
      <c r="K170" s="692">
        <v>920</v>
      </c>
    </row>
    <row r="171" spans="1:11" ht="14.4" customHeight="1" x14ac:dyDescent="0.3">
      <c r="A171" s="687" t="s">
        <v>583</v>
      </c>
      <c r="B171" s="688" t="s">
        <v>584</v>
      </c>
      <c r="C171" s="689" t="s">
        <v>596</v>
      </c>
      <c r="D171" s="690" t="s">
        <v>993</v>
      </c>
      <c r="E171" s="689" t="s">
        <v>1400</v>
      </c>
      <c r="F171" s="690" t="s">
        <v>1401</v>
      </c>
      <c r="G171" s="689" t="s">
        <v>1144</v>
      </c>
      <c r="H171" s="689" t="s">
        <v>1145</v>
      </c>
      <c r="I171" s="691">
        <v>10.83</v>
      </c>
      <c r="J171" s="691">
        <v>240</v>
      </c>
      <c r="K171" s="692">
        <v>2599.14</v>
      </c>
    </row>
    <row r="172" spans="1:11" ht="14.4" customHeight="1" x14ac:dyDescent="0.3">
      <c r="A172" s="687" t="s">
        <v>583</v>
      </c>
      <c r="B172" s="688" t="s">
        <v>584</v>
      </c>
      <c r="C172" s="689" t="s">
        <v>596</v>
      </c>
      <c r="D172" s="690" t="s">
        <v>993</v>
      </c>
      <c r="E172" s="689" t="s">
        <v>1400</v>
      </c>
      <c r="F172" s="690" t="s">
        <v>1401</v>
      </c>
      <c r="G172" s="689" t="s">
        <v>1320</v>
      </c>
      <c r="H172" s="689" t="s">
        <v>1321</v>
      </c>
      <c r="I172" s="691">
        <v>14.6</v>
      </c>
      <c r="J172" s="691">
        <v>140</v>
      </c>
      <c r="K172" s="692">
        <v>2040</v>
      </c>
    </row>
    <row r="173" spans="1:11" ht="14.4" customHeight="1" x14ac:dyDescent="0.3">
      <c r="A173" s="687" t="s">
        <v>583</v>
      </c>
      <c r="B173" s="688" t="s">
        <v>584</v>
      </c>
      <c r="C173" s="689" t="s">
        <v>596</v>
      </c>
      <c r="D173" s="690" t="s">
        <v>993</v>
      </c>
      <c r="E173" s="689" t="s">
        <v>1400</v>
      </c>
      <c r="F173" s="690" t="s">
        <v>1401</v>
      </c>
      <c r="G173" s="689" t="s">
        <v>1322</v>
      </c>
      <c r="H173" s="689" t="s">
        <v>1323</v>
      </c>
      <c r="I173" s="691">
        <v>204.49</v>
      </c>
      <c r="J173" s="691">
        <v>10</v>
      </c>
      <c r="K173" s="692">
        <v>2044.9</v>
      </c>
    </row>
    <row r="174" spans="1:11" ht="14.4" customHeight="1" x14ac:dyDescent="0.3">
      <c r="A174" s="687" t="s">
        <v>583</v>
      </c>
      <c r="B174" s="688" t="s">
        <v>584</v>
      </c>
      <c r="C174" s="689" t="s">
        <v>596</v>
      </c>
      <c r="D174" s="690" t="s">
        <v>993</v>
      </c>
      <c r="E174" s="689" t="s">
        <v>1400</v>
      </c>
      <c r="F174" s="690" t="s">
        <v>1401</v>
      </c>
      <c r="G174" s="689" t="s">
        <v>1324</v>
      </c>
      <c r="H174" s="689" t="s">
        <v>1325</v>
      </c>
      <c r="I174" s="691">
        <v>458.63</v>
      </c>
      <c r="J174" s="691">
        <v>10</v>
      </c>
      <c r="K174" s="692">
        <v>4586.3100000000004</v>
      </c>
    </row>
    <row r="175" spans="1:11" ht="14.4" customHeight="1" x14ac:dyDescent="0.3">
      <c r="A175" s="687" t="s">
        <v>583</v>
      </c>
      <c r="B175" s="688" t="s">
        <v>584</v>
      </c>
      <c r="C175" s="689" t="s">
        <v>596</v>
      </c>
      <c r="D175" s="690" t="s">
        <v>993</v>
      </c>
      <c r="E175" s="689" t="s">
        <v>1400</v>
      </c>
      <c r="F175" s="690" t="s">
        <v>1401</v>
      </c>
      <c r="G175" s="689" t="s">
        <v>1326</v>
      </c>
      <c r="H175" s="689" t="s">
        <v>1327</v>
      </c>
      <c r="I175" s="691">
        <v>104.06</v>
      </c>
      <c r="J175" s="691">
        <v>10</v>
      </c>
      <c r="K175" s="692">
        <v>1040.5999999999999</v>
      </c>
    </row>
    <row r="176" spans="1:11" ht="14.4" customHeight="1" x14ac:dyDescent="0.3">
      <c r="A176" s="687" t="s">
        <v>583</v>
      </c>
      <c r="B176" s="688" t="s">
        <v>584</v>
      </c>
      <c r="C176" s="689" t="s">
        <v>596</v>
      </c>
      <c r="D176" s="690" t="s">
        <v>993</v>
      </c>
      <c r="E176" s="689" t="s">
        <v>1400</v>
      </c>
      <c r="F176" s="690" t="s">
        <v>1401</v>
      </c>
      <c r="G176" s="689" t="s">
        <v>1148</v>
      </c>
      <c r="H176" s="689" t="s">
        <v>1149</v>
      </c>
      <c r="I176" s="691">
        <v>5</v>
      </c>
      <c r="J176" s="691">
        <v>100</v>
      </c>
      <c r="K176" s="692">
        <v>500</v>
      </c>
    </row>
    <row r="177" spans="1:11" ht="14.4" customHeight="1" x14ac:dyDescent="0.3">
      <c r="A177" s="687" t="s">
        <v>583</v>
      </c>
      <c r="B177" s="688" t="s">
        <v>584</v>
      </c>
      <c r="C177" s="689" t="s">
        <v>596</v>
      </c>
      <c r="D177" s="690" t="s">
        <v>993</v>
      </c>
      <c r="E177" s="689" t="s">
        <v>1400</v>
      </c>
      <c r="F177" s="690" t="s">
        <v>1401</v>
      </c>
      <c r="G177" s="689" t="s">
        <v>1150</v>
      </c>
      <c r="H177" s="689" t="s">
        <v>1151</v>
      </c>
      <c r="I177" s="691">
        <v>156.09</v>
      </c>
      <c r="J177" s="691">
        <v>10</v>
      </c>
      <c r="K177" s="692">
        <v>1560.9</v>
      </c>
    </row>
    <row r="178" spans="1:11" ht="14.4" customHeight="1" x14ac:dyDescent="0.3">
      <c r="A178" s="687" t="s">
        <v>583</v>
      </c>
      <c r="B178" s="688" t="s">
        <v>584</v>
      </c>
      <c r="C178" s="689" t="s">
        <v>596</v>
      </c>
      <c r="D178" s="690" t="s">
        <v>993</v>
      </c>
      <c r="E178" s="689" t="s">
        <v>1400</v>
      </c>
      <c r="F178" s="690" t="s">
        <v>1401</v>
      </c>
      <c r="G178" s="689" t="s">
        <v>1328</v>
      </c>
      <c r="H178" s="689" t="s">
        <v>1329</v>
      </c>
      <c r="I178" s="691">
        <v>302.02</v>
      </c>
      <c r="J178" s="691">
        <v>30</v>
      </c>
      <c r="K178" s="692">
        <v>9060.48</v>
      </c>
    </row>
    <row r="179" spans="1:11" ht="14.4" customHeight="1" x14ac:dyDescent="0.3">
      <c r="A179" s="687" t="s">
        <v>583</v>
      </c>
      <c r="B179" s="688" t="s">
        <v>584</v>
      </c>
      <c r="C179" s="689" t="s">
        <v>596</v>
      </c>
      <c r="D179" s="690" t="s">
        <v>993</v>
      </c>
      <c r="E179" s="689" t="s">
        <v>1400</v>
      </c>
      <c r="F179" s="690" t="s">
        <v>1401</v>
      </c>
      <c r="G179" s="689" t="s">
        <v>1154</v>
      </c>
      <c r="H179" s="689" t="s">
        <v>1155</v>
      </c>
      <c r="I179" s="691">
        <v>209</v>
      </c>
      <c r="J179" s="691">
        <v>1</v>
      </c>
      <c r="K179" s="692">
        <v>209</v>
      </c>
    </row>
    <row r="180" spans="1:11" ht="14.4" customHeight="1" x14ac:dyDescent="0.3">
      <c r="A180" s="687" t="s">
        <v>583</v>
      </c>
      <c r="B180" s="688" t="s">
        <v>584</v>
      </c>
      <c r="C180" s="689" t="s">
        <v>596</v>
      </c>
      <c r="D180" s="690" t="s">
        <v>993</v>
      </c>
      <c r="E180" s="689" t="s">
        <v>1400</v>
      </c>
      <c r="F180" s="690" t="s">
        <v>1401</v>
      </c>
      <c r="G180" s="689" t="s">
        <v>1330</v>
      </c>
      <c r="H180" s="689" t="s">
        <v>1331</v>
      </c>
      <c r="I180" s="691">
        <v>2320.27</v>
      </c>
      <c r="J180" s="691">
        <v>30</v>
      </c>
      <c r="K180" s="692">
        <v>69607.98</v>
      </c>
    </row>
    <row r="181" spans="1:11" ht="14.4" customHeight="1" x14ac:dyDescent="0.3">
      <c r="A181" s="687" t="s">
        <v>583</v>
      </c>
      <c r="B181" s="688" t="s">
        <v>584</v>
      </c>
      <c r="C181" s="689" t="s">
        <v>596</v>
      </c>
      <c r="D181" s="690" t="s">
        <v>993</v>
      </c>
      <c r="E181" s="689" t="s">
        <v>1400</v>
      </c>
      <c r="F181" s="690" t="s">
        <v>1401</v>
      </c>
      <c r="G181" s="689" t="s">
        <v>1332</v>
      </c>
      <c r="H181" s="689" t="s">
        <v>1333</v>
      </c>
      <c r="I181" s="691">
        <v>115</v>
      </c>
      <c r="J181" s="691">
        <v>10</v>
      </c>
      <c r="K181" s="692">
        <v>1150</v>
      </c>
    </row>
    <row r="182" spans="1:11" ht="14.4" customHeight="1" x14ac:dyDescent="0.3">
      <c r="A182" s="687" t="s">
        <v>583</v>
      </c>
      <c r="B182" s="688" t="s">
        <v>584</v>
      </c>
      <c r="C182" s="689" t="s">
        <v>596</v>
      </c>
      <c r="D182" s="690" t="s">
        <v>993</v>
      </c>
      <c r="E182" s="689" t="s">
        <v>1400</v>
      </c>
      <c r="F182" s="690" t="s">
        <v>1401</v>
      </c>
      <c r="G182" s="689" t="s">
        <v>1334</v>
      </c>
      <c r="H182" s="689" t="s">
        <v>1335</v>
      </c>
      <c r="I182" s="691">
        <v>15.73</v>
      </c>
      <c r="J182" s="691">
        <v>50</v>
      </c>
      <c r="K182" s="692">
        <v>786.5</v>
      </c>
    </row>
    <row r="183" spans="1:11" ht="14.4" customHeight="1" x14ac:dyDescent="0.3">
      <c r="A183" s="687" t="s">
        <v>583</v>
      </c>
      <c r="B183" s="688" t="s">
        <v>584</v>
      </c>
      <c r="C183" s="689" t="s">
        <v>596</v>
      </c>
      <c r="D183" s="690" t="s">
        <v>993</v>
      </c>
      <c r="E183" s="689" t="s">
        <v>1400</v>
      </c>
      <c r="F183" s="690" t="s">
        <v>1401</v>
      </c>
      <c r="G183" s="689" t="s">
        <v>1160</v>
      </c>
      <c r="H183" s="689" t="s">
        <v>1161</v>
      </c>
      <c r="I183" s="691">
        <v>27.83</v>
      </c>
      <c r="J183" s="691">
        <v>10</v>
      </c>
      <c r="K183" s="692">
        <v>278.3</v>
      </c>
    </row>
    <row r="184" spans="1:11" ht="14.4" customHeight="1" x14ac:dyDescent="0.3">
      <c r="A184" s="687" t="s">
        <v>583</v>
      </c>
      <c r="B184" s="688" t="s">
        <v>584</v>
      </c>
      <c r="C184" s="689" t="s">
        <v>596</v>
      </c>
      <c r="D184" s="690" t="s">
        <v>993</v>
      </c>
      <c r="E184" s="689" t="s">
        <v>1400</v>
      </c>
      <c r="F184" s="690" t="s">
        <v>1401</v>
      </c>
      <c r="G184" s="689" t="s">
        <v>1336</v>
      </c>
      <c r="H184" s="689" t="s">
        <v>1337</v>
      </c>
      <c r="I184" s="691">
        <v>0.27</v>
      </c>
      <c r="J184" s="691">
        <v>1000</v>
      </c>
      <c r="K184" s="692">
        <v>266.2</v>
      </c>
    </row>
    <row r="185" spans="1:11" ht="14.4" customHeight="1" x14ac:dyDescent="0.3">
      <c r="A185" s="687" t="s">
        <v>583</v>
      </c>
      <c r="B185" s="688" t="s">
        <v>584</v>
      </c>
      <c r="C185" s="689" t="s">
        <v>596</v>
      </c>
      <c r="D185" s="690" t="s">
        <v>993</v>
      </c>
      <c r="E185" s="689" t="s">
        <v>1400</v>
      </c>
      <c r="F185" s="690" t="s">
        <v>1401</v>
      </c>
      <c r="G185" s="689" t="s">
        <v>1338</v>
      </c>
      <c r="H185" s="689" t="s">
        <v>1339</v>
      </c>
      <c r="I185" s="691">
        <v>422.96</v>
      </c>
      <c r="J185" s="691">
        <v>10</v>
      </c>
      <c r="K185" s="692">
        <v>4229.59</v>
      </c>
    </row>
    <row r="186" spans="1:11" ht="14.4" customHeight="1" x14ac:dyDescent="0.3">
      <c r="A186" s="687" t="s">
        <v>583</v>
      </c>
      <c r="B186" s="688" t="s">
        <v>584</v>
      </c>
      <c r="C186" s="689" t="s">
        <v>596</v>
      </c>
      <c r="D186" s="690" t="s">
        <v>993</v>
      </c>
      <c r="E186" s="689" t="s">
        <v>1400</v>
      </c>
      <c r="F186" s="690" t="s">
        <v>1401</v>
      </c>
      <c r="G186" s="689" t="s">
        <v>1340</v>
      </c>
      <c r="H186" s="689" t="s">
        <v>1341</v>
      </c>
      <c r="I186" s="691">
        <v>1249.6600000000001</v>
      </c>
      <c r="J186" s="691">
        <v>6</v>
      </c>
      <c r="K186" s="692">
        <v>7497.98</v>
      </c>
    </row>
    <row r="187" spans="1:11" ht="14.4" customHeight="1" x14ac:dyDescent="0.3">
      <c r="A187" s="687" t="s">
        <v>583</v>
      </c>
      <c r="B187" s="688" t="s">
        <v>584</v>
      </c>
      <c r="C187" s="689" t="s">
        <v>596</v>
      </c>
      <c r="D187" s="690" t="s">
        <v>993</v>
      </c>
      <c r="E187" s="689" t="s">
        <v>1400</v>
      </c>
      <c r="F187" s="690" t="s">
        <v>1401</v>
      </c>
      <c r="G187" s="689" t="s">
        <v>1166</v>
      </c>
      <c r="H187" s="689" t="s">
        <v>1167</v>
      </c>
      <c r="I187" s="691">
        <v>1.88</v>
      </c>
      <c r="J187" s="691">
        <v>900</v>
      </c>
      <c r="K187" s="692">
        <v>1688.85</v>
      </c>
    </row>
    <row r="188" spans="1:11" ht="14.4" customHeight="1" x14ac:dyDescent="0.3">
      <c r="A188" s="687" t="s">
        <v>583</v>
      </c>
      <c r="B188" s="688" t="s">
        <v>584</v>
      </c>
      <c r="C188" s="689" t="s">
        <v>596</v>
      </c>
      <c r="D188" s="690" t="s">
        <v>993</v>
      </c>
      <c r="E188" s="689" t="s">
        <v>1400</v>
      </c>
      <c r="F188" s="690" t="s">
        <v>1401</v>
      </c>
      <c r="G188" s="689" t="s">
        <v>1342</v>
      </c>
      <c r="H188" s="689" t="s">
        <v>1343</v>
      </c>
      <c r="I188" s="691">
        <v>458.63</v>
      </c>
      <c r="J188" s="691">
        <v>10</v>
      </c>
      <c r="K188" s="692">
        <v>4586.3100000000004</v>
      </c>
    </row>
    <row r="189" spans="1:11" ht="14.4" customHeight="1" x14ac:dyDescent="0.3">
      <c r="A189" s="687" t="s">
        <v>583</v>
      </c>
      <c r="B189" s="688" t="s">
        <v>584</v>
      </c>
      <c r="C189" s="689" t="s">
        <v>596</v>
      </c>
      <c r="D189" s="690" t="s">
        <v>993</v>
      </c>
      <c r="E189" s="689" t="s">
        <v>1400</v>
      </c>
      <c r="F189" s="690" t="s">
        <v>1401</v>
      </c>
      <c r="G189" s="689" t="s">
        <v>1344</v>
      </c>
      <c r="H189" s="689" t="s">
        <v>1345</v>
      </c>
      <c r="I189" s="691">
        <v>441.04</v>
      </c>
      <c r="J189" s="691">
        <v>10</v>
      </c>
      <c r="K189" s="692">
        <v>4410.3999999999996</v>
      </c>
    </row>
    <row r="190" spans="1:11" ht="14.4" customHeight="1" x14ac:dyDescent="0.3">
      <c r="A190" s="687" t="s">
        <v>583</v>
      </c>
      <c r="B190" s="688" t="s">
        <v>584</v>
      </c>
      <c r="C190" s="689" t="s">
        <v>596</v>
      </c>
      <c r="D190" s="690" t="s">
        <v>993</v>
      </c>
      <c r="E190" s="689" t="s">
        <v>1400</v>
      </c>
      <c r="F190" s="690" t="s">
        <v>1401</v>
      </c>
      <c r="G190" s="689" t="s">
        <v>1346</v>
      </c>
      <c r="H190" s="689" t="s">
        <v>1347</v>
      </c>
      <c r="I190" s="691">
        <v>5.81</v>
      </c>
      <c r="J190" s="691">
        <v>30</v>
      </c>
      <c r="K190" s="692">
        <v>174.24</v>
      </c>
    </row>
    <row r="191" spans="1:11" ht="14.4" customHeight="1" x14ac:dyDescent="0.3">
      <c r="A191" s="687" t="s">
        <v>583</v>
      </c>
      <c r="B191" s="688" t="s">
        <v>584</v>
      </c>
      <c r="C191" s="689" t="s">
        <v>596</v>
      </c>
      <c r="D191" s="690" t="s">
        <v>993</v>
      </c>
      <c r="E191" s="689" t="s">
        <v>1400</v>
      </c>
      <c r="F191" s="690" t="s">
        <v>1401</v>
      </c>
      <c r="G191" s="689" t="s">
        <v>1348</v>
      </c>
      <c r="H191" s="689" t="s">
        <v>1349</v>
      </c>
      <c r="I191" s="691">
        <v>1.28</v>
      </c>
      <c r="J191" s="691">
        <v>500</v>
      </c>
      <c r="K191" s="692">
        <v>641.29999999999995</v>
      </c>
    </row>
    <row r="192" spans="1:11" ht="14.4" customHeight="1" x14ac:dyDescent="0.3">
      <c r="A192" s="687" t="s">
        <v>583</v>
      </c>
      <c r="B192" s="688" t="s">
        <v>584</v>
      </c>
      <c r="C192" s="689" t="s">
        <v>596</v>
      </c>
      <c r="D192" s="690" t="s">
        <v>993</v>
      </c>
      <c r="E192" s="689" t="s">
        <v>1400</v>
      </c>
      <c r="F192" s="690" t="s">
        <v>1401</v>
      </c>
      <c r="G192" s="689" t="s">
        <v>1350</v>
      </c>
      <c r="H192" s="689" t="s">
        <v>1351</v>
      </c>
      <c r="I192" s="691">
        <v>2.0699999999999998</v>
      </c>
      <c r="J192" s="691">
        <v>140</v>
      </c>
      <c r="K192" s="692">
        <v>289.8</v>
      </c>
    </row>
    <row r="193" spans="1:11" ht="14.4" customHeight="1" x14ac:dyDescent="0.3">
      <c r="A193" s="687" t="s">
        <v>583</v>
      </c>
      <c r="B193" s="688" t="s">
        <v>584</v>
      </c>
      <c r="C193" s="689" t="s">
        <v>596</v>
      </c>
      <c r="D193" s="690" t="s">
        <v>993</v>
      </c>
      <c r="E193" s="689" t="s">
        <v>1400</v>
      </c>
      <c r="F193" s="690" t="s">
        <v>1401</v>
      </c>
      <c r="G193" s="689" t="s">
        <v>1352</v>
      </c>
      <c r="H193" s="689" t="s">
        <v>1353</v>
      </c>
      <c r="I193" s="691">
        <v>2.08</v>
      </c>
      <c r="J193" s="691">
        <v>20</v>
      </c>
      <c r="K193" s="692">
        <v>41.6</v>
      </c>
    </row>
    <row r="194" spans="1:11" ht="14.4" customHeight="1" x14ac:dyDescent="0.3">
      <c r="A194" s="687" t="s">
        <v>583</v>
      </c>
      <c r="B194" s="688" t="s">
        <v>584</v>
      </c>
      <c r="C194" s="689" t="s">
        <v>596</v>
      </c>
      <c r="D194" s="690" t="s">
        <v>993</v>
      </c>
      <c r="E194" s="689" t="s">
        <v>1400</v>
      </c>
      <c r="F194" s="690" t="s">
        <v>1401</v>
      </c>
      <c r="G194" s="689" t="s">
        <v>1354</v>
      </c>
      <c r="H194" s="689" t="s">
        <v>1355</v>
      </c>
      <c r="I194" s="691">
        <v>280.70999999999998</v>
      </c>
      <c r="J194" s="691">
        <v>20</v>
      </c>
      <c r="K194" s="692">
        <v>5614.16</v>
      </c>
    </row>
    <row r="195" spans="1:11" ht="14.4" customHeight="1" x14ac:dyDescent="0.3">
      <c r="A195" s="687" t="s">
        <v>583</v>
      </c>
      <c r="B195" s="688" t="s">
        <v>584</v>
      </c>
      <c r="C195" s="689" t="s">
        <v>596</v>
      </c>
      <c r="D195" s="690" t="s">
        <v>993</v>
      </c>
      <c r="E195" s="689" t="s">
        <v>1408</v>
      </c>
      <c r="F195" s="690" t="s">
        <v>1409</v>
      </c>
      <c r="G195" s="689" t="s">
        <v>1356</v>
      </c>
      <c r="H195" s="689" t="s">
        <v>1357</v>
      </c>
      <c r="I195" s="691">
        <v>629.20000000000005</v>
      </c>
      <c r="J195" s="691">
        <v>10</v>
      </c>
      <c r="K195" s="692">
        <v>6292</v>
      </c>
    </row>
    <row r="196" spans="1:11" ht="14.4" customHeight="1" x14ac:dyDescent="0.3">
      <c r="A196" s="687" t="s">
        <v>583</v>
      </c>
      <c r="B196" s="688" t="s">
        <v>584</v>
      </c>
      <c r="C196" s="689" t="s">
        <v>596</v>
      </c>
      <c r="D196" s="690" t="s">
        <v>993</v>
      </c>
      <c r="E196" s="689" t="s">
        <v>1408</v>
      </c>
      <c r="F196" s="690" t="s">
        <v>1409</v>
      </c>
      <c r="G196" s="689" t="s">
        <v>1358</v>
      </c>
      <c r="H196" s="689" t="s">
        <v>1359</v>
      </c>
      <c r="I196" s="691">
        <v>592.9</v>
      </c>
      <c r="J196" s="691">
        <v>10</v>
      </c>
      <c r="K196" s="692">
        <v>5929</v>
      </c>
    </row>
    <row r="197" spans="1:11" ht="14.4" customHeight="1" x14ac:dyDescent="0.3">
      <c r="A197" s="687" t="s">
        <v>583</v>
      </c>
      <c r="B197" s="688" t="s">
        <v>584</v>
      </c>
      <c r="C197" s="689" t="s">
        <v>596</v>
      </c>
      <c r="D197" s="690" t="s">
        <v>993</v>
      </c>
      <c r="E197" s="689" t="s">
        <v>1410</v>
      </c>
      <c r="F197" s="690" t="s">
        <v>1411</v>
      </c>
      <c r="G197" s="689" t="s">
        <v>1360</v>
      </c>
      <c r="H197" s="689" t="s">
        <v>1361</v>
      </c>
      <c r="I197" s="691">
        <v>24.18</v>
      </c>
      <c r="J197" s="691">
        <v>200</v>
      </c>
      <c r="K197" s="692">
        <v>4835.16</v>
      </c>
    </row>
    <row r="198" spans="1:11" ht="14.4" customHeight="1" x14ac:dyDescent="0.3">
      <c r="A198" s="687" t="s">
        <v>583</v>
      </c>
      <c r="B198" s="688" t="s">
        <v>584</v>
      </c>
      <c r="C198" s="689" t="s">
        <v>596</v>
      </c>
      <c r="D198" s="690" t="s">
        <v>993</v>
      </c>
      <c r="E198" s="689" t="s">
        <v>1410</v>
      </c>
      <c r="F198" s="690" t="s">
        <v>1411</v>
      </c>
      <c r="G198" s="689" t="s">
        <v>1362</v>
      </c>
      <c r="H198" s="689" t="s">
        <v>1363</v>
      </c>
      <c r="I198" s="691">
        <v>7.01</v>
      </c>
      <c r="J198" s="691">
        <v>50</v>
      </c>
      <c r="K198" s="692">
        <v>350.5</v>
      </c>
    </row>
    <row r="199" spans="1:11" ht="14.4" customHeight="1" x14ac:dyDescent="0.3">
      <c r="A199" s="687" t="s">
        <v>583</v>
      </c>
      <c r="B199" s="688" t="s">
        <v>584</v>
      </c>
      <c r="C199" s="689" t="s">
        <v>596</v>
      </c>
      <c r="D199" s="690" t="s">
        <v>993</v>
      </c>
      <c r="E199" s="689" t="s">
        <v>1402</v>
      </c>
      <c r="F199" s="690" t="s">
        <v>1403</v>
      </c>
      <c r="G199" s="689" t="s">
        <v>1172</v>
      </c>
      <c r="H199" s="689" t="s">
        <v>1173</v>
      </c>
      <c r="I199" s="691">
        <v>0.3</v>
      </c>
      <c r="J199" s="691">
        <v>900</v>
      </c>
      <c r="K199" s="692">
        <v>270</v>
      </c>
    </row>
    <row r="200" spans="1:11" ht="14.4" customHeight="1" x14ac:dyDescent="0.3">
      <c r="A200" s="687" t="s">
        <v>583</v>
      </c>
      <c r="B200" s="688" t="s">
        <v>584</v>
      </c>
      <c r="C200" s="689" t="s">
        <v>596</v>
      </c>
      <c r="D200" s="690" t="s">
        <v>993</v>
      </c>
      <c r="E200" s="689" t="s">
        <v>1402</v>
      </c>
      <c r="F200" s="690" t="s">
        <v>1403</v>
      </c>
      <c r="G200" s="689" t="s">
        <v>1230</v>
      </c>
      <c r="H200" s="689" t="s">
        <v>1231</v>
      </c>
      <c r="I200" s="691">
        <v>0.48</v>
      </c>
      <c r="J200" s="691">
        <v>100</v>
      </c>
      <c r="K200" s="692">
        <v>48</v>
      </c>
    </row>
    <row r="201" spans="1:11" ht="14.4" customHeight="1" x14ac:dyDescent="0.3">
      <c r="A201" s="687" t="s">
        <v>583</v>
      </c>
      <c r="B201" s="688" t="s">
        <v>584</v>
      </c>
      <c r="C201" s="689" t="s">
        <v>596</v>
      </c>
      <c r="D201" s="690" t="s">
        <v>993</v>
      </c>
      <c r="E201" s="689" t="s">
        <v>1402</v>
      </c>
      <c r="F201" s="690" t="s">
        <v>1403</v>
      </c>
      <c r="G201" s="689" t="s">
        <v>1174</v>
      </c>
      <c r="H201" s="689" t="s">
        <v>1175</v>
      </c>
      <c r="I201" s="691">
        <v>0.48499999999999999</v>
      </c>
      <c r="J201" s="691">
        <v>1100</v>
      </c>
      <c r="K201" s="692">
        <v>535</v>
      </c>
    </row>
    <row r="202" spans="1:11" ht="14.4" customHeight="1" x14ac:dyDescent="0.3">
      <c r="A202" s="687" t="s">
        <v>583</v>
      </c>
      <c r="B202" s="688" t="s">
        <v>584</v>
      </c>
      <c r="C202" s="689" t="s">
        <v>596</v>
      </c>
      <c r="D202" s="690" t="s">
        <v>993</v>
      </c>
      <c r="E202" s="689" t="s">
        <v>1404</v>
      </c>
      <c r="F202" s="690" t="s">
        <v>1405</v>
      </c>
      <c r="G202" s="689" t="s">
        <v>1176</v>
      </c>
      <c r="H202" s="689" t="s">
        <v>1177</v>
      </c>
      <c r="I202" s="691">
        <v>0.69</v>
      </c>
      <c r="J202" s="691">
        <v>12000</v>
      </c>
      <c r="K202" s="692">
        <v>8280</v>
      </c>
    </row>
    <row r="203" spans="1:11" ht="14.4" customHeight="1" x14ac:dyDescent="0.3">
      <c r="A203" s="687" t="s">
        <v>583</v>
      </c>
      <c r="B203" s="688" t="s">
        <v>584</v>
      </c>
      <c r="C203" s="689" t="s">
        <v>596</v>
      </c>
      <c r="D203" s="690" t="s">
        <v>993</v>
      </c>
      <c r="E203" s="689" t="s">
        <v>1404</v>
      </c>
      <c r="F203" s="690" t="s">
        <v>1405</v>
      </c>
      <c r="G203" s="689" t="s">
        <v>1364</v>
      </c>
      <c r="H203" s="689" t="s">
        <v>1365</v>
      </c>
      <c r="I203" s="691">
        <v>0.69</v>
      </c>
      <c r="J203" s="691">
        <v>360</v>
      </c>
      <c r="K203" s="692">
        <v>248.4</v>
      </c>
    </row>
    <row r="204" spans="1:11" ht="14.4" customHeight="1" x14ac:dyDescent="0.3">
      <c r="A204" s="687" t="s">
        <v>583</v>
      </c>
      <c r="B204" s="688" t="s">
        <v>584</v>
      </c>
      <c r="C204" s="689" t="s">
        <v>596</v>
      </c>
      <c r="D204" s="690" t="s">
        <v>993</v>
      </c>
      <c r="E204" s="689" t="s">
        <v>1404</v>
      </c>
      <c r="F204" s="690" t="s">
        <v>1405</v>
      </c>
      <c r="G204" s="689" t="s">
        <v>1366</v>
      </c>
      <c r="H204" s="689" t="s">
        <v>1367</v>
      </c>
      <c r="I204" s="691">
        <v>0.69</v>
      </c>
      <c r="J204" s="691">
        <v>400</v>
      </c>
      <c r="K204" s="692">
        <v>276</v>
      </c>
    </row>
    <row r="205" spans="1:11" ht="14.4" customHeight="1" x14ac:dyDescent="0.3">
      <c r="A205" s="687" t="s">
        <v>583</v>
      </c>
      <c r="B205" s="688" t="s">
        <v>584</v>
      </c>
      <c r="C205" s="689" t="s">
        <v>596</v>
      </c>
      <c r="D205" s="690" t="s">
        <v>993</v>
      </c>
      <c r="E205" s="689" t="s">
        <v>1404</v>
      </c>
      <c r="F205" s="690" t="s">
        <v>1405</v>
      </c>
      <c r="G205" s="689" t="s">
        <v>1178</v>
      </c>
      <c r="H205" s="689" t="s">
        <v>1179</v>
      </c>
      <c r="I205" s="691">
        <v>11.675000000000001</v>
      </c>
      <c r="J205" s="691">
        <v>100</v>
      </c>
      <c r="K205" s="692">
        <v>1167.5</v>
      </c>
    </row>
    <row r="206" spans="1:11" ht="14.4" customHeight="1" x14ac:dyDescent="0.3">
      <c r="A206" s="687" t="s">
        <v>583</v>
      </c>
      <c r="B206" s="688" t="s">
        <v>584</v>
      </c>
      <c r="C206" s="689" t="s">
        <v>596</v>
      </c>
      <c r="D206" s="690" t="s">
        <v>993</v>
      </c>
      <c r="E206" s="689" t="s">
        <v>1404</v>
      </c>
      <c r="F206" s="690" t="s">
        <v>1405</v>
      </c>
      <c r="G206" s="689" t="s">
        <v>1180</v>
      </c>
      <c r="H206" s="689" t="s">
        <v>1181</v>
      </c>
      <c r="I206" s="691">
        <v>11.015000000000001</v>
      </c>
      <c r="J206" s="691">
        <v>250</v>
      </c>
      <c r="K206" s="692">
        <v>2517.5</v>
      </c>
    </row>
    <row r="207" spans="1:11" ht="14.4" customHeight="1" x14ac:dyDescent="0.3">
      <c r="A207" s="687" t="s">
        <v>583</v>
      </c>
      <c r="B207" s="688" t="s">
        <v>584</v>
      </c>
      <c r="C207" s="689" t="s">
        <v>596</v>
      </c>
      <c r="D207" s="690" t="s">
        <v>993</v>
      </c>
      <c r="E207" s="689" t="s">
        <v>1404</v>
      </c>
      <c r="F207" s="690" t="s">
        <v>1405</v>
      </c>
      <c r="G207" s="689" t="s">
        <v>1368</v>
      </c>
      <c r="H207" s="689" t="s">
        <v>1369</v>
      </c>
      <c r="I207" s="691">
        <v>12.14</v>
      </c>
      <c r="J207" s="691">
        <v>100</v>
      </c>
      <c r="K207" s="692">
        <v>1214</v>
      </c>
    </row>
    <row r="208" spans="1:11" ht="14.4" customHeight="1" x14ac:dyDescent="0.3">
      <c r="A208" s="687" t="s">
        <v>583</v>
      </c>
      <c r="B208" s="688" t="s">
        <v>584</v>
      </c>
      <c r="C208" s="689" t="s">
        <v>596</v>
      </c>
      <c r="D208" s="690" t="s">
        <v>993</v>
      </c>
      <c r="E208" s="689" t="s">
        <v>1404</v>
      </c>
      <c r="F208" s="690" t="s">
        <v>1405</v>
      </c>
      <c r="G208" s="689" t="s">
        <v>1370</v>
      </c>
      <c r="H208" s="689" t="s">
        <v>1371</v>
      </c>
      <c r="I208" s="691">
        <v>10.805</v>
      </c>
      <c r="J208" s="691">
        <v>150</v>
      </c>
      <c r="K208" s="692">
        <v>1552.5</v>
      </c>
    </row>
    <row r="209" spans="1:11" ht="14.4" customHeight="1" x14ac:dyDescent="0.3">
      <c r="A209" s="687" t="s">
        <v>583</v>
      </c>
      <c r="B209" s="688" t="s">
        <v>584</v>
      </c>
      <c r="C209" s="689" t="s">
        <v>596</v>
      </c>
      <c r="D209" s="690" t="s">
        <v>993</v>
      </c>
      <c r="E209" s="689" t="s">
        <v>1404</v>
      </c>
      <c r="F209" s="690" t="s">
        <v>1405</v>
      </c>
      <c r="G209" s="689" t="s">
        <v>1232</v>
      </c>
      <c r="H209" s="689" t="s">
        <v>1233</v>
      </c>
      <c r="I209" s="691">
        <v>0.89500000000000002</v>
      </c>
      <c r="J209" s="691">
        <v>400</v>
      </c>
      <c r="K209" s="692">
        <v>357.24</v>
      </c>
    </row>
    <row r="210" spans="1:11" ht="14.4" customHeight="1" x14ac:dyDescent="0.3">
      <c r="A210" s="687" t="s">
        <v>583</v>
      </c>
      <c r="B210" s="688" t="s">
        <v>584</v>
      </c>
      <c r="C210" s="689" t="s">
        <v>596</v>
      </c>
      <c r="D210" s="690" t="s">
        <v>993</v>
      </c>
      <c r="E210" s="689" t="s">
        <v>1406</v>
      </c>
      <c r="F210" s="690" t="s">
        <v>1407</v>
      </c>
      <c r="G210" s="689" t="s">
        <v>1372</v>
      </c>
      <c r="H210" s="689" t="s">
        <v>1373</v>
      </c>
      <c r="I210" s="691">
        <v>139.44</v>
      </c>
      <c r="J210" s="691">
        <v>10</v>
      </c>
      <c r="K210" s="692">
        <v>1394.36</v>
      </c>
    </row>
    <row r="211" spans="1:11" ht="14.4" customHeight="1" x14ac:dyDescent="0.3">
      <c r="A211" s="687" t="s">
        <v>583</v>
      </c>
      <c r="B211" s="688" t="s">
        <v>584</v>
      </c>
      <c r="C211" s="689" t="s">
        <v>596</v>
      </c>
      <c r="D211" s="690" t="s">
        <v>993</v>
      </c>
      <c r="E211" s="689" t="s">
        <v>1406</v>
      </c>
      <c r="F211" s="690" t="s">
        <v>1407</v>
      </c>
      <c r="G211" s="689" t="s">
        <v>1374</v>
      </c>
      <c r="H211" s="689" t="s">
        <v>1375</v>
      </c>
      <c r="I211" s="691">
        <v>11.67</v>
      </c>
      <c r="J211" s="691">
        <v>10</v>
      </c>
      <c r="K211" s="692">
        <v>116.67</v>
      </c>
    </row>
    <row r="212" spans="1:11" ht="14.4" customHeight="1" x14ac:dyDescent="0.3">
      <c r="A212" s="687" t="s">
        <v>583</v>
      </c>
      <c r="B212" s="688" t="s">
        <v>584</v>
      </c>
      <c r="C212" s="689" t="s">
        <v>596</v>
      </c>
      <c r="D212" s="690" t="s">
        <v>993</v>
      </c>
      <c r="E212" s="689" t="s">
        <v>1406</v>
      </c>
      <c r="F212" s="690" t="s">
        <v>1407</v>
      </c>
      <c r="G212" s="689" t="s">
        <v>1376</v>
      </c>
      <c r="H212" s="689" t="s">
        <v>1377</v>
      </c>
      <c r="I212" s="691">
        <v>5445</v>
      </c>
      <c r="J212" s="691">
        <v>1</v>
      </c>
      <c r="K212" s="692">
        <v>5445</v>
      </c>
    </row>
    <row r="213" spans="1:11" ht="14.4" customHeight="1" x14ac:dyDescent="0.3">
      <c r="A213" s="687" t="s">
        <v>583</v>
      </c>
      <c r="B213" s="688" t="s">
        <v>584</v>
      </c>
      <c r="C213" s="689" t="s">
        <v>596</v>
      </c>
      <c r="D213" s="690" t="s">
        <v>993</v>
      </c>
      <c r="E213" s="689" t="s">
        <v>1406</v>
      </c>
      <c r="F213" s="690" t="s">
        <v>1407</v>
      </c>
      <c r="G213" s="689" t="s">
        <v>1378</v>
      </c>
      <c r="H213" s="689" t="s">
        <v>1379</v>
      </c>
      <c r="I213" s="691">
        <v>5445</v>
      </c>
      <c r="J213" s="691">
        <v>1</v>
      </c>
      <c r="K213" s="692">
        <v>5445</v>
      </c>
    </row>
    <row r="214" spans="1:11" ht="14.4" customHeight="1" x14ac:dyDescent="0.3">
      <c r="A214" s="687" t="s">
        <v>583</v>
      </c>
      <c r="B214" s="688" t="s">
        <v>584</v>
      </c>
      <c r="C214" s="689" t="s">
        <v>596</v>
      </c>
      <c r="D214" s="690" t="s">
        <v>993</v>
      </c>
      <c r="E214" s="689" t="s">
        <v>1406</v>
      </c>
      <c r="F214" s="690" t="s">
        <v>1407</v>
      </c>
      <c r="G214" s="689" t="s">
        <v>1380</v>
      </c>
      <c r="H214" s="689" t="s">
        <v>1381</v>
      </c>
      <c r="I214" s="691">
        <v>5445</v>
      </c>
      <c r="J214" s="691">
        <v>1</v>
      </c>
      <c r="K214" s="692">
        <v>5445</v>
      </c>
    </row>
    <row r="215" spans="1:11" ht="14.4" customHeight="1" x14ac:dyDescent="0.3">
      <c r="A215" s="687" t="s">
        <v>583</v>
      </c>
      <c r="B215" s="688" t="s">
        <v>584</v>
      </c>
      <c r="C215" s="689" t="s">
        <v>596</v>
      </c>
      <c r="D215" s="690" t="s">
        <v>993</v>
      </c>
      <c r="E215" s="689" t="s">
        <v>1412</v>
      </c>
      <c r="F215" s="690" t="s">
        <v>1413</v>
      </c>
      <c r="G215" s="689" t="s">
        <v>1382</v>
      </c>
      <c r="H215" s="689" t="s">
        <v>1383</v>
      </c>
      <c r="I215" s="691">
        <v>254.1</v>
      </c>
      <c r="J215" s="691">
        <v>10</v>
      </c>
      <c r="K215" s="692">
        <v>2541</v>
      </c>
    </row>
    <row r="216" spans="1:11" ht="14.4" customHeight="1" x14ac:dyDescent="0.3">
      <c r="A216" s="687" t="s">
        <v>583</v>
      </c>
      <c r="B216" s="688" t="s">
        <v>584</v>
      </c>
      <c r="C216" s="689" t="s">
        <v>596</v>
      </c>
      <c r="D216" s="690" t="s">
        <v>993</v>
      </c>
      <c r="E216" s="689" t="s">
        <v>1412</v>
      </c>
      <c r="F216" s="690" t="s">
        <v>1413</v>
      </c>
      <c r="G216" s="689" t="s">
        <v>1384</v>
      </c>
      <c r="H216" s="689" t="s">
        <v>1385</v>
      </c>
      <c r="I216" s="691">
        <v>153</v>
      </c>
      <c r="J216" s="691">
        <v>10</v>
      </c>
      <c r="K216" s="692">
        <v>1529.98</v>
      </c>
    </row>
    <row r="217" spans="1:11" ht="14.4" customHeight="1" x14ac:dyDescent="0.3">
      <c r="A217" s="687" t="s">
        <v>583</v>
      </c>
      <c r="B217" s="688" t="s">
        <v>584</v>
      </c>
      <c r="C217" s="689" t="s">
        <v>596</v>
      </c>
      <c r="D217" s="690" t="s">
        <v>993</v>
      </c>
      <c r="E217" s="689" t="s">
        <v>1412</v>
      </c>
      <c r="F217" s="690" t="s">
        <v>1413</v>
      </c>
      <c r="G217" s="689" t="s">
        <v>1386</v>
      </c>
      <c r="H217" s="689" t="s">
        <v>1387</v>
      </c>
      <c r="I217" s="691">
        <v>1561.6</v>
      </c>
      <c r="J217" s="691">
        <v>1</v>
      </c>
      <c r="K217" s="692">
        <v>1561.6</v>
      </c>
    </row>
    <row r="218" spans="1:11" ht="14.4" customHeight="1" x14ac:dyDescent="0.3">
      <c r="A218" s="687" t="s">
        <v>583</v>
      </c>
      <c r="B218" s="688" t="s">
        <v>584</v>
      </c>
      <c r="C218" s="689" t="s">
        <v>596</v>
      </c>
      <c r="D218" s="690" t="s">
        <v>993</v>
      </c>
      <c r="E218" s="689" t="s">
        <v>1412</v>
      </c>
      <c r="F218" s="690" t="s">
        <v>1413</v>
      </c>
      <c r="G218" s="689" t="s">
        <v>1388</v>
      </c>
      <c r="H218" s="689" t="s">
        <v>1389</v>
      </c>
      <c r="I218" s="691">
        <v>3077.76</v>
      </c>
      <c r="J218" s="691">
        <v>10</v>
      </c>
      <c r="K218" s="692">
        <v>30777.56</v>
      </c>
    </row>
    <row r="219" spans="1:11" ht="14.4" customHeight="1" x14ac:dyDescent="0.3">
      <c r="A219" s="687" t="s">
        <v>583</v>
      </c>
      <c r="B219" s="688" t="s">
        <v>584</v>
      </c>
      <c r="C219" s="689" t="s">
        <v>596</v>
      </c>
      <c r="D219" s="690" t="s">
        <v>993</v>
      </c>
      <c r="E219" s="689" t="s">
        <v>1412</v>
      </c>
      <c r="F219" s="690" t="s">
        <v>1413</v>
      </c>
      <c r="G219" s="689" t="s">
        <v>1390</v>
      </c>
      <c r="H219" s="689" t="s">
        <v>1391</v>
      </c>
      <c r="I219" s="691">
        <v>260.48</v>
      </c>
      <c r="J219" s="691">
        <v>10</v>
      </c>
      <c r="K219" s="692">
        <v>2604.77</v>
      </c>
    </row>
    <row r="220" spans="1:11" ht="14.4" customHeight="1" x14ac:dyDescent="0.3">
      <c r="A220" s="687" t="s">
        <v>583</v>
      </c>
      <c r="B220" s="688" t="s">
        <v>584</v>
      </c>
      <c r="C220" s="689" t="s">
        <v>596</v>
      </c>
      <c r="D220" s="690" t="s">
        <v>993</v>
      </c>
      <c r="E220" s="689" t="s">
        <v>1412</v>
      </c>
      <c r="F220" s="690" t="s">
        <v>1413</v>
      </c>
      <c r="G220" s="689" t="s">
        <v>1392</v>
      </c>
      <c r="H220" s="689" t="s">
        <v>1393</v>
      </c>
      <c r="I220" s="691">
        <v>370.48</v>
      </c>
      <c r="J220" s="691">
        <v>10</v>
      </c>
      <c r="K220" s="692">
        <v>3704.84</v>
      </c>
    </row>
    <row r="221" spans="1:11" ht="14.4" customHeight="1" x14ac:dyDescent="0.3">
      <c r="A221" s="687" t="s">
        <v>583</v>
      </c>
      <c r="B221" s="688" t="s">
        <v>584</v>
      </c>
      <c r="C221" s="689" t="s">
        <v>596</v>
      </c>
      <c r="D221" s="690" t="s">
        <v>993</v>
      </c>
      <c r="E221" s="689" t="s">
        <v>1412</v>
      </c>
      <c r="F221" s="690" t="s">
        <v>1413</v>
      </c>
      <c r="G221" s="689" t="s">
        <v>1394</v>
      </c>
      <c r="H221" s="689" t="s">
        <v>1395</v>
      </c>
      <c r="I221" s="691">
        <v>218.09</v>
      </c>
      <c r="J221" s="691">
        <v>25</v>
      </c>
      <c r="K221" s="692">
        <v>5452.26</v>
      </c>
    </row>
    <row r="222" spans="1:11" ht="14.4" customHeight="1" thickBot="1" x14ac:dyDescent="0.35">
      <c r="A222" s="693" t="s">
        <v>583</v>
      </c>
      <c r="B222" s="694" t="s">
        <v>584</v>
      </c>
      <c r="C222" s="695" t="s">
        <v>596</v>
      </c>
      <c r="D222" s="696" t="s">
        <v>993</v>
      </c>
      <c r="E222" s="695" t="s">
        <v>1412</v>
      </c>
      <c r="F222" s="696" t="s">
        <v>1413</v>
      </c>
      <c r="G222" s="695" t="s">
        <v>1396</v>
      </c>
      <c r="H222" s="695" t="s">
        <v>1397</v>
      </c>
      <c r="I222" s="697">
        <v>6094.65</v>
      </c>
      <c r="J222" s="697">
        <v>1</v>
      </c>
      <c r="K222" s="698">
        <v>6094.65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8" width="13.109375" customWidth="1"/>
    <col min="9" max="12" width="13.109375" hidden="1" customWidth="1"/>
    <col min="13" max="16" width="13.109375" customWidth="1"/>
    <col min="17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63" t="s">
        <v>123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</row>
    <row r="2" spans="1:46" ht="15" thickBot="1" x14ac:dyDescent="0.35">
      <c r="A2" s="360" t="s">
        <v>344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</row>
    <row r="3" spans="1:46" x14ac:dyDescent="0.3">
      <c r="A3" s="379" t="s">
        <v>237</v>
      </c>
      <c r="B3" s="564" t="s">
        <v>216</v>
      </c>
      <c r="C3" s="362">
        <v>0</v>
      </c>
      <c r="D3" s="363">
        <v>25</v>
      </c>
      <c r="E3" s="363">
        <v>30</v>
      </c>
      <c r="F3" s="363">
        <v>99</v>
      </c>
      <c r="G3" s="382">
        <v>100</v>
      </c>
      <c r="H3" s="382">
        <v>101</v>
      </c>
      <c r="I3" s="382">
        <v>102</v>
      </c>
      <c r="J3" s="382">
        <v>103</v>
      </c>
      <c r="K3" s="382">
        <v>203</v>
      </c>
      <c r="L3" s="487">
        <v>302</v>
      </c>
      <c r="M3" s="382">
        <v>303</v>
      </c>
      <c r="N3" s="382">
        <v>304</v>
      </c>
      <c r="O3" s="382">
        <v>305</v>
      </c>
      <c r="P3" s="382">
        <v>306</v>
      </c>
      <c r="Q3" s="382">
        <v>407</v>
      </c>
      <c r="R3" s="382">
        <v>408</v>
      </c>
      <c r="S3" s="382">
        <v>409</v>
      </c>
      <c r="T3" s="382">
        <v>410</v>
      </c>
      <c r="U3" s="382">
        <v>415</v>
      </c>
      <c r="V3" s="382">
        <v>416</v>
      </c>
      <c r="W3" s="382">
        <v>418</v>
      </c>
      <c r="X3" s="382">
        <v>419</v>
      </c>
      <c r="Y3" s="382">
        <v>420</v>
      </c>
      <c r="Z3" s="382">
        <v>421</v>
      </c>
      <c r="AA3" s="382">
        <v>422</v>
      </c>
      <c r="AB3" s="382">
        <v>520</v>
      </c>
      <c r="AC3" s="382">
        <v>521</v>
      </c>
      <c r="AD3" s="382">
        <v>522</v>
      </c>
      <c r="AE3" s="382">
        <v>523</v>
      </c>
      <c r="AF3" s="382">
        <v>524</v>
      </c>
      <c r="AG3" s="382">
        <v>525</v>
      </c>
      <c r="AH3" s="382">
        <v>526</v>
      </c>
      <c r="AI3" s="363">
        <v>527</v>
      </c>
      <c r="AJ3" s="363">
        <v>528</v>
      </c>
      <c r="AK3" s="363">
        <v>629</v>
      </c>
      <c r="AL3" s="363">
        <v>630</v>
      </c>
      <c r="AM3" s="363">
        <v>636</v>
      </c>
      <c r="AN3" s="363">
        <v>637</v>
      </c>
      <c r="AO3" s="363">
        <v>640</v>
      </c>
      <c r="AP3" s="363">
        <v>642</v>
      </c>
      <c r="AQ3" s="363">
        <v>743</v>
      </c>
      <c r="AR3" s="363">
        <v>745</v>
      </c>
      <c r="AS3" s="770">
        <v>746</v>
      </c>
      <c r="AT3" s="785"/>
    </row>
    <row r="4" spans="1:46" ht="36.6" outlineLevel="1" thickBot="1" x14ac:dyDescent="0.35">
      <c r="A4" s="380">
        <v>2017</v>
      </c>
      <c r="B4" s="565"/>
      <c r="C4" s="364" t="s">
        <v>217</v>
      </c>
      <c r="D4" s="365" t="s">
        <v>221</v>
      </c>
      <c r="E4" s="365" t="s">
        <v>239</v>
      </c>
      <c r="F4" s="365" t="s">
        <v>218</v>
      </c>
      <c r="G4" s="383" t="s">
        <v>288</v>
      </c>
      <c r="H4" s="383" t="s">
        <v>289</v>
      </c>
      <c r="I4" s="383" t="s">
        <v>219</v>
      </c>
      <c r="J4" s="383" t="s">
        <v>290</v>
      </c>
      <c r="K4" s="383" t="s">
        <v>220</v>
      </c>
      <c r="L4" s="488" t="s">
        <v>291</v>
      </c>
      <c r="M4" s="383" t="s">
        <v>292</v>
      </c>
      <c r="N4" s="383" t="s">
        <v>293</v>
      </c>
      <c r="O4" s="383" t="s">
        <v>294</v>
      </c>
      <c r="P4" s="383" t="s">
        <v>245</v>
      </c>
      <c r="Q4" s="383" t="s">
        <v>286</v>
      </c>
      <c r="R4" s="383" t="s">
        <v>246</v>
      </c>
      <c r="S4" s="383" t="s">
        <v>247</v>
      </c>
      <c r="T4" s="383" t="s">
        <v>248</v>
      </c>
      <c r="U4" s="383" t="s">
        <v>249</v>
      </c>
      <c r="V4" s="383" t="s">
        <v>250</v>
      </c>
      <c r="W4" s="383" t="s">
        <v>251</v>
      </c>
      <c r="X4" s="383" t="s">
        <v>252</v>
      </c>
      <c r="Y4" s="383" t="s">
        <v>253</v>
      </c>
      <c r="Z4" s="383" t="s">
        <v>254</v>
      </c>
      <c r="AA4" s="383" t="s">
        <v>336</v>
      </c>
      <c r="AB4" s="383" t="s">
        <v>295</v>
      </c>
      <c r="AC4" s="383" t="s">
        <v>296</v>
      </c>
      <c r="AD4" s="383" t="s">
        <v>297</v>
      </c>
      <c r="AE4" s="383" t="s">
        <v>255</v>
      </c>
      <c r="AF4" s="383" t="s">
        <v>256</v>
      </c>
      <c r="AG4" s="383" t="s">
        <v>257</v>
      </c>
      <c r="AH4" s="383" t="s">
        <v>258</v>
      </c>
      <c r="AI4" s="365" t="s">
        <v>259</v>
      </c>
      <c r="AJ4" s="365" t="s">
        <v>268</v>
      </c>
      <c r="AK4" s="365" t="s">
        <v>260</v>
      </c>
      <c r="AL4" s="365" t="s">
        <v>269</v>
      </c>
      <c r="AM4" s="365" t="s">
        <v>261</v>
      </c>
      <c r="AN4" s="453" t="s">
        <v>262</v>
      </c>
      <c r="AO4" s="365" t="s">
        <v>263</v>
      </c>
      <c r="AP4" s="365" t="s">
        <v>264</v>
      </c>
      <c r="AQ4" s="365" t="s">
        <v>265</v>
      </c>
      <c r="AR4" s="365" t="s">
        <v>266</v>
      </c>
      <c r="AS4" s="771" t="s">
        <v>267</v>
      </c>
      <c r="AT4" s="785"/>
    </row>
    <row r="5" spans="1:46" x14ac:dyDescent="0.3">
      <c r="A5" s="366" t="s">
        <v>222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54"/>
      <c r="AO5" s="406"/>
      <c r="AP5" s="406"/>
      <c r="AQ5" s="406"/>
      <c r="AR5" s="406"/>
      <c r="AS5" s="772"/>
      <c r="AT5" s="785"/>
    </row>
    <row r="6" spans="1:46" ht="15" collapsed="1" thickBot="1" x14ac:dyDescent="0.35">
      <c r="A6" s="367" t="s">
        <v>87</v>
      </c>
      <c r="B6" s="407">
        <f xml:space="preserve">
TRUNC(IF($A$4&lt;=12,SUMIFS('ON Data'!F:F,'ON Data'!$D:$D,$A$4,'ON Data'!$E:$E,1),SUMIFS('ON Data'!F:F,'ON Data'!$E:$E,1)/'ON Data'!$D$3),1)</f>
        <v>68.900000000000006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Data'!H:H,'ON Data'!$D:$D,$A$4,'ON Data'!$E:$E,1),SUMIFS('ON Data'!H:H,'ON Data'!$E:$E,1)/'ON Data'!$D$3),1)</f>
        <v>0</v>
      </c>
      <c r="E6" s="409">
        <f xml:space="preserve">
TRUNC(IF($A$4&lt;=12,SUMIFS('ON Data'!I:I,'ON Data'!$D:$D,$A$4,'ON Data'!$E:$E,1),SUMIFS('ON Data'!I:I,'ON Data'!$E:$E,1)/'ON Data'!$D$3),1)</f>
        <v>1</v>
      </c>
      <c r="F6" s="409">
        <f xml:space="preserve">
TRUNC(IF($A$4&lt;=12,SUMIFS('ON Data'!J:J,'ON Data'!$D:$D,$A$4,'ON Data'!$E:$E,1),SUMIFS('ON Data'!J:J,'ON Data'!$E:$E,1)/'ON Data'!$D$3),1)</f>
        <v>1</v>
      </c>
      <c r="G6" s="409">
        <f xml:space="preserve">
TRUNC(IF($A$4&lt;=12,SUMIFS('ON Data'!K:K,'ON Data'!$D:$D,$A$4,'ON Data'!$E:$E,1),SUMIFS('ON Data'!K:K,'ON Data'!$E:$E,1)/'ON Data'!$D$3),1)</f>
        <v>1</v>
      </c>
      <c r="H6" s="409">
        <f xml:space="preserve">
TRUNC(IF($A$4&lt;=12,SUMIFS('ON Data'!L:L,'ON Data'!$D:$D,$A$4,'ON Data'!$E:$E,1),SUMIFS('ON Data'!L:L,'ON Data'!$E:$E,1)/'ON Data'!$D$3),1)</f>
        <v>7.3</v>
      </c>
      <c r="I6" s="409">
        <f xml:space="preserve">
TRUNC(IF($A$4&lt;=12,SUMIFS('ON Data'!M:M,'ON Data'!$D:$D,$A$4,'ON Data'!$E:$E,1),SUMIFS('ON Data'!M:M,'ON Data'!$E:$E,1)/'ON Data'!$D$3),1)</f>
        <v>0</v>
      </c>
      <c r="J6" s="409">
        <f xml:space="preserve">
TRUNC(IF($A$4&lt;=12,SUMIFS('ON Data'!N:N,'ON Data'!$D:$D,$A$4,'ON Data'!$E:$E,1),SUMIFS('ON Data'!N:N,'ON Data'!$E:$E,1)/'ON Data'!$D$3),1)</f>
        <v>0</v>
      </c>
      <c r="K6" s="409">
        <f xml:space="preserve">
TRUNC(IF($A$4&lt;=12,SUMIFS('ON Data'!O:O,'ON Data'!$D:$D,$A$4,'ON Data'!$E:$E,1),SUMIFS('ON Data'!O:O,'ON Data'!$E:$E,1)/'ON Data'!$D$3),1)</f>
        <v>0</v>
      </c>
      <c r="L6" s="409">
        <f xml:space="preserve">
TRUNC(IF($A$4&lt;=12,SUMIFS('ON Data'!P:P,'ON Data'!$D:$D,$A$4,'ON Data'!$E:$E,1),SUMIFS('ON Data'!P:P,'ON Data'!$E:$E,1)/'ON Data'!$D$3),1)</f>
        <v>0</v>
      </c>
      <c r="M6" s="409">
        <f xml:space="preserve">
TRUNC(IF($A$4&lt;=12,SUMIFS('ON Data'!Q:Q,'ON Data'!$D:$D,$A$4,'ON Data'!$E:$E,1),SUMIFS('ON Data'!Q:Q,'ON Data'!$E:$E,1)/'ON Data'!$D$3),1)</f>
        <v>12.3</v>
      </c>
      <c r="N6" s="409">
        <f xml:space="preserve">
TRUNC(IF($A$4&lt;=12,SUMIFS('ON Data'!R:R,'ON Data'!$D:$D,$A$4,'ON Data'!$E:$E,1),SUMIFS('ON Data'!R:R,'ON Data'!$E:$E,1)/'ON Data'!$D$3),1)</f>
        <v>28</v>
      </c>
      <c r="O6" s="409">
        <f xml:space="preserve">
TRUNC(IF($A$4&lt;=12,SUMIFS('ON Data'!S:S,'ON Data'!$D:$D,$A$4,'ON Data'!$E:$E,1),SUMIFS('ON Data'!S:S,'ON Data'!$E:$E,1)/'ON Data'!$D$3),1)</f>
        <v>7.7</v>
      </c>
      <c r="P6" s="409">
        <f xml:space="preserve">
TRUNC(IF($A$4&lt;=12,SUMIFS('ON Data'!T:T,'ON Data'!$D:$D,$A$4,'ON Data'!$E:$E,1),SUMIFS('ON Data'!T:T,'ON Data'!$E:$E,1)/'ON Data'!$D$3),1)</f>
        <v>6.5</v>
      </c>
      <c r="Q6" s="409">
        <f xml:space="preserve">
TRUNC(IF($A$4&lt;=12,SUMIFS('ON Data'!U:U,'ON Data'!$D:$D,$A$4,'ON Data'!$E:$E,1),SUMIFS('ON Data'!U:U,'ON Data'!$E:$E,1)/'ON Data'!$D$3),1)</f>
        <v>0</v>
      </c>
      <c r="R6" s="409">
        <f xml:space="preserve">
TRUNC(IF($A$4&lt;=12,SUMIFS('ON Data'!V:V,'ON Data'!$D:$D,$A$4,'ON Data'!$E:$E,1),SUMIFS('ON Data'!V:V,'ON Data'!$E:$E,1)/'ON Data'!$D$3),1)</f>
        <v>0</v>
      </c>
      <c r="S6" s="409">
        <f xml:space="preserve">
TRUNC(IF($A$4&lt;=12,SUMIFS('ON Data'!W:W,'ON Data'!$D:$D,$A$4,'ON Data'!$E:$E,1),SUMIFS('ON Data'!W:W,'ON Data'!$E:$E,1)/'ON Data'!$D$3),1)</f>
        <v>0</v>
      </c>
      <c r="T6" s="409">
        <f xml:space="preserve">
TRUNC(IF($A$4&lt;=12,SUMIFS('ON Data'!X:X,'ON Data'!$D:$D,$A$4,'ON Data'!$E:$E,1),SUMIFS('ON Data'!X:X,'ON Data'!$E:$E,1)/'ON Data'!$D$3),1)</f>
        <v>0</v>
      </c>
      <c r="U6" s="409">
        <f xml:space="preserve">
TRUNC(IF($A$4&lt;=12,SUMIFS('ON Data'!Y:Y,'ON Data'!$D:$D,$A$4,'ON Data'!$E:$E,1),SUMIFS('ON Data'!Y:Y,'ON Data'!$E:$E,1)/'ON Data'!$D$3),1)</f>
        <v>0</v>
      </c>
      <c r="V6" s="409">
        <f xml:space="preserve">
TRUNC(IF($A$4&lt;=12,SUMIFS('ON Data'!Z:Z,'ON Data'!$D:$D,$A$4,'ON Data'!$E:$E,1),SUMIFS('ON Data'!Z:Z,'ON Data'!$E:$E,1)/'ON Data'!$D$3),1)</f>
        <v>0</v>
      </c>
      <c r="W6" s="409">
        <f xml:space="preserve">
TRUNC(IF($A$4&lt;=12,SUMIFS('ON Data'!AA:AA,'ON Data'!$D:$D,$A$4,'ON Data'!$E:$E,1),SUMIFS('ON Data'!AA:AA,'ON Data'!$E:$E,1)/'ON Data'!$D$3),1)</f>
        <v>0</v>
      </c>
      <c r="X6" s="409">
        <f xml:space="preserve">
TRUNC(IF($A$4&lt;=12,SUMIFS('ON Data'!AB:AB,'ON Data'!$D:$D,$A$4,'ON Data'!$E:$E,1),SUMIFS('ON Data'!AB:AB,'ON Data'!$E:$E,1)/'ON Data'!$D$3),1)</f>
        <v>0</v>
      </c>
      <c r="Y6" s="409">
        <f xml:space="preserve">
TRUNC(IF($A$4&lt;=12,SUMIFS('ON Data'!AC:AC,'ON Data'!$D:$D,$A$4,'ON Data'!$E:$E,1),SUMIFS('ON Data'!AC:AC,'ON Data'!$E:$E,1)/'ON Data'!$D$3),1)</f>
        <v>0</v>
      </c>
      <c r="Z6" s="409">
        <f xml:space="preserve">
TRUNC(IF($A$4&lt;=12,SUMIFS('ON Data'!AD:AD,'ON Data'!$D:$D,$A$4,'ON Data'!$E:$E,1),SUMIFS('ON Data'!AD:AD,'ON Data'!$E:$E,1)/'ON Data'!$D$3),1)</f>
        <v>0</v>
      </c>
      <c r="AA6" s="409">
        <f xml:space="preserve">
TRUNC(IF($A$4&lt;=12,SUMIFS('ON Data'!AE:AE,'ON Data'!$D:$D,$A$4,'ON Data'!$E:$E,1),SUMIFS('ON Data'!AE:AE,'ON Data'!$E:$E,1)/'ON Data'!$D$3),1)</f>
        <v>0</v>
      </c>
      <c r="AB6" s="409">
        <f xml:space="preserve">
TRUNC(IF($A$4&lt;=12,SUMIFS('ON Data'!AF:AF,'ON Data'!$D:$D,$A$4,'ON Data'!$E:$E,1),SUMIFS('ON Data'!AF:AF,'ON Data'!$E:$E,1)/'ON Data'!$D$3),1)</f>
        <v>0</v>
      </c>
      <c r="AC6" s="409">
        <f xml:space="preserve">
TRUNC(IF($A$4&lt;=12,SUMIFS('ON Data'!AG:AG,'ON Data'!$D:$D,$A$4,'ON Data'!$E:$E,1),SUMIFS('ON Data'!AG:AG,'ON Data'!$E:$E,1)/'ON Data'!$D$3),1)</f>
        <v>0</v>
      </c>
      <c r="AD6" s="409">
        <f xml:space="preserve">
TRUNC(IF($A$4&lt;=12,SUMIFS('ON Data'!AH:AH,'ON Data'!$D:$D,$A$4,'ON Data'!$E:$E,1),SUMIFS('ON Data'!AH:AH,'ON Data'!$E:$E,1)/'ON Data'!$D$3),1)</f>
        <v>0</v>
      </c>
      <c r="AE6" s="409">
        <f xml:space="preserve">
TRUNC(IF($A$4&lt;=12,SUMIFS('ON Data'!AI:AI,'ON Data'!$D:$D,$A$4,'ON Data'!$E:$E,1),SUMIFS('ON Data'!AI:AI,'ON Data'!$E:$E,1)/'ON Data'!$D$3),1)</f>
        <v>0</v>
      </c>
      <c r="AF6" s="409">
        <f xml:space="preserve">
TRUNC(IF($A$4&lt;=12,SUMIFS('ON Data'!AJ:AJ,'ON Data'!$D:$D,$A$4,'ON Data'!$E:$E,1),SUMIFS('ON Data'!AJ:AJ,'ON Data'!$E:$E,1)/'ON Data'!$D$3),1)</f>
        <v>0</v>
      </c>
      <c r="AG6" s="409">
        <f xml:space="preserve">
TRUNC(IF($A$4&lt;=12,SUMIFS('ON Data'!AK:AK,'ON Data'!$D:$D,$A$4,'ON Data'!$E:$E,1),SUMIFS('ON Data'!AK:AK,'ON Data'!$E:$E,1)/'ON Data'!$D$3),1)</f>
        <v>0</v>
      </c>
      <c r="AH6" s="409">
        <f xml:space="preserve">
TRUNC(IF($A$4&lt;=12,SUMIFS('ON Data'!AL:AL,'ON Data'!$D:$D,$A$4,'ON Data'!$E:$E,1),SUMIFS('ON Data'!AL:AL,'ON Data'!$E:$E,1)/'ON Data'!$D$3),1)</f>
        <v>0</v>
      </c>
      <c r="AI6" s="409">
        <f xml:space="preserve">
TRUNC(IF($A$4&lt;=12,SUMIFS('ON Data'!AM:AM,'ON Data'!$D:$D,$A$4,'ON Data'!$E:$E,1),SUMIFS('ON Data'!AM:AM,'ON Data'!$E:$E,1)/'ON Data'!$D$3),1)</f>
        <v>0</v>
      </c>
      <c r="AJ6" s="409">
        <f xml:space="preserve">
TRUNC(IF($A$4&lt;=12,SUMIFS('ON Data'!AN:AN,'ON Data'!$D:$D,$A$4,'ON Data'!$E:$E,1),SUMIFS('ON Data'!AN:AN,'ON Data'!$E:$E,1)/'ON Data'!$D$3),1)</f>
        <v>0</v>
      </c>
      <c r="AK6" s="409">
        <f xml:space="preserve">
TRUNC(IF($A$4&lt;=12,SUMIFS('ON Data'!AO:AO,'ON Data'!$D:$D,$A$4,'ON Data'!$E:$E,1),SUMIFS('ON Data'!AO:AO,'ON Data'!$E:$E,1)/'ON Data'!$D$3),1)</f>
        <v>0</v>
      </c>
      <c r="AL6" s="409">
        <f xml:space="preserve">
TRUNC(IF($A$4&lt;=12,SUMIFS('ON Data'!AP:AP,'ON Data'!$D:$D,$A$4,'ON Data'!$E:$E,1),SUMIFS('ON Data'!AP:AP,'ON Data'!$E:$E,1)/'ON Data'!$D$3),1)</f>
        <v>0</v>
      </c>
      <c r="AM6" s="409">
        <f xml:space="preserve">
TRUNC(IF($A$4&lt;=12,SUMIFS('ON Data'!AQ:AQ,'ON Data'!$D:$D,$A$4,'ON Data'!$E:$E,1),SUMIFS('ON Data'!AQ:AQ,'ON Data'!$E:$E,1)/'ON Data'!$D$3),1)</f>
        <v>0</v>
      </c>
      <c r="AN6" s="409">
        <f xml:space="preserve">
TRUNC(IF($A$4&lt;=12,SUMIFS('ON Data'!AR:AR,'ON Data'!$D:$D,$A$4,'ON Data'!$E:$E,1),SUMIFS('ON Data'!AR:AR,'ON Data'!$E:$E,1)/'ON Data'!$D$3),1)</f>
        <v>0</v>
      </c>
      <c r="AO6" s="409">
        <f xml:space="preserve">
TRUNC(IF($A$4&lt;=12,SUMIFS('ON Data'!AS:AS,'ON Data'!$D:$D,$A$4,'ON Data'!$E:$E,1),SUMIFS('ON Data'!AS:AS,'ON Data'!$E:$E,1)/'ON Data'!$D$3),1)</f>
        <v>0</v>
      </c>
      <c r="AP6" s="409">
        <f xml:space="preserve">
TRUNC(IF($A$4&lt;=12,SUMIFS('ON Data'!AT:AT,'ON Data'!$D:$D,$A$4,'ON Data'!$E:$E,1),SUMIFS('ON Data'!AT:AT,'ON Data'!$E:$E,1)/'ON Data'!$D$3),1)</f>
        <v>4</v>
      </c>
      <c r="AQ6" s="409">
        <f xml:space="preserve">
TRUNC(IF($A$4&lt;=12,SUMIFS('ON Data'!AU:AU,'ON Data'!$D:$D,$A$4,'ON Data'!$E:$E,1),SUMIFS('ON Data'!AU:AU,'ON Data'!$E:$E,1)/'ON Data'!$D$3),1)</f>
        <v>0</v>
      </c>
      <c r="AR6" s="409">
        <f xml:space="preserve">
TRUNC(IF($A$4&lt;=12,SUMIFS('ON Data'!AV:AV,'ON Data'!$D:$D,$A$4,'ON Data'!$E:$E,1),SUMIFS('ON Data'!AV:AV,'ON Data'!$E:$E,1)/'ON Data'!$D$3),1)</f>
        <v>0</v>
      </c>
      <c r="AS6" s="773">
        <f xml:space="preserve">
TRUNC(IF($A$4&lt;=12,SUMIFS('ON Data'!AW:AW,'ON Data'!$D:$D,$A$4,'ON Data'!$E:$E,1),SUMIFS('ON Data'!AW:AW,'ON Data'!$E:$E,1)/'ON Data'!$D$3),1)</f>
        <v>0</v>
      </c>
      <c r="AT6" s="785"/>
    </row>
    <row r="7" spans="1:46" ht="15" hidden="1" outlineLevel="1" thickBot="1" x14ac:dyDescent="0.35">
      <c r="A7" s="367" t="s">
        <v>124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10"/>
      <c r="AO7" s="409"/>
      <c r="AP7" s="409"/>
      <c r="AQ7" s="409"/>
      <c r="AR7" s="409"/>
      <c r="AS7" s="773"/>
      <c r="AT7" s="785"/>
    </row>
    <row r="8" spans="1:46" ht="15" hidden="1" outlineLevel="1" thickBot="1" x14ac:dyDescent="0.35">
      <c r="A8" s="367" t="s">
        <v>89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09"/>
      <c r="AN8" s="410"/>
      <c r="AO8" s="409"/>
      <c r="AP8" s="409"/>
      <c r="AQ8" s="409"/>
      <c r="AR8" s="409"/>
      <c r="AS8" s="773"/>
      <c r="AT8" s="785"/>
    </row>
    <row r="9" spans="1:46" ht="15" hidden="1" outlineLevel="1" thickBot="1" x14ac:dyDescent="0.35">
      <c r="A9" s="368" t="s">
        <v>62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3"/>
      <c r="AL9" s="413"/>
      <c r="AM9" s="413"/>
      <c r="AN9" s="412"/>
      <c r="AO9" s="413"/>
      <c r="AP9" s="413"/>
      <c r="AQ9" s="413"/>
      <c r="AR9" s="413"/>
      <c r="AS9" s="774"/>
      <c r="AT9" s="785"/>
    </row>
    <row r="10" spans="1:46" x14ac:dyDescent="0.3">
      <c r="A10" s="369" t="s">
        <v>223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455"/>
      <c r="AO10" s="386"/>
      <c r="AP10" s="386"/>
      <c r="AQ10" s="386"/>
      <c r="AR10" s="386"/>
      <c r="AS10" s="775"/>
      <c r="AT10" s="785"/>
    </row>
    <row r="11" spans="1:46" x14ac:dyDescent="0.3">
      <c r="A11" s="370" t="s">
        <v>224</v>
      </c>
      <c r="B11" s="387">
        <f xml:space="preserve">
IF($A$4&lt;=12,SUMIFS('ON Data'!F:F,'ON Data'!$D:$D,$A$4,'ON Data'!$E:$E,2),SUMIFS('ON Data'!F:F,'ON Data'!$E:$E,2))</f>
        <v>21587.17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Data'!H:H,'ON Data'!$D:$D,$A$4,'ON Data'!$E:$E,2),SUMIFS('ON Data'!H:H,'ON Data'!$E:$E,2))</f>
        <v>0</v>
      </c>
      <c r="E11" s="389"/>
      <c r="F11" s="389">
        <f xml:space="preserve">
IF($A$4&lt;=12,SUMIFS('ON Data'!J:J,'ON Data'!$D:$D,$A$4,'ON Data'!$E:$E,2),SUMIFS('ON Data'!J:J,'ON Data'!$E:$E,2))</f>
        <v>336</v>
      </c>
      <c r="G11" s="389">
        <f xml:space="preserve">
IF($A$4&lt;=12,SUMIFS('ON Data'!K:K,'ON Data'!$D:$D,$A$4,'ON Data'!$E:$E,2),SUMIFS('ON Data'!K:K,'ON Data'!$E:$E,2))</f>
        <v>336</v>
      </c>
      <c r="H11" s="389">
        <f xml:space="preserve">
IF($A$4&lt;=12,SUMIFS('ON Data'!L:L,'ON Data'!$D:$D,$A$4,'ON Data'!$E:$E,2),SUMIFS('ON Data'!L:L,'ON Data'!$E:$E,2))</f>
        <v>2412.8000000000002</v>
      </c>
      <c r="I11" s="389">
        <f xml:space="preserve">
IF($A$4&lt;=12,SUMIFS('ON Data'!M:M,'ON Data'!$D:$D,$A$4,'ON Data'!$E:$E,2),SUMIFS('ON Data'!M:M,'ON Data'!$E:$E,2))</f>
        <v>0</v>
      </c>
      <c r="J11" s="389">
        <f xml:space="preserve">
IF($A$4&lt;=12,SUMIFS('ON Data'!N:N,'ON Data'!$D:$D,$A$4,'ON Data'!$E:$E,2),SUMIFS('ON Data'!N:N,'ON Data'!$E:$E,2))</f>
        <v>0</v>
      </c>
      <c r="K11" s="389">
        <f xml:space="preserve">
IF($A$4&lt;=12,SUMIFS('ON Data'!O:O,'ON Data'!$D:$D,$A$4,'ON Data'!$E:$E,2),SUMIFS('ON Data'!O:O,'ON Data'!$E:$E,2))</f>
        <v>0</v>
      </c>
      <c r="L11" s="389">
        <f xml:space="preserve">
IF($A$4&lt;=12,SUMIFS('ON Data'!P:P,'ON Data'!$D:$D,$A$4,'ON Data'!$E:$E,2),SUMIFS('ON Data'!P:P,'ON Data'!$E:$E,2))</f>
        <v>0</v>
      </c>
      <c r="M11" s="389">
        <f xml:space="preserve">
IF($A$4&lt;=12,SUMIFS('ON Data'!Q:Q,'ON Data'!$D:$D,$A$4,'ON Data'!$E:$E,2),SUMIFS('ON Data'!Q:Q,'ON Data'!$E:$E,2))</f>
        <v>3709.87</v>
      </c>
      <c r="N11" s="389">
        <f xml:space="preserve">
IF($A$4&lt;=12,SUMIFS('ON Data'!R:R,'ON Data'!$D:$D,$A$4,'ON Data'!$E:$E,2),SUMIFS('ON Data'!R:R,'ON Data'!$E:$E,2))</f>
        <v>8791.5</v>
      </c>
      <c r="O11" s="389">
        <f xml:space="preserve">
IF($A$4&lt;=12,SUMIFS('ON Data'!S:S,'ON Data'!$D:$D,$A$4,'ON Data'!$E:$E,2),SUMIFS('ON Data'!S:S,'ON Data'!$E:$E,2))</f>
        <v>2388</v>
      </c>
      <c r="P11" s="389">
        <f xml:space="preserve">
IF($A$4&lt;=12,SUMIFS('ON Data'!T:T,'ON Data'!$D:$D,$A$4,'ON Data'!$E:$E,2),SUMIFS('ON Data'!T:T,'ON Data'!$E:$E,2))</f>
        <v>2076</v>
      </c>
      <c r="Q11" s="389">
        <f xml:space="preserve">
IF($A$4&lt;=12,SUMIFS('ON Data'!U:U,'ON Data'!$D:$D,$A$4,'ON Data'!$E:$E,2),SUMIFS('ON Data'!U:U,'ON Data'!$E:$E,2))</f>
        <v>0</v>
      </c>
      <c r="R11" s="389">
        <f xml:space="preserve">
IF($A$4&lt;=12,SUMIFS('ON Data'!V:V,'ON Data'!$D:$D,$A$4,'ON Data'!$E:$E,2),SUMIFS('ON Data'!V:V,'ON Data'!$E:$E,2))</f>
        <v>0</v>
      </c>
      <c r="S11" s="389">
        <f xml:space="preserve">
IF($A$4&lt;=12,SUMIFS('ON Data'!W:W,'ON Data'!$D:$D,$A$4,'ON Data'!$E:$E,2),SUMIFS('ON Data'!W:W,'ON Data'!$E:$E,2))</f>
        <v>0</v>
      </c>
      <c r="T11" s="389">
        <f xml:space="preserve">
IF($A$4&lt;=12,SUMIFS('ON Data'!X:X,'ON Data'!$D:$D,$A$4,'ON Data'!$E:$E,2),SUMIFS('ON Data'!X:X,'ON Data'!$E:$E,2))</f>
        <v>0</v>
      </c>
      <c r="U11" s="389">
        <f xml:space="preserve">
IF($A$4&lt;=12,SUMIFS('ON Data'!Y:Y,'ON Data'!$D:$D,$A$4,'ON Data'!$E:$E,2),SUMIFS('ON Data'!Y:Y,'ON Data'!$E:$E,2))</f>
        <v>0</v>
      </c>
      <c r="V11" s="389">
        <f xml:space="preserve">
IF($A$4&lt;=12,SUMIFS('ON Data'!Z:Z,'ON Data'!$D:$D,$A$4,'ON Data'!$E:$E,2),SUMIFS('ON Data'!Z:Z,'ON Data'!$E:$E,2))</f>
        <v>0</v>
      </c>
      <c r="W11" s="389">
        <f xml:space="preserve">
IF($A$4&lt;=12,SUMIFS('ON Data'!AA:AA,'ON Data'!$D:$D,$A$4,'ON Data'!$E:$E,2),SUMIFS('ON Data'!AA:AA,'ON Data'!$E:$E,2))</f>
        <v>0</v>
      </c>
      <c r="X11" s="389">
        <f xml:space="preserve">
IF($A$4&lt;=12,SUMIFS('ON Data'!AB:AB,'ON Data'!$D:$D,$A$4,'ON Data'!$E:$E,2),SUMIFS('ON Data'!AB:AB,'ON Data'!$E:$E,2))</f>
        <v>0</v>
      </c>
      <c r="Y11" s="389">
        <f xml:space="preserve">
IF($A$4&lt;=12,SUMIFS('ON Data'!AC:AC,'ON Data'!$D:$D,$A$4,'ON Data'!$E:$E,2),SUMIFS('ON Data'!AC:AC,'ON Data'!$E:$E,2))</f>
        <v>0</v>
      </c>
      <c r="Z11" s="389">
        <f xml:space="preserve">
IF($A$4&lt;=12,SUMIFS('ON Data'!AD:AD,'ON Data'!$D:$D,$A$4,'ON Data'!$E:$E,2),SUMIFS('ON Data'!AD:AD,'ON Data'!$E:$E,2))</f>
        <v>0</v>
      </c>
      <c r="AA11" s="389"/>
      <c r="AB11" s="389">
        <f xml:space="preserve">
IF($A$4&lt;=12,SUMIFS('ON Data'!AF:AF,'ON Data'!$D:$D,$A$4,'ON Data'!$E:$E,2),SUMIFS('ON Data'!AF:AF,'ON Data'!$E:$E,2))</f>
        <v>0</v>
      </c>
      <c r="AC11" s="389">
        <f xml:space="preserve">
IF($A$4&lt;=12,SUMIFS('ON Data'!AG:AG,'ON Data'!$D:$D,$A$4,'ON Data'!$E:$E,2),SUMIFS('ON Data'!AG:AG,'ON Data'!$E:$E,2))</f>
        <v>0</v>
      </c>
      <c r="AD11" s="389">
        <f xml:space="preserve">
IF($A$4&lt;=12,SUMIFS('ON Data'!AH:AH,'ON Data'!$D:$D,$A$4,'ON Data'!$E:$E,2),SUMIFS('ON Data'!AH:AH,'ON Data'!$E:$E,2))</f>
        <v>0</v>
      </c>
      <c r="AE11" s="389">
        <f xml:space="preserve">
IF($A$4&lt;=12,SUMIFS('ON Data'!AI:AI,'ON Data'!$D:$D,$A$4,'ON Data'!$E:$E,2),SUMIFS('ON Data'!AI:AI,'ON Data'!$E:$E,2))</f>
        <v>0</v>
      </c>
      <c r="AF11" s="389">
        <f xml:space="preserve">
IF($A$4&lt;=12,SUMIFS('ON Data'!AJ:AJ,'ON Data'!$D:$D,$A$4,'ON Data'!$E:$E,2),SUMIFS('ON Data'!AJ:AJ,'ON Data'!$E:$E,2))</f>
        <v>0</v>
      </c>
      <c r="AG11" s="389">
        <f xml:space="preserve">
IF($A$4&lt;=12,SUMIFS('ON Data'!AK:AK,'ON Data'!$D:$D,$A$4,'ON Data'!$E:$E,2),SUMIFS('ON Data'!AK:AK,'ON Data'!$E:$E,2))</f>
        <v>0</v>
      </c>
      <c r="AH11" s="389">
        <f xml:space="preserve">
IF($A$4&lt;=12,SUMIFS('ON Data'!AL:AL,'ON Data'!$D:$D,$A$4,'ON Data'!$E:$E,2),SUMIFS('ON Data'!AL:AL,'ON Data'!$E:$E,2))</f>
        <v>0</v>
      </c>
      <c r="AI11" s="389">
        <f xml:space="preserve">
IF($A$4&lt;=12,SUMIFS('ON Data'!AM:AM,'ON Data'!$D:$D,$A$4,'ON Data'!$E:$E,2),SUMIFS('ON Data'!AM:AM,'ON Data'!$E:$E,2))</f>
        <v>0</v>
      </c>
      <c r="AJ11" s="389">
        <f xml:space="preserve">
IF($A$4&lt;=12,SUMIFS('ON Data'!AN:AN,'ON Data'!$D:$D,$A$4,'ON Data'!$E:$E,2),SUMIFS('ON Data'!AN:AN,'ON Data'!$E:$E,2))</f>
        <v>0</v>
      </c>
      <c r="AK11" s="389">
        <f xml:space="preserve">
IF($A$4&lt;=12,SUMIFS('ON Data'!AO:AO,'ON Data'!$D:$D,$A$4,'ON Data'!$E:$E,2),SUMIFS('ON Data'!AO:AO,'ON Data'!$E:$E,2))</f>
        <v>0</v>
      </c>
      <c r="AL11" s="389">
        <f xml:space="preserve">
IF($A$4&lt;=12,SUMIFS('ON Data'!AP:AP,'ON Data'!$D:$D,$A$4,'ON Data'!$E:$E,2),SUMIFS('ON Data'!AP:AP,'ON Data'!$E:$E,2))</f>
        <v>0</v>
      </c>
      <c r="AM11" s="389">
        <f xml:space="preserve">
IF($A$4&lt;=12,SUMIFS('ON Data'!AQ:AQ,'ON Data'!$D:$D,$A$4,'ON Data'!$E:$E,2),SUMIFS('ON Data'!AQ:AQ,'ON Data'!$E:$E,2))</f>
        <v>0</v>
      </c>
      <c r="AN11" s="388">
        <f xml:space="preserve">
IF($A$4&lt;=12,SUMIFS('ON Data'!AR:AR,'ON Data'!$D:$D,$A$4,'ON Data'!$E:$E,2),SUMIFS('ON Data'!AR:AR,'ON Data'!$E:$E,2))</f>
        <v>0</v>
      </c>
      <c r="AO11" s="389">
        <f xml:space="preserve">
IF($A$4&lt;=12,SUMIFS('ON Data'!AS:AS,'ON Data'!$D:$D,$A$4,'ON Data'!$E:$E,2),SUMIFS('ON Data'!AS:AS,'ON Data'!$E:$E,2))</f>
        <v>0</v>
      </c>
      <c r="AP11" s="389">
        <f xml:space="preserve">
IF($A$4&lt;=12,SUMIFS('ON Data'!AT:AT,'ON Data'!$D:$D,$A$4,'ON Data'!$E:$E,2),SUMIFS('ON Data'!AT:AT,'ON Data'!$E:$E,2))</f>
        <v>1209</v>
      </c>
      <c r="AQ11" s="389">
        <f xml:space="preserve">
IF($A$4&lt;=12,SUMIFS('ON Data'!AU:AU,'ON Data'!$D:$D,$A$4,'ON Data'!$E:$E,2),SUMIFS('ON Data'!AU:AU,'ON Data'!$E:$E,2))</f>
        <v>0</v>
      </c>
      <c r="AR11" s="389">
        <f xml:space="preserve">
IF($A$4&lt;=12,SUMIFS('ON Data'!AV:AV,'ON Data'!$D:$D,$A$4,'ON Data'!$E:$E,2),SUMIFS('ON Data'!AV:AV,'ON Data'!$E:$E,2))</f>
        <v>0</v>
      </c>
      <c r="AS11" s="776">
        <f xml:space="preserve">
IF($A$4&lt;=12,SUMIFS('ON Data'!AW:AW,'ON Data'!$D:$D,$A$4,'ON Data'!$E:$E,2),SUMIFS('ON Data'!AW:AW,'ON Data'!$E:$E,2))</f>
        <v>0</v>
      </c>
      <c r="AT11" s="785"/>
    </row>
    <row r="12" spans="1:46" x14ac:dyDescent="0.3">
      <c r="A12" s="370" t="s">
        <v>225</v>
      </c>
      <c r="B12" s="387">
        <f xml:space="preserve">
IF($A$4&lt;=12,SUMIFS('ON Data'!F:F,'ON Data'!$D:$D,$A$4,'ON Data'!$E:$E,3),SUMIFS('ON Data'!F:F,'ON Data'!$E:$E,3))</f>
        <v>254.73000000000002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Data'!H:H,'ON Data'!$D:$D,$A$4,'ON Data'!$E:$E,3),SUMIFS('ON Data'!H:H,'ON Data'!$E:$E,3))</f>
        <v>0</v>
      </c>
      <c r="E12" s="389"/>
      <c r="F12" s="389">
        <f xml:space="preserve">
IF($A$4&lt;=12,SUMIFS('ON Data'!J:J,'ON Data'!$D:$D,$A$4,'ON Data'!$E:$E,3),SUMIFS('ON Data'!J:J,'ON Data'!$E:$E,3))</f>
        <v>11.5</v>
      </c>
      <c r="G12" s="389">
        <f xml:space="preserve">
IF($A$4&lt;=12,SUMIFS('ON Data'!K:K,'ON Data'!$D:$D,$A$4,'ON Data'!$E:$E,3),SUMIFS('ON Data'!K:K,'ON Data'!$E:$E,3))</f>
        <v>0</v>
      </c>
      <c r="H12" s="389">
        <f xml:space="preserve">
IF($A$4&lt;=12,SUMIFS('ON Data'!L:L,'ON Data'!$D:$D,$A$4,'ON Data'!$E:$E,3),SUMIFS('ON Data'!L:L,'ON Data'!$E:$E,3))</f>
        <v>11.5</v>
      </c>
      <c r="I12" s="389">
        <f xml:space="preserve">
IF($A$4&lt;=12,SUMIFS('ON Data'!M:M,'ON Data'!$D:$D,$A$4,'ON Data'!$E:$E,3),SUMIFS('ON Data'!M:M,'ON Data'!$E:$E,3))</f>
        <v>0</v>
      </c>
      <c r="J12" s="389">
        <f xml:space="preserve">
IF($A$4&lt;=12,SUMIFS('ON Data'!N:N,'ON Data'!$D:$D,$A$4,'ON Data'!$E:$E,3),SUMIFS('ON Data'!N:N,'ON Data'!$E:$E,3))</f>
        <v>0</v>
      </c>
      <c r="K12" s="389">
        <f xml:space="preserve">
IF($A$4&lt;=12,SUMIFS('ON Data'!O:O,'ON Data'!$D:$D,$A$4,'ON Data'!$E:$E,3),SUMIFS('ON Data'!O:O,'ON Data'!$E:$E,3))</f>
        <v>0</v>
      </c>
      <c r="L12" s="389">
        <f xml:space="preserve">
IF($A$4&lt;=12,SUMIFS('ON Data'!P:P,'ON Data'!$D:$D,$A$4,'ON Data'!$E:$E,3),SUMIFS('ON Data'!P:P,'ON Data'!$E:$E,3))</f>
        <v>0</v>
      </c>
      <c r="M12" s="389">
        <f xml:space="preserve">
IF($A$4&lt;=12,SUMIFS('ON Data'!Q:Q,'ON Data'!$D:$D,$A$4,'ON Data'!$E:$E,3),SUMIFS('ON Data'!Q:Q,'ON Data'!$E:$E,3))</f>
        <v>141.73000000000002</v>
      </c>
      <c r="N12" s="389">
        <f xml:space="preserve">
IF($A$4&lt;=12,SUMIFS('ON Data'!R:R,'ON Data'!$D:$D,$A$4,'ON Data'!$E:$E,3),SUMIFS('ON Data'!R:R,'ON Data'!$E:$E,3))</f>
        <v>65</v>
      </c>
      <c r="O12" s="389">
        <f xml:space="preserve">
IF($A$4&lt;=12,SUMIFS('ON Data'!S:S,'ON Data'!$D:$D,$A$4,'ON Data'!$E:$E,3),SUMIFS('ON Data'!S:S,'ON Data'!$E:$E,3))</f>
        <v>10</v>
      </c>
      <c r="P12" s="389">
        <f xml:space="preserve">
IF($A$4&lt;=12,SUMIFS('ON Data'!T:T,'ON Data'!$D:$D,$A$4,'ON Data'!$E:$E,3),SUMIFS('ON Data'!T:T,'ON Data'!$E:$E,3))</f>
        <v>15</v>
      </c>
      <c r="Q12" s="389">
        <f xml:space="preserve">
IF($A$4&lt;=12,SUMIFS('ON Data'!U:U,'ON Data'!$D:$D,$A$4,'ON Data'!$E:$E,3),SUMIFS('ON Data'!U:U,'ON Data'!$E:$E,3))</f>
        <v>0</v>
      </c>
      <c r="R12" s="389">
        <f xml:space="preserve">
IF($A$4&lt;=12,SUMIFS('ON Data'!V:V,'ON Data'!$D:$D,$A$4,'ON Data'!$E:$E,3),SUMIFS('ON Data'!V:V,'ON Data'!$E:$E,3))</f>
        <v>0</v>
      </c>
      <c r="S12" s="389">
        <f xml:space="preserve">
IF($A$4&lt;=12,SUMIFS('ON Data'!W:W,'ON Data'!$D:$D,$A$4,'ON Data'!$E:$E,3),SUMIFS('ON Data'!W:W,'ON Data'!$E:$E,3))</f>
        <v>0</v>
      </c>
      <c r="T12" s="389">
        <f xml:space="preserve">
IF($A$4&lt;=12,SUMIFS('ON Data'!X:X,'ON Data'!$D:$D,$A$4,'ON Data'!$E:$E,3),SUMIFS('ON Data'!X:X,'ON Data'!$E:$E,3))</f>
        <v>0</v>
      </c>
      <c r="U12" s="389">
        <f xml:space="preserve">
IF($A$4&lt;=12,SUMIFS('ON Data'!Y:Y,'ON Data'!$D:$D,$A$4,'ON Data'!$E:$E,3),SUMIFS('ON Data'!Y:Y,'ON Data'!$E:$E,3))</f>
        <v>0</v>
      </c>
      <c r="V12" s="389">
        <f xml:space="preserve">
IF($A$4&lt;=12,SUMIFS('ON Data'!Z:Z,'ON Data'!$D:$D,$A$4,'ON Data'!$E:$E,3),SUMIFS('ON Data'!Z:Z,'ON Data'!$E:$E,3))</f>
        <v>0</v>
      </c>
      <c r="W12" s="389">
        <f xml:space="preserve">
IF($A$4&lt;=12,SUMIFS('ON Data'!AA:AA,'ON Data'!$D:$D,$A$4,'ON Data'!$E:$E,3),SUMIFS('ON Data'!AA:AA,'ON Data'!$E:$E,3))</f>
        <v>0</v>
      </c>
      <c r="X12" s="389">
        <f xml:space="preserve">
IF($A$4&lt;=12,SUMIFS('ON Data'!AB:AB,'ON Data'!$D:$D,$A$4,'ON Data'!$E:$E,3),SUMIFS('ON Data'!AB:AB,'ON Data'!$E:$E,3))</f>
        <v>0</v>
      </c>
      <c r="Y12" s="389">
        <f xml:space="preserve">
IF($A$4&lt;=12,SUMIFS('ON Data'!AC:AC,'ON Data'!$D:$D,$A$4,'ON Data'!$E:$E,3),SUMIFS('ON Data'!AC:AC,'ON Data'!$E:$E,3))</f>
        <v>0</v>
      </c>
      <c r="Z12" s="389">
        <f xml:space="preserve">
IF($A$4&lt;=12,SUMIFS('ON Data'!AD:AD,'ON Data'!$D:$D,$A$4,'ON Data'!$E:$E,3),SUMIFS('ON Data'!AD:AD,'ON Data'!$E:$E,3))</f>
        <v>0</v>
      </c>
      <c r="AA12" s="389"/>
      <c r="AB12" s="389">
        <f xml:space="preserve">
IF($A$4&lt;=12,SUMIFS('ON Data'!AF:AF,'ON Data'!$D:$D,$A$4,'ON Data'!$E:$E,3),SUMIFS('ON Data'!AF:AF,'ON Data'!$E:$E,3))</f>
        <v>0</v>
      </c>
      <c r="AC12" s="389">
        <f xml:space="preserve">
IF($A$4&lt;=12,SUMIFS('ON Data'!AG:AG,'ON Data'!$D:$D,$A$4,'ON Data'!$E:$E,3),SUMIFS('ON Data'!AG:AG,'ON Data'!$E:$E,3))</f>
        <v>0</v>
      </c>
      <c r="AD12" s="389">
        <f xml:space="preserve">
IF($A$4&lt;=12,SUMIFS('ON Data'!AH:AH,'ON Data'!$D:$D,$A$4,'ON Data'!$E:$E,3),SUMIFS('ON Data'!AH:AH,'ON Data'!$E:$E,3))</f>
        <v>0</v>
      </c>
      <c r="AE12" s="389">
        <f xml:space="preserve">
IF($A$4&lt;=12,SUMIFS('ON Data'!AI:AI,'ON Data'!$D:$D,$A$4,'ON Data'!$E:$E,3),SUMIFS('ON Data'!AI:AI,'ON Data'!$E:$E,3))</f>
        <v>0</v>
      </c>
      <c r="AF12" s="389">
        <f xml:space="preserve">
IF($A$4&lt;=12,SUMIFS('ON Data'!AJ:AJ,'ON Data'!$D:$D,$A$4,'ON Data'!$E:$E,3),SUMIFS('ON Data'!AJ:AJ,'ON Data'!$E:$E,3))</f>
        <v>0</v>
      </c>
      <c r="AG12" s="389">
        <f xml:space="preserve">
IF($A$4&lt;=12,SUMIFS('ON Data'!AK:AK,'ON Data'!$D:$D,$A$4,'ON Data'!$E:$E,3),SUMIFS('ON Data'!AK:AK,'ON Data'!$E:$E,3))</f>
        <v>0</v>
      </c>
      <c r="AH12" s="389">
        <f xml:space="preserve">
IF($A$4&lt;=12,SUMIFS('ON Data'!AL:AL,'ON Data'!$D:$D,$A$4,'ON Data'!$E:$E,3),SUMIFS('ON Data'!AL:AL,'ON Data'!$E:$E,3))</f>
        <v>0</v>
      </c>
      <c r="AI12" s="389">
        <f xml:space="preserve">
IF($A$4&lt;=12,SUMIFS('ON Data'!AM:AM,'ON Data'!$D:$D,$A$4,'ON Data'!$E:$E,3),SUMIFS('ON Data'!AM:AM,'ON Data'!$E:$E,3))</f>
        <v>0</v>
      </c>
      <c r="AJ12" s="389">
        <f xml:space="preserve">
IF($A$4&lt;=12,SUMIFS('ON Data'!AN:AN,'ON Data'!$D:$D,$A$4,'ON Data'!$E:$E,3),SUMIFS('ON Data'!AN:AN,'ON Data'!$E:$E,3))</f>
        <v>0</v>
      </c>
      <c r="AK12" s="389">
        <f xml:space="preserve">
IF($A$4&lt;=12,SUMIFS('ON Data'!AO:AO,'ON Data'!$D:$D,$A$4,'ON Data'!$E:$E,3),SUMIFS('ON Data'!AO:AO,'ON Data'!$E:$E,3))</f>
        <v>0</v>
      </c>
      <c r="AL12" s="389">
        <f xml:space="preserve">
IF($A$4&lt;=12,SUMIFS('ON Data'!AP:AP,'ON Data'!$D:$D,$A$4,'ON Data'!$E:$E,3),SUMIFS('ON Data'!AP:AP,'ON Data'!$E:$E,3))</f>
        <v>0</v>
      </c>
      <c r="AM12" s="389">
        <f xml:space="preserve">
IF($A$4&lt;=12,SUMIFS('ON Data'!AQ:AQ,'ON Data'!$D:$D,$A$4,'ON Data'!$E:$E,3),SUMIFS('ON Data'!AQ:AQ,'ON Data'!$E:$E,3))</f>
        <v>0</v>
      </c>
      <c r="AN12" s="388">
        <f xml:space="preserve">
IF($A$4&lt;=12,SUMIFS('ON Data'!AR:AR,'ON Data'!$D:$D,$A$4,'ON Data'!$E:$E,3),SUMIFS('ON Data'!AR:AR,'ON Data'!$E:$E,3))</f>
        <v>0</v>
      </c>
      <c r="AO12" s="389">
        <f xml:space="preserve">
IF($A$4&lt;=12,SUMIFS('ON Data'!AS:AS,'ON Data'!$D:$D,$A$4,'ON Data'!$E:$E,3),SUMIFS('ON Data'!AS:AS,'ON Data'!$E:$E,3))</f>
        <v>0</v>
      </c>
      <c r="AP12" s="389">
        <f xml:space="preserve">
IF($A$4&lt;=12,SUMIFS('ON Data'!AT:AT,'ON Data'!$D:$D,$A$4,'ON Data'!$E:$E,3),SUMIFS('ON Data'!AT:AT,'ON Data'!$E:$E,3))</f>
        <v>0</v>
      </c>
      <c r="AQ12" s="389">
        <f xml:space="preserve">
IF($A$4&lt;=12,SUMIFS('ON Data'!AU:AU,'ON Data'!$D:$D,$A$4,'ON Data'!$E:$E,3),SUMIFS('ON Data'!AU:AU,'ON Data'!$E:$E,3))</f>
        <v>0</v>
      </c>
      <c r="AR12" s="389">
        <f xml:space="preserve">
IF($A$4&lt;=12,SUMIFS('ON Data'!AV:AV,'ON Data'!$D:$D,$A$4,'ON Data'!$E:$E,3),SUMIFS('ON Data'!AV:AV,'ON Data'!$E:$E,3))</f>
        <v>0</v>
      </c>
      <c r="AS12" s="776">
        <f xml:space="preserve">
IF($A$4&lt;=12,SUMIFS('ON Data'!AW:AW,'ON Data'!$D:$D,$A$4,'ON Data'!$E:$E,3),SUMIFS('ON Data'!AW:AW,'ON Data'!$E:$E,3))</f>
        <v>0</v>
      </c>
      <c r="AT12" s="785"/>
    </row>
    <row r="13" spans="1:46" x14ac:dyDescent="0.3">
      <c r="A13" s="370" t="s">
        <v>232</v>
      </c>
      <c r="B13" s="387">
        <f xml:space="preserve">
IF($A$4&lt;=12,SUMIFS('ON Data'!F:F,'ON Data'!$D:$D,$A$4,'ON Data'!$E:$E,4),SUMIFS('ON Data'!F:F,'ON Data'!$E:$E,4))</f>
        <v>661.25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Data'!H:H,'ON Data'!$D:$D,$A$4,'ON Data'!$E:$E,4),SUMIFS('ON Data'!H:H,'ON Data'!$E:$E,4))</f>
        <v>0</v>
      </c>
      <c r="E13" s="389"/>
      <c r="F13" s="389">
        <f xml:space="preserve">
IF($A$4&lt;=12,SUMIFS('ON Data'!J:J,'ON Data'!$D:$D,$A$4,'ON Data'!$E:$E,4),SUMIFS('ON Data'!J:J,'ON Data'!$E:$E,4))</f>
        <v>68</v>
      </c>
      <c r="G13" s="389">
        <f xml:space="preserve">
IF($A$4&lt;=12,SUMIFS('ON Data'!K:K,'ON Data'!$D:$D,$A$4,'ON Data'!$E:$E,4),SUMIFS('ON Data'!K:K,'ON Data'!$E:$E,4))</f>
        <v>60</v>
      </c>
      <c r="H13" s="389">
        <f xml:space="preserve">
IF($A$4&lt;=12,SUMIFS('ON Data'!L:L,'ON Data'!$D:$D,$A$4,'ON Data'!$E:$E,4),SUMIFS('ON Data'!L:L,'ON Data'!$E:$E,4))</f>
        <v>371</v>
      </c>
      <c r="I13" s="389">
        <f xml:space="preserve">
IF($A$4&lt;=12,SUMIFS('ON Data'!M:M,'ON Data'!$D:$D,$A$4,'ON Data'!$E:$E,4),SUMIFS('ON Data'!M:M,'ON Data'!$E:$E,4))</f>
        <v>0</v>
      </c>
      <c r="J13" s="389">
        <f xml:space="preserve">
IF($A$4&lt;=12,SUMIFS('ON Data'!N:N,'ON Data'!$D:$D,$A$4,'ON Data'!$E:$E,4),SUMIFS('ON Data'!N:N,'ON Data'!$E:$E,4))</f>
        <v>0</v>
      </c>
      <c r="K13" s="389">
        <f xml:space="preserve">
IF($A$4&lt;=12,SUMIFS('ON Data'!O:O,'ON Data'!$D:$D,$A$4,'ON Data'!$E:$E,4),SUMIFS('ON Data'!O:O,'ON Data'!$E:$E,4))</f>
        <v>0</v>
      </c>
      <c r="L13" s="389">
        <f xml:space="preserve">
IF($A$4&lt;=12,SUMIFS('ON Data'!P:P,'ON Data'!$D:$D,$A$4,'ON Data'!$E:$E,4),SUMIFS('ON Data'!P:P,'ON Data'!$E:$E,4))</f>
        <v>0</v>
      </c>
      <c r="M13" s="389">
        <f xml:space="preserve">
IF($A$4&lt;=12,SUMIFS('ON Data'!Q:Q,'ON Data'!$D:$D,$A$4,'ON Data'!$E:$E,4),SUMIFS('ON Data'!Q:Q,'ON Data'!$E:$E,4))</f>
        <v>0</v>
      </c>
      <c r="N13" s="389">
        <f xml:space="preserve">
IF($A$4&lt;=12,SUMIFS('ON Data'!R:R,'ON Data'!$D:$D,$A$4,'ON Data'!$E:$E,4),SUMIFS('ON Data'!R:R,'ON Data'!$E:$E,4))</f>
        <v>52</v>
      </c>
      <c r="O13" s="389">
        <f xml:space="preserve">
IF($A$4&lt;=12,SUMIFS('ON Data'!S:S,'ON Data'!$D:$D,$A$4,'ON Data'!$E:$E,4),SUMIFS('ON Data'!S:S,'ON Data'!$E:$E,4))</f>
        <v>20</v>
      </c>
      <c r="P13" s="389">
        <f xml:space="preserve">
IF($A$4&lt;=12,SUMIFS('ON Data'!T:T,'ON Data'!$D:$D,$A$4,'ON Data'!$E:$E,4),SUMIFS('ON Data'!T:T,'ON Data'!$E:$E,4))</f>
        <v>30</v>
      </c>
      <c r="Q13" s="389">
        <f xml:space="preserve">
IF($A$4&lt;=12,SUMIFS('ON Data'!U:U,'ON Data'!$D:$D,$A$4,'ON Data'!$E:$E,4),SUMIFS('ON Data'!U:U,'ON Data'!$E:$E,4))</f>
        <v>0</v>
      </c>
      <c r="R13" s="389">
        <f xml:space="preserve">
IF($A$4&lt;=12,SUMIFS('ON Data'!V:V,'ON Data'!$D:$D,$A$4,'ON Data'!$E:$E,4),SUMIFS('ON Data'!V:V,'ON Data'!$E:$E,4))</f>
        <v>0</v>
      </c>
      <c r="S13" s="389">
        <f xml:space="preserve">
IF($A$4&lt;=12,SUMIFS('ON Data'!W:W,'ON Data'!$D:$D,$A$4,'ON Data'!$E:$E,4),SUMIFS('ON Data'!W:W,'ON Data'!$E:$E,4))</f>
        <v>0</v>
      </c>
      <c r="T13" s="389">
        <f xml:space="preserve">
IF($A$4&lt;=12,SUMIFS('ON Data'!X:X,'ON Data'!$D:$D,$A$4,'ON Data'!$E:$E,4),SUMIFS('ON Data'!X:X,'ON Data'!$E:$E,4))</f>
        <v>0</v>
      </c>
      <c r="U13" s="389">
        <f xml:space="preserve">
IF($A$4&lt;=12,SUMIFS('ON Data'!Y:Y,'ON Data'!$D:$D,$A$4,'ON Data'!$E:$E,4),SUMIFS('ON Data'!Y:Y,'ON Data'!$E:$E,4))</f>
        <v>0</v>
      </c>
      <c r="V13" s="389">
        <f xml:space="preserve">
IF($A$4&lt;=12,SUMIFS('ON Data'!Z:Z,'ON Data'!$D:$D,$A$4,'ON Data'!$E:$E,4),SUMIFS('ON Data'!Z:Z,'ON Data'!$E:$E,4))</f>
        <v>0</v>
      </c>
      <c r="W13" s="389">
        <f xml:space="preserve">
IF($A$4&lt;=12,SUMIFS('ON Data'!AA:AA,'ON Data'!$D:$D,$A$4,'ON Data'!$E:$E,4),SUMIFS('ON Data'!AA:AA,'ON Data'!$E:$E,4))</f>
        <v>0</v>
      </c>
      <c r="X13" s="389">
        <f xml:space="preserve">
IF($A$4&lt;=12,SUMIFS('ON Data'!AB:AB,'ON Data'!$D:$D,$A$4,'ON Data'!$E:$E,4),SUMIFS('ON Data'!AB:AB,'ON Data'!$E:$E,4))</f>
        <v>0</v>
      </c>
      <c r="Y13" s="389">
        <f xml:space="preserve">
IF($A$4&lt;=12,SUMIFS('ON Data'!AC:AC,'ON Data'!$D:$D,$A$4,'ON Data'!$E:$E,4),SUMIFS('ON Data'!AC:AC,'ON Data'!$E:$E,4))</f>
        <v>0</v>
      </c>
      <c r="Z13" s="389">
        <f xml:space="preserve">
IF($A$4&lt;=12,SUMIFS('ON Data'!AD:AD,'ON Data'!$D:$D,$A$4,'ON Data'!$E:$E,4),SUMIFS('ON Data'!AD:AD,'ON Data'!$E:$E,4))</f>
        <v>0</v>
      </c>
      <c r="AA13" s="389"/>
      <c r="AB13" s="389">
        <f xml:space="preserve">
IF($A$4&lt;=12,SUMIFS('ON Data'!AF:AF,'ON Data'!$D:$D,$A$4,'ON Data'!$E:$E,4),SUMIFS('ON Data'!AF:AF,'ON Data'!$E:$E,4))</f>
        <v>0</v>
      </c>
      <c r="AC13" s="389">
        <f xml:space="preserve">
IF($A$4&lt;=12,SUMIFS('ON Data'!AG:AG,'ON Data'!$D:$D,$A$4,'ON Data'!$E:$E,4),SUMIFS('ON Data'!AG:AG,'ON Data'!$E:$E,4))</f>
        <v>0</v>
      </c>
      <c r="AD13" s="389">
        <f xml:space="preserve">
IF($A$4&lt;=12,SUMIFS('ON Data'!AH:AH,'ON Data'!$D:$D,$A$4,'ON Data'!$E:$E,4),SUMIFS('ON Data'!AH:AH,'ON Data'!$E:$E,4))</f>
        <v>0</v>
      </c>
      <c r="AE13" s="389">
        <f xml:space="preserve">
IF($A$4&lt;=12,SUMIFS('ON Data'!AI:AI,'ON Data'!$D:$D,$A$4,'ON Data'!$E:$E,4),SUMIFS('ON Data'!AI:AI,'ON Data'!$E:$E,4))</f>
        <v>0</v>
      </c>
      <c r="AF13" s="389">
        <f xml:space="preserve">
IF($A$4&lt;=12,SUMIFS('ON Data'!AJ:AJ,'ON Data'!$D:$D,$A$4,'ON Data'!$E:$E,4),SUMIFS('ON Data'!AJ:AJ,'ON Data'!$E:$E,4))</f>
        <v>0</v>
      </c>
      <c r="AG13" s="389">
        <f xml:space="preserve">
IF($A$4&lt;=12,SUMIFS('ON Data'!AK:AK,'ON Data'!$D:$D,$A$4,'ON Data'!$E:$E,4),SUMIFS('ON Data'!AK:AK,'ON Data'!$E:$E,4))</f>
        <v>0</v>
      </c>
      <c r="AH13" s="389">
        <f xml:space="preserve">
IF($A$4&lt;=12,SUMIFS('ON Data'!AL:AL,'ON Data'!$D:$D,$A$4,'ON Data'!$E:$E,4),SUMIFS('ON Data'!AL:AL,'ON Data'!$E:$E,4))</f>
        <v>0</v>
      </c>
      <c r="AI13" s="389">
        <f xml:space="preserve">
IF($A$4&lt;=12,SUMIFS('ON Data'!AM:AM,'ON Data'!$D:$D,$A$4,'ON Data'!$E:$E,4),SUMIFS('ON Data'!AM:AM,'ON Data'!$E:$E,4))</f>
        <v>0</v>
      </c>
      <c r="AJ13" s="389">
        <f xml:space="preserve">
IF($A$4&lt;=12,SUMIFS('ON Data'!AN:AN,'ON Data'!$D:$D,$A$4,'ON Data'!$E:$E,4),SUMIFS('ON Data'!AN:AN,'ON Data'!$E:$E,4))</f>
        <v>0</v>
      </c>
      <c r="AK13" s="389">
        <f xml:space="preserve">
IF($A$4&lt;=12,SUMIFS('ON Data'!AO:AO,'ON Data'!$D:$D,$A$4,'ON Data'!$E:$E,4),SUMIFS('ON Data'!AO:AO,'ON Data'!$E:$E,4))</f>
        <v>0</v>
      </c>
      <c r="AL13" s="389">
        <f xml:space="preserve">
IF($A$4&lt;=12,SUMIFS('ON Data'!AP:AP,'ON Data'!$D:$D,$A$4,'ON Data'!$E:$E,4),SUMIFS('ON Data'!AP:AP,'ON Data'!$E:$E,4))</f>
        <v>0</v>
      </c>
      <c r="AM13" s="389">
        <f xml:space="preserve">
IF($A$4&lt;=12,SUMIFS('ON Data'!AQ:AQ,'ON Data'!$D:$D,$A$4,'ON Data'!$E:$E,4),SUMIFS('ON Data'!AQ:AQ,'ON Data'!$E:$E,4))</f>
        <v>0</v>
      </c>
      <c r="AN13" s="388">
        <f xml:space="preserve">
IF($A$4&lt;=12,SUMIFS('ON Data'!AR:AR,'ON Data'!$D:$D,$A$4,'ON Data'!$E:$E,4),SUMIFS('ON Data'!AR:AR,'ON Data'!$E:$E,4))</f>
        <v>0</v>
      </c>
      <c r="AO13" s="389">
        <f xml:space="preserve">
IF($A$4&lt;=12,SUMIFS('ON Data'!AS:AS,'ON Data'!$D:$D,$A$4,'ON Data'!$E:$E,4),SUMIFS('ON Data'!AS:AS,'ON Data'!$E:$E,4))</f>
        <v>0</v>
      </c>
      <c r="AP13" s="389">
        <f xml:space="preserve">
IF($A$4&lt;=12,SUMIFS('ON Data'!AT:AT,'ON Data'!$D:$D,$A$4,'ON Data'!$E:$E,4),SUMIFS('ON Data'!AT:AT,'ON Data'!$E:$E,4))</f>
        <v>60.25</v>
      </c>
      <c r="AQ13" s="389">
        <f xml:space="preserve">
IF($A$4&lt;=12,SUMIFS('ON Data'!AU:AU,'ON Data'!$D:$D,$A$4,'ON Data'!$E:$E,4),SUMIFS('ON Data'!AU:AU,'ON Data'!$E:$E,4))</f>
        <v>0</v>
      </c>
      <c r="AR13" s="389">
        <f xml:space="preserve">
IF($A$4&lt;=12,SUMIFS('ON Data'!AV:AV,'ON Data'!$D:$D,$A$4,'ON Data'!$E:$E,4),SUMIFS('ON Data'!AV:AV,'ON Data'!$E:$E,4))</f>
        <v>0</v>
      </c>
      <c r="AS13" s="776">
        <f xml:space="preserve">
IF($A$4&lt;=12,SUMIFS('ON Data'!AW:AW,'ON Data'!$D:$D,$A$4,'ON Data'!$E:$E,4),SUMIFS('ON Data'!AW:AW,'ON Data'!$E:$E,4))</f>
        <v>0</v>
      </c>
      <c r="AT13" s="785"/>
    </row>
    <row r="14" spans="1:46" ht="15" thickBot="1" x14ac:dyDescent="0.35">
      <c r="A14" s="371" t="s">
        <v>226</v>
      </c>
      <c r="B14" s="391">
        <f xml:space="preserve">
IF($A$4&lt;=12,SUMIFS('ON Data'!F:F,'ON Data'!$D:$D,$A$4,'ON Data'!$E:$E,5),SUMIFS('ON Data'!F:F,'ON Data'!$E:$E,5))</f>
        <v>132.5</v>
      </c>
      <c r="C14" s="392">
        <f xml:space="preserve">
IF($A$4&lt;=12,SUMIFS('ON Data'!G:G,'ON Data'!$D:$D,$A$4,'ON Data'!$E:$E,5),SUMIFS('ON Data'!G:G,'ON Data'!$E:$E,5))</f>
        <v>0</v>
      </c>
      <c r="D14" s="393">
        <f xml:space="preserve">
IF($A$4&lt;=12,SUMIFS('ON Data'!H:H,'ON Data'!$D:$D,$A$4,'ON Data'!$E:$E,5),SUMIFS('ON Data'!H:H,'ON Data'!$E:$E,5))</f>
        <v>0</v>
      </c>
      <c r="E14" s="393"/>
      <c r="F14" s="393">
        <f xml:space="preserve">
IF($A$4&lt;=12,SUMIFS('ON Data'!J:J,'ON Data'!$D:$D,$A$4,'ON Data'!$E:$E,5),SUMIFS('ON Data'!J:J,'ON Data'!$E:$E,5))</f>
        <v>0</v>
      </c>
      <c r="G14" s="393">
        <f xml:space="preserve">
IF($A$4&lt;=12,SUMIFS('ON Data'!K:K,'ON Data'!$D:$D,$A$4,'ON Data'!$E:$E,5),SUMIFS('ON Data'!K:K,'ON Data'!$E:$E,5))</f>
        <v>0</v>
      </c>
      <c r="H14" s="393">
        <f xml:space="preserve">
IF($A$4&lt;=12,SUMIFS('ON Data'!L:L,'ON Data'!$D:$D,$A$4,'ON Data'!$E:$E,5),SUMIFS('ON Data'!L:L,'ON Data'!$E:$E,5))</f>
        <v>132.5</v>
      </c>
      <c r="I14" s="393">
        <f xml:space="preserve">
IF($A$4&lt;=12,SUMIFS('ON Data'!M:M,'ON Data'!$D:$D,$A$4,'ON Data'!$E:$E,5),SUMIFS('ON Data'!M:M,'ON Data'!$E:$E,5))</f>
        <v>0</v>
      </c>
      <c r="J14" s="393">
        <f xml:space="preserve">
IF($A$4&lt;=12,SUMIFS('ON Data'!N:N,'ON Data'!$D:$D,$A$4,'ON Data'!$E:$E,5),SUMIFS('ON Data'!N:N,'ON Data'!$E:$E,5))</f>
        <v>0</v>
      </c>
      <c r="K14" s="393">
        <f xml:space="preserve">
IF($A$4&lt;=12,SUMIFS('ON Data'!O:O,'ON Data'!$D:$D,$A$4,'ON Data'!$E:$E,5),SUMIFS('ON Data'!O:O,'ON Data'!$E:$E,5))</f>
        <v>0</v>
      </c>
      <c r="L14" s="393">
        <f xml:space="preserve">
IF($A$4&lt;=12,SUMIFS('ON Data'!P:P,'ON Data'!$D:$D,$A$4,'ON Data'!$E:$E,5),SUMIFS('ON Data'!P:P,'ON Data'!$E:$E,5))</f>
        <v>0</v>
      </c>
      <c r="M14" s="393">
        <f xml:space="preserve">
IF($A$4&lt;=12,SUMIFS('ON Data'!Q:Q,'ON Data'!$D:$D,$A$4,'ON Data'!$E:$E,5),SUMIFS('ON Data'!Q:Q,'ON Data'!$E:$E,5))</f>
        <v>0</v>
      </c>
      <c r="N14" s="393">
        <f xml:space="preserve">
IF($A$4&lt;=12,SUMIFS('ON Data'!R:R,'ON Data'!$D:$D,$A$4,'ON Data'!$E:$E,5),SUMIFS('ON Data'!R:R,'ON Data'!$E:$E,5))</f>
        <v>0</v>
      </c>
      <c r="O14" s="393">
        <f xml:space="preserve">
IF($A$4&lt;=12,SUMIFS('ON Data'!S:S,'ON Data'!$D:$D,$A$4,'ON Data'!$E:$E,5),SUMIFS('ON Data'!S:S,'ON Data'!$E:$E,5))</f>
        <v>0</v>
      </c>
      <c r="P14" s="393">
        <f xml:space="preserve">
IF($A$4&lt;=12,SUMIFS('ON Data'!T:T,'ON Data'!$D:$D,$A$4,'ON Data'!$E:$E,5),SUMIFS('ON Data'!T:T,'ON Data'!$E:$E,5))</f>
        <v>0</v>
      </c>
      <c r="Q14" s="393">
        <f xml:space="preserve">
IF($A$4&lt;=12,SUMIFS('ON Data'!U:U,'ON Data'!$D:$D,$A$4,'ON Data'!$E:$E,5),SUMIFS('ON Data'!U:U,'ON Data'!$E:$E,5))</f>
        <v>0</v>
      </c>
      <c r="R14" s="393">
        <f xml:space="preserve">
IF($A$4&lt;=12,SUMIFS('ON Data'!V:V,'ON Data'!$D:$D,$A$4,'ON Data'!$E:$E,5),SUMIFS('ON Data'!V:V,'ON Data'!$E:$E,5))</f>
        <v>0</v>
      </c>
      <c r="S14" s="393">
        <f xml:space="preserve">
IF($A$4&lt;=12,SUMIFS('ON Data'!W:W,'ON Data'!$D:$D,$A$4,'ON Data'!$E:$E,5),SUMIFS('ON Data'!W:W,'ON Data'!$E:$E,5))</f>
        <v>0</v>
      </c>
      <c r="T14" s="393">
        <f xml:space="preserve">
IF($A$4&lt;=12,SUMIFS('ON Data'!X:X,'ON Data'!$D:$D,$A$4,'ON Data'!$E:$E,5),SUMIFS('ON Data'!X:X,'ON Data'!$E:$E,5))</f>
        <v>0</v>
      </c>
      <c r="U14" s="393">
        <f xml:space="preserve">
IF($A$4&lt;=12,SUMIFS('ON Data'!Y:Y,'ON Data'!$D:$D,$A$4,'ON Data'!$E:$E,5),SUMIFS('ON Data'!Y:Y,'ON Data'!$E:$E,5))</f>
        <v>0</v>
      </c>
      <c r="V14" s="393">
        <f xml:space="preserve">
IF($A$4&lt;=12,SUMIFS('ON Data'!Z:Z,'ON Data'!$D:$D,$A$4,'ON Data'!$E:$E,5),SUMIFS('ON Data'!Z:Z,'ON Data'!$E:$E,5))</f>
        <v>0</v>
      </c>
      <c r="W14" s="393">
        <f xml:space="preserve">
IF($A$4&lt;=12,SUMIFS('ON Data'!AA:AA,'ON Data'!$D:$D,$A$4,'ON Data'!$E:$E,5),SUMIFS('ON Data'!AA:AA,'ON Data'!$E:$E,5))</f>
        <v>0</v>
      </c>
      <c r="X14" s="393">
        <f xml:space="preserve">
IF($A$4&lt;=12,SUMIFS('ON Data'!AB:AB,'ON Data'!$D:$D,$A$4,'ON Data'!$E:$E,5),SUMIFS('ON Data'!AB:AB,'ON Data'!$E:$E,5))</f>
        <v>0</v>
      </c>
      <c r="Y14" s="393">
        <f xml:space="preserve">
IF($A$4&lt;=12,SUMIFS('ON Data'!AC:AC,'ON Data'!$D:$D,$A$4,'ON Data'!$E:$E,5),SUMIFS('ON Data'!AC:AC,'ON Data'!$E:$E,5))</f>
        <v>0</v>
      </c>
      <c r="Z14" s="393">
        <f xml:space="preserve">
IF($A$4&lt;=12,SUMIFS('ON Data'!AD:AD,'ON Data'!$D:$D,$A$4,'ON Data'!$E:$E,5),SUMIFS('ON Data'!AD:AD,'ON Data'!$E:$E,5))</f>
        <v>0</v>
      </c>
      <c r="AA14" s="393"/>
      <c r="AB14" s="393">
        <f xml:space="preserve">
IF($A$4&lt;=12,SUMIFS('ON Data'!AF:AF,'ON Data'!$D:$D,$A$4,'ON Data'!$E:$E,5),SUMIFS('ON Data'!AF:AF,'ON Data'!$E:$E,5))</f>
        <v>0</v>
      </c>
      <c r="AC14" s="393">
        <f xml:space="preserve">
IF($A$4&lt;=12,SUMIFS('ON Data'!AG:AG,'ON Data'!$D:$D,$A$4,'ON Data'!$E:$E,5),SUMIFS('ON Data'!AG:AG,'ON Data'!$E:$E,5))</f>
        <v>0</v>
      </c>
      <c r="AD14" s="393">
        <f xml:space="preserve">
IF($A$4&lt;=12,SUMIFS('ON Data'!AH:AH,'ON Data'!$D:$D,$A$4,'ON Data'!$E:$E,5),SUMIFS('ON Data'!AH:AH,'ON Data'!$E:$E,5))</f>
        <v>0</v>
      </c>
      <c r="AE14" s="393">
        <f xml:space="preserve">
IF($A$4&lt;=12,SUMIFS('ON Data'!AI:AI,'ON Data'!$D:$D,$A$4,'ON Data'!$E:$E,5),SUMIFS('ON Data'!AI:AI,'ON Data'!$E:$E,5))</f>
        <v>0</v>
      </c>
      <c r="AF14" s="393">
        <f xml:space="preserve">
IF($A$4&lt;=12,SUMIFS('ON Data'!AJ:AJ,'ON Data'!$D:$D,$A$4,'ON Data'!$E:$E,5),SUMIFS('ON Data'!AJ:AJ,'ON Data'!$E:$E,5))</f>
        <v>0</v>
      </c>
      <c r="AG14" s="393">
        <f xml:space="preserve">
IF($A$4&lt;=12,SUMIFS('ON Data'!AK:AK,'ON Data'!$D:$D,$A$4,'ON Data'!$E:$E,5),SUMIFS('ON Data'!AK:AK,'ON Data'!$E:$E,5))</f>
        <v>0</v>
      </c>
      <c r="AH14" s="393">
        <f xml:space="preserve">
IF($A$4&lt;=12,SUMIFS('ON Data'!AL:AL,'ON Data'!$D:$D,$A$4,'ON Data'!$E:$E,5),SUMIFS('ON Data'!AL:AL,'ON Data'!$E:$E,5))</f>
        <v>0</v>
      </c>
      <c r="AI14" s="393">
        <f xml:space="preserve">
IF($A$4&lt;=12,SUMIFS('ON Data'!AM:AM,'ON Data'!$D:$D,$A$4,'ON Data'!$E:$E,5),SUMIFS('ON Data'!AM:AM,'ON Data'!$E:$E,5))</f>
        <v>0</v>
      </c>
      <c r="AJ14" s="393">
        <f xml:space="preserve">
IF($A$4&lt;=12,SUMIFS('ON Data'!AN:AN,'ON Data'!$D:$D,$A$4,'ON Data'!$E:$E,5),SUMIFS('ON Data'!AN:AN,'ON Data'!$E:$E,5))</f>
        <v>0</v>
      </c>
      <c r="AK14" s="393">
        <f xml:space="preserve">
IF($A$4&lt;=12,SUMIFS('ON Data'!AO:AO,'ON Data'!$D:$D,$A$4,'ON Data'!$E:$E,5),SUMIFS('ON Data'!AO:AO,'ON Data'!$E:$E,5))</f>
        <v>0</v>
      </c>
      <c r="AL14" s="393">
        <f xml:space="preserve">
IF($A$4&lt;=12,SUMIFS('ON Data'!AP:AP,'ON Data'!$D:$D,$A$4,'ON Data'!$E:$E,5),SUMIFS('ON Data'!AP:AP,'ON Data'!$E:$E,5))</f>
        <v>0</v>
      </c>
      <c r="AM14" s="393">
        <f xml:space="preserve">
IF($A$4&lt;=12,SUMIFS('ON Data'!AQ:AQ,'ON Data'!$D:$D,$A$4,'ON Data'!$E:$E,5),SUMIFS('ON Data'!AQ:AQ,'ON Data'!$E:$E,5))</f>
        <v>0</v>
      </c>
      <c r="AN14" s="392">
        <f xml:space="preserve">
IF($A$4&lt;=12,SUMIFS('ON Data'!AR:AR,'ON Data'!$D:$D,$A$4,'ON Data'!$E:$E,5),SUMIFS('ON Data'!AR:AR,'ON Data'!$E:$E,5))</f>
        <v>0</v>
      </c>
      <c r="AO14" s="393">
        <f xml:space="preserve">
IF($A$4&lt;=12,SUMIFS('ON Data'!AS:AS,'ON Data'!$D:$D,$A$4,'ON Data'!$E:$E,5),SUMIFS('ON Data'!AS:AS,'ON Data'!$E:$E,5))</f>
        <v>0</v>
      </c>
      <c r="AP14" s="393">
        <f xml:space="preserve">
IF($A$4&lt;=12,SUMIFS('ON Data'!AT:AT,'ON Data'!$D:$D,$A$4,'ON Data'!$E:$E,5),SUMIFS('ON Data'!AT:AT,'ON Data'!$E:$E,5))</f>
        <v>0</v>
      </c>
      <c r="AQ14" s="393">
        <f xml:space="preserve">
IF($A$4&lt;=12,SUMIFS('ON Data'!AU:AU,'ON Data'!$D:$D,$A$4,'ON Data'!$E:$E,5),SUMIFS('ON Data'!AU:AU,'ON Data'!$E:$E,5))</f>
        <v>0</v>
      </c>
      <c r="AR14" s="393">
        <f xml:space="preserve">
IF($A$4&lt;=12,SUMIFS('ON Data'!AV:AV,'ON Data'!$D:$D,$A$4,'ON Data'!$E:$E,5),SUMIFS('ON Data'!AV:AV,'ON Data'!$E:$E,5))</f>
        <v>0</v>
      </c>
      <c r="AS14" s="777">
        <f xml:space="preserve">
IF($A$4&lt;=12,SUMIFS('ON Data'!AW:AW,'ON Data'!$D:$D,$A$4,'ON Data'!$E:$E,5),SUMIFS('ON Data'!AW:AW,'ON Data'!$E:$E,5))</f>
        <v>0</v>
      </c>
      <c r="AT14" s="785"/>
    </row>
    <row r="15" spans="1:46" x14ac:dyDescent="0.3">
      <c r="A15" s="272" t="s">
        <v>236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456"/>
      <c r="AO15" s="397"/>
      <c r="AP15" s="397"/>
      <c r="AQ15" s="397"/>
      <c r="AR15" s="397"/>
      <c r="AS15" s="778"/>
      <c r="AT15" s="785"/>
    </row>
    <row r="16" spans="1:46" x14ac:dyDescent="0.3">
      <c r="A16" s="372" t="s">
        <v>227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Data'!H:H,'ON Data'!$D:$D,$A$4,'ON Data'!$E:$E,7),SUMIFS('ON Data'!H:H,'ON Data'!$E:$E,7))</f>
        <v>0</v>
      </c>
      <c r="E16" s="389"/>
      <c r="F16" s="389">
        <f xml:space="preserve">
IF($A$4&lt;=12,SUMIFS('ON Data'!J:J,'ON Data'!$D:$D,$A$4,'ON Data'!$E:$E,7),SUMIFS('ON Data'!J:J,'ON Data'!$E:$E,7))</f>
        <v>0</v>
      </c>
      <c r="G16" s="389">
        <f xml:space="preserve">
IF($A$4&lt;=12,SUMIFS('ON Data'!K:K,'ON Data'!$D:$D,$A$4,'ON Data'!$E:$E,7),SUMIFS('ON Data'!K:K,'ON Data'!$E:$E,7))</f>
        <v>0</v>
      </c>
      <c r="H16" s="389">
        <f xml:space="preserve">
IF($A$4&lt;=12,SUMIFS('ON Data'!L:L,'ON Data'!$D:$D,$A$4,'ON Data'!$E:$E,7),SUMIFS('ON Data'!L:L,'ON Data'!$E:$E,7))</f>
        <v>0</v>
      </c>
      <c r="I16" s="389">
        <f xml:space="preserve">
IF($A$4&lt;=12,SUMIFS('ON Data'!M:M,'ON Data'!$D:$D,$A$4,'ON Data'!$E:$E,7),SUMIFS('ON Data'!M:M,'ON Data'!$E:$E,7))</f>
        <v>0</v>
      </c>
      <c r="J16" s="389">
        <f xml:space="preserve">
IF($A$4&lt;=12,SUMIFS('ON Data'!N:N,'ON Data'!$D:$D,$A$4,'ON Data'!$E:$E,7),SUMIFS('ON Data'!N:N,'ON Data'!$E:$E,7))</f>
        <v>0</v>
      </c>
      <c r="K16" s="389">
        <f xml:space="preserve">
IF($A$4&lt;=12,SUMIFS('ON Data'!O:O,'ON Data'!$D:$D,$A$4,'ON Data'!$E:$E,7),SUMIFS('ON Data'!O:O,'ON Data'!$E:$E,7))</f>
        <v>0</v>
      </c>
      <c r="L16" s="389">
        <f xml:space="preserve">
IF($A$4&lt;=12,SUMIFS('ON Data'!P:P,'ON Data'!$D:$D,$A$4,'ON Data'!$E:$E,7),SUMIFS('ON Data'!P:P,'ON Data'!$E:$E,7))</f>
        <v>0</v>
      </c>
      <c r="M16" s="389">
        <f xml:space="preserve">
IF($A$4&lt;=12,SUMIFS('ON Data'!Q:Q,'ON Data'!$D:$D,$A$4,'ON Data'!$E:$E,7),SUMIFS('ON Data'!Q:Q,'ON Data'!$E:$E,7))</f>
        <v>0</v>
      </c>
      <c r="N16" s="389">
        <f xml:space="preserve">
IF($A$4&lt;=12,SUMIFS('ON Data'!R:R,'ON Data'!$D:$D,$A$4,'ON Data'!$E:$E,7),SUMIFS('ON Data'!R:R,'ON Data'!$E:$E,7))</f>
        <v>0</v>
      </c>
      <c r="O16" s="389">
        <f xml:space="preserve">
IF($A$4&lt;=12,SUMIFS('ON Data'!S:S,'ON Data'!$D:$D,$A$4,'ON Data'!$E:$E,7),SUMIFS('ON Data'!S:S,'ON Data'!$E:$E,7))</f>
        <v>0</v>
      </c>
      <c r="P16" s="389">
        <f xml:space="preserve">
IF($A$4&lt;=12,SUMIFS('ON Data'!T:T,'ON Data'!$D:$D,$A$4,'ON Data'!$E:$E,7),SUMIFS('ON Data'!T:T,'ON Data'!$E:$E,7))</f>
        <v>0</v>
      </c>
      <c r="Q16" s="389">
        <f xml:space="preserve">
IF($A$4&lt;=12,SUMIFS('ON Data'!U:U,'ON Data'!$D:$D,$A$4,'ON Data'!$E:$E,7),SUMIFS('ON Data'!U:U,'ON Data'!$E:$E,7))</f>
        <v>0</v>
      </c>
      <c r="R16" s="389">
        <f xml:space="preserve">
IF($A$4&lt;=12,SUMIFS('ON Data'!V:V,'ON Data'!$D:$D,$A$4,'ON Data'!$E:$E,7),SUMIFS('ON Data'!V:V,'ON Data'!$E:$E,7))</f>
        <v>0</v>
      </c>
      <c r="S16" s="389">
        <f xml:space="preserve">
IF($A$4&lt;=12,SUMIFS('ON Data'!W:W,'ON Data'!$D:$D,$A$4,'ON Data'!$E:$E,7),SUMIFS('ON Data'!W:W,'ON Data'!$E:$E,7))</f>
        <v>0</v>
      </c>
      <c r="T16" s="389">
        <f xml:space="preserve">
IF($A$4&lt;=12,SUMIFS('ON Data'!X:X,'ON Data'!$D:$D,$A$4,'ON Data'!$E:$E,7),SUMIFS('ON Data'!X:X,'ON Data'!$E:$E,7))</f>
        <v>0</v>
      </c>
      <c r="U16" s="389">
        <f xml:space="preserve">
IF($A$4&lt;=12,SUMIFS('ON Data'!Y:Y,'ON Data'!$D:$D,$A$4,'ON Data'!$E:$E,7),SUMIFS('ON Data'!Y:Y,'ON Data'!$E:$E,7))</f>
        <v>0</v>
      </c>
      <c r="V16" s="389">
        <f xml:space="preserve">
IF($A$4&lt;=12,SUMIFS('ON Data'!Z:Z,'ON Data'!$D:$D,$A$4,'ON Data'!$E:$E,7),SUMIFS('ON Data'!Z:Z,'ON Data'!$E:$E,7))</f>
        <v>0</v>
      </c>
      <c r="W16" s="389">
        <f xml:space="preserve">
IF($A$4&lt;=12,SUMIFS('ON Data'!AA:AA,'ON Data'!$D:$D,$A$4,'ON Data'!$E:$E,7),SUMIFS('ON Data'!AA:AA,'ON Data'!$E:$E,7))</f>
        <v>0</v>
      </c>
      <c r="X16" s="389">
        <f xml:space="preserve">
IF($A$4&lt;=12,SUMIFS('ON Data'!AB:AB,'ON Data'!$D:$D,$A$4,'ON Data'!$E:$E,7),SUMIFS('ON Data'!AB:AB,'ON Data'!$E:$E,7))</f>
        <v>0</v>
      </c>
      <c r="Y16" s="389">
        <f xml:space="preserve">
IF($A$4&lt;=12,SUMIFS('ON Data'!AC:AC,'ON Data'!$D:$D,$A$4,'ON Data'!$E:$E,7),SUMIFS('ON Data'!AC:AC,'ON Data'!$E:$E,7))</f>
        <v>0</v>
      </c>
      <c r="Z16" s="389">
        <f xml:space="preserve">
IF($A$4&lt;=12,SUMIFS('ON Data'!AD:AD,'ON Data'!$D:$D,$A$4,'ON Data'!$E:$E,7),SUMIFS('ON Data'!AD:AD,'ON Data'!$E:$E,7))</f>
        <v>0</v>
      </c>
      <c r="AA16" s="389"/>
      <c r="AB16" s="389">
        <f xml:space="preserve">
IF($A$4&lt;=12,SUMIFS('ON Data'!AF:AF,'ON Data'!$D:$D,$A$4,'ON Data'!$E:$E,7),SUMIFS('ON Data'!AF:AF,'ON Data'!$E:$E,7))</f>
        <v>0</v>
      </c>
      <c r="AC16" s="389">
        <f xml:space="preserve">
IF($A$4&lt;=12,SUMIFS('ON Data'!AG:AG,'ON Data'!$D:$D,$A$4,'ON Data'!$E:$E,7),SUMIFS('ON Data'!AG:AG,'ON Data'!$E:$E,7))</f>
        <v>0</v>
      </c>
      <c r="AD16" s="389">
        <f xml:space="preserve">
IF($A$4&lt;=12,SUMIFS('ON Data'!AH:AH,'ON Data'!$D:$D,$A$4,'ON Data'!$E:$E,7),SUMIFS('ON Data'!AH:AH,'ON Data'!$E:$E,7))</f>
        <v>0</v>
      </c>
      <c r="AE16" s="389">
        <f xml:space="preserve">
IF($A$4&lt;=12,SUMIFS('ON Data'!AI:AI,'ON Data'!$D:$D,$A$4,'ON Data'!$E:$E,7),SUMIFS('ON Data'!AI:AI,'ON Data'!$E:$E,7))</f>
        <v>0</v>
      </c>
      <c r="AF16" s="389">
        <f xml:space="preserve">
IF($A$4&lt;=12,SUMIFS('ON Data'!AJ:AJ,'ON Data'!$D:$D,$A$4,'ON Data'!$E:$E,7),SUMIFS('ON Data'!AJ:AJ,'ON Data'!$E:$E,7))</f>
        <v>0</v>
      </c>
      <c r="AG16" s="389">
        <f xml:space="preserve">
IF($A$4&lt;=12,SUMIFS('ON Data'!AK:AK,'ON Data'!$D:$D,$A$4,'ON Data'!$E:$E,7),SUMIFS('ON Data'!AK:AK,'ON Data'!$E:$E,7))</f>
        <v>0</v>
      </c>
      <c r="AH16" s="389">
        <f xml:space="preserve">
IF($A$4&lt;=12,SUMIFS('ON Data'!AL:AL,'ON Data'!$D:$D,$A$4,'ON Data'!$E:$E,7),SUMIFS('ON Data'!AL:AL,'ON Data'!$E:$E,7))</f>
        <v>0</v>
      </c>
      <c r="AI16" s="389">
        <f xml:space="preserve">
IF($A$4&lt;=12,SUMIFS('ON Data'!AM:AM,'ON Data'!$D:$D,$A$4,'ON Data'!$E:$E,7),SUMIFS('ON Data'!AM:AM,'ON Data'!$E:$E,7))</f>
        <v>0</v>
      </c>
      <c r="AJ16" s="389">
        <f xml:space="preserve">
IF($A$4&lt;=12,SUMIFS('ON Data'!AN:AN,'ON Data'!$D:$D,$A$4,'ON Data'!$E:$E,7),SUMIFS('ON Data'!AN:AN,'ON Data'!$E:$E,7))</f>
        <v>0</v>
      </c>
      <c r="AK16" s="389">
        <f xml:space="preserve">
IF($A$4&lt;=12,SUMIFS('ON Data'!AO:AO,'ON Data'!$D:$D,$A$4,'ON Data'!$E:$E,7),SUMIFS('ON Data'!AO:AO,'ON Data'!$E:$E,7))</f>
        <v>0</v>
      </c>
      <c r="AL16" s="389">
        <f xml:space="preserve">
IF($A$4&lt;=12,SUMIFS('ON Data'!AP:AP,'ON Data'!$D:$D,$A$4,'ON Data'!$E:$E,7),SUMIFS('ON Data'!AP:AP,'ON Data'!$E:$E,7))</f>
        <v>0</v>
      </c>
      <c r="AM16" s="389">
        <f xml:space="preserve">
IF($A$4&lt;=12,SUMIFS('ON Data'!AQ:AQ,'ON Data'!$D:$D,$A$4,'ON Data'!$E:$E,7),SUMIFS('ON Data'!AQ:AQ,'ON Data'!$E:$E,7))</f>
        <v>0</v>
      </c>
      <c r="AN16" s="388">
        <f xml:space="preserve">
IF($A$4&lt;=12,SUMIFS('ON Data'!AR:AR,'ON Data'!$D:$D,$A$4,'ON Data'!$E:$E,7),SUMIFS('ON Data'!AR:AR,'ON Data'!$E:$E,7))</f>
        <v>0</v>
      </c>
      <c r="AO16" s="389">
        <f xml:space="preserve">
IF($A$4&lt;=12,SUMIFS('ON Data'!AS:AS,'ON Data'!$D:$D,$A$4,'ON Data'!$E:$E,7),SUMIFS('ON Data'!AS:AS,'ON Data'!$E:$E,7))</f>
        <v>0</v>
      </c>
      <c r="AP16" s="389">
        <f xml:space="preserve">
IF($A$4&lt;=12,SUMIFS('ON Data'!AT:AT,'ON Data'!$D:$D,$A$4,'ON Data'!$E:$E,7),SUMIFS('ON Data'!AT:AT,'ON Data'!$E:$E,7))</f>
        <v>0</v>
      </c>
      <c r="AQ16" s="389">
        <f xml:space="preserve">
IF($A$4&lt;=12,SUMIFS('ON Data'!AU:AU,'ON Data'!$D:$D,$A$4,'ON Data'!$E:$E,7),SUMIFS('ON Data'!AU:AU,'ON Data'!$E:$E,7))</f>
        <v>0</v>
      </c>
      <c r="AR16" s="389">
        <f xml:space="preserve">
IF($A$4&lt;=12,SUMIFS('ON Data'!AV:AV,'ON Data'!$D:$D,$A$4,'ON Data'!$E:$E,7),SUMIFS('ON Data'!AV:AV,'ON Data'!$E:$E,7))</f>
        <v>0</v>
      </c>
      <c r="AS16" s="776">
        <f xml:space="preserve">
IF($A$4&lt;=12,SUMIFS('ON Data'!AW:AW,'ON Data'!$D:$D,$A$4,'ON Data'!$E:$E,7),SUMIFS('ON Data'!AW:AW,'ON Data'!$E:$E,7))</f>
        <v>0</v>
      </c>
      <c r="AT16" s="785"/>
    </row>
    <row r="17" spans="1:46" x14ac:dyDescent="0.3">
      <c r="A17" s="372" t="s">
        <v>228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Data'!H:H,'ON Data'!$D:$D,$A$4,'ON Data'!$E:$E,8),SUMIFS('ON Data'!H:H,'ON Data'!$E:$E,8))</f>
        <v>0</v>
      </c>
      <c r="E17" s="389"/>
      <c r="F17" s="389">
        <f xml:space="preserve">
IF($A$4&lt;=12,SUMIFS('ON Data'!J:J,'ON Data'!$D:$D,$A$4,'ON Data'!$E:$E,8),SUMIFS('ON Data'!J:J,'ON Data'!$E:$E,8))</f>
        <v>0</v>
      </c>
      <c r="G17" s="389">
        <f xml:space="preserve">
IF($A$4&lt;=12,SUMIFS('ON Data'!K:K,'ON Data'!$D:$D,$A$4,'ON Data'!$E:$E,8),SUMIFS('ON Data'!K:K,'ON Data'!$E:$E,8))</f>
        <v>0</v>
      </c>
      <c r="H17" s="389">
        <f xml:space="preserve">
IF($A$4&lt;=12,SUMIFS('ON Data'!L:L,'ON Data'!$D:$D,$A$4,'ON Data'!$E:$E,8),SUMIFS('ON Data'!L:L,'ON Data'!$E:$E,8))</f>
        <v>0</v>
      </c>
      <c r="I17" s="389">
        <f xml:space="preserve">
IF($A$4&lt;=12,SUMIFS('ON Data'!M:M,'ON Data'!$D:$D,$A$4,'ON Data'!$E:$E,8),SUMIFS('ON Data'!M:M,'ON Data'!$E:$E,8))</f>
        <v>0</v>
      </c>
      <c r="J17" s="389">
        <f xml:space="preserve">
IF($A$4&lt;=12,SUMIFS('ON Data'!N:N,'ON Data'!$D:$D,$A$4,'ON Data'!$E:$E,8),SUMIFS('ON Data'!N:N,'ON Data'!$E:$E,8))</f>
        <v>0</v>
      </c>
      <c r="K17" s="389">
        <f xml:space="preserve">
IF($A$4&lt;=12,SUMIFS('ON Data'!O:O,'ON Data'!$D:$D,$A$4,'ON Data'!$E:$E,8),SUMIFS('ON Data'!O:O,'ON Data'!$E:$E,8))</f>
        <v>0</v>
      </c>
      <c r="L17" s="389">
        <f xml:space="preserve">
IF($A$4&lt;=12,SUMIFS('ON Data'!P:P,'ON Data'!$D:$D,$A$4,'ON Data'!$E:$E,8),SUMIFS('ON Data'!P:P,'ON Data'!$E:$E,8))</f>
        <v>0</v>
      </c>
      <c r="M17" s="389">
        <f xml:space="preserve">
IF($A$4&lt;=12,SUMIFS('ON Data'!Q:Q,'ON Data'!$D:$D,$A$4,'ON Data'!$E:$E,8),SUMIFS('ON Data'!Q:Q,'ON Data'!$E:$E,8))</f>
        <v>0</v>
      </c>
      <c r="N17" s="389">
        <f xml:space="preserve">
IF($A$4&lt;=12,SUMIFS('ON Data'!R:R,'ON Data'!$D:$D,$A$4,'ON Data'!$E:$E,8),SUMIFS('ON Data'!R:R,'ON Data'!$E:$E,8))</f>
        <v>0</v>
      </c>
      <c r="O17" s="389">
        <f xml:space="preserve">
IF($A$4&lt;=12,SUMIFS('ON Data'!S:S,'ON Data'!$D:$D,$A$4,'ON Data'!$E:$E,8),SUMIFS('ON Data'!S:S,'ON Data'!$E:$E,8))</f>
        <v>0</v>
      </c>
      <c r="P17" s="389">
        <f xml:space="preserve">
IF($A$4&lt;=12,SUMIFS('ON Data'!T:T,'ON Data'!$D:$D,$A$4,'ON Data'!$E:$E,8),SUMIFS('ON Data'!T:T,'ON Data'!$E:$E,8))</f>
        <v>0</v>
      </c>
      <c r="Q17" s="389">
        <f xml:space="preserve">
IF($A$4&lt;=12,SUMIFS('ON Data'!U:U,'ON Data'!$D:$D,$A$4,'ON Data'!$E:$E,8),SUMIFS('ON Data'!U:U,'ON Data'!$E:$E,8))</f>
        <v>0</v>
      </c>
      <c r="R17" s="389">
        <f xml:space="preserve">
IF($A$4&lt;=12,SUMIFS('ON Data'!V:V,'ON Data'!$D:$D,$A$4,'ON Data'!$E:$E,8),SUMIFS('ON Data'!V:V,'ON Data'!$E:$E,8))</f>
        <v>0</v>
      </c>
      <c r="S17" s="389">
        <f xml:space="preserve">
IF($A$4&lt;=12,SUMIFS('ON Data'!W:W,'ON Data'!$D:$D,$A$4,'ON Data'!$E:$E,8),SUMIFS('ON Data'!W:W,'ON Data'!$E:$E,8))</f>
        <v>0</v>
      </c>
      <c r="T17" s="389">
        <f xml:space="preserve">
IF($A$4&lt;=12,SUMIFS('ON Data'!X:X,'ON Data'!$D:$D,$A$4,'ON Data'!$E:$E,8),SUMIFS('ON Data'!X:X,'ON Data'!$E:$E,8))</f>
        <v>0</v>
      </c>
      <c r="U17" s="389">
        <f xml:space="preserve">
IF($A$4&lt;=12,SUMIFS('ON Data'!Y:Y,'ON Data'!$D:$D,$A$4,'ON Data'!$E:$E,8),SUMIFS('ON Data'!Y:Y,'ON Data'!$E:$E,8))</f>
        <v>0</v>
      </c>
      <c r="V17" s="389">
        <f xml:space="preserve">
IF($A$4&lt;=12,SUMIFS('ON Data'!Z:Z,'ON Data'!$D:$D,$A$4,'ON Data'!$E:$E,8),SUMIFS('ON Data'!Z:Z,'ON Data'!$E:$E,8))</f>
        <v>0</v>
      </c>
      <c r="W17" s="389">
        <f xml:space="preserve">
IF($A$4&lt;=12,SUMIFS('ON Data'!AA:AA,'ON Data'!$D:$D,$A$4,'ON Data'!$E:$E,8),SUMIFS('ON Data'!AA:AA,'ON Data'!$E:$E,8))</f>
        <v>0</v>
      </c>
      <c r="X17" s="389">
        <f xml:space="preserve">
IF($A$4&lt;=12,SUMIFS('ON Data'!AB:AB,'ON Data'!$D:$D,$A$4,'ON Data'!$E:$E,8),SUMIFS('ON Data'!AB:AB,'ON Data'!$E:$E,8))</f>
        <v>0</v>
      </c>
      <c r="Y17" s="389">
        <f xml:space="preserve">
IF($A$4&lt;=12,SUMIFS('ON Data'!AC:AC,'ON Data'!$D:$D,$A$4,'ON Data'!$E:$E,8),SUMIFS('ON Data'!AC:AC,'ON Data'!$E:$E,8))</f>
        <v>0</v>
      </c>
      <c r="Z17" s="389">
        <f xml:space="preserve">
IF($A$4&lt;=12,SUMIFS('ON Data'!AD:AD,'ON Data'!$D:$D,$A$4,'ON Data'!$E:$E,8),SUMIFS('ON Data'!AD:AD,'ON Data'!$E:$E,8))</f>
        <v>0</v>
      </c>
      <c r="AA17" s="389"/>
      <c r="AB17" s="389">
        <f xml:space="preserve">
IF($A$4&lt;=12,SUMIFS('ON Data'!AF:AF,'ON Data'!$D:$D,$A$4,'ON Data'!$E:$E,8),SUMIFS('ON Data'!AF:AF,'ON Data'!$E:$E,8))</f>
        <v>0</v>
      </c>
      <c r="AC17" s="389">
        <f xml:space="preserve">
IF($A$4&lt;=12,SUMIFS('ON Data'!AG:AG,'ON Data'!$D:$D,$A$4,'ON Data'!$E:$E,8),SUMIFS('ON Data'!AG:AG,'ON Data'!$E:$E,8))</f>
        <v>0</v>
      </c>
      <c r="AD17" s="389">
        <f xml:space="preserve">
IF($A$4&lt;=12,SUMIFS('ON Data'!AH:AH,'ON Data'!$D:$D,$A$4,'ON Data'!$E:$E,8),SUMIFS('ON Data'!AH:AH,'ON Data'!$E:$E,8))</f>
        <v>0</v>
      </c>
      <c r="AE17" s="389">
        <f xml:space="preserve">
IF($A$4&lt;=12,SUMIFS('ON Data'!AI:AI,'ON Data'!$D:$D,$A$4,'ON Data'!$E:$E,8),SUMIFS('ON Data'!AI:AI,'ON Data'!$E:$E,8))</f>
        <v>0</v>
      </c>
      <c r="AF17" s="389">
        <f xml:space="preserve">
IF($A$4&lt;=12,SUMIFS('ON Data'!AJ:AJ,'ON Data'!$D:$D,$A$4,'ON Data'!$E:$E,8),SUMIFS('ON Data'!AJ:AJ,'ON Data'!$E:$E,8))</f>
        <v>0</v>
      </c>
      <c r="AG17" s="389">
        <f xml:space="preserve">
IF($A$4&lt;=12,SUMIFS('ON Data'!AK:AK,'ON Data'!$D:$D,$A$4,'ON Data'!$E:$E,8),SUMIFS('ON Data'!AK:AK,'ON Data'!$E:$E,8))</f>
        <v>0</v>
      </c>
      <c r="AH17" s="389">
        <f xml:space="preserve">
IF($A$4&lt;=12,SUMIFS('ON Data'!AL:AL,'ON Data'!$D:$D,$A$4,'ON Data'!$E:$E,8),SUMIFS('ON Data'!AL:AL,'ON Data'!$E:$E,8))</f>
        <v>0</v>
      </c>
      <c r="AI17" s="389">
        <f xml:space="preserve">
IF($A$4&lt;=12,SUMIFS('ON Data'!AM:AM,'ON Data'!$D:$D,$A$4,'ON Data'!$E:$E,8),SUMIFS('ON Data'!AM:AM,'ON Data'!$E:$E,8))</f>
        <v>0</v>
      </c>
      <c r="AJ17" s="389">
        <f xml:space="preserve">
IF($A$4&lt;=12,SUMIFS('ON Data'!AN:AN,'ON Data'!$D:$D,$A$4,'ON Data'!$E:$E,8),SUMIFS('ON Data'!AN:AN,'ON Data'!$E:$E,8))</f>
        <v>0</v>
      </c>
      <c r="AK17" s="389">
        <f xml:space="preserve">
IF($A$4&lt;=12,SUMIFS('ON Data'!AO:AO,'ON Data'!$D:$D,$A$4,'ON Data'!$E:$E,8),SUMIFS('ON Data'!AO:AO,'ON Data'!$E:$E,8))</f>
        <v>0</v>
      </c>
      <c r="AL17" s="389">
        <f xml:space="preserve">
IF($A$4&lt;=12,SUMIFS('ON Data'!AP:AP,'ON Data'!$D:$D,$A$4,'ON Data'!$E:$E,8),SUMIFS('ON Data'!AP:AP,'ON Data'!$E:$E,8))</f>
        <v>0</v>
      </c>
      <c r="AM17" s="389">
        <f xml:space="preserve">
IF($A$4&lt;=12,SUMIFS('ON Data'!AQ:AQ,'ON Data'!$D:$D,$A$4,'ON Data'!$E:$E,8),SUMIFS('ON Data'!AQ:AQ,'ON Data'!$E:$E,8))</f>
        <v>0</v>
      </c>
      <c r="AN17" s="388">
        <f xml:space="preserve">
IF($A$4&lt;=12,SUMIFS('ON Data'!AR:AR,'ON Data'!$D:$D,$A$4,'ON Data'!$E:$E,8),SUMIFS('ON Data'!AR:AR,'ON Data'!$E:$E,8))</f>
        <v>0</v>
      </c>
      <c r="AO17" s="389">
        <f xml:space="preserve">
IF($A$4&lt;=12,SUMIFS('ON Data'!AS:AS,'ON Data'!$D:$D,$A$4,'ON Data'!$E:$E,8),SUMIFS('ON Data'!AS:AS,'ON Data'!$E:$E,8))</f>
        <v>0</v>
      </c>
      <c r="AP17" s="389">
        <f xml:space="preserve">
IF($A$4&lt;=12,SUMIFS('ON Data'!AT:AT,'ON Data'!$D:$D,$A$4,'ON Data'!$E:$E,8),SUMIFS('ON Data'!AT:AT,'ON Data'!$E:$E,8))</f>
        <v>0</v>
      </c>
      <c r="AQ17" s="389">
        <f xml:space="preserve">
IF($A$4&lt;=12,SUMIFS('ON Data'!AU:AU,'ON Data'!$D:$D,$A$4,'ON Data'!$E:$E,8),SUMIFS('ON Data'!AU:AU,'ON Data'!$E:$E,8))</f>
        <v>0</v>
      </c>
      <c r="AR17" s="389">
        <f xml:space="preserve">
IF($A$4&lt;=12,SUMIFS('ON Data'!AV:AV,'ON Data'!$D:$D,$A$4,'ON Data'!$E:$E,8),SUMIFS('ON Data'!AV:AV,'ON Data'!$E:$E,8))</f>
        <v>0</v>
      </c>
      <c r="AS17" s="776">
        <f xml:space="preserve">
IF($A$4&lt;=12,SUMIFS('ON Data'!AW:AW,'ON Data'!$D:$D,$A$4,'ON Data'!$E:$E,8),SUMIFS('ON Data'!AW:AW,'ON Data'!$E:$E,8))</f>
        <v>0</v>
      </c>
      <c r="AT17" s="785"/>
    </row>
    <row r="18" spans="1:46" x14ac:dyDescent="0.3">
      <c r="A18" s="372" t="s">
        <v>229</v>
      </c>
      <c r="B18" s="387">
        <f xml:space="preserve">
B19-B16-B17</f>
        <v>37180</v>
      </c>
      <c r="C18" s="388">
        <f t="shared" ref="C18:I18" si="0" xml:space="preserve">
C19-C16-C17</f>
        <v>0</v>
      </c>
      <c r="D18" s="389">
        <f t="shared" si="0"/>
        <v>0</v>
      </c>
      <c r="E18" s="389"/>
      <c r="F18" s="389">
        <f t="shared" si="0"/>
        <v>2000</v>
      </c>
      <c r="G18" s="389">
        <f t="shared" si="0"/>
        <v>2000</v>
      </c>
      <c r="H18" s="389">
        <f t="shared" si="0"/>
        <v>16000</v>
      </c>
      <c r="I18" s="389">
        <f t="shared" si="0"/>
        <v>0</v>
      </c>
      <c r="J18" s="389">
        <f t="shared" ref="J18:AK18" si="1" xml:space="preserve">
J19-J16-J17</f>
        <v>0</v>
      </c>
      <c r="K18" s="389">
        <f t="shared" si="1"/>
        <v>0</v>
      </c>
      <c r="L18" s="389">
        <f t="shared" si="1"/>
        <v>0</v>
      </c>
      <c r="M18" s="389">
        <f t="shared" si="1"/>
        <v>2609</v>
      </c>
      <c r="N18" s="389">
        <f t="shared" si="1"/>
        <v>9297</v>
      </c>
      <c r="O18" s="389">
        <f t="shared" si="1"/>
        <v>2148</v>
      </c>
      <c r="P18" s="389">
        <f t="shared" si="1"/>
        <v>3126</v>
      </c>
      <c r="Q18" s="389">
        <f t="shared" si="1"/>
        <v>0</v>
      </c>
      <c r="R18" s="389">
        <f t="shared" si="1"/>
        <v>0</v>
      </c>
      <c r="S18" s="389">
        <f t="shared" si="1"/>
        <v>0</v>
      </c>
      <c r="T18" s="389">
        <f t="shared" si="1"/>
        <v>0</v>
      </c>
      <c r="U18" s="389">
        <f t="shared" si="1"/>
        <v>0</v>
      </c>
      <c r="V18" s="389">
        <f t="shared" si="1"/>
        <v>0</v>
      </c>
      <c r="W18" s="389">
        <f t="shared" si="1"/>
        <v>0</v>
      </c>
      <c r="X18" s="389">
        <f t="shared" si="1"/>
        <v>0</v>
      </c>
      <c r="Y18" s="389">
        <f t="shared" si="1"/>
        <v>0</v>
      </c>
      <c r="Z18" s="389">
        <f t="shared" si="1"/>
        <v>0</v>
      </c>
      <c r="AA18" s="389"/>
      <c r="AB18" s="389">
        <f t="shared" si="1"/>
        <v>0</v>
      </c>
      <c r="AC18" s="389">
        <f t="shared" si="1"/>
        <v>0</v>
      </c>
      <c r="AD18" s="389">
        <f t="shared" si="1"/>
        <v>0</v>
      </c>
      <c r="AE18" s="389">
        <f t="shared" si="1"/>
        <v>0</v>
      </c>
      <c r="AF18" s="389">
        <f t="shared" si="1"/>
        <v>0</v>
      </c>
      <c r="AG18" s="389">
        <f t="shared" si="1"/>
        <v>0</v>
      </c>
      <c r="AH18" s="389">
        <f t="shared" si="1"/>
        <v>0</v>
      </c>
      <c r="AI18" s="389">
        <f t="shared" si="1"/>
        <v>0</v>
      </c>
      <c r="AJ18" s="389">
        <f t="shared" si="1"/>
        <v>0</v>
      </c>
      <c r="AK18" s="389">
        <f t="shared" si="1"/>
        <v>0</v>
      </c>
      <c r="AL18" s="389">
        <f t="shared" ref="AL18:AS18" si="2" xml:space="preserve">
AL19-AL16-AL17</f>
        <v>0</v>
      </c>
      <c r="AM18" s="389">
        <f t="shared" si="2"/>
        <v>0</v>
      </c>
      <c r="AN18" s="388">
        <f t="shared" si="2"/>
        <v>0</v>
      </c>
      <c r="AO18" s="389">
        <f t="shared" si="2"/>
        <v>0</v>
      </c>
      <c r="AP18" s="389">
        <f t="shared" si="2"/>
        <v>0</v>
      </c>
      <c r="AQ18" s="389">
        <f t="shared" si="2"/>
        <v>0</v>
      </c>
      <c r="AR18" s="389">
        <f t="shared" si="2"/>
        <v>0</v>
      </c>
      <c r="AS18" s="776">
        <f t="shared" si="2"/>
        <v>0</v>
      </c>
      <c r="AT18" s="785"/>
    </row>
    <row r="19" spans="1:46" ht="15" thickBot="1" x14ac:dyDescent="0.35">
      <c r="A19" s="373" t="s">
        <v>230</v>
      </c>
      <c r="B19" s="398">
        <f xml:space="preserve">
IF($A$4&lt;=12,SUMIFS('ON Data'!F:F,'ON Data'!$D:$D,$A$4,'ON Data'!$E:$E,9),SUMIFS('ON Data'!F:F,'ON Data'!$E:$E,9))</f>
        <v>37180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Data'!H:H,'ON Data'!$D:$D,$A$4,'ON Data'!$E:$E,9),SUMIFS('ON Data'!H:H,'ON Data'!$E:$E,9))</f>
        <v>0</v>
      </c>
      <c r="E19" s="400"/>
      <c r="F19" s="400">
        <f xml:space="preserve">
IF($A$4&lt;=12,SUMIFS('ON Data'!J:J,'ON Data'!$D:$D,$A$4,'ON Data'!$E:$E,9),SUMIFS('ON Data'!J:J,'ON Data'!$E:$E,9))</f>
        <v>2000</v>
      </c>
      <c r="G19" s="400">
        <f xml:space="preserve">
IF($A$4&lt;=12,SUMIFS('ON Data'!K:K,'ON Data'!$D:$D,$A$4,'ON Data'!$E:$E,9),SUMIFS('ON Data'!K:K,'ON Data'!$E:$E,9))</f>
        <v>2000</v>
      </c>
      <c r="H19" s="400">
        <f xml:space="preserve">
IF($A$4&lt;=12,SUMIFS('ON Data'!L:L,'ON Data'!$D:$D,$A$4,'ON Data'!$E:$E,9),SUMIFS('ON Data'!L:L,'ON Data'!$E:$E,9))</f>
        <v>16000</v>
      </c>
      <c r="I19" s="400">
        <f xml:space="preserve">
IF($A$4&lt;=12,SUMIFS('ON Data'!M:M,'ON Data'!$D:$D,$A$4,'ON Data'!$E:$E,9),SUMIFS('ON Data'!M:M,'ON Data'!$E:$E,9))</f>
        <v>0</v>
      </c>
      <c r="J19" s="400">
        <f xml:space="preserve">
IF($A$4&lt;=12,SUMIFS('ON Data'!N:N,'ON Data'!$D:$D,$A$4,'ON Data'!$E:$E,9),SUMIFS('ON Data'!N:N,'ON Data'!$E:$E,9))</f>
        <v>0</v>
      </c>
      <c r="K19" s="400">
        <f xml:space="preserve">
IF($A$4&lt;=12,SUMIFS('ON Data'!O:O,'ON Data'!$D:$D,$A$4,'ON Data'!$E:$E,9),SUMIFS('ON Data'!O:O,'ON Data'!$E:$E,9))</f>
        <v>0</v>
      </c>
      <c r="L19" s="400">
        <f xml:space="preserve">
IF($A$4&lt;=12,SUMIFS('ON Data'!P:P,'ON Data'!$D:$D,$A$4,'ON Data'!$E:$E,9),SUMIFS('ON Data'!P:P,'ON Data'!$E:$E,9))</f>
        <v>0</v>
      </c>
      <c r="M19" s="400">
        <f xml:space="preserve">
IF($A$4&lt;=12,SUMIFS('ON Data'!Q:Q,'ON Data'!$D:$D,$A$4,'ON Data'!$E:$E,9),SUMIFS('ON Data'!Q:Q,'ON Data'!$E:$E,9))</f>
        <v>2609</v>
      </c>
      <c r="N19" s="400">
        <f xml:space="preserve">
IF($A$4&lt;=12,SUMIFS('ON Data'!R:R,'ON Data'!$D:$D,$A$4,'ON Data'!$E:$E,9),SUMIFS('ON Data'!R:R,'ON Data'!$E:$E,9))</f>
        <v>9297</v>
      </c>
      <c r="O19" s="400">
        <f xml:space="preserve">
IF($A$4&lt;=12,SUMIFS('ON Data'!S:S,'ON Data'!$D:$D,$A$4,'ON Data'!$E:$E,9),SUMIFS('ON Data'!S:S,'ON Data'!$E:$E,9))</f>
        <v>2148</v>
      </c>
      <c r="P19" s="400">
        <f xml:space="preserve">
IF($A$4&lt;=12,SUMIFS('ON Data'!T:T,'ON Data'!$D:$D,$A$4,'ON Data'!$E:$E,9),SUMIFS('ON Data'!T:T,'ON Data'!$E:$E,9))</f>
        <v>3126</v>
      </c>
      <c r="Q19" s="400">
        <f xml:space="preserve">
IF($A$4&lt;=12,SUMIFS('ON Data'!U:U,'ON Data'!$D:$D,$A$4,'ON Data'!$E:$E,9),SUMIFS('ON Data'!U:U,'ON Data'!$E:$E,9))</f>
        <v>0</v>
      </c>
      <c r="R19" s="400">
        <f xml:space="preserve">
IF($A$4&lt;=12,SUMIFS('ON Data'!V:V,'ON Data'!$D:$D,$A$4,'ON Data'!$E:$E,9),SUMIFS('ON Data'!V:V,'ON Data'!$E:$E,9))</f>
        <v>0</v>
      </c>
      <c r="S19" s="400">
        <f xml:space="preserve">
IF($A$4&lt;=12,SUMIFS('ON Data'!W:W,'ON Data'!$D:$D,$A$4,'ON Data'!$E:$E,9),SUMIFS('ON Data'!W:W,'ON Data'!$E:$E,9))</f>
        <v>0</v>
      </c>
      <c r="T19" s="400">
        <f xml:space="preserve">
IF($A$4&lt;=12,SUMIFS('ON Data'!X:X,'ON Data'!$D:$D,$A$4,'ON Data'!$E:$E,9),SUMIFS('ON Data'!X:X,'ON Data'!$E:$E,9))</f>
        <v>0</v>
      </c>
      <c r="U19" s="400">
        <f xml:space="preserve">
IF($A$4&lt;=12,SUMIFS('ON Data'!Y:Y,'ON Data'!$D:$D,$A$4,'ON Data'!$E:$E,9),SUMIFS('ON Data'!Y:Y,'ON Data'!$E:$E,9))</f>
        <v>0</v>
      </c>
      <c r="V19" s="400">
        <f xml:space="preserve">
IF($A$4&lt;=12,SUMIFS('ON Data'!Z:Z,'ON Data'!$D:$D,$A$4,'ON Data'!$E:$E,9),SUMIFS('ON Data'!Z:Z,'ON Data'!$E:$E,9))</f>
        <v>0</v>
      </c>
      <c r="W19" s="400">
        <f xml:space="preserve">
IF($A$4&lt;=12,SUMIFS('ON Data'!AA:AA,'ON Data'!$D:$D,$A$4,'ON Data'!$E:$E,9),SUMIFS('ON Data'!AA:AA,'ON Data'!$E:$E,9))</f>
        <v>0</v>
      </c>
      <c r="X19" s="400">
        <f xml:space="preserve">
IF($A$4&lt;=12,SUMIFS('ON Data'!AB:AB,'ON Data'!$D:$D,$A$4,'ON Data'!$E:$E,9),SUMIFS('ON Data'!AB:AB,'ON Data'!$E:$E,9))</f>
        <v>0</v>
      </c>
      <c r="Y19" s="400">
        <f xml:space="preserve">
IF($A$4&lt;=12,SUMIFS('ON Data'!AC:AC,'ON Data'!$D:$D,$A$4,'ON Data'!$E:$E,9),SUMIFS('ON Data'!AC:AC,'ON Data'!$E:$E,9))</f>
        <v>0</v>
      </c>
      <c r="Z19" s="400">
        <f xml:space="preserve">
IF($A$4&lt;=12,SUMIFS('ON Data'!AD:AD,'ON Data'!$D:$D,$A$4,'ON Data'!$E:$E,9),SUMIFS('ON Data'!AD:AD,'ON Data'!$E:$E,9))</f>
        <v>0</v>
      </c>
      <c r="AA19" s="400"/>
      <c r="AB19" s="400">
        <f xml:space="preserve">
IF($A$4&lt;=12,SUMIFS('ON Data'!AF:AF,'ON Data'!$D:$D,$A$4,'ON Data'!$E:$E,9),SUMIFS('ON Data'!AF:AF,'ON Data'!$E:$E,9))</f>
        <v>0</v>
      </c>
      <c r="AC19" s="400">
        <f xml:space="preserve">
IF($A$4&lt;=12,SUMIFS('ON Data'!AG:AG,'ON Data'!$D:$D,$A$4,'ON Data'!$E:$E,9),SUMIFS('ON Data'!AG:AG,'ON Data'!$E:$E,9))</f>
        <v>0</v>
      </c>
      <c r="AD19" s="400">
        <f xml:space="preserve">
IF($A$4&lt;=12,SUMIFS('ON Data'!AH:AH,'ON Data'!$D:$D,$A$4,'ON Data'!$E:$E,9),SUMIFS('ON Data'!AH:AH,'ON Data'!$E:$E,9))</f>
        <v>0</v>
      </c>
      <c r="AE19" s="400">
        <f xml:space="preserve">
IF($A$4&lt;=12,SUMIFS('ON Data'!AI:AI,'ON Data'!$D:$D,$A$4,'ON Data'!$E:$E,9),SUMIFS('ON Data'!AI:AI,'ON Data'!$E:$E,9))</f>
        <v>0</v>
      </c>
      <c r="AF19" s="400">
        <f xml:space="preserve">
IF($A$4&lt;=12,SUMIFS('ON Data'!AJ:AJ,'ON Data'!$D:$D,$A$4,'ON Data'!$E:$E,9),SUMIFS('ON Data'!AJ:AJ,'ON Data'!$E:$E,9))</f>
        <v>0</v>
      </c>
      <c r="AG19" s="400">
        <f xml:space="preserve">
IF($A$4&lt;=12,SUMIFS('ON Data'!AK:AK,'ON Data'!$D:$D,$A$4,'ON Data'!$E:$E,9),SUMIFS('ON Data'!AK:AK,'ON Data'!$E:$E,9))</f>
        <v>0</v>
      </c>
      <c r="AH19" s="400">
        <f xml:space="preserve">
IF($A$4&lt;=12,SUMIFS('ON Data'!AL:AL,'ON Data'!$D:$D,$A$4,'ON Data'!$E:$E,9),SUMIFS('ON Data'!AL:AL,'ON Data'!$E:$E,9))</f>
        <v>0</v>
      </c>
      <c r="AI19" s="400">
        <f xml:space="preserve">
IF($A$4&lt;=12,SUMIFS('ON Data'!AM:AM,'ON Data'!$D:$D,$A$4,'ON Data'!$E:$E,9),SUMIFS('ON Data'!AM:AM,'ON Data'!$E:$E,9))</f>
        <v>0</v>
      </c>
      <c r="AJ19" s="400">
        <f xml:space="preserve">
IF($A$4&lt;=12,SUMIFS('ON Data'!AN:AN,'ON Data'!$D:$D,$A$4,'ON Data'!$E:$E,9),SUMIFS('ON Data'!AN:AN,'ON Data'!$E:$E,9))</f>
        <v>0</v>
      </c>
      <c r="AK19" s="400">
        <f xml:space="preserve">
IF($A$4&lt;=12,SUMIFS('ON Data'!AO:AO,'ON Data'!$D:$D,$A$4,'ON Data'!$E:$E,9),SUMIFS('ON Data'!AO:AO,'ON Data'!$E:$E,9))</f>
        <v>0</v>
      </c>
      <c r="AL19" s="400">
        <f xml:space="preserve">
IF($A$4&lt;=12,SUMIFS('ON Data'!AP:AP,'ON Data'!$D:$D,$A$4,'ON Data'!$E:$E,9),SUMIFS('ON Data'!AP:AP,'ON Data'!$E:$E,9))</f>
        <v>0</v>
      </c>
      <c r="AM19" s="400">
        <f xml:space="preserve">
IF($A$4&lt;=12,SUMIFS('ON Data'!AQ:AQ,'ON Data'!$D:$D,$A$4,'ON Data'!$E:$E,9),SUMIFS('ON Data'!AQ:AQ,'ON Data'!$E:$E,9))</f>
        <v>0</v>
      </c>
      <c r="AN19" s="399">
        <f xml:space="preserve">
IF($A$4&lt;=12,SUMIFS('ON Data'!AR:AR,'ON Data'!$D:$D,$A$4,'ON Data'!$E:$E,9),SUMIFS('ON Data'!AR:AR,'ON Data'!$E:$E,9))</f>
        <v>0</v>
      </c>
      <c r="AO19" s="400">
        <f xml:space="preserve">
IF($A$4&lt;=12,SUMIFS('ON Data'!AS:AS,'ON Data'!$D:$D,$A$4,'ON Data'!$E:$E,9),SUMIFS('ON Data'!AS:AS,'ON Data'!$E:$E,9))</f>
        <v>0</v>
      </c>
      <c r="AP19" s="400">
        <f xml:space="preserve">
IF($A$4&lt;=12,SUMIFS('ON Data'!AT:AT,'ON Data'!$D:$D,$A$4,'ON Data'!$E:$E,9),SUMIFS('ON Data'!AT:AT,'ON Data'!$E:$E,9))</f>
        <v>0</v>
      </c>
      <c r="AQ19" s="400">
        <f xml:space="preserve">
IF($A$4&lt;=12,SUMIFS('ON Data'!AU:AU,'ON Data'!$D:$D,$A$4,'ON Data'!$E:$E,9),SUMIFS('ON Data'!AU:AU,'ON Data'!$E:$E,9))</f>
        <v>0</v>
      </c>
      <c r="AR19" s="400">
        <f xml:space="preserve">
IF($A$4&lt;=12,SUMIFS('ON Data'!AV:AV,'ON Data'!$D:$D,$A$4,'ON Data'!$E:$E,9),SUMIFS('ON Data'!AV:AV,'ON Data'!$E:$E,9))</f>
        <v>0</v>
      </c>
      <c r="AS19" s="779">
        <f xml:space="preserve">
IF($A$4&lt;=12,SUMIFS('ON Data'!AW:AW,'ON Data'!$D:$D,$A$4,'ON Data'!$E:$E,9),SUMIFS('ON Data'!AW:AW,'ON Data'!$E:$E,9))</f>
        <v>0</v>
      </c>
      <c r="AT19" s="785"/>
    </row>
    <row r="20" spans="1:46" ht="15" collapsed="1" thickBot="1" x14ac:dyDescent="0.35">
      <c r="A20" s="374" t="s">
        <v>87</v>
      </c>
      <c r="B20" s="401">
        <f xml:space="preserve">
IF($A$4&lt;=12,SUMIFS('ON Data'!F:F,'ON Data'!$D:$D,$A$4,'ON Data'!$E:$E,6),SUMIFS('ON Data'!F:F,'ON Data'!$E:$E,6))</f>
        <v>5707066</v>
      </c>
      <c r="C20" s="402">
        <f xml:space="preserve">
IF($A$4&lt;=12,SUMIFS('ON Data'!G:G,'ON Data'!$D:$D,$A$4,'ON Data'!$E:$E,6),SUMIFS('ON Data'!G:G,'ON Data'!$E:$E,6))</f>
        <v>0</v>
      </c>
      <c r="D20" s="403">
        <f xml:space="preserve">
IF($A$4&lt;=12,SUMIFS('ON Data'!H:H,'ON Data'!$D:$D,$A$4,'ON Data'!$E:$E,6),SUMIFS('ON Data'!H:H,'ON Data'!$E:$E,6))</f>
        <v>0</v>
      </c>
      <c r="E20" s="403"/>
      <c r="F20" s="403">
        <f xml:space="preserve">
IF($A$4&lt;=12,SUMIFS('ON Data'!J:J,'ON Data'!$D:$D,$A$4,'ON Data'!$E:$E,6),SUMIFS('ON Data'!J:J,'ON Data'!$E:$E,6))</f>
        <v>105998</v>
      </c>
      <c r="G20" s="403">
        <f xml:space="preserve">
IF($A$4&lt;=12,SUMIFS('ON Data'!K:K,'ON Data'!$D:$D,$A$4,'ON Data'!$E:$E,6),SUMIFS('ON Data'!K:K,'ON Data'!$E:$E,6))</f>
        <v>116288</v>
      </c>
      <c r="H20" s="403">
        <f xml:space="preserve">
IF($A$4&lt;=12,SUMIFS('ON Data'!L:L,'ON Data'!$D:$D,$A$4,'ON Data'!$E:$E,6),SUMIFS('ON Data'!L:L,'ON Data'!$E:$E,6))</f>
        <v>1367892</v>
      </c>
      <c r="I20" s="403">
        <f xml:space="preserve">
IF($A$4&lt;=12,SUMIFS('ON Data'!M:M,'ON Data'!$D:$D,$A$4,'ON Data'!$E:$E,6),SUMIFS('ON Data'!M:M,'ON Data'!$E:$E,6))</f>
        <v>0</v>
      </c>
      <c r="J20" s="403">
        <f xml:space="preserve">
IF($A$4&lt;=12,SUMIFS('ON Data'!N:N,'ON Data'!$D:$D,$A$4,'ON Data'!$E:$E,6),SUMIFS('ON Data'!N:N,'ON Data'!$E:$E,6))</f>
        <v>0</v>
      </c>
      <c r="K20" s="403">
        <f xml:space="preserve">
IF($A$4&lt;=12,SUMIFS('ON Data'!O:O,'ON Data'!$D:$D,$A$4,'ON Data'!$E:$E,6),SUMIFS('ON Data'!O:O,'ON Data'!$E:$E,6))</f>
        <v>0</v>
      </c>
      <c r="L20" s="403">
        <f xml:space="preserve">
IF($A$4&lt;=12,SUMIFS('ON Data'!P:P,'ON Data'!$D:$D,$A$4,'ON Data'!$E:$E,6),SUMIFS('ON Data'!P:P,'ON Data'!$E:$E,6))</f>
        <v>0</v>
      </c>
      <c r="M20" s="403">
        <f xml:space="preserve">
IF($A$4&lt;=12,SUMIFS('ON Data'!Q:Q,'ON Data'!$D:$D,$A$4,'ON Data'!$E:$E,6),SUMIFS('ON Data'!Q:Q,'ON Data'!$E:$E,6))</f>
        <v>806984</v>
      </c>
      <c r="N20" s="403">
        <f xml:space="preserve">
IF($A$4&lt;=12,SUMIFS('ON Data'!R:R,'ON Data'!$D:$D,$A$4,'ON Data'!$E:$E,6),SUMIFS('ON Data'!R:R,'ON Data'!$E:$E,6))</f>
        <v>2137363</v>
      </c>
      <c r="O20" s="403">
        <f xml:space="preserve">
IF($A$4&lt;=12,SUMIFS('ON Data'!S:S,'ON Data'!$D:$D,$A$4,'ON Data'!$E:$E,6),SUMIFS('ON Data'!S:S,'ON Data'!$E:$E,6))</f>
        <v>623112</v>
      </c>
      <c r="P20" s="403">
        <f xml:space="preserve">
IF($A$4&lt;=12,SUMIFS('ON Data'!T:T,'ON Data'!$D:$D,$A$4,'ON Data'!$E:$E,6),SUMIFS('ON Data'!T:T,'ON Data'!$E:$E,6))</f>
        <v>328413</v>
      </c>
      <c r="Q20" s="403">
        <f xml:space="preserve">
IF($A$4&lt;=12,SUMIFS('ON Data'!U:U,'ON Data'!$D:$D,$A$4,'ON Data'!$E:$E,6),SUMIFS('ON Data'!U:U,'ON Data'!$E:$E,6))</f>
        <v>0</v>
      </c>
      <c r="R20" s="403">
        <f xml:space="preserve">
IF($A$4&lt;=12,SUMIFS('ON Data'!V:V,'ON Data'!$D:$D,$A$4,'ON Data'!$E:$E,6),SUMIFS('ON Data'!V:V,'ON Data'!$E:$E,6))</f>
        <v>0</v>
      </c>
      <c r="S20" s="403">
        <f xml:space="preserve">
IF($A$4&lt;=12,SUMIFS('ON Data'!W:W,'ON Data'!$D:$D,$A$4,'ON Data'!$E:$E,6),SUMIFS('ON Data'!W:W,'ON Data'!$E:$E,6))</f>
        <v>0</v>
      </c>
      <c r="T20" s="403">
        <f xml:space="preserve">
IF($A$4&lt;=12,SUMIFS('ON Data'!X:X,'ON Data'!$D:$D,$A$4,'ON Data'!$E:$E,6),SUMIFS('ON Data'!X:X,'ON Data'!$E:$E,6))</f>
        <v>0</v>
      </c>
      <c r="U20" s="403">
        <f xml:space="preserve">
IF($A$4&lt;=12,SUMIFS('ON Data'!Y:Y,'ON Data'!$D:$D,$A$4,'ON Data'!$E:$E,6),SUMIFS('ON Data'!Y:Y,'ON Data'!$E:$E,6))</f>
        <v>0</v>
      </c>
      <c r="V20" s="403">
        <f xml:space="preserve">
IF($A$4&lt;=12,SUMIFS('ON Data'!Z:Z,'ON Data'!$D:$D,$A$4,'ON Data'!$E:$E,6),SUMIFS('ON Data'!Z:Z,'ON Data'!$E:$E,6))</f>
        <v>0</v>
      </c>
      <c r="W20" s="403">
        <f xml:space="preserve">
IF($A$4&lt;=12,SUMIFS('ON Data'!AA:AA,'ON Data'!$D:$D,$A$4,'ON Data'!$E:$E,6),SUMIFS('ON Data'!AA:AA,'ON Data'!$E:$E,6))</f>
        <v>0</v>
      </c>
      <c r="X20" s="403">
        <f xml:space="preserve">
IF($A$4&lt;=12,SUMIFS('ON Data'!AB:AB,'ON Data'!$D:$D,$A$4,'ON Data'!$E:$E,6),SUMIFS('ON Data'!AB:AB,'ON Data'!$E:$E,6))</f>
        <v>0</v>
      </c>
      <c r="Y20" s="403">
        <f xml:space="preserve">
IF($A$4&lt;=12,SUMIFS('ON Data'!AC:AC,'ON Data'!$D:$D,$A$4,'ON Data'!$E:$E,6),SUMIFS('ON Data'!AC:AC,'ON Data'!$E:$E,6))</f>
        <v>0</v>
      </c>
      <c r="Z20" s="403">
        <f xml:space="preserve">
IF($A$4&lt;=12,SUMIFS('ON Data'!AD:AD,'ON Data'!$D:$D,$A$4,'ON Data'!$E:$E,6),SUMIFS('ON Data'!AD:AD,'ON Data'!$E:$E,6))</f>
        <v>0</v>
      </c>
      <c r="AA20" s="403"/>
      <c r="AB20" s="403">
        <f xml:space="preserve">
IF($A$4&lt;=12,SUMIFS('ON Data'!AF:AF,'ON Data'!$D:$D,$A$4,'ON Data'!$E:$E,6),SUMIFS('ON Data'!AF:AF,'ON Data'!$E:$E,6))</f>
        <v>0</v>
      </c>
      <c r="AC20" s="403">
        <f xml:space="preserve">
IF($A$4&lt;=12,SUMIFS('ON Data'!AG:AG,'ON Data'!$D:$D,$A$4,'ON Data'!$E:$E,6),SUMIFS('ON Data'!AG:AG,'ON Data'!$E:$E,6))</f>
        <v>0</v>
      </c>
      <c r="AD20" s="403">
        <f xml:space="preserve">
IF($A$4&lt;=12,SUMIFS('ON Data'!AH:AH,'ON Data'!$D:$D,$A$4,'ON Data'!$E:$E,6),SUMIFS('ON Data'!AH:AH,'ON Data'!$E:$E,6))</f>
        <v>0</v>
      </c>
      <c r="AE20" s="403">
        <f xml:space="preserve">
IF($A$4&lt;=12,SUMIFS('ON Data'!AI:AI,'ON Data'!$D:$D,$A$4,'ON Data'!$E:$E,6),SUMIFS('ON Data'!AI:AI,'ON Data'!$E:$E,6))</f>
        <v>0</v>
      </c>
      <c r="AF20" s="403">
        <f xml:space="preserve">
IF($A$4&lt;=12,SUMIFS('ON Data'!AJ:AJ,'ON Data'!$D:$D,$A$4,'ON Data'!$E:$E,6),SUMIFS('ON Data'!AJ:AJ,'ON Data'!$E:$E,6))</f>
        <v>0</v>
      </c>
      <c r="AG20" s="403">
        <f xml:space="preserve">
IF($A$4&lt;=12,SUMIFS('ON Data'!AK:AK,'ON Data'!$D:$D,$A$4,'ON Data'!$E:$E,6),SUMIFS('ON Data'!AK:AK,'ON Data'!$E:$E,6))</f>
        <v>0</v>
      </c>
      <c r="AH20" s="403">
        <f xml:space="preserve">
IF($A$4&lt;=12,SUMIFS('ON Data'!AL:AL,'ON Data'!$D:$D,$A$4,'ON Data'!$E:$E,6),SUMIFS('ON Data'!AL:AL,'ON Data'!$E:$E,6))</f>
        <v>0</v>
      </c>
      <c r="AI20" s="403">
        <f xml:space="preserve">
IF($A$4&lt;=12,SUMIFS('ON Data'!AM:AM,'ON Data'!$D:$D,$A$4,'ON Data'!$E:$E,6),SUMIFS('ON Data'!AM:AM,'ON Data'!$E:$E,6))</f>
        <v>0</v>
      </c>
      <c r="AJ20" s="403">
        <f xml:space="preserve">
IF($A$4&lt;=12,SUMIFS('ON Data'!AN:AN,'ON Data'!$D:$D,$A$4,'ON Data'!$E:$E,6),SUMIFS('ON Data'!AN:AN,'ON Data'!$E:$E,6))</f>
        <v>0</v>
      </c>
      <c r="AK20" s="403">
        <f xml:space="preserve">
IF($A$4&lt;=12,SUMIFS('ON Data'!AO:AO,'ON Data'!$D:$D,$A$4,'ON Data'!$E:$E,6),SUMIFS('ON Data'!AO:AO,'ON Data'!$E:$E,6))</f>
        <v>0</v>
      </c>
      <c r="AL20" s="403">
        <f xml:space="preserve">
IF($A$4&lt;=12,SUMIFS('ON Data'!AP:AP,'ON Data'!$D:$D,$A$4,'ON Data'!$E:$E,6),SUMIFS('ON Data'!AP:AP,'ON Data'!$E:$E,6))</f>
        <v>0</v>
      </c>
      <c r="AM20" s="403">
        <f xml:space="preserve">
IF($A$4&lt;=12,SUMIFS('ON Data'!AQ:AQ,'ON Data'!$D:$D,$A$4,'ON Data'!$E:$E,6),SUMIFS('ON Data'!AQ:AQ,'ON Data'!$E:$E,6))</f>
        <v>0</v>
      </c>
      <c r="AN20" s="402">
        <f xml:space="preserve">
IF($A$4&lt;=12,SUMIFS('ON Data'!AR:AR,'ON Data'!$D:$D,$A$4,'ON Data'!$E:$E,6),SUMIFS('ON Data'!AR:AR,'ON Data'!$E:$E,6))</f>
        <v>0</v>
      </c>
      <c r="AO20" s="403">
        <f xml:space="preserve">
IF($A$4&lt;=12,SUMIFS('ON Data'!AS:AS,'ON Data'!$D:$D,$A$4,'ON Data'!$E:$E,6),SUMIFS('ON Data'!AS:AS,'ON Data'!$E:$E,6))</f>
        <v>0</v>
      </c>
      <c r="AP20" s="403">
        <f xml:space="preserve">
IF($A$4&lt;=12,SUMIFS('ON Data'!AT:AT,'ON Data'!$D:$D,$A$4,'ON Data'!$E:$E,6),SUMIFS('ON Data'!AT:AT,'ON Data'!$E:$E,6))</f>
        <v>169259</v>
      </c>
      <c r="AQ20" s="403">
        <f xml:space="preserve">
IF($A$4&lt;=12,SUMIFS('ON Data'!AU:AU,'ON Data'!$D:$D,$A$4,'ON Data'!$E:$E,6),SUMIFS('ON Data'!AU:AU,'ON Data'!$E:$E,6))</f>
        <v>0</v>
      </c>
      <c r="AR20" s="403">
        <f xml:space="preserve">
IF($A$4&lt;=12,SUMIFS('ON Data'!AV:AV,'ON Data'!$D:$D,$A$4,'ON Data'!$E:$E,6),SUMIFS('ON Data'!AV:AV,'ON Data'!$E:$E,6))</f>
        <v>0</v>
      </c>
      <c r="AS20" s="780">
        <f xml:space="preserve">
IF($A$4&lt;=12,SUMIFS('ON Data'!AW:AW,'ON Data'!$D:$D,$A$4,'ON Data'!$E:$E,6),SUMIFS('ON Data'!AW:AW,'ON Data'!$E:$E,6))</f>
        <v>0</v>
      </c>
      <c r="AT20" s="785"/>
    </row>
    <row r="21" spans="1:46" ht="15" hidden="1" outlineLevel="1" thickBot="1" x14ac:dyDescent="0.35">
      <c r="A21" s="367" t="s">
        <v>124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Data'!H:H,'ON Data'!$D:$D,$A$4,'ON Data'!$E:$E,12),SUMIFS('ON Data'!H:H,'ON Data'!$E:$E,12))</f>
        <v>0</v>
      </c>
      <c r="E21" s="389"/>
      <c r="F21" s="389">
        <f xml:space="preserve">
IF($A$4&lt;=12,SUMIFS('ON Data'!J:J,'ON Data'!$D:$D,$A$4,'ON Data'!$E:$E,12),SUMIFS('ON Data'!J:J,'ON Data'!$E:$E,12))</f>
        <v>0</v>
      </c>
      <c r="G21" s="389">
        <f xml:space="preserve">
IF($A$4&lt;=12,SUMIFS('ON Data'!K:K,'ON Data'!$D:$D,$A$4,'ON Data'!$E:$E,12),SUMIFS('ON Data'!K:K,'ON Data'!$E:$E,12))</f>
        <v>0</v>
      </c>
      <c r="H21" s="389">
        <f xml:space="preserve">
IF($A$4&lt;=12,SUMIFS('ON Data'!L:L,'ON Data'!$D:$D,$A$4,'ON Data'!$E:$E,12),SUMIFS('ON Data'!L:L,'ON Data'!$E:$E,12))</f>
        <v>0</v>
      </c>
      <c r="I21" s="389">
        <f xml:space="preserve">
IF($A$4&lt;=12,SUMIFS('ON Data'!M:M,'ON Data'!$D:$D,$A$4,'ON Data'!$E:$E,12),SUMIFS('ON Data'!M:M,'ON Data'!$E:$E,12))</f>
        <v>0</v>
      </c>
      <c r="J21" s="389">
        <f xml:space="preserve">
IF($A$4&lt;=12,SUMIFS('ON Data'!N:N,'ON Data'!$D:$D,$A$4,'ON Data'!$E:$E,12),SUMIFS('ON Data'!N:N,'ON Data'!$E:$E,12))</f>
        <v>0</v>
      </c>
      <c r="K21" s="389">
        <f xml:space="preserve">
IF($A$4&lt;=12,SUMIFS('ON Data'!O:O,'ON Data'!$D:$D,$A$4,'ON Data'!$E:$E,12),SUMIFS('ON Data'!O:O,'ON Data'!$E:$E,12))</f>
        <v>0</v>
      </c>
      <c r="L21" s="389">
        <f xml:space="preserve">
IF($A$4&lt;=12,SUMIFS('ON Data'!P:P,'ON Data'!$D:$D,$A$4,'ON Data'!$E:$E,12),SUMIFS('ON Data'!P:P,'ON Data'!$E:$E,12))</f>
        <v>0</v>
      </c>
      <c r="M21" s="389">
        <f xml:space="preserve">
IF($A$4&lt;=12,SUMIFS('ON Data'!Q:Q,'ON Data'!$D:$D,$A$4,'ON Data'!$E:$E,12),SUMIFS('ON Data'!Q:Q,'ON Data'!$E:$E,12))</f>
        <v>0</v>
      </c>
      <c r="N21" s="389">
        <f xml:space="preserve">
IF($A$4&lt;=12,SUMIFS('ON Data'!R:R,'ON Data'!$D:$D,$A$4,'ON Data'!$E:$E,12),SUMIFS('ON Data'!R:R,'ON Data'!$E:$E,12))</f>
        <v>0</v>
      </c>
      <c r="O21" s="389">
        <f xml:space="preserve">
IF($A$4&lt;=12,SUMIFS('ON Data'!S:S,'ON Data'!$D:$D,$A$4,'ON Data'!$E:$E,12),SUMIFS('ON Data'!S:S,'ON Data'!$E:$E,12))</f>
        <v>0</v>
      </c>
      <c r="P21" s="389">
        <f xml:space="preserve">
IF($A$4&lt;=12,SUMIFS('ON Data'!T:T,'ON Data'!$D:$D,$A$4,'ON Data'!$E:$E,12),SUMIFS('ON Data'!T:T,'ON Data'!$E:$E,12))</f>
        <v>0</v>
      </c>
      <c r="Q21" s="389">
        <f xml:space="preserve">
IF($A$4&lt;=12,SUMIFS('ON Data'!U:U,'ON Data'!$D:$D,$A$4,'ON Data'!$E:$E,12),SUMIFS('ON Data'!U:U,'ON Data'!$E:$E,12))</f>
        <v>0</v>
      </c>
      <c r="R21" s="389">
        <f xml:space="preserve">
IF($A$4&lt;=12,SUMIFS('ON Data'!V:V,'ON Data'!$D:$D,$A$4,'ON Data'!$E:$E,12),SUMIFS('ON Data'!V:V,'ON Data'!$E:$E,12))</f>
        <v>0</v>
      </c>
      <c r="S21" s="389">
        <f xml:space="preserve">
IF($A$4&lt;=12,SUMIFS('ON Data'!W:W,'ON Data'!$D:$D,$A$4,'ON Data'!$E:$E,12),SUMIFS('ON Data'!W:W,'ON Data'!$E:$E,12))</f>
        <v>0</v>
      </c>
      <c r="T21" s="389">
        <f xml:space="preserve">
IF($A$4&lt;=12,SUMIFS('ON Data'!X:X,'ON Data'!$D:$D,$A$4,'ON Data'!$E:$E,12),SUMIFS('ON Data'!X:X,'ON Data'!$E:$E,12))</f>
        <v>0</v>
      </c>
      <c r="U21" s="389">
        <f xml:space="preserve">
IF($A$4&lt;=12,SUMIFS('ON Data'!Y:Y,'ON Data'!$D:$D,$A$4,'ON Data'!$E:$E,12),SUMIFS('ON Data'!Y:Y,'ON Data'!$E:$E,12))</f>
        <v>0</v>
      </c>
      <c r="V21" s="389">
        <f xml:space="preserve">
IF($A$4&lt;=12,SUMIFS('ON Data'!Z:Z,'ON Data'!$D:$D,$A$4,'ON Data'!$E:$E,12),SUMIFS('ON Data'!Z:Z,'ON Data'!$E:$E,12))</f>
        <v>0</v>
      </c>
      <c r="W21" s="389">
        <f xml:space="preserve">
IF($A$4&lt;=12,SUMIFS('ON Data'!AA:AA,'ON Data'!$D:$D,$A$4,'ON Data'!$E:$E,12),SUMIFS('ON Data'!AA:AA,'ON Data'!$E:$E,12))</f>
        <v>0</v>
      </c>
      <c r="X21" s="389">
        <f xml:space="preserve">
IF($A$4&lt;=12,SUMIFS('ON Data'!AB:AB,'ON Data'!$D:$D,$A$4,'ON Data'!$E:$E,12),SUMIFS('ON Data'!AB:AB,'ON Data'!$E:$E,12))</f>
        <v>0</v>
      </c>
      <c r="Y21" s="389">
        <f xml:space="preserve">
IF($A$4&lt;=12,SUMIFS('ON Data'!AC:AC,'ON Data'!$D:$D,$A$4,'ON Data'!$E:$E,12),SUMIFS('ON Data'!AC:AC,'ON Data'!$E:$E,12))</f>
        <v>0</v>
      </c>
      <c r="Z21" s="389">
        <f xml:space="preserve">
IF($A$4&lt;=12,SUMIFS('ON Data'!AD:AD,'ON Data'!$D:$D,$A$4,'ON Data'!$E:$E,12),SUMIFS('ON Data'!AD:AD,'ON Data'!$E:$E,12))</f>
        <v>0</v>
      </c>
      <c r="AA21" s="389"/>
      <c r="AB21" s="389">
        <f xml:space="preserve">
IF($A$4&lt;=12,SUMIFS('ON Data'!AF:AF,'ON Data'!$D:$D,$A$4,'ON Data'!$E:$E,12),SUMIFS('ON Data'!AF:AF,'ON Data'!$E:$E,12))</f>
        <v>0</v>
      </c>
      <c r="AC21" s="389">
        <f xml:space="preserve">
IF($A$4&lt;=12,SUMIFS('ON Data'!AG:AG,'ON Data'!$D:$D,$A$4,'ON Data'!$E:$E,12),SUMIFS('ON Data'!AG:AG,'ON Data'!$E:$E,12))</f>
        <v>0</v>
      </c>
      <c r="AD21" s="389">
        <f xml:space="preserve">
IF($A$4&lt;=12,SUMIFS('ON Data'!AH:AH,'ON Data'!$D:$D,$A$4,'ON Data'!$E:$E,12),SUMIFS('ON Data'!AH:AH,'ON Data'!$E:$E,12))</f>
        <v>0</v>
      </c>
      <c r="AE21" s="389">
        <f xml:space="preserve">
IF($A$4&lt;=12,SUMIFS('ON Data'!AI:AI,'ON Data'!$D:$D,$A$4,'ON Data'!$E:$E,12),SUMIFS('ON Data'!AI:AI,'ON Data'!$E:$E,12))</f>
        <v>0</v>
      </c>
      <c r="AF21" s="389">
        <f xml:space="preserve">
IF($A$4&lt;=12,SUMIFS('ON Data'!AJ:AJ,'ON Data'!$D:$D,$A$4,'ON Data'!$E:$E,12),SUMIFS('ON Data'!AJ:AJ,'ON Data'!$E:$E,12))</f>
        <v>0</v>
      </c>
      <c r="AG21" s="389">
        <f xml:space="preserve">
IF($A$4&lt;=12,SUMIFS('ON Data'!AK:AK,'ON Data'!$D:$D,$A$4,'ON Data'!$E:$E,12),SUMIFS('ON Data'!AK:AK,'ON Data'!$E:$E,12))</f>
        <v>0</v>
      </c>
      <c r="AH21" s="389">
        <f xml:space="preserve">
IF($A$4&lt;=12,SUMIFS('ON Data'!AL:AL,'ON Data'!$D:$D,$A$4,'ON Data'!$E:$E,12),SUMIFS('ON Data'!AL:AL,'ON Data'!$E:$E,12))</f>
        <v>0</v>
      </c>
      <c r="AI21" s="389">
        <f xml:space="preserve">
IF($A$4&lt;=12,SUMIFS('ON Data'!AM:AM,'ON Data'!$D:$D,$A$4,'ON Data'!$E:$E,12),SUMIFS('ON Data'!AM:AM,'ON Data'!$E:$E,12))</f>
        <v>0</v>
      </c>
      <c r="AJ21" s="389">
        <f xml:space="preserve">
IF($A$4&lt;=12,SUMIFS('ON Data'!AN:AN,'ON Data'!$D:$D,$A$4,'ON Data'!$E:$E,12),SUMIFS('ON Data'!AN:AN,'ON Data'!$E:$E,12))</f>
        <v>0</v>
      </c>
      <c r="AK21" s="389">
        <f xml:space="preserve">
IF($A$4&lt;=12,SUMIFS('ON Data'!AO:AO,'ON Data'!$D:$D,$A$4,'ON Data'!$E:$E,12),SUMIFS('ON Data'!AO:AO,'ON Data'!$E:$E,12))</f>
        <v>0</v>
      </c>
      <c r="AL21" s="389">
        <f xml:space="preserve">
IF($A$4&lt;=12,SUMIFS('ON Data'!AP:AP,'ON Data'!$D:$D,$A$4,'ON Data'!$E:$E,12),SUMIFS('ON Data'!AP:AP,'ON Data'!$E:$E,12))</f>
        <v>0</v>
      </c>
      <c r="AM21" s="390">
        <f xml:space="preserve">
IF($A$4&lt;=12,SUMIFS('ON Data'!AQ:AQ,'ON Data'!$D:$D,$A$4,'ON Data'!$E:$E,12),SUMIFS('ON Data'!AQ:AQ,'ON Data'!$E:$E,12))</f>
        <v>0</v>
      </c>
      <c r="AN21" s="489"/>
      <c r="AO21" s="489"/>
      <c r="AP21" s="489"/>
      <c r="AQ21" s="489"/>
      <c r="AR21" s="489"/>
      <c r="AS21" s="489"/>
      <c r="AT21" s="785"/>
    </row>
    <row r="22" spans="1:46" ht="15" hidden="1" outlineLevel="1" thickBot="1" x14ac:dyDescent="0.35">
      <c r="A22" s="367" t="s">
        <v>89</v>
      </c>
      <c r="B22" s="449" t="str">
        <f xml:space="preserve">
IF(OR(B21="",B21=0),"",B20/B21)</f>
        <v/>
      </c>
      <c r="C22" s="450" t="str">
        <f t="shared" ref="C22:I22" si="3" xml:space="preserve">
IF(OR(C21="",C21=0),"",C20/C21)</f>
        <v/>
      </c>
      <c r="D22" s="451" t="str">
        <f t="shared" si="3"/>
        <v/>
      </c>
      <c r="E22" s="451"/>
      <c r="F22" s="451" t="str">
        <f t="shared" si="3"/>
        <v/>
      </c>
      <c r="G22" s="451" t="str">
        <f t="shared" si="3"/>
        <v/>
      </c>
      <c r="H22" s="451" t="str">
        <f t="shared" si="3"/>
        <v/>
      </c>
      <c r="I22" s="451" t="str">
        <f t="shared" si="3"/>
        <v/>
      </c>
      <c r="J22" s="451" t="str">
        <f t="shared" ref="J22:AM22" si="4" xml:space="preserve">
IF(OR(J21="",J21=0),"",J20/J21)</f>
        <v/>
      </c>
      <c r="K22" s="451" t="str">
        <f t="shared" si="4"/>
        <v/>
      </c>
      <c r="L22" s="451" t="str">
        <f t="shared" si="4"/>
        <v/>
      </c>
      <c r="M22" s="451" t="str">
        <f t="shared" si="4"/>
        <v/>
      </c>
      <c r="N22" s="451" t="str">
        <f t="shared" si="4"/>
        <v/>
      </c>
      <c r="O22" s="451" t="str">
        <f t="shared" si="4"/>
        <v/>
      </c>
      <c r="P22" s="451" t="str">
        <f t="shared" si="4"/>
        <v/>
      </c>
      <c r="Q22" s="451" t="str">
        <f t="shared" si="4"/>
        <v/>
      </c>
      <c r="R22" s="451" t="str">
        <f t="shared" si="4"/>
        <v/>
      </c>
      <c r="S22" s="451" t="str">
        <f t="shared" si="4"/>
        <v/>
      </c>
      <c r="T22" s="451" t="str">
        <f t="shared" si="4"/>
        <v/>
      </c>
      <c r="U22" s="451" t="str">
        <f t="shared" si="4"/>
        <v/>
      </c>
      <c r="V22" s="451" t="str">
        <f t="shared" si="4"/>
        <v/>
      </c>
      <c r="W22" s="451" t="str">
        <f t="shared" si="4"/>
        <v/>
      </c>
      <c r="X22" s="451" t="str">
        <f t="shared" si="4"/>
        <v/>
      </c>
      <c r="Y22" s="451" t="str">
        <f t="shared" si="4"/>
        <v/>
      </c>
      <c r="Z22" s="451" t="str">
        <f t="shared" si="4"/>
        <v/>
      </c>
      <c r="AA22" s="451"/>
      <c r="AB22" s="451" t="str">
        <f t="shared" si="4"/>
        <v/>
      </c>
      <c r="AC22" s="451" t="str">
        <f t="shared" si="4"/>
        <v/>
      </c>
      <c r="AD22" s="451" t="str">
        <f t="shared" si="4"/>
        <v/>
      </c>
      <c r="AE22" s="451" t="str">
        <f t="shared" si="4"/>
        <v/>
      </c>
      <c r="AF22" s="451" t="str">
        <f t="shared" si="4"/>
        <v/>
      </c>
      <c r="AG22" s="451" t="str">
        <f t="shared" si="4"/>
        <v/>
      </c>
      <c r="AH22" s="451" t="str">
        <f t="shared" si="4"/>
        <v/>
      </c>
      <c r="AI22" s="451" t="str">
        <f t="shared" si="4"/>
        <v/>
      </c>
      <c r="AJ22" s="451" t="str">
        <f t="shared" si="4"/>
        <v/>
      </c>
      <c r="AK22" s="451" t="str">
        <f t="shared" si="4"/>
        <v/>
      </c>
      <c r="AL22" s="451" t="str">
        <f t="shared" si="4"/>
        <v/>
      </c>
      <c r="AM22" s="452" t="str">
        <f t="shared" si="4"/>
        <v/>
      </c>
      <c r="AN22" s="489"/>
      <c r="AO22" s="489"/>
      <c r="AP22" s="489"/>
      <c r="AQ22" s="489"/>
      <c r="AR22" s="489"/>
      <c r="AS22" s="489"/>
      <c r="AT22" s="785"/>
    </row>
    <row r="23" spans="1:46" ht="15" hidden="1" outlineLevel="1" thickBot="1" x14ac:dyDescent="0.35">
      <c r="A23" s="375" t="s">
        <v>62</v>
      </c>
      <c r="B23" s="391">
        <f xml:space="preserve">
IF(B21="","",B20-B21)</f>
        <v>5707066</v>
      </c>
      <c r="C23" s="392">
        <f t="shared" ref="C23:I23" si="5" xml:space="preserve">
IF(C21="","",C20-C21)</f>
        <v>0</v>
      </c>
      <c r="D23" s="393">
        <f t="shared" si="5"/>
        <v>0</v>
      </c>
      <c r="E23" s="393"/>
      <c r="F23" s="393">
        <f t="shared" si="5"/>
        <v>105998</v>
      </c>
      <c r="G23" s="393">
        <f t="shared" si="5"/>
        <v>116288</v>
      </c>
      <c r="H23" s="393">
        <f t="shared" si="5"/>
        <v>1367892</v>
      </c>
      <c r="I23" s="393">
        <f t="shared" si="5"/>
        <v>0</v>
      </c>
      <c r="J23" s="393">
        <f t="shared" ref="J23:AM23" si="6" xml:space="preserve">
IF(J21="","",J20-J21)</f>
        <v>0</v>
      </c>
      <c r="K23" s="393">
        <f t="shared" si="6"/>
        <v>0</v>
      </c>
      <c r="L23" s="393">
        <f t="shared" si="6"/>
        <v>0</v>
      </c>
      <c r="M23" s="393">
        <f t="shared" si="6"/>
        <v>806984</v>
      </c>
      <c r="N23" s="393">
        <f t="shared" si="6"/>
        <v>2137363</v>
      </c>
      <c r="O23" s="393">
        <f t="shared" si="6"/>
        <v>623112</v>
      </c>
      <c r="P23" s="393">
        <f t="shared" si="6"/>
        <v>328413</v>
      </c>
      <c r="Q23" s="393">
        <f t="shared" si="6"/>
        <v>0</v>
      </c>
      <c r="R23" s="393">
        <f t="shared" si="6"/>
        <v>0</v>
      </c>
      <c r="S23" s="393">
        <f t="shared" si="6"/>
        <v>0</v>
      </c>
      <c r="T23" s="393">
        <f t="shared" si="6"/>
        <v>0</v>
      </c>
      <c r="U23" s="393">
        <f t="shared" si="6"/>
        <v>0</v>
      </c>
      <c r="V23" s="393">
        <f t="shared" si="6"/>
        <v>0</v>
      </c>
      <c r="W23" s="393">
        <f t="shared" si="6"/>
        <v>0</v>
      </c>
      <c r="X23" s="393">
        <f t="shared" si="6"/>
        <v>0</v>
      </c>
      <c r="Y23" s="393">
        <f t="shared" si="6"/>
        <v>0</v>
      </c>
      <c r="Z23" s="393">
        <f t="shared" si="6"/>
        <v>0</v>
      </c>
      <c r="AA23" s="393"/>
      <c r="AB23" s="393">
        <f t="shared" si="6"/>
        <v>0</v>
      </c>
      <c r="AC23" s="393">
        <f t="shared" si="6"/>
        <v>0</v>
      </c>
      <c r="AD23" s="393">
        <f t="shared" si="6"/>
        <v>0</v>
      </c>
      <c r="AE23" s="393">
        <f t="shared" si="6"/>
        <v>0</v>
      </c>
      <c r="AF23" s="393">
        <f t="shared" si="6"/>
        <v>0</v>
      </c>
      <c r="AG23" s="393">
        <f t="shared" si="6"/>
        <v>0</v>
      </c>
      <c r="AH23" s="393">
        <f t="shared" si="6"/>
        <v>0</v>
      </c>
      <c r="AI23" s="393">
        <f t="shared" si="6"/>
        <v>0</v>
      </c>
      <c r="AJ23" s="393">
        <f t="shared" si="6"/>
        <v>0</v>
      </c>
      <c r="AK23" s="393">
        <f t="shared" si="6"/>
        <v>0</v>
      </c>
      <c r="AL23" s="393">
        <f t="shared" si="6"/>
        <v>0</v>
      </c>
      <c r="AM23" s="394">
        <f t="shared" si="6"/>
        <v>0</v>
      </c>
      <c r="AN23" s="489"/>
      <c r="AO23" s="489"/>
      <c r="AP23" s="489"/>
      <c r="AQ23" s="489"/>
      <c r="AR23" s="489"/>
      <c r="AS23" s="489"/>
      <c r="AT23" s="785"/>
    </row>
    <row r="24" spans="1:46" x14ac:dyDescent="0.3">
      <c r="A24" s="369" t="s">
        <v>231</v>
      </c>
      <c r="B24" s="418" t="s">
        <v>3</v>
      </c>
      <c r="C24" s="786" t="s">
        <v>243</v>
      </c>
      <c r="D24" s="757"/>
      <c r="E24" s="758"/>
      <c r="F24" s="759" t="s">
        <v>341</v>
      </c>
      <c r="G24" s="760"/>
      <c r="H24" s="760"/>
      <c r="I24" s="760"/>
      <c r="J24" s="760"/>
      <c r="K24" s="760"/>
      <c r="L24" s="759" t="s">
        <v>242</v>
      </c>
      <c r="M24" s="758"/>
      <c r="N24" s="758"/>
      <c r="O24" s="758"/>
      <c r="P24" s="758"/>
      <c r="Q24" s="758"/>
      <c r="R24" s="758"/>
      <c r="S24" s="758"/>
      <c r="T24" s="758"/>
      <c r="U24" s="758"/>
      <c r="V24" s="758"/>
      <c r="W24" s="758"/>
      <c r="X24" s="758"/>
      <c r="Y24" s="758"/>
      <c r="Z24" s="758"/>
      <c r="AA24" s="758"/>
      <c r="AB24" s="758"/>
      <c r="AC24" s="758"/>
      <c r="AD24" s="758"/>
      <c r="AE24" s="758"/>
      <c r="AF24" s="758"/>
      <c r="AG24" s="758"/>
      <c r="AH24" s="758"/>
      <c r="AI24" s="758"/>
      <c r="AJ24" s="758"/>
      <c r="AK24" s="758"/>
      <c r="AL24" s="758"/>
      <c r="AM24" s="758"/>
      <c r="AN24" s="758"/>
      <c r="AO24" s="758"/>
      <c r="AP24" s="758"/>
      <c r="AQ24" s="759" t="s">
        <v>342</v>
      </c>
      <c r="AR24" s="758"/>
      <c r="AS24" s="781"/>
      <c r="AT24" s="785"/>
    </row>
    <row r="25" spans="1:46" x14ac:dyDescent="0.3">
      <c r="A25" s="370" t="s">
        <v>87</v>
      </c>
      <c r="B25" s="387">
        <f xml:space="preserve">
SUM(C25:AS25)</f>
        <v>14442</v>
      </c>
      <c r="C25" s="787">
        <f xml:space="preserve">
IF($A$4&lt;=12,SUMIFS('ON Data'!$I:$I,'ON Data'!$D:$D,$A$4,'ON Data'!$E:$E,10),SUMIFS('ON Data'!$I:$I,'ON Data'!$E:$E,10))</f>
        <v>0</v>
      </c>
      <c r="D25" s="761"/>
      <c r="E25" s="762"/>
      <c r="F25" s="763">
        <f xml:space="preserve">
IF($A$4&lt;=12,SUMIFS('ON Data'!K:K,'ON Data'!$D:$D,$A$4,'ON Data'!$E:$E,10),SUMIFS('ON Data'!K:K,'ON Data'!$E:$E,10))</f>
        <v>0</v>
      </c>
      <c r="G25" s="762"/>
      <c r="H25" s="762"/>
      <c r="I25" s="762"/>
      <c r="J25" s="762"/>
      <c r="K25" s="762"/>
      <c r="L25" s="763">
        <f xml:space="preserve">
IF($A$4&lt;=12,SUMIFS('ON Data'!P:P,'ON Data'!$D:$D,$A$4,'ON Data'!$E:$E,10),SUMIFS('ON Data'!P:P,'ON Data'!$E:$E,10))</f>
        <v>14442</v>
      </c>
      <c r="M25" s="762"/>
      <c r="N25" s="762"/>
      <c r="O25" s="762"/>
      <c r="P25" s="762"/>
      <c r="Q25" s="762"/>
      <c r="R25" s="762"/>
      <c r="S25" s="762"/>
      <c r="T25" s="762"/>
      <c r="U25" s="762"/>
      <c r="V25" s="762"/>
      <c r="W25" s="762"/>
      <c r="X25" s="762"/>
      <c r="Y25" s="762"/>
      <c r="Z25" s="762"/>
      <c r="AA25" s="762"/>
      <c r="AB25" s="762"/>
      <c r="AC25" s="762"/>
      <c r="AD25" s="762"/>
      <c r="AE25" s="762"/>
      <c r="AF25" s="762"/>
      <c r="AG25" s="762"/>
      <c r="AH25" s="762"/>
      <c r="AI25" s="762"/>
      <c r="AJ25" s="762"/>
      <c r="AK25" s="762"/>
      <c r="AL25" s="762"/>
      <c r="AM25" s="762"/>
      <c r="AN25" s="762"/>
      <c r="AO25" s="762"/>
      <c r="AP25" s="762"/>
      <c r="AQ25" s="763">
        <f xml:space="preserve">
IF($A$4&lt;=12,SUMIFS('ON Data'!AW:AW,'ON Data'!$D:$D,$A$4,'ON Data'!$E:$E,10),SUMIFS('ON Data'!AW:AW,'ON Data'!$E:$E,10))</f>
        <v>0</v>
      </c>
      <c r="AR25" s="762"/>
      <c r="AS25" s="782"/>
      <c r="AT25" s="785"/>
    </row>
    <row r="26" spans="1:46" x14ac:dyDescent="0.3">
      <c r="A26" s="376" t="s">
        <v>241</v>
      </c>
      <c r="B26" s="398">
        <f xml:space="preserve">
SUM(C26:AS26)</f>
        <v>14183.702825350603</v>
      </c>
      <c r="C26" s="787">
        <f xml:space="preserve">
IF($A$4&lt;=12,SUMIFS('ON Data'!$I:$I,'ON Data'!$D:$D,$A$4,'ON Data'!$E:$E,11),SUMIFS('ON Data'!$I:$I,'ON Data'!$E:$E,11))</f>
        <v>0</v>
      </c>
      <c r="D26" s="761"/>
      <c r="E26" s="762"/>
      <c r="F26" s="763">
        <f xml:space="preserve">
IF($A$4&lt;=12,SUMIFS('ON Data'!K:K,'ON Data'!$D:$D,$A$4,'ON Data'!$E:$E,11),SUMIFS('ON Data'!K:K,'ON Data'!$E:$E,11))</f>
        <v>5017.0361586839372</v>
      </c>
      <c r="G26" s="762"/>
      <c r="H26" s="762"/>
      <c r="I26" s="762"/>
      <c r="J26" s="762"/>
      <c r="K26" s="762"/>
      <c r="L26" s="764">
        <f xml:space="preserve">
IF($A$4&lt;=12,SUMIFS('ON Data'!P:P,'ON Data'!$D:$D,$A$4,'ON Data'!$E:$E,11),SUMIFS('ON Data'!P:P,'ON Data'!$E:$E,11))</f>
        <v>9166.6666666666661</v>
      </c>
      <c r="M26" s="765"/>
      <c r="N26" s="765"/>
      <c r="O26" s="765"/>
      <c r="P26" s="765"/>
      <c r="Q26" s="765"/>
      <c r="R26" s="765"/>
      <c r="S26" s="765"/>
      <c r="T26" s="765"/>
      <c r="U26" s="765"/>
      <c r="V26" s="765"/>
      <c r="W26" s="765"/>
      <c r="X26" s="765"/>
      <c r="Y26" s="765"/>
      <c r="Z26" s="765"/>
      <c r="AA26" s="765"/>
      <c r="AB26" s="765"/>
      <c r="AC26" s="765"/>
      <c r="AD26" s="765"/>
      <c r="AE26" s="765"/>
      <c r="AF26" s="765"/>
      <c r="AG26" s="765"/>
      <c r="AH26" s="765"/>
      <c r="AI26" s="765"/>
      <c r="AJ26" s="765"/>
      <c r="AK26" s="765"/>
      <c r="AL26" s="765"/>
      <c r="AM26" s="765"/>
      <c r="AN26" s="765"/>
      <c r="AO26" s="765"/>
      <c r="AP26" s="765"/>
      <c r="AQ26" s="764">
        <f xml:space="preserve">
IF($A$4&lt;=12,SUMIFS('ON Data'!AW:AW,'ON Data'!$D:$D,$A$4,'ON Data'!$E:$E,11),SUMIFS('ON Data'!AW:AW,'ON Data'!$E:$E,11))</f>
        <v>0</v>
      </c>
      <c r="AR26" s="765"/>
      <c r="AS26" s="783"/>
      <c r="AT26" s="785"/>
    </row>
    <row r="27" spans="1:46" x14ac:dyDescent="0.3">
      <c r="A27" s="376" t="s">
        <v>89</v>
      </c>
      <c r="B27" s="419">
        <f xml:space="preserve">
IF(B26=0,0,B25/B26)</f>
        <v>1.018210842248312</v>
      </c>
      <c r="C27" s="788">
        <f xml:space="preserve">
IF(C26=0,0,C25/C26)</f>
        <v>0</v>
      </c>
      <c r="D27" s="761"/>
      <c r="E27" s="762"/>
      <c r="F27" s="766">
        <f xml:space="preserve">
IF(F26=0,0,F25/F26)</f>
        <v>0</v>
      </c>
      <c r="G27" s="762"/>
      <c r="H27" s="762"/>
      <c r="I27" s="762"/>
      <c r="J27" s="762"/>
      <c r="K27" s="762"/>
      <c r="L27" s="766">
        <f xml:space="preserve">
IF(L26=0,0,L25/L26)</f>
        <v>1.5754909090909093</v>
      </c>
      <c r="M27" s="762"/>
      <c r="N27" s="762"/>
      <c r="O27" s="762"/>
      <c r="P27" s="762"/>
      <c r="Q27" s="762"/>
      <c r="R27" s="762"/>
      <c r="S27" s="762"/>
      <c r="T27" s="762"/>
      <c r="U27" s="762"/>
      <c r="V27" s="762"/>
      <c r="W27" s="762"/>
      <c r="X27" s="762"/>
      <c r="Y27" s="762"/>
      <c r="Z27" s="762"/>
      <c r="AA27" s="762"/>
      <c r="AB27" s="762"/>
      <c r="AC27" s="762"/>
      <c r="AD27" s="762"/>
      <c r="AE27" s="762"/>
      <c r="AF27" s="762"/>
      <c r="AG27" s="762"/>
      <c r="AH27" s="762"/>
      <c r="AI27" s="762"/>
      <c r="AJ27" s="762"/>
      <c r="AK27" s="762"/>
      <c r="AL27" s="762"/>
      <c r="AM27" s="762"/>
      <c r="AN27" s="762"/>
      <c r="AO27" s="762"/>
      <c r="AP27" s="762"/>
      <c r="AQ27" s="766">
        <f xml:space="preserve">
IF(AQ26=0,0,AQ25/AQ26)</f>
        <v>0</v>
      </c>
      <c r="AR27" s="762"/>
      <c r="AS27" s="782"/>
      <c r="AT27" s="785"/>
    </row>
    <row r="28" spans="1:46" ht="15" thickBot="1" x14ac:dyDescent="0.35">
      <c r="A28" s="376" t="s">
        <v>240</v>
      </c>
      <c r="B28" s="398">
        <f xml:space="preserve">
SUM(C28:AS28)</f>
        <v>-258.29717464939677</v>
      </c>
      <c r="C28" s="789">
        <f xml:space="preserve">
C26-C25</f>
        <v>0</v>
      </c>
      <c r="D28" s="767"/>
      <c r="E28" s="768"/>
      <c r="F28" s="769">
        <f xml:space="preserve">
F26-F25</f>
        <v>5017.0361586839372</v>
      </c>
      <c r="G28" s="768"/>
      <c r="H28" s="768"/>
      <c r="I28" s="768"/>
      <c r="J28" s="768"/>
      <c r="K28" s="768"/>
      <c r="L28" s="769">
        <f xml:space="preserve">
L26-L25</f>
        <v>-5275.3333333333339</v>
      </c>
      <c r="M28" s="768"/>
      <c r="N28" s="768"/>
      <c r="O28" s="768"/>
      <c r="P28" s="768"/>
      <c r="Q28" s="768"/>
      <c r="R28" s="768"/>
      <c r="S28" s="768"/>
      <c r="T28" s="768"/>
      <c r="U28" s="768"/>
      <c r="V28" s="768"/>
      <c r="W28" s="768"/>
      <c r="X28" s="768"/>
      <c r="Y28" s="768"/>
      <c r="Z28" s="768"/>
      <c r="AA28" s="768"/>
      <c r="AB28" s="768"/>
      <c r="AC28" s="768"/>
      <c r="AD28" s="768"/>
      <c r="AE28" s="768"/>
      <c r="AF28" s="768"/>
      <c r="AG28" s="768"/>
      <c r="AH28" s="768"/>
      <c r="AI28" s="768"/>
      <c r="AJ28" s="768"/>
      <c r="AK28" s="768"/>
      <c r="AL28" s="768"/>
      <c r="AM28" s="768"/>
      <c r="AN28" s="768"/>
      <c r="AO28" s="768"/>
      <c r="AP28" s="768"/>
      <c r="AQ28" s="769">
        <f xml:space="preserve">
AQ26-AQ25</f>
        <v>0</v>
      </c>
      <c r="AR28" s="768"/>
      <c r="AS28" s="784"/>
      <c r="AT28" s="785"/>
    </row>
    <row r="29" spans="1:46" x14ac:dyDescent="0.3">
      <c r="A29" s="377"/>
      <c r="B29" s="377"/>
      <c r="C29" s="378"/>
      <c r="D29" s="377"/>
      <c r="E29" s="377"/>
      <c r="F29" s="377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7"/>
      <c r="AJ29" s="377"/>
      <c r="AK29" s="377"/>
      <c r="AL29" s="377"/>
      <c r="AM29" s="377"/>
    </row>
    <row r="30" spans="1:46" x14ac:dyDescent="0.3">
      <c r="A30" s="212" t="s">
        <v>193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60"/>
      <c r="AL30" s="260"/>
      <c r="AM30" s="260"/>
    </row>
    <row r="31" spans="1:46" x14ac:dyDescent="0.3">
      <c r="A31" s="213" t="s">
        <v>238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60"/>
      <c r="AL31" s="260"/>
      <c r="AM31" s="260"/>
    </row>
    <row r="32" spans="1:46" ht="14.4" customHeight="1" x14ac:dyDescent="0.3">
      <c r="A32" s="415" t="s">
        <v>235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416"/>
    </row>
    <row r="33" spans="1:1" x14ac:dyDescent="0.3">
      <c r="A33" s="417" t="s">
        <v>337</v>
      </c>
    </row>
    <row r="34" spans="1:1" x14ac:dyDescent="0.3">
      <c r="A34" s="417" t="s">
        <v>338</v>
      </c>
    </row>
    <row r="35" spans="1:1" x14ac:dyDescent="0.3">
      <c r="A35" s="417" t="s">
        <v>339</v>
      </c>
    </row>
    <row r="36" spans="1:1" x14ac:dyDescent="0.3">
      <c r="A36" s="417" t="s">
        <v>340</v>
      </c>
    </row>
    <row r="37" spans="1:1" x14ac:dyDescent="0.3">
      <c r="A37" s="417" t="s">
        <v>244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9" priority="12" operator="greaterThan">
      <formula>1</formula>
    </cfRule>
  </conditionalFormatting>
  <conditionalFormatting sqref="C28">
    <cfRule type="cellIs" dxfId="28" priority="11" operator="lessThan">
      <formula>0</formula>
    </cfRule>
  </conditionalFormatting>
  <conditionalFormatting sqref="B22:AM22">
    <cfRule type="cellIs" dxfId="27" priority="10" operator="greaterThan">
      <formula>1</formula>
    </cfRule>
  </conditionalFormatting>
  <conditionalFormatting sqref="B23:AM23">
    <cfRule type="cellIs" dxfId="26" priority="9" operator="greaterThan">
      <formula>0</formula>
    </cfRule>
  </conditionalFormatting>
  <conditionalFormatting sqref="L28">
    <cfRule type="cellIs" dxfId="25" priority="5" operator="lessThan">
      <formula>0</formula>
    </cfRule>
  </conditionalFormatting>
  <conditionalFormatting sqref="L27">
    <cfRule type="cellIs" dxfId="24" priority="6" operator="greaterThan">
      <formula>1</formula>
    </cfRule>
  </conditionalFormatting>
  <conditionalFormatting sqref="F27">
    <cfRule type="cellIs" dxfId="23" priority="4" operator="greaterThan">
      <formula>1</formula>
    </cfRule>
  </conditionalFormatting>
  <conditionalFormatting sqref="F28">
    <cfRule type="cellIs" dxfId="22" priority="3" operator="lessThan">
      <formula>0</formula>
    </cfRule>
  </conditionalFormatting>
  <conditionalFormatting sqref="AQ28">
    <cfRule type="cellIs" dxfId="21" priority="1" operator="lessThan">
      <formula>0</formula>
    </cfRule>
  </conditionalFormatting>
  <conditionalFormatting sqref="AQ27">
    <cfRule type="cellIs" dxfId="2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2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1415</v>
      </c>
    </row>
    <row r="2" spans="1:49" x14ac:dyDescent="0.3">
      <c r="A2" s="360" t="s">
        <v>344</v>
      </c>
    </row>
    <row r="3" spans="1:49" x14ac:dyDescent="0.3">
      <c r="A3" s="356" t="s">
        <v>203</v>
      </c>
      <c r="B3" s="381">
        <v>2017</v>
      </c>
      <c r="D3" s="357">
        <f>MAX(D5:D1048576)</f>
        <v>2</v>
      </c>
      <c r="F3" s="357">
        <f>SUMIF($E5:$E1048576,"&lt;10",F5:F1048576)</f>
        <v>5767019.5</v>
      </c>
      <c r="G3" s="357">
        <f t="shared" ref="G3:AW3" si="0">SUMIF($E5:$E1048576,"&lt;10",G5:G1048576)</f>
        <v>0</v>
      </c>
      <c r="H3" s="357">
        <f t="shared" si="0"/>
        <v>0</v>
      </c>
      <c r="I3" s="357">
        <f t="shared" si="0"/>
        <v>52087</v>
      </c>
      <c r="J3" s="357">
        <f t="shared" si="0"/>
        <v>108415.5</v>
      </c>
      <c r="K3" s="357">
        <f t="shared" si="0"/>
        <v>118686</v>
      </c>
      <c r="L3" s="357">
        <f t="shared" si="0"/>
        <v>1386834.4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0</v>
      </c>
      <c r="Q3" s="357">
        <f t="shared" si="0"/>
        <v>813469.35</v>
      </c>
      <c r="R3" s="357">
        <f t="shared" si="0"/>
        <v>2155624.5</v>
      </c>
      <c r="S3" s="357">
        <f t="shared" si="0"/>
        <v>627693.5</v>
      </c>
      <c r="T3" s="357">
        <f t="shared" si="0"/>
        <v>333673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0</v>
      </c>
      <c r="AP3" s="357">
        <f t="shared" si="0"/>
        <v>0</v>
      </c>
      <c r="AQ3" s="357">
        <f t="shared" si="0"/>
        <v>0</v>
      </c>
      <c r="AR3" s="357">
        <f t="shared" si="0"/>
        <v>0</v>
      </c>
      <c r="AS3" s="357">
        <f t="shared" si="0"/>
        <v>0</v>
      </c>
      <c r="AT3" s="357">
        <f t="shared" si="0"/>
        <v>170536.25</v>
      </c>
      <c r="AU3" s="357">
        <f t="shared" si="0"/>
        <v>0</v>
      </c>
      <c r="AV3" s="357">
        <f t="shared" si="0"/>
        <v>0</v>
      </c>
      <c r="AW3" s="357">
        <f t="shared" si="0"/>
        <v>0</v>
      </c>
    </row>
    <row r="4" spans="1:49" x14ac:dyDescent="0.3">
      <c r="A4" s="356" t="s">
        <v>204</v>
      </c>
      <c r="B4" s="381">
        <v>1</v>
      </c>
      <c r="C4" s="358" t="s">
        <v>5</v>
      </c>
      <c r="D4" s="359" t="s">
        <v>61</v>
      </c>
      <c r="E4" s="359" t="s">
        <v>202</v>
      </c>
      <c r="F4" s="359" t="s">
        <v>3</v>
      </c>
      <c r="G4" s="359">
        <v>0</v>
      </c>
      <c r="H4" s="359">
        <v>25</v>
      </c>
      <c r="I4" s="359">
        <v>30</v>
      </c>
      <c r="J4" s="359">
        <v>99</v>
      </c>
      <c r="K4" s="359">
        <v>100</v>
      </c>
      <c r="L4" s="359">
        <v>101</v>
      </c>
      <c r="M4" s="359">
        <v>102</v>
      </c>
      <c r="N4" s="359">
        <v>103</v>
      </c>
      <c r="O4" s="359">
        <v>203</v>
      </c>
      <c r="P4" s="359">
        <v>302</v>
      </c>
      <c r="Q4" s="359">
        <v>303</v>
      </c>
      <c r="R4" s="359">
        <v>304</v>
      </c>
      <c r="S4" s="359">
        <v>305</v>
      </c>
      <c r="T4" s="359">
        <v>306</v>
      </c>
      <c r="U4" s="359">
        <v>407</v>
      </c>
      <c r="V4" s="359">
        <v>408</v>
      </c>
      <c r="W4" s="359">
        <v>409</v>
      </c>
      <c r="X4" s="359">
        <v>410</v>
      </c>
      <c r="Y4" s="359">
        <v>415</v>
      </c>
      <c r="Z4" s="359">
        <v>416</v>
      </c>
      <c r="AA4" s="359">
        <v>418</v>
      </c>
      <c r="AB4" s="359">
        <v>419</v>
      </c>
      <c r="AC4" s="359">
        <v>420</v>
      </c>
      <c r="AD4" s="359">
        <v>421</v>
      </c>
      <c r="AE4" s="359">
        <v>422</v>
      </c>
      <c r="AF4" s="359">
        <v>520</v>
      </c>
      <c r="AG4" s="359">
        <v>521</v>
      </c>
      <c r="AH4" s="359">
        <v>522</v>
      </c>
      <c r="AI4" s="359">
        <v>523</v>
      </c>
      <c r="AJ4" s="359">
        <v>524</v>
      </c>
      <c r="AK4" s="359">
        <v>525</v>
      </c>
      <c r="AL4" s="359">
        <v>526</v>
      </c>
      <c r="AM4" s="359">
        <v>527</v>
      </c>
      <c r="AN4" s="359">
        <v>528</v>
      </c>
      <c r="AO4" s="359">
        <v>629</v>
      </c>
      <c r="AP4" s="359">
        <v>630</v>
      </c>
      <c r="AQ4" s="359">
        <v>636</v>
      </c>
      <c r="AR4" s="359">
        <v>637</v>
      </c>
      <c r="AS4" s="359">
        <v>640</v>
      </c>
      <c r="AT4" s="359">
        <v>642</v>
      </c>
      <c r="AU4" s="359">
        <v>743</v>
      </c>
      <c r="AV4" s="359">
        <v>745</v>
      </c>
      <c r="AW4" s="359">
        <v>746</v>
      </c>
    </row>
    <row r="5" spans="1:49" x14ac:dyDescent="0.3">
      <c r="A5" s="356" t="s">
        <v>205</v>
      </c>
      <c r="B5" s="381">
        <v>2</v>
      </c>
      <c r="C5" s="356">
        <v>9</v>
      </c>
      <c r="D5" s="356">
        <v>1</v>
      </c>
      <c r="E5" s="356">
        <v>1</v>
      </c>
      <c r="F5" s="356">
        <v>69.05</v>
      </c>
      <c r="G5" s="356">
        <v>0</v>
      </c>
      <c r="H5" s="356">
        <v>0</v>
      </c>
      <c r="I5" s="356">
        <v>1</v>
      </c>
      <c r="J5" s="356">
        <v>1</v>
      </c>
      <c r="K5" s="356">
        <v>1</v>
      </c>
      <c r="L5" s="356">
        <v>7.3</v>
      </c>
      <c r="M5" s="356">
        <v>0</v>
      </c>
      <c r="N5" s="356">
        <v>0</v>
      </c>
      <c r="O5" s="356">
        <v>0</v>
      </c>
      <c r="P5" s="356">
        <v>0</v>
      </c>
      <c r="Q5" s="356">
        <v>12.5</v>
      </c>
      <c r="R5" s="356">
        <v>28</v>
      </c>
      <c r="S5" s="356">
        <v>7.75</v>
      </c>
      <c r="T5" s="356">
        <v>6.5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0</v>
      </c>
      <c r="AP5" s="356">
        <v>0</v>
      </c>
      <c r="AQ5" s="356">
        <v>0</v>
      </c>
      <c r="AR5" s="356">
        <v>0</v>
      </c>
      <c r="AS5" s="356">
        <v>0</v>
      </c>
      <c r="AT5" s="356">
        <v>4</v>
      </c>
      <c r="AU5" s="356">
        <v>0</v>
      </c>
      <c r="AV5" s="356">
        <v>0</v>
      </c>
      <c r="AW5" s="356">
        <v>0</v>
      </c>
    </row>
    <row r="6" spans="1:49" x14ac:dyDescent="0.3">
      <c r="A6" s="356" t="s">
        <v>206</v>
      </c>
      <c r="B6" s="381">
        <v>3</v>
      </c>
      <c r="C6" s="356">
        <v>9</v>
      </c>
      <c r="D6" s="356">
        <v>1</v>
      </c>
      <c r="E6" s="356">
        <v>2</v>
      </c>
      <c r="F6" s="356">
        <v>11509.119999999999</v>
      </c>
      <c r="G6" s="356">
        <v>0</v>
      </c>
      <c r="H6" s="356">
        <v>0</v>
      </c>
      <c r="I6" s="356">
        <v>168</v>
      </c>
      <c r="J6" s="356">
        <v>176</v>
      </c>
      <c r="K6" s="356">
        <v>176</v>
      </c>
      <c r="L6" s="356">
        <v>1260.8</v>
      </c>
      <c r="M6" s="356">
        <v>0</v>
      </c>
      <c r="N6" s="356">
        <v>0</v>
      </c>
      <c r="O6" s="356">
        <v>0</v>
      </c>
      <c r="P6" s="356">
        <v>0</v>
      </c>
      <c r="Q6" s="356">
        <v>2000.57</v>
      </c>
      <c r="R6" s="356">
        <v>4707.5</v>
      </c>
      <c r="S6" s="356">
        <v>1304</v>
      </c>
      <c r="T6" s="356">
        <v>1104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0</v>
      </c>
      <c r="AP6" s="356">
        <v>0</v>
      </c>
      <c r="AQ6" s="356">
        <v>0</v>
      </c>
      <c r="AR6" s="356">
        <v>0</v>
      </c>
      <c r="AS6" s="356">
        <v>0</v>
      </c>
      <c r="AT6" s="356">
        <v>612.25</v>
      </c>
      <c r="AU6" s="356">
        <v>0</v>
      </c>
      <c r="AV6" s="356">
        <v>0</v>
      </c>
      <c r="AW6" s="356">
        <v>0</v>
      </c>
    </row>
    <row r="7" spans="1:49" x14ac:dyDescent="0.3">
      <c r="A7" s="356" t="s">
        <v>207</v>
      </c>
      <c r="B7" s="381">
        <v>4</v>
      </c>
      <c r="C7" s="356">
        <v>9</v>
      </c>
      <c r="D7" s="356">
        <v>1</v>
      </c>
      <c r="E7" s="356">
        <v>3</v>
      </c>
      <c r="F7" s="356">
        <v>42.230000000000004</v>
      </c>
      <c r="G7" s="356">
        <v>0</v>
      </c>
      <c r="H7" s="356">
        <v>0</v>
      </c>
      <c r="I7" s="356">
        <v>0</v>
      </c>
      <c r="J7" s="356">
        <v>0</v>
      </c>
      <c r="K7" s="356">
        <v>0</v>
      </c>
      <c r="L7" s="356">
        <v>0</v>
      </c>
      <c r="M7" s="356">
        <v>0</v>
      </c>
      <c r="N7" s="356">
        <v>0</v>
      </c>
      <c r="O7" s="356">
        <v>0</v>
      </c>
      <c r="P7" s="356">
        <v>0</v>
      </c>
      <c r="Q7" s="356">
        <v>32.230000000000004</v>
      </c>
      <c r="R7" s="356">
        <v>10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208</v>
      </c>
      <c r="B8" s="381">
        <v>5</v>
      </c>
      <c r="C8" s="356">
        <v>9</v>
      </c>
      <c r="D8" s="356">
        <v>1</v>
      </c>
      <c r="E8" s="356">
        <v>4</v>
      </c>
      <c r="F8" s="356">
        <v>342.25</v>
      </c>
      <c r="G8" s="356">
        <v>0</v>
      </c>
      <c r="H8" s="356">
        <v>0</v>
      </c>
      <c r="I8" s="356">
        <v>0</v>
      </c>
      <c r="J8" s="356">
        <v>34</v>
      </c>
      <c r="K8" s="356">
        <v>32</v>
      </c>
      <c r="L8" s="356">
        <v>194</v>
      </c>
      <c r="M8" s="356">
        <v>0</v>
      </c>
      <c r="N8" s="356">
        <v>0</v>
      </c>
      <c r="O8" s="356">
        <v>0</v>
      </c>
      <c r="P8" s="356">
        <v>0</v>
      </c>
      <c r="Q8" s="356">
        <v>0</v>
      </c>
      <c r="R8" s="356">
        <v>12</v>
      </c>
      <c r="S8" s="356">
        <v>10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0</v>
      </c>
      <c r="AP8" s="356">
        <v>0</v>
      </c>
      <c r="AQ8" s="356">
        <v>0</v>
      </c>
      <c r="AR8" s="356">
        <v>0</v>
      </c>
      <c r="AS8" s="356">
        <v>0</v>
      </c>
      <c r="AT8" s="356">
        <v>60.25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209</v>
      </c>
      <c r="B9" s="381">
        <v>6</v>
      </c>
      <c r="C9" s="356">
        <v>9</v>
      </c>
      <c r="D9" s="356">
        <v>1</v>
      </c>
      <c r="E9" s="356">
        <v>5</v>
      </c>
      <c r="F9" s="356">
        <v>82.5</v>
      </c>
      <c r="G9" s="356">
        <v>0</v>
      </c>
      <c r="H9" s="356">
        <v>0</v>
      </c>
      <c r="I9" s="356">
        <v>0</v>
      </c>
      <c r="J9" s="356">
        <v>0</v>
      </c>
      <c r="K9" s="356">
        <v>0</v>
      </c>
      <c r="L9" s="356">
        <v>82.5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210</v>
      </c>
      <c r="B10" s="381">
        <v>7</v>
      </c>
      <c r="C10" s="356">
        <v>9</v>
      </c>
      <c r="D10" s="356">
        <v>1</v>
      </c>
      <c r="E10" s="356">
        <v>6</v>
      </c>
      <c r="F10" s="356">
        <v>2901336</v>
      </c>
      <c r="G10" s="356">
        <v>0</v>
      </c>
      <c r="H10" s="356">
        <v>0</v>
      </c>
      <c r="I10" s="356">
        <v>25907</v>
      </c>
      <c r="J10" s="356">
        <v>53011</v>
      </c>
      <c r="K10" s="356">
        <v>61834</v>
      </c>
      <c r="L10" s="356">
        <v>695582</v>
      </c>
      <c r="M10" s="356">
        <v>0</v>
      </c>
      <c r="N10" s="356">
        <v>0</v>
      </c>
      <c r="O10" s="356">
        <v>0</v>
      </c>
      <c r="P10" s="356">
        <v>0</v>
      </c>
      <c r="Q10" s="356">
        <v>423754</v>
      </c>
      <c r="R10" s="356">
        <v>1080968</v>
      </c>
      <c r="S10" s="356">
        <v>311832</v>
      </c>
      <c r="T10" s="356">
        <v>158775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0</v>
      </c>
      <c r="AP10" s="356">
        <v>0</v>
      </c>
      <c r="AQ10" s="356">
        <v>0</v>
      </c>
      <c r="AR10" s="356">
        <v>0</v>
      </c>
      <c r="AS10" s="356">
        <v>0</v>
      </c>
      <c r="AT10" s="356">
        <v>89673</v>
      </c>
      <c r="AU10" s="356">
        <v>0</v>
      </c>
      <c r="AV10" s="356">
        <v>0</v>
      </c>
      <c r="AW10" s="356">
        <v>0</v>
      </c>
    </row>
    <row r="11" spans="1:49" x14ac:dyDescent="0.3">
      <c r="A11" s="356" t="s">
        <v>211</v>
      </c>
      <c r="B11" s="381">
        <v>8</v>
      </c>
      <c r="C11" s="356">
        <v>9</v>
      </c>
      <c r="D11" s="356">
        <v>1</v>
      </c>
      <c r="E11" s="356">
        <v>9</v>
      </c>
      <c r="F11" s="356">
        <v>26756</v>
      </c>
      <c r="G11" s="356">
        <v>0</v>
      </c>
      <c r="H11" s="356">
        <v>0</v>
      </c>
      <c r="I11" s="356">
        <v>0</v>
      </c>
      <c r="J11" s="356">
        <v>2000</v>
      </c>
      <c r="K11" s="356">
        <v>2000</v>
      </c>
      <c r="L11" s="356">
        <v>16000</v>
      </c>
      <c r="M11" s="356">
        <v>0</v>
      </c>
      <c r="N11" s="356">
        <v>0</v>
      </c>
      <c r="O11" s="356">
        <v>0</v>
      </c>
      <c r="P11" s="356">
        <v>0</v>
      </c>
      <c r="Q11" s="356">
        <v>0</v>
      </c>
      <c r="R11" s="356">
        <v>6171</v>
      </c>
      <c r="S11" s="356">
        <v>585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212</v>
      </c>
      <c r="B12" s="381">
        <v>9</v>
      </c>
      <c r="C12" s="356">
        <v>9</v>
      </c>
      <c r="D12" s="356">
        <v>1</v>
      </c>
      <c r="E12" s="356">
        <v>10</v>
      </c>
      <c r="F12" s="356">
        <v>11442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0</v>
      </c>
      <c r="P12" s="356">
        <v>11442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213</v>
      </c>
      <c r="B13" s="381">
        <v>10</v>
      </c>
      <c r="C13" s="356">
        <v>9</v>
      </c>
      <c r="D13" s="356">
        <v>1</v>
      </c>
      <c r="E13" s="356">
        <v>11</v>
      </c>
      <c r="F13" s="356">
        <v>7091.8514126753016</v>
      </c>
      <c r="G13" s="356">
        <v>0</v>
      </c>
      <c r="H13" s="356">
        <v>0</v>
      </c>
      <c r="I13" s="356">
        <v>0</v>
      </c>
      <c r="J13" s="356">
        <v>0</v>
      </c>
      <c r="K13" s="356">
        <v>2508.5180793419686</v>
      </c>
      <c r="L13" s="356">
        <v>0</v>
      </c>
      <c r="M13" s="356">
        <v>0</v>
      </c>
      <c r="N13" s="356">
        <v>0</v>
      </c>
      <c r="O13" s="356">
        <v>0</v>
      </c>
      <c r="P13" s="356">
        <v>4583.333333333333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214</v>
      </c>
      <c r="B14" s="381">
        <v>11</v>
      </c>
      <c r="C14" s="356">
        <v>9</v>
      </c>
      <c r="D14" s="356">
        <v>2</v>
      </c>
      <c r="E14" s="356">
        <v>1</v>
      </c>
      <c r="F14" s="356">
        <v>68.8</v>
      </c>
      <c r="G14" s="356">
        <v>0</v>
      </c>
      <c r="H14" s="356">
        <v>0</v>
      </c>
      <c r="I14" s="356">
        <v>1</v>
      </c>
      <c r="J14" s="356">
        <v>1</v>
      </c>
      <c r="K14" s="356">
        <v>1</v>
      </c>
      <c r="L14" s="356">
        <v>7.3</v>
      </c>
      <c r="M14" s="356">
        <v>0</v>
      </c>
      <c r="N14" s="356">
        <v>0</v>
      </c>
      <c r="O14" s="356">
        <v>0</v>
      </c>
      <c r="P14" s="356">
        <v>0</v>
      </c>
      <c r="Q14" s="356">
        <v>12.25</v>
      </c>
      <c r="R14" s="356">
        <v>28</v>
      </c>
      <c r="S14" s="356">
        <v>7.75</v>
      </c>
      <c r="T14" s="356">
        <v>6.5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0</v>
      </c>
      <c r="AP14" s="356">
        <v>0</v>
      </c>
      <c r="AQ14" s="356">
        <v>0</v>
      </c>
      <c r="AR14" s="356">
        <v>0</v>
      </c>
      <c r="AS14" s="356">
        <v>0</v>
      </c>
      <c r="AT14" s="356">
        <v>4</v>
      </c>
      <c r="AU14" s="356">
        <v>0</v>
      </c>
      <c r="AV14" s="356">
        <v>0</v>
      </c>
      <c r="AW14" s="356">
        <v>0</v>
      </c>
    </row>
    <row r="15" spans="1:49" x14ac:dyDescent="0.3">
      <c r="A15" s="356" t="s">
        <v>215</v>
      </c>
      <c r="B15" s="381">
        <v>12</v>
      </c>
      <c r="C15" s="356">
        <v>9</v>
      </c>
      <c r="D15" s="356">
        <v>2</v>
      </c>
      <c r="E15" s="356">
        <v>2</v>
      </c>
      <c r="F15" s="356">
        <v>10078.049999999999</v>
      </c>
      <c r="G15" s="356">
        <v>0</v>
      </c>
      <c r="H15" s="356">
        <v>0</v>
      </c>
      <c r="I15" s="356">
        <v>160</v>
      </c>
      <c r="J15" s="356">
        <v>160</v>
      </c>
      <c r="K15" s="356">
        <v>160</v>
      </c>
      <c r="L15" s="356">
        <v>1152</v>
      </c>
      <c r="M15" s="356">
        <v>0</v>
      </c>
      <c r="N15" s="356">
        <v>0</v>
      </c>
      <c r="O15" s="356">
        <v>0</v>
      </c>
      <c r="P15" s="356">
        <v>0</v>
      </c>
      <c r="Q15" s="356">
        <v>1709.3</v>
      </c>
      <c r="R15" s="356">
        <v>4084</v>
      </c>
      <c r="S15" s="356">
        <v>1084</v>
      </c>
      <c r="T15" s="356">
        <v>972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0</v>
      </c>
      <c r="AP15" s="356">
        <v>0</v>
      </c>
      <c r="AQ15" s="356">
        <v>0</v>
      </c>
      <c r="AR15" s="356">
        <v>0</v>
      </c>
      <c r="AS15" s="356">
        <v>0</v>
      </c>
      <c r="AT15" s="356">
        <v>596.75</v>
      </c>
      <c r="AU15" s="356">
        <v>0</v>
      </c>
      <c r="AV15" s="356">
        <v>0</v>
      </c>
      <c r="AW15" s="356">
        <v>0</v>
      </c>
    </row>
    <row r="16" spans="1:49" x14ac:dyDescent="0.3">
      <c r="A16" s="356" t="s">
        <v>203</v>
      </c>
      <c r="B16" s="381">
        <v>2017</v>
      </c>
      <c r="C16" s="356">
        <v>9</v>
      </c>
      <c r="D16" s="356">
        <v>2</v>
      </c>
      <c r="E16" s="356">
        <v>3</v>
      </c>
      <c r="F16" s="356">
        <v>212.5</v>
      </c>
      <c r="G16" s="356">
        <v>0</v>
      </c>
      <c r="H16" s="356">
        <v>0</v>
      </c>
      <c r="I16" s="356">
        <v>0</v>
      </c>
      <c r="J16" s="356">
        <v>11.5</v>
      </c>
      <c r="K16" s="356">
        <v>0</v>
      </c>
      <c r="L16" s="356">
        <v>11.5</v>
      </c>
      <c r="M16" s="356">
        <v>0</v>
      </c>
      <c r="N16" s="356">
        <v>0</v>
      </c>
      <c r="O16" s="356">
        <v>0</v>
      </c>
      <c r="P16" s="356">
        <v>0</v>
      </c>
      <c r="Q16" s="356">
        <v>109.5</v>
      </c>
      <c r="R16" s="356">
        <v>55</v>
      </c>
      <c r="S16" s="356">
        <v>10</v>
      </c>
      <c r="T16" s="356">
        <v>15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9</v>
      </c>
      <c r="D17" s="356">
        <v>2</v>
      </c>
      <c r="E17" s="356">
        <v>4</v>
      </c>
      <c r="F17" s="356">
        <v>319</v>
      </c>
      <c r="G17" s="356">
        <v>0</v>
      </c>
      <c r="H17" s="356">
        <v>0</v>
      </c>
      <c r="I17" s="356">
        <v>0</v>
      </c>
      <c r="J17" s="356">
        <v>34</v>
      </c>
      <c r="K17" s="356">
        <v>28</v>
      </c>
      <c r="L17" s="356">
        <v>177</v>
      </c>
      <c r="M17" s="356">
        <v>0</v>
      </c>
      <c r="N17" s="356">
        <v>0</v>
      </c>
      <c r="O17" s="356">
        <v>0</v>
      </c>
      <c r="P17" s="356">
        <v>0</v>
      </c>
      <c r="Q17" s="356">
        <v>0</v>
      </c>
      <c r="R17" s="356">
        <v>40</v>
      </c>
      <c r="S17" s="356">
        <v>10</v>
      </c>
      <c r="T17" s="356">
        <v>30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0</v>
      </c>
      <c r="AP17" s="356">
        <v>0</v>
      </c>
      <c r="AQ17" s="356">
        <v>0</v>
      </c>
      <c r="AR17" s="356">
        <v>0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9</v>
      </c>
      <c r="D18" s="356">
        <v>2</v>
      </c>
      <c r="E18" s="356">
        <v>5</v>
      </c>
      <c r="F18" s="356">
        <v>50</v>
      </c>
      <c r="G18" s="356">
        <v>0</v>
      </c>
      <c r="H18" s="356">
        <v>0</v>
      </c>
      <c r="I18" s="356">
        <v>0</v>
      </c>
      <c r="J18" s="356">
        <v>0</v>
      </c>
      <c r="K18" s="356">
        <v>0</v>
      </c>
      <c r="L18" s="356">
        <v>50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9</v>
      </c>
      <c r="D19" s="356">
        <v>2</v>
      </c>
      <c r="E19" s="356">
        <v>6</v>
      </c>
      <c r="F19" s="356">
        <v>2805730</v>
      </c>
      <c r="G19" s="356">
        <v>0</v>
      </c>
      <c r="H19" s="356">
        <v>0</v>
      </c>
      <c r="I19" s="356">
        <v>25850</v>
      </c>
      <c r="J19" s="356">
        <v>52987</v>
      </c>
      <c r="K19" s="356">
        <v>54454</v>
      </c>
      <c r="L19" s="356">
        <v>672310</v>
      </c>
      <c r="M19" s="356">
        <v>0</v>
      </c>
      <c r="N19" s="356">
        <v>0</v>
      </c>
      <c r="O19" s="356">
        <v>0</v>
      </c>
      <c r="P19" s="356">
        <v>0</v>
      </c>
      <c r="Q19" s="356">
        <v>383230</v>
      </c>
      <c r="R19" s="356">
        <v>1056395</v>
      </c>
      <c r="S19" s="356">
        <v>311280</v>
      </c>
      <c r="T19" s="356">
        <v>169638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0</v>
      </c>
      <c r="AP19" s="356">
        <v>0</v>
      </c>
      <c r="AQ19" s="356">
        <v>0</v>
      </c>
      <c r="AR19" s="356">
        <v>0</v>
      </c>
      <c r="AS19" s="356">
        <v>0</v>
      </c>
      <c r="AT19" s="356">
        <v>79586</v>
      </c>
      <c r="AU19" s="356">
        <v>0</v>
      </c>
      <c r="AV19" s="356">
        <v>0</v>
      </c>
      <c r="AW19" s="356">
        <v>0</v>
      </c>
    </row>
    <row r="20" spans="3:49" x14ac:dyDescent="0.3">
      <c r="C20" s="356">
        <v>9</v>
      </c>
      <c r="D20" s="356">
        <v>2</v>
      </c>
      <c r="E20" s="356">
        <v>9</v>
      </c>
      <c r="F20" s="356">
        <v>10424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0</v>
      </c>
      <c r="Q20" s="356">
        <v>2609</v>
      </c>
      <c r="R20" s="356">
        <v>3126</v>
      </c>
      <c r="S20" s="356">
        <v>1563</v>
      </c>
      <c r="T20" s="356">
        <v>3126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9</v>
      </c>
      <c r="D21" s="356">
        <v>2</v>
      </c>
      <c r="E21" s="356">
        <v>10</v>
      </c>
      <c r="F21" s="356">
        <v>3000</v>
      </c>
      <c r="G21" s="356">
        <v>0</v>
      </c>
      <c r="H21" s="356">
        <v>0</v>
      </c>
      <c r="I21" s="356">
        <v>0</v>
      </c>
      <c r="J21" s="356">
        <v>0</v>
      </c>
      <c r="K21" s="356">
        <v>0</v>
      </c>
      <c r="L21" s="356">
        <v>0</v>
      </c>
      <c r="M21" s="356">
        <v>0</v>
      </c>
      <c r="N21" s="356">
        <v>0</v>
      </c>
      <c r="O21" s="356">
        <v>0</v>
      </c>
      <c r="P21" s="356">
        <v>3000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9</v>
      </c>
      <c r="D22" s="356">
        <v>2</v>
      </c>
      <c r="E22" s="356">
        <v>11</v>
      </c>
      <c r="F22" s="356">
        <v>7091.8514126753016</v>
      </c>
      <c r="G22" s="356">
        <v>0</v>
      </c>
      <c r="H22" s="356">
        <v>0</v>
      </c>
      <c r="I22" s="356">
        <v>0</v>
      </c>
      <c r="J22" s="356">
        <v>0</v>
      </c>
      <c r="K22" s="356">
        <v>2508.5180793419686</v>
      </c>
      <c r="L22" s="356">
        <v>0</v>
      </c>
      <c r="M22" s="356">
        <v>0</v>
      </c>
      <c r="N22" s="356">
        <v>0</v>
      </c>
      <c r="O22" s="356">
        <v>0</v>
      </c>
      <c r="P22" s="356">
        <v>4583.333333333333</v>
      </c>
      <c r="Q22" s="356">
        <v>0</v>
      </c>
      <c r="R22" s="356">
        <v>0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0</v>
      </c>
      <c r="AP22" s="356">
        <v>0</v>
      </c>
      <c r="AQ22" s="356">
        <v>0</v>
      </c>
      <c r="AR22" s="356">
        <v>0</v>
      </c>
      <c r="AS22" s="356">
        <v>0</v>
      </c>
      <c r="AT22" s="356">
        <v>0</v>
      </c>
      <c r="AU22" s="356">
        <v>0</v>
      </c>
      <c r="AV22" s="356">
        <v>0</v>
      </c>
      <c r="AW22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0" bestFit="1" customWidth="1"/>
    <col min="2" max="2" width="11.6640625" style="260" hidden="1" customWidth="1"/>
    <col min="3" max="4" width="11" style="262" customWidth="1"/>
    <col min="5" max="5" width="11" style="263" customWidth="1"/>
    <col min="6" max="16384" width="8.88671875" style="260"/>
  </cols>
  <sheetData>
    <row r="1" spans="1:5" ht="18.600000000000001" thickBot="1" x14ac:dyDescent="0.4">
      <c r="A1" s="504" t="s">
        <v>143</v>
      </c>
      <c r="B1" s="504"/>
      <c r="C1" s="505"/>
      <c r="D1" s="505"/>
      <c r="E1" s="505"/>
    </row>
    <row r="2" spans="1:5" ht="14.4" customHeight="1" thickBot="1" x14ac:dyDescent="0.35">
      <c r="A2" s="360" t="s">
        <v>344</v>
      </c>
      <c r="B2" s="261"/>
    </row>
    <row r="3" spans="1:5" ht="14.4" customHeight="1" thickBot="1" x14ac:dyDescent="0.35">
      <c r="A3" s="264"/>
      <c r="C3" s="265" t="s">
        <v>124</v>
      </c>
      <c r="D3" s="266" t="s">
        <v>87</v>
      </c>
      <c r="E3" s="267" t="s">
        <v>89</v>
      </c>
    </row>
    <row r="4" spans="1:5" ht="14.4" customHeight="1" thickBot="1" x14ac:dyDescent="0.35">
      <c r="A4" s="268" t="str">
        <f>HYPERLINK("#HI!A1","NÁKLADY CELKEM (v tisících Kč)")</f>
        <v>NÁKLADY CELKEM (v tisících Kč)</v>
      </c>
      <c r="B4" s="269"/>
      <c r="C4" s="270">
        <f ca="1">IF(ISERROR(VLOOKUP("Náklady celkem",INDIRECT("HI!$A:$G"),6,0)),0,VLOOKUP("Náklady celkem",INDIRECT("HI!$A:$G"),6,0))</f>
        <v>12071.889549062524</v>
      </c>
      <c r="D4" s="270">
        <f ca="1">IF(ISERROR(VLOOKUP("Náklady celkem",INDIRECT("HI!$A:$G"),5,0)),0,VLOOKUP("Náklady celkem",INDIRECT("HI!$A:$G"),5,0))</f>
        <v>11618.458739999998</v>
      </c>
      <c r="E4" s="271">
        <f ca="1">IF(C4=0,0,D4/C4)</f>
        <v>0.96243911881237032</v>
      </c>
    </row>
    <row r="5" spans="1:5" ht="14.4" customHeight="1" x14ac:dyDescent="0.3">
      <c r="A5" s="272" t="s">
        <v>185</v>
      </c>
      <c r="B5" s="273"/>
      <c r="C5" s="274"/>
      <c r="D5" s="274"/>
      <c r="E5" s="275"/>
    </row>
    <row r="6" spans="1:5" ht="14.4" customHeight="1" x14ac:dyDescent="0.3">
      <c r="A6" s="276" t="s">
        <v>190</v>
      </c>
      <c r="B6" s="277"/>
      <c r="C6" s="278"/>
      <c r="D6" s="278"/>
      <c r="E6" s="275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7" t="s">
        <v>129</v>
      </c>
      <c r="C7" s="278">
        <f>IF(ISERROR(HI!F5),"",HI!F5)</f>
        <v>1276.666666666667</v>
      </c>
      <c r="D7" s="278">
        <f>IF(ISERROR(HI!E5),"",HI!E5)</f>
        <v>1400.96126</v>
      </c>
      <c r="E7" s="275">
        <f t="shared" ref="E7:E15" si="0">IF(C7=0,0,D7/C7)</f>
        <v>1.0973586892950389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7" t="s">
        <v>178</v>
      </c>
      <c r="C8" s="279">
        <v>0.9</v>
      </c>
      <c r="D8" s="279">
        <f>IF(ISERROR(VLOOKUP("celkem",'LŽ PL'!$A:$F,5,0)),0,VLOOKUP("celkem",'LŽ PL'!$A:$F,5,0))</f>
        <v>0.94139973476000083</v>
      </c>
      <c r="E8" s="275">
        <f t="shared" si="0"/>
        <v>1.0459997052888899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282</v>
      </c>
      <c r="C9" s="443">
        <v>0.3</v>
      </c>
      <c r="D9" s="443">
        <f>IF('LŽ Statim'!G3="",0,'LŽ Statim'!G3)</f>
        <v>0.17927823050058206</v>
      </c>
      <c r="E9" s="275">
        <f>IF(C9=0,0,D9/C9)</f>
        <v>0.59759410166860694</v>
      </c>
    </row>
    <row r="10" spans="1:5" ht="14.4" customHeight="1" x14ac:dyDescent="0.3">
      <c r="A10" s="280" t="s">
        <v>186</v>
      </c>
      <c r="B10" s="277"/>
      <c r="C10" s="278"/>
      <c r="D10" s="278"/>
      <c r="E10" s="275"/>
    </row>
    <row r="11" spans="1:5" ht="14.4" customHeight="1" x14ac:dyDescent="0.3">
      <c r="A11" s="444" t="str">
        <f>HYPERLINK("#'Léky Recepty'!A1","Záchyt v lékárně (Úhrada Kč, min. 60%)")</f>
        <v>Záchyt v lékárně (Úhrada Kč, min. 60%)</v>
      </c>
      <c r="B11" s="277" t="s">
        <v>134</v>
      </c>
      <c r="C11" s="279">
        <v>0.6</v>
      </c>
      <c r="D11" s="279">
        <f>IF(ISERROR(VLOOKUP("Celkem",'Léky Recepty'!B:H,5,0)),0,VLOOKUP("Celkem",'Léky Recepty'!B:H,5,0))</f>
        <v>0.87374770567110505</v>
      </c>
      <c r="E11" s="275">
        <f t="shared" si="0"/>
        <v>1.4562461761185084</v>
      </c>
    </row>
    <row r="12" spans="1:5" ht="14.4" customHeight="1" x14ac:dyDescent="0.3">
      <c r="A12" s="444" t="str">
        <f>HYPERLINK("#'LRp PL'!A1","Plnění pozitivního listu (min. 80%)")</f>
        <v>Plnění pozitivního listu (min. 80%)</v>
      </c>
      <c r="B12" s="277" t="s">
        <v>179</v>
      </c>
      <c r="C12" s="279">
        <v>0.8</v>
      </c>
      <c r="D12" s="279">
        <f>IF(ISERROR(VLOOKUP("Celkem",'LRp PL'!A:F,5,0)),0,VLOOKUP("Celkem",'LRp PL'!A:F,5,0))</f>
        <v>0.93320565118878274</v>
      </c>
      <c r="E12" s="275">
        <f t="shared" si="0"/>
        <v>1.1665070639859783</v>
      </c>
    </row>
    <row r="13" spans="1:5" ht="14.4" customHeight="1" x14ac:dyDescent="0.3">
      <c r="A13" s="280" t="s">
        <v>187</v>
      </c>
      <c r="B13" s="277"/>
      <c r="C13" s="278"/>
      <c r="D13" s="278"/>
      <c r="E13" s="275"/>
    </row>
    <row r="14" spans="1:5" ht="14.4" customHeight="1" x14ac:dyDescent="0.3">
      <c r="A14" s="281" t="s">
        <v>191</v>
      </c>
      <c r="B14" s="277"/>
      <c r="C14" s="274"/>
      <c r="D14" s="274"/>
      <c r="E14" s="275"/>
    </row>
    <row r="15" spans="1:5" ht="14.4" customHeight="1" x14ac:dyDescent="0.3">
      <c r="A15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77" t="s">
        <v>129</v>
      </c>
      <c r="C15" s="278">
        <f>IF(ISERROR(HI!F6),"",HI!F6)</f>
        <v>802.85345378033662</v>
      </c>
      <c r="D15" s="278">
        <f>IF(ISERROR(HI!E6),"",HI!E6)</f>
        <v>741.90528999999992</v>
      </c>
      <c r="E15" s="275">
        <f t="shared" si="0"/>
        <v>0.92408556817766108</v>
      </c>
    </row>
    <row r="16" spans="1:5" ht="14.4" customHeight="1" thickBot="1" x14ac:dyDescent="0.35">
      <c r="A16" s="283" t="str">
        <f>HYPERLINK("#HI!A1","Osobní náklady")</f>
        <v>Osobní náklady</v>
      </c>
      <c r="B16" s="277"/>
      <c r="C16" s="274">
        <f ca="1">IF(ISERROR(VLOOKUP("Osobní náklady (Kč) *",INDIRECT("HI!$A:$G"),6,0)),0,VLOOKUP("Osobní náklady (Kč) *",INDIRECT("HI!$A:$G"),6,0))</f>
        <v>8304.1666666666679</v>
      </c>
      <c r="D16" s="274">
        <f ca="1">IF(ISERROR(VLOOKUP("Osobní náklady (Kč) *",INDIRECT("HI!$A:$G"),5,0)),0,VLOOKUP("Osobní náklady (Kč) *",INDIRECT("HI!$A:$G"),5,0))</f>
        <v>7752.4254000000001</v>
      </c>
      <c r="E16" s="275">
        <f ca="1">IF(C16=0,0,D16/C16)</f>
        <v>0.93355850275965868</v>
      </c>
    </row>
    <row r="17" spans="1:5" ht="14.4" customHeight="1" thickBot="1" x14ac:dyDescent="0.35">
      <c r="A17" s="287"/>
      <c r="B17" s="288"/>
      <c r="C17" s="289"/>
      <c r="D17" s="289"/>
      <c r="E17" s="290"/>
    </row>
    <row r="18" spans="1:5" ht="14.4" customHeight="1" thickBot="1" x14ac:dyDescent="0.35">
      <c r="A18" s="291" t="str">
        <f>HYPERLINK("#HI!A1","VÝNOSY CELKEM (v tisících)")</f>
        <v>VÝNOSY CELKEM (v tisících)</v>
      </c>
      <c r="B18" s="292"/>
      <c r="C18" s="293">
        <f ca="1">IF(ISERROR(VLOOKUP("Výnosy celkem",INDIRECT("HI!$A:$G"),6,0)),0,VLOOKUP("Výnosy celkem",INDIRECT("HI!$A:$G"),6,0))</f>
        <v>10664.708000000001</v>
      </c>
      <c r="D18" s="293">
        <f ca="1">IF(ISERROR(VLOOKUP("Výnosy celkem",INDIRECT("HI!$A:$G"),5,0)),0,VLOOKUP("Výnosy celkem",INDIRECT("HI!$A:$G"),5,0))</f>
        <v>15079.377999999999</v>
      </c>
      <c r="E18" s="294">
        <f t="shared" ref="E18:E31" ca="1" si="1">IF(C18=0,0,D18/C18)</f>
        <v>1.4139513243119266</v>
      </c>
    </row>
    <row r="19" spans="1:5" ht="14.4" customHeight="1" x14ac:dyDescent="0.3">
      <c r="A19" s="295" t="str">
        <f>HYPERLINK("#HI!A1","Ambulance (body za výkony + Kč za ZUM a ZULP)")</f>
        <v>Ambulance (body za výkony + Kč za ZUM a ZULP)</v>
      </c>
      <c r="B19" s="273"/>
      <c r="C19" s="274">
        <f ca="1">IF(ISERROR(VLOOKUP("Ambulance *",INDIRECT("HI!$A:$G"),6,0)),0,VLOOKUP("Ambulance *",INDIRECT("HI!$A:$G"),6,0))</f>
        <v>81.787999999999997</v>
      </c>
      <c r="D19" s="274">
        <f ca="1">IF(ISERROR(VLOOKUP("Ambulance *",INDIRECT("HI!$A:$G"),5,0)),0,VLOOKUP("Ambulance *",INDIRECT("HI!$A:$G"),5,0))</f>
        <v>81.358000000000004</v>
      </c>
      <c r="E19" s="275">
        <f t="shared" ca="1" si="1"/>
        <v>0.99474250501296047</v>
      </c>
    </row>
    <row r="20" spans="1:5" ht="14.4" customHeight="1" x14ac:dyDescent="0.3">
      <c r="A20" s="480" t="str">
        <f>HYPERLINK("#'ZV Vykáz.-A'!A1","Zdravotní výkony vykázané u ambulantních pacientů (min. 100 % 2016)")</f>
        <v>Zdravotní výkony vykázané u ambulantních pacientů (min. 100 % 2016)</v>
      </c>
      <c r="B20" s="481" t="s">
        <v>145</v>
      </c>
      <c r="C20" s="279">
        <v>1</v>
      </c>
      <c r="D20" s="279">
        <f>IF(ISERROR(VLOOKUP("Celkem:",'ZV Vykáz.-A'!$A:$AB,10,0)),"",VLOOKUP("Celkem:",'ZV Vykáz.-A'!$A:$AB,10,0))</f>
        <v>0.99474250501296035</v>
      </c>
      <c r="E20" s="275">
        <f t="shared" si="1"/>
        <v>0.99474250501296035</v>
      </c>
    </row>
    <row r="21" spans="1:5" ht="14.4" customHeight="1" x14ac:dyDescent="0.3">
      <c r="A21" s="478" t="str">
        <f>HYPERLINK("#'ZV Vykáz.-A'!A1","Specializovaná ambulantní péče")</f>
        <v>Specializovaná ambulantní péče</v>
      </c>
      <c r="B21" s="481" t="s">
        <v>145</v>
      </c>
      <c r="C21" s="279">
        <v>1</v>
      </c>
      <c r="D21" s="443">
        <f>IF(ISERROR(VLOOKUP("Specializovaná ambulantní péče",'ZV Vykáz.-A'!$A:$AB,10,0)),"",VLOOKUP("Specializovaná ambulantní péče",'ZV Vykáz.-A'!$A:$AB,10,0))</f>
        <v>0.99474250501296035</v>
      </c>
      <c r="E21" s="275">
        <f t="shared" si="1"/>
        <v>0.99474250501296035</v>
      </c>
    </row>
    <row r="22" spans="1:5" ht="14.4" customHeight="1" x14ac:dyDescent="0.3">
      <c r="A22" s="478" t="str">
        <f>HYPERLINK("#'ZV Vykáz.-A'!A1","Ambulantní péče ve vyjmenovaných odbornostech (§9)")</f>
        <v>Ambulantní péče ve vyjmenovaných odbornostech (§9)</v>
      </c>
      <c r="B22" s="481" t="s">
        <v>145</v>
      </c>
      <c r="C22" s="279">
        <v>1</v>
      </c>
      <c r="D22" s="443" t="str">
        <f>IF(ISERROR(VLOOKUP("Ambulantní péče ve vyjmenovaných odbornostech (§9) *",'ZV Vykáz.-A'!$A:$AB,10,0)),"",VLOOKUP("Ambulantní péče ve vyjmenovaných odbornostech (§9) *",'ZV Vykáz.-A'!$A:$AB,10,0))</f>
        <v/>
      </c>
      <c r="E22" s="275">
        <f>IF(OR(C22=0,D22=""),0,IF(C22="","",D22/C22))</f>
        <v>0</v>
      </c>
    </row>
    <row r="23" spans="1:5" ht="14.4" customHeight="1" x14ac:dyDescent="0.3">
      <c r="A23" s="296" t="str">
        <f>HYPERLINK("#'ZV Vykáz.-H'!A1","Zdravotní výkony vykázané u hospitalizovaných pacientů (max. 85 %)")</f>
        <v>Zdravotní výkony vykázané u hospitalizovaných pacientů (max. 85 %)</v>
      </c>
      <c r="B23" s="481" t="s">
        <v>147</v>
      </c>
      <c r="C23" s="279">
        <v>0.85</v>
      </c>
      <c r="D23" s="279">
        <f>IF(ISERROR(VLOOKUP("Celkem:",'ZV Vykáz.-H'!$A:$S,7,0)),"",VLOOKUP("Celkem:",'ZV Vykáz.-H'!$A:$S,7,0))</f>
        <v>1.5107036270322873</v>
      </c>
      <c r="E23" s="275">
        <f t="shared" si="1"/>
        <v>1.7772983847438675</v>
      </c>
    </row>
    <row r="24" spans="1:5" ht="14.4" customHeight="1" x14ac:dyDescent="0.3">
      <c r="A24" s="297" t="str">
        <f>HYPERLINK("#HI!A1","Hospitalizace (casemix * 30000)")</f>
        <v>Hospitalizace (casemix * 30000)</v>
      </c>
      <c r="B24" s="277"/>
      <c r="C24" s="274">
        <f ca="1">IF(ISERROR(VLOOKUP("Hospitalizace *",INDIRECT("HI!$A:$G"),6,0)),0,VLOOKUP("Hospitalizace *",INDIRECT("HI!$A:$G"),6,0))</f>
        <v>10582.92</v>
      </c>
      <c r="D24" s="274">
        <f ca="1">IF(ISERROR(VLOOKUP("Hospitalizace *",INDIRECT("HI!$A:$G"),5,0)),0,VLOOKUP("Hospitalizace *",INDIRECT("HI!$A:$G"),5,0))</f>
        <v>14998.019999999999</v>
      </c>
      <c r="E24" s="275">
        <f ca="1">IF(C24=0,0,D24/C24)</f>
        <v>1.4171910965971584</v>
      </c>
    </row>
    <row r="25" spans="1:5" ht="14.4" customHeight="1" x14ac:dyDescent="0.3">
      <c r="A25" s="480" t="str">
        <f>HYPERLINK("#'CaseMix'!A1","Casemix (min. 100 % 2016)")</f>
        <v>Casemix (min. 100 % 2016)</v>
      </c>
      <c r="B25" s="277" t="s">
        <v>64</v>
      </c>
      <c r="C25" s="279">
        <v>1</v>
      </c>
      <c r="D25" s="279">
        <f>IF(ISERROR(VLOOKUP("Celkem",CaseMix!A:O,6,0)),0,VLOOKUP("Celkem",CaseMix!A:O,6,0))</f>
        <v>1.4171910965971584</v>
      </c>
      <c r="E25" s="275">
        <f t="shared" si="1"/>
        <v>1.4171910965971584</v>
      </c>
    </row>
    <row r="26" spans="1:5" ht="14.4" customHeight="1" x14ac:dyDescent="0.3">
      <c r="A26" s="479" t="str">
        <f>HYPERLINK("#'CaseMix'!A1","DRG - Úhrada formou případového paušálu")</f>
        <v>DRG - Úhrada formou případového paušálu</v>
      </c>
      <c r="B26" s="277" t="s">
        <v>64</v>
      </c>
      <c r="C26" s="279">
        <v>1</v>
      </c>
      <c r="D26" s="279">
        <f>IF(ISERROR(CaseMix!F26),"",CaseMix!F26)</f>
        <v>0.53153910849453323</v>
      </c>
      <c r="E26" s="275">
        <f t="shared" si="1"/>
        <v>0.53153910849453323</v>
      </c>
    </row>
    <row r="27" spans="1:5" ht="14.4" customHeight="1" x14ac:dyDescent="0.3">
      <c r="A27" s="479" t="str">
        <f>HYPERLINK("#'CaseMix'!A1","DRG - Individuálně smluvně sjednaná složka úhrady")</f>
        <v>DRG - Individuálně smluvně sjednaná složka úhrady</v>
      </c>
      <c r="B27" s="277" t="s">
        <v>64</v>
      </c>
      <c r="C27" s="279">
        <v>1</v>
      </c>
      <c r="D27" s="279">
        <f>IF(ISERROR(CaseMix!F39),"",CaseMix!F39)</f>
        <v>0</v>
      </c>
      <c r="E27" s="275">
        <f t="shared" si="1"/>
        <v>0</v>
      </c>
    </row>
    <row r="28" spans="1:5" ht="14.4" customHeight="1" x14ac:dyDescent="0.3">
      <c r="A28" s="478" t="str">
        <f>HYPERLINK("#'CaseMix'!A1","DRG - Úhrada vyčleněná z úhrady formou případového paušálu")</f>
        <v>DRG - Úhrada vyčleněná z úhrady formou případového paušálu</v>
      </c>
      <c r="B28" s="277" t="s">
        <v>64</v>
      </c>
      <c r="C28" s="279">
        <v>1</v>
      </c>
      <c r="D28" s="279">
        <f>IF(ISERROR(CaseMix!F52),"",CaseMix!F52)</f>
        <v>1.4232018402561744</v>
      </c>
      <c r="E28" s="275">
        <f t="shared" ref="E28" si="2">IF(C28=0,0,D28/C28)</f>
        <v>1.4232018402561744</v>
      </c>
    </row>
    <row r="29" spans="1:5" ht="14.4" customHeight="1" x14ac:dyDescent="0.3">
      <c r="A29" s="296" t="str">
        <f>HYPERLINK("#'CaseMix'!A1","Počet hospitalizací ukončených na pracovišti (min. 95 %)")</f>
        <v>Počet hospitalizací ukončených na pracovišti (min. 95 %)</v>
      </c>
      <c r="B29" s="277" t="s">
        <v>64</v>
      </c>
      <c r="C29" s="279">
        <v>0.95</v>
      </c>
      <c r="D29" s="279">
        <f>IF(ISERROR(CaseMix!K13),"",CaseMix!K13)</f>
        <v>0.9185750636132316</v>
      </c>
      <c r="E29" s="275">
        <f t="shared" si="1"/>
        <v>0.96692111959287541</v>
      </c>
    </row>
    <row r="30" spans="1:5" ht="14.4" customHeight="1" x14ac:dyDescent="0.3">
      <c r="A30" s="296" t="str">
        <f>HYPERLINK("#'ALOS'!A1","Průměrná délka hospitalizace (max. 100 % republikového průměru)")</f>
        <v>Průměrná délka hospitalizace (max. 100 % republikového průměru)</v>
      </c>
      <c r="B30" s="277" t="s">
        <v>79</v>
      </c>
      <c r="C30" s="279">
        <v>1</v>
      </c>
      <c r="D30" s="298">
        <f>IF(ISERROR(INDEX(ALOS!$E:$E,COUNT(ALOS!$E:$E)+32)),0,INDEX(ALOS!$E:$E,COUNT(ALOS!$E:$E)+32))</f>
        <v>0.95370692655760525</v>
      </c>
      <c r="E30" s="275">
        <f t="shared" si="1"/>
        <v>0.95370692655760525</v>
      </c>
    </row>
    <row r="31" spans="1:5" ht="27.6" x14ac:dyDescent="0.3">
      <c r="A31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77" t="s">
        <v>142</v>
      </c>
      <c r="C31" s="279">
        <f>IF(E25&gt;1,95%,95%-2*ABS(C25-D25))</f>
        <v>0.95</v>
      </c>
      <c r="D31" s="279">
        <f>IF(ISERROR(VLOOKUP("Celkem:",'ZV Vyžád.'!$A:$M,7,0)),"",VLOOKUP("Celkem:",'ZV Vyžád.'!$A:$M,7,0))</f>
        <v>1.249489002772973</v>
      </c>
      <c r="E31" s="275">
        <f t="shared" si="1"/>
        <v>1.3152515818662875</v>
      </c>
    </row>
    <row r="32" spans="1:5" ht="14.4" customHeight="1" thickBot="1" x14ac:dyDescent="0.35">
      <c r="A32" s="300" t="s">
        <v>188</v>
      </c>
      <c r="B32" s="284"/>
      <c r="C32" s="285"/>
      <c r="D32" s="285"/>
      <c r="E32" s="286"/>
    </row>
    <row r="33" spans="1:5" ht="14.4" customHeight="1" thickBot="1" x14ac:dyDescent="0.35">
      <c r="A33" s="301"/>
      <c r="B33" s="302"/>
      <c r="C33" s="303"/>
      <c r="D33" s="303"/>
      <c r="E33" s="304"/>
    </row>
    <row r="34" spans="1:5" ht="14.4" customHeight="1" thickBot="1" x14ac:dyDescent="0.35">
      <c r="A34" s="305" t="s">
        <v>189</v>
      </c>
      <c r="B34" s="306"/>
      <c r="C34" s="307"/>
      <c r="D34" s="307"/>
      <c r="E34" s="308"/>
    </row>
  </sheetData>
  <mergeCells count="1">
    <mergeCell ref="A1:E1"/>
  </mergeCells>
  <conditionalFormatting sqref="E5">
    <cfRule type="cellIs" dxfId="95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1" operator="lessThan">
      <formula>1</formula>
    </cfRule>
  </conditionalFormatting>
  <conditionalFormatting sqref="E30:E31 E4 E7 E15 E22:E23">
    <cfRule type="cellIs" dxfId="86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37" customWidth="1" collapsed="1"/>
    <col min="2" max="2" width="7.77734375" style="205" hidden="1" customWidth="1" outlineLevel="1"/>
    <col min="3" max="4" width="5.44140625" style="237" hidden="1" customWidth="1"/>
    <col min="5" max="5" width="7.77734375" style="205" customWidth="1"/>
    <col min="6" max="6" width="7.77734375" style="205" hidden="1" customWidth="1"/>
    <col min="7" max="7" width="5.44140625" style="237" hidden="1" customWidth="1"/>
    <col min="8" max="8" width="7.77734375" style="205" customWidth="1" collapsed="1"/>
    <col min="9" max="9" width="7.77734375" style="322" hidden="1" customWidth="1" outlineLevel="1"/>
    <col min="10" max="10" width="7.77734375" style="322" customWidth="1" collapsed="1"/>
    <col min="11" max="12" width="7.77734375" style="205" hidden="1" customWidth="1"/>
    <col min="13" max="13" width="5.44140625" style="237" hidden="1" customWidth="1"/>
    <col min="14" max="14" width="7.77734375" style="205" customWidth="1"/>
    <col min="15" max="15" width="7.77734375" style="205" hidden="1" customWidth="1"/>
    <col min="16" max="16" width="5.44140625" style="237" hidden="1" customWidth="1"/>
    <col min="17" max="17" width="7.77734375" style="205" customWidth="1" collapsed="1"/>
    <col min="18" max="18" width="7.77734375" style="322" hidden="1" customWidth="1" outlineLevel="1"/>
    <col min="19" max="19" width="7.77734375" style="322" customWidth="1" collapsed="1"/>
    <col min="20" max="21" width="7.77734375" style="205" hidden="1" customWidth="1"/>
    <col min="22" max="22" width="5" style="237" hidden="1" customWidth="1"/>
    <col min="23" max="23" width="7.77734375" style="205" customWidth="1"/>
    <col min="24" max="24" width="7.77734375" style="205" hidden="1" customWidth="1"/>
    <col min="25" max="25" width="5" style="237" hidden="1" customWidth="1"/>
    <col min="26" max="26" width="7.77734375" style="205" customWidth="1" collapsed="1"/>
    <col min="27" max="27" width="7.77734375" style="322" hidden="1" customWidth="1" outlineLevel="1"/>
    <col min="28" max="28" width="7.77734375" style="322" customWidth="1" collapsed="1"/>
    <col min="29" max="16384" width="8.88671875" style="237"/>
  </cols>
  <sheetData>
    <row r="1" spans="1:28" ht="18.600000000000001" customHeight="1" thickBot="1" x14ac:dyDescent="0.4">
      <c r="A1" s="567" t="s">
        <v>1418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</row>
    <row r="2" spans="1:28" ht="14.4" customHeight="1" thickBot="1" x14ac:dyDescent="0.35">
      <c r="A2" s="360" t="s">
        <v>344</v>
      </c>
      <c r="B2" s="210"/>
      <c r="C2" s="210"/>
      <c r="D2" s="210"/>
      <c r="E2" s="210"/>
      <c r="F2" s="210"/>
      <c r="G2" s="210"/>
      <c r="H2" s="210"/>
      <c r="I2" s="335"/>
      <c r="J2" s="335"/>
      <c r="K2" s="210"/>
      <c r="L2" s="210"/>
      <c r="M2" s="210"/>
      <c r="N2" s="210"/>
      <c r="O2" s="210"/>
      <c r="P2" s="210"/>
      <c r="Q2" s="210"/>
      <c r="R2" s="335"/>
      <c r="S2" s="335"/>
      <c r="T2" s="210"/>
      <c r="U2" s="210"/>
      <c r="V2" s="210"/>
      <c r="W2" s="210"/>
      <c r="X2" s="210"/>
      <c r="Y2" s="210"/>
      <c r="Z2" s="210"/>
      <c r="AA2" s="335"/>
      <c r="AB2" s="335"/>
    </row>
    <row r="3" spans="1:28" ht="14.4" customHeight="1" thickBot="1" x14ac:dyDescent="0.35">
      <c r="A3" s="328" t="s">
        <v>151</v>
      </c>
      <c r="B3" s="329">
        <f>SUBTOTAL(9,B6:B1048576)/4</f>
        <v>0</v>
      </c>
      <c r="C3" s="330">
        <f t="shared" ref="C3:Z3" si="0">SUBTOTAL(9,C6:C1048576)</f>
        <v>0</v>
      </c>
      <c r="D3" s="330"/>
      <c r="E3" s="330">
        <f>SUBTOTAL(9,E6:E1048576)/4</f>
        <v>81788</v>
      </c>
      <c r="F3" s="330"/>
      <c r="G3" s="330">
        <f t="shared" si="0"/>
        <v>5</v>
      </c>
      <c r="H3" s="330">
        <f>SUBTOTAL(9,H6:H1048576)/4</f>
        <v>81358</v>
      </c>
      <c r="I3" s="333" t="str">
        <f>IF(B3&lt;&gt;0,H3/B3,"")</f>
        <v/>
      </c>
      <c r="J3" s="331">
        <f>IF(E3&lt;&gt;0,H3/E3,"")</f>
        <v>0.99474250501296035</v>
      </c>
      <c r="K3" s="332">
        <f t="shared" si="0"/>
        <v>0</v>
      </c>
      <c r="L3" s="332"/>
      <c r="M3" s="330">
        <f t="shared" si="0"/>
        <v>0</v>
      </c>
      <c r="N3" s="330">
        <f t="shared" si="0"/>
        <v>1.0477378964424133E-9</v>
      </c>
      <c r="O3" s="330"/>
      <c r="P3" s="330">
        <f t="shared" si="0"/>
        <v>2</v>
      </c>
      <c r="Q3" s="330">
        <f t="shared" si="0"/>
        <v>-2.3283064365386963E-10</v>
      </c>
      <c r="R3" s="333" t="str">
        <f>IF(K3&lt;&gt;0,Q3/K3,"")</f>
        <v/>
      </c>
      <c r="S3" s="333">
        <f>IF(N3&lt;&gt;0,Q3/N3,"")</f>
        <v>-0.22222222222222221</v>
      </c>
      <c r="T3" s="329">
        <f t="shared" si="0"/>
        <v>0</v>
      </c>
      <c r="U3" s="332"/>
      <c r="V3" s="330">
        <f t="shared" si="0"/>
        <v>0</v>
      </c>
      <c r="W3" s="330">
        <f t="shared" si="0"/>
        <v>3616381.5599999996</v>
      </c>
      <c r="X3" s="330"/>
      <c r="Y3" s="330">
        <f t="shared" si="0"/>
        <v>2</v>
      </c>
      <c r="Z3" s="330">
        <f t="shared" si="0"/>
        <v>3549781.8</v>
      </c>
      <c r="AA3" s="333" t="str">
        <f>IF(T3&lt;&gt;0,Z3/T3,"")</f>
        <v/>
      </c>
      <c r="AB3" s="331">
        <f>IF(W3&lt;&gt;0,Z3/W3,"")</f>
        <v>0.98158386804737496</v>
      </c>
    </row>
    <row r="4" spans="1:28" ht="14.4" customHeight="1" x14ac:dyDescent="0.3">
      <c r="A4" s="568" t="s">
        <v>287</v>
      </c>
      <c r="B4" s="569" t="s">
        <v>116</v>
      </c>
      <c r="C4" s="570"/>
      <c r="D4" s="571"/>
      <c r="E4" s="570"/>
      <c r="F4" s="571"/>
      <c r="G4" s="570"/>
      <c r="H4" s="570"/>
      <c r="I4" s="571"/>
      <c r="J4" s="572"/>
      <c r="K4" s="569" t="s">
        <v>117</v>
      </c>
      <c r="L4" s="571"/>
      <c r="M4" s="570"/>
      <c r="N4" s="570"/>
      <c r="O4" s="571"/>
      <c r="P4" s="570"/>
      <c r="Q4" s="570"/>
      <c r="R4" s="571"/>
      <c r="S4" s="572"/>
      <c r="T4" s="569" t="s">
        <v>118</v>
      </c>
      <c r="U4" s="571"/>
      <c r="V4" s="570"/>
      <c r="W4" s="570"/>
      <c r="X4" s="571"/>
      <c r="Y4" s="570"/>
      <c r="Z4" s="570"/>
      <c r="AA4" s="571"/>
      <c r="AB4" s="572"/>
    </row>
    <row r="5" spans="1:28" ht="14.4" customHeight="1" thickBot="1" x14ac:dyDescent="0.35">
      <c r="A5" s="790"/>
      <c r="B5" s="791">
        <v>2015</v>
      </c>
      <c r="C5" s="792"/>
      <c r="D5" s="792"/>
      <c r="E5" s="792">
        <v>2016</v>
      </c>
      <c r="F5" s="792"/>
      <c r="G5" s="792"/>
      <c r="H5" s="792">
        <v>2017</v>
      </c>
      <c r="I5" s="793" t="s">
        <v>323</v>
      </c>
      <c r="J5" s="794" t="s">
        <v>2</v>
      </c>
      <c r="K5" s="791">
        <v>2015</v>
      </c>
      <c r="L5" s="792"/>
      <c r="M5" s="792"/>
      <c r="N5" s="792">
        <v>2016</v>
      </c>
      <c r="O5" s="792"/>
      <c r="P5" s="792"/>
      <c r="Q5" s="792">
        <v>2017</v>
      </c>
      <c r="R5" s="793" t="s">
        <v>323</v>
      </c>
      <c r="S5" s="794" t="s">
        <v>2</v>
      </c>
      <c r="T5" s="791">
        <v>2015</v>
      </c>
      <c r="U5" s="792"/>
      <c r="V5" s="792"/>
      <c r="W5" s="792">
        <v>2016</v>
      </c>
      <c r="X5" s="792"/>
      <c r="Y5" s="792"/>
      <c r="Z5" s="792">
        <v>2017</v>
      </c>
      <c r="AA5" s="793" t="s">
        <v>323</v>
      </c>
      <c r="AB5" s="794" t="s">
        <v>2</v>
      </c>
    </row>
    <row r="6" spans="1:28" ht="14.4" customHeight="1" x14ac:dyDescent="0.3">
      <c r="A6" s="795" t="s">
        <v>1416</v>
      </c>
      <c r="B6" s="796"/>
      <c r="C6" s="797"/>
      <c r="D6" s="797"/>
      <c r="E6" s="796">
        <v>81788</v>
      </c>
      <c r="F6" s="797"/>
      <c r="G6" s="797">
        <v>1</v>
      </c>
      <c r="H6" s="796">
        <v>81358</v>
      </c>
      <c r="I6" s="797"/>
      <c r="J6" s="797">
        <v>0.99474250501296035</v>
      </c>
      <c r="K6" s="796"/>
      <c r="L6" s="797"/>
      <c r="M6" s="797"/>
      <c r="N6" s="796">
        <v>5.2386894822120667E-10</v>
      </c>
      <c r="O6" s="797"/>
      <c r="P6" s="797">
        <v>1</v>
      </c>
      <c r="Q6" s="796">
        <v>-1.1641532182693481E-10</v>
      </c>
      <c r="R6" s="797"/>
      <c r="S6" s="797">
        <v>-0.22222222222222221</v>
      </c>
      <c r="T6" s="796"/>
      <c r="U6" s="797"/>
      <c r="V6" s="797"/>
      <c r="W6" s="796">
        <v>1808190.7799999998</v>
      </c>
      <c r="X6" s="797"/>
      <c r="Y6" s="797">
        <v>1</v>
      </c>
      <c r="Z6" s="796">
        <v>1774890.9</v>
      </c>
      <c r="AA6" s="797"/>
      <c r="AB6" s="798">
        <v>0.98158386804737496</v>
      </c>
    </row>
    <row r="7" spans="1:28" ht="14.4" customHeight="1" thickBot="1" x14ac:dyDescent="0.35">
      <c r="A7" s="802" t="s">
        <v>1417</v>
      </c>
      <c r="B7" s="799"/>
      <c r="C7" s="800"/>
      <c r="D7" s="800"/>
      <c r="E7" s="799">
        <v>81788</v>
      </c>
      <c r="F7" s="800"/>
      <c r="G7" s="800">
        <v>1</v>
      </c>
      <c r="H7" s="799">
        <v>81358</v>
      </c>
      <c r="I7" s="800"/>
      <c r="J7" s="800">
        <v>0.99474250501296035</v>
      </c>
      <c r="K7" s="799"/>
      <c r="L7" s="800"/>
      <c r="M7" s="800"/>
      <c r="N7" s="799">
        <v>5.2386894822120667E-10</v>
      </c>
      <c r="O7" s="800"/>
      <c r="P7" s="800">
        <v>1</v>
      </c>
      <c r="Q7" s="799">
        <v>-1.1641532182693481E-10</v>
      </c>
      <c r="R7" s="800"/>
      <c r="S7" s="800">
        <v>-0.22222222222222221</v>
      </c>
      <c r="T7" s="799"/>
      <c r="U7" s="800"/>
      <c r="V7" s="800"/>
      <c r="W7" s="799">
        <v>1808190.7799999998</v>
      </c>
      <c r="X7" s="800"/>
      <c r="Y7" s="800">
        <v>1</v>
      </c>
      <c r="Z7" s="799">
        <v>1774890.9</v>
      </c>
      <c r="AA7" s="800"/>
      <c r="AB7" s="801">
        <v>0.98158386804737496</v>
      </c>
    </row>
    <row r="8" spans="1:28" ht="14.4" customHeight="1" thickBot="1" x14ac:dyDescent="0.35"/>
    <row r="9" spans="1:28" ht="14.4" customHeight="1" x14ac:dyDescent="0.3">
      <c r="A9" s="795" t="s">
        <v>1093</v>
      </c>
      <c r="B9" s="796"/>
      <c r="C9" s="797"/>
      <c r="D9" s="797"/>
      <c r="E9" s="796">
        <v>81788</v>
      </c>
      <c r="F9" s="797"/>
      <c r="G9" s="797">
        <v>1</v>
      </c>
      <c r="H9" s="796">
        <v>81358</v>
      </c>
      <c r="I9" s="797"/>
      <c r="J9" s="798">
        <v>0.99474250501296035</v>
      </c>
    </row>
    <row r="10" spans="1:28" ht="14.4" customHeight="1" x14ac:dyDescent="0.3">
      <c r="A10" s="810" t="s">
        <v>1419</v>
      </c>
      <c r="B10" s="803"/>
      <c r="C10" s="804"/>
      <c r="D10" s="804"/>
      <c r="E10" s="803">
        <v>1893</v>
      </c>
      <c r="F10" s="804"/>
      <c r="G10" s="804">
        <v>1</v>
      </c>
      <c r="H10" s="803">
        <v>464</v>
      </c>
      <c r="I10" s="804"/>
      <c r="J10" s="805">
        <v>0.2451135763338616</v>
      </c>
    </row>
    <row r="11" spans="1:28" ht="14.4" customHeight="1" x14ac:dyDescent="0.3">
      <c r="A11" s="810" t="s">
        <v>1420</v>
      </c>
      <c r="B11" s="803"/>
      <c r="C11" s="804"/>
      <c r="D11" s="804"/>
      <c r="E11" s="803">
        <v>79895</v>
      </c>
      <c r="F11" s="804"/>
      <c r="G11" s="804">
        <v>1</v>
      </c>
      <c r="H11" s="803">
        <v>80894</v>
      </c>
      <c r="I11" s="804"/>
      <c r="J11" s="805">
        <v>1.0125039113836911</v>
      </c>
    </row>
    <row r="12" spans="1:28" ht="14.4" customHeight="1" x14ac:dyDescent="0.3">
      <c r="A12" s="806" t="s">
        <v>599</v>
      </c>
      <c r="B12" s="807"/>
      <c r="C12" s="808"/>
      <c r="D12" s="808"/>
      <c r="E12" s="807">
        <v>0</v>
      </c>
      <c r="F12" s="808"/>
      <c r="G12" s="808"/>
      <c r="H12" s="807"/>
      <c r="I12" s="808"/>
      <c r="J12" s="809"/>
    </row>
    <row r="13" spans="1:28" ht="14.4" customHeight="1" thickBot="1" x14ac:dyDescent="0.35">
      <c r="A13" s="802" t="s">
        <v>1419</v>
      </c>
      <c r="B13" s="799"/>
      <c r="C13" s="800"/>
      <c r="D13" s="800"/>
      <c r="E13" s="799">
        <v>0</v>
      </c>
      <c r="F13" s="800"/>
      <c r="G13" s="800"/>
      <c r="H13" s="799"/>
      <c r="I13" s="800"/>
      <c r="J13" s="801"/>
    </row>
    <row r="14" spans="1:28" ht="14.4" customHeight="1" x14ac:dyDescent="0.3">
      <c r="A14" s="742" t="s">
        <v>1057</v>
      </c>
    </row>
    <row r="15" spans="1:28" ht="14.4" customHeight="1" x14ac:dyDescent="0.3">
      <c r="A15" s="743" t="s">
        <v>1058</v>
      </c>
    </row>
    <row r="16" spans="1:28" ht="14.4" customHeight="1" x14ac:dyDescent="0.3">
      <c r="A16" s="742" t="s">
        <v>1421</v>
      </c>
    </row>
    <row r="17" spans="1:1" ht="14.4" customHeight="1" x14ac:dyDescent="0.3">
      <c r="A17" s="742" t="s">
        <v>1422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9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37" bestFit="1" customWidth="1"/>
    <col min="2" max="2" width="7.77734375" style="319" hidden="1" customWidth="1" outlineLevel="1"/>
    <col min="3" max="3" width="7.77734375" style="319" customWidth="1" collapsed="1"/>
    <col min="4" max="4" width="7.77734375" style="319" customWidth="1"/>
    <col min="5" max="5" width="7.77734375" style="205" hidden="1" customWidth="1" outlineLevel="1"/>
    <col min="6" max="6" width="7.77734375" style="205" customWidth="1" collapsed="1"/>
    <col min="7" max="7" width="7.77734375" style="205" customWidth="1"/>
    <col min="8" max="16384" width="8.88671875" style="237"/>
  </cols>
  <sheetData>
    <row r="1" spans="1:7" ht="18.600000000000001" customHeight="1" thickBot="1" x14ac:dyDescent="0.4">
      <c r="A1" s="567" t="s">
        <v>1425</v>
      </c>
      <c r="B1" s="504"/>
      <c r="C1" s="504"/>
      <c r="D1" s="504"/>
      <c r="E1" s="504"/>
      <c r="F1" s="504"/>
      <c r="G1" s="504"/>
    </row>
    <row r="2" spans="1:7" ht="14.4" customHeight="1" thickBot="1" x14ac:dyDescent="0.35">
      <c r="A2" s="360" t="s">
        <v>344</v>
      </c>
      <c r="B2" s="210"/>
      <c r="C2" s="210"/>
      <c r="D2" s="210"/>
      <c r="E2" s="210"/>
      <c r="F2" s="210"/>
      <c r="G2" s="210"/>
    </row>
    <row r="3" spans="1:7" ht="14.4" customHeight="1" thickBot="1" x14ac:dyDescent="0.35">
      <c r="A3" s="493" t="s">
        <v>151</v>
      </c>
      <c r="B3" s="446">
        <f t="shared" ref="B3:G3" si="0">SUBTOTAL(9,B6:B1048576)</f>
        <v>0</v>
      </c>
      <c r="C3" s="447">
        <f t="shared" si="0"/>
        <v>579</v>
      </c>
      <c r="D3" s="492">
        <f t="shared" si="0"/>
        <v>687</v>
      </c>
      <c r="E3" s="332">
        <f t="shared" si="0"/>
        <v>0</v>
      </c>
      <c r="F3" s="330">
        <f t="shared" si="0"/>
        <v>81788</v>
      </c>
      <c r="G3" s="448">
        <f t="shared" si="0"/>
        <v>81358</v>
      </c>
    </row>
    <row r="4" spans="1:7" ht="14.4" customHeight="1" x14ac:dyDescent="0.3">
      <c r="A4" s="568" t="s">
        <v>159</v>
      </c>
      <c r="B4" s="573" t="s">
        <v>284</v>
      </c>
      <c r="C4" s="571"/>
      <c r="D4" s="574"/>
      <c r="E4" s="573" t="s">
        <v>116</v>
      </c>
      <c r="F4" s="571"/>
      <c r="G4" s="574"/>
    </row>
    <row r="5" spans="1:7" ht="14.4" customHeight="1" thickBot="1" x14ac:dyDescent="0.35">
      <c r="A5" s="790"/>
      <c r="B5" s="791">
        <v>2015</v>
      </c>
      <c r="C5" s="792">
        <v>2016</v>
      </c>
      <c r="D5" s="811">
        <v>2017</v>
      </c>
      <c r="E5" s="791">
        <v>2015</v>
      </c>
      <c r="F5" s="792">
        <v>2016</v>
      </c>
      <c r="G5" s="811">
        <v>2017</v>
      </c>
    </row>
    <row r="6" spans="1:7" ht="14.4" customHeight="1" x14ac:dyDescent="0.3">
      <c r="A6" s="713" t="s">
        <v>1419</v>
      </c>
      <c r="B6" s="685"/>
      <c r="C6" s="685">
        <v>18</v>
      </c>
      <c r="D6" s="685">
        <v>4</v>
      </c>
      <c r="E6" s="812"/>
      <c r="F6" s="812">
        <v>1893</v>
      </c>
      <c r="G6" s="813">
        <v>464</v>
      </c>
    </row>
    <row r="7" spans="1:7" ht="14.4" customHeight="1" x14ac:dyDescent="0.3">
      <c r="A7" s="716" t="s">
        <v>1060</v>
      </c>
      <c r="B7" s="691"/>
      <c r="C7" s="691">
        <v>13</v>
      </c>
      <c r="D7" s="691">
        <v>40</v>
      </c>
      <c r="E7" s="814"/>
      <c r="F7" s="814">
        <v>882</v>
      </c>
      <c r="G7" s="815">
        <v>3877</v>
      </c>
    </row>
    <row r="8" spans="1:7" ht="14.4" customHeight="1" x14ac:dyDescent="0.3">
      <c r="A8" s="716" t="s">
        <v>1423</v>
      </c>
      <c r="B8" s="691"/>
      <c r="C8" s="691">
        <v>1</v>
      </c>
      <c r="D8" s="691"/>
      <c r="E8" s="814"/>
      <c r="F8" s="814">
        <v>37</v>
      </c>
      <c r="G8" s="815"/>
    </row>
    <row r="9" spans="1:7" ht="14.4" customHeight="1" x14ac:dyDescent="0.3">
      <c r="A9" s="716" t="s">
        <v>1424</v>
      </c>
      <c r="B9" s="691"/>
      <c r="C9" s="691">
        <v>161</v>
      </c>
      <c r="D9" s="691"/>
      <c r="E9" s="814"/>
      <c r="F9" s="814">
        <v>13317</v>
      </c>
      <c r="G9" s="815"/>
    </row>
    <row r="10" spans="1:7" ht="14.4" customHeight="1" x14ac:dyDescent="0.3">
      <c r="A10" s="716" t="s">
        <v>1062</v>
      </c>
      <c r="B10" s="691"/>
      <c r="C10" s="691">
        <v>78</v>
      </c>
      <c r="D10" s="691">
        <v>94</v>
      </c>
      <c r="E10" s="814"/>
      <c r="F10" s="814">
        <v>17068</v>
      </c>
      <c r="G10" s="815">
        <v>21081</v>
      </c>
    </row>
    <row r="11" spans="1:7" ht="14.4" customHeight="1" x14ac:dyDescent="0.3">
      <c r="A11" s="716" t="s">
        <v>1063</v>
      </c>
      <c r="B11" s="691"/>
      <c r="C11" s="691">
        <v>246</v>
      </c>
      <c r="D11" s="691">
        <v>462</v>
      </c>
      <c r="E11" s="814"/>
      <c r="F11" s="814">
        <v>32189</v>
      </c>
      <c r="G11" s="815">
        <v>42205</v>
      </c>
    </row>
    <row r="12" spans="1:7" ht="14.4" customHeight="1" x14ac:dyDescent="0.3">
      <c r="A12" s="716" t="s">
        <v>1064</v>
      </c>
      <c r="B12" s="691"/>
      <c r="C12" s="691"/>
      <c r="D12" s="691">
        <v>4</v>
      </c>
      <c r="E12" s="814"/>
      <c r="F12" s="814"/>
      <c r="G12" s="815">
        <v>2112</v>
      </c>
    </row>
    <row r="13" spans="1:7" ht="14.4" customHeight="1" x14ac:dyDescent="0.3">
      <c r="A13" s="716" t="s">
        <v>1065</v>
      </c>
      <c r="B13" s="691"/>
      <c r="C13" s="691">
        <v>8</v>
      </c>
      <c r="D13" s="691">
        <v>2</v>
      </c>
      <c r="E13" s="814"/>
      <c r="F13" s="814">
        <v>4597</v>
      </c>
      <c r="G13" s="815">
        <v>738</v>
      </c>
    </row>
    <row r="14" spans="1:7" ht="14.4" customHeight="1" thickBot="1" x14ac:dyDescent="0.35">
      <c r="A14" s="818" t="s">
        <v>1067</v>
      </c>
      <c r="B14" s="697"/>
      <c r="C14" s="697">
        <v>54</v>
      </c>
      <c r="D14" s="697">
        <v>81</v>
      </c>
      <c r="E14" s="816"/>
      <c r="F14" s="816">
        <v>11805</v>
      </c>
      <c r="G14" s="817">
        <v>10881</v>
      </c>
    </row>
    <row r="15" spans="1:7" ht="14.4" customHeight="1" x14ac:dyDescent="0.3">
      <c r="A15" s="742" t="s">
        <v>1057</v>
      </c>
    </row>
    <row r="16" spans="1:7" ht="14.4" customHeight="1" x14ac:dyDescent="0.3">
      <c r="A16" s="743" t="s">
        <v>1058</v>
      </c>
    </row>
    <row r="17" spans="1:1" ht="14.4" customHeight="1" x14ac:dyDescent="0.3">
      <c r="A17" s="742" t="s">
        <v>1421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37" customWidth="1"/>
    <col min="2" max="2" width="8.6640625" style="237" bestFit="1" customWidth="1"/>
    <col min="3" max="3" width="6.109375" style="237" customWidth="1"/>
    <col min="4" max="4" width="2.109375" style="237" bestFit="1" customWidth="1"/>
    <col min="5" max="5" width="8" style="237" customWidth="1"/>
    <col min="6" max="6" width="50.88671875" style="237" bestFit="1" customWidth="1" collapsed="1"/>
    <col min="7" max="8" width="11.109375" style="319" hidden="1" customWidth="1" outlineLevel="1"/>
    <col min="9" max="10" width="9.33203125" style="237" hidden="1" customWidth="1"/>
    <col min="11" max="12" width="11.109375" style="319" customWidth="1"/>
    <col min="13" max="14" width="9.33203125" style="237" hidden="1" customWidth="1"/>
    <col min="15" max="16" width="11.109375" style="319" customWidth="1"/>
    <col min="17" max="17" width="11.109375" style="322" customWidth="1"/>
    <col min="18" max="18" width="11.109375" style="319" customWidth="1"/>
    <col min="19" max="16384" width="8.88671875" style="237"/>
  </cols>
  <sheetData>
    <row r="1" spans="1:18" ht="18.600000000000001" customHeight="1" thickBot="1" x14ac:dyDescent="0.4">
      <c r="A1" s="504" t="s">
        <v>1459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</row>
    <row r="2" spans="1:18" ht="14.4" customHeight="1" thickBot="1" x14ac:dyDescent="0.35">
      <c r="A2" s="360" t="s">
        <v>344</v>
      </c>
      <c r="B2" s="309"/>
      <c r="C2" s="309"/>
      <c r="D2" s="210"/>
      <c r="E2" s="210"/>
      <c r="F2" s="210"/>
      <c r="G2" s="338"/>
      <c r="H2" s="338"/>
      <c r="I2" s="210"/>
      <c r="J2" s="210"/>
      <c r="K2" s="338"/>
      <c r="L2" s="338"/>
      <c r="M2" s="210"/>
      <c r="N2" s="210"/>
      <c r="O2" s="338"/>
      <c r="P2" s="338"/>
      <c r="Q2" s="335"/>
      <c r="R2" s="338"/>
    </row>
    <row r="3" spans="1:18" ht="14.4" customHeight="1" thickBot="1" x14ac:dyDescent="0.35">
      <c r="F3" s="102" t="s">
        <v>151</v>
      </c>
      <c r="G3" s="197">
        <f t="shared" ref="G3:P3" si="0">SUBTOTAL(9,G6:G1048576)</f>
        <v>0</v>
      </c>
      <c r="H3" s="198">
        <f t="shared" si="0"/>
        <v>0</v>
      </c>
      <c r="I3" s="70"/>
      <c r="J3" s="70"/>
      <c r="K3" s="198">
        <f t="shared" si="0"/>
        <v>693</v>
      </c>
      <c r="L3" s="198">
        <f t="shared" si="0"/>
        <v>1889978.7800000003</v>
      </c>
      <c r="M3" s="70"/>
      <c r="N3" s="70"/>
      <c r="O3" s="198">
        <f t="shared" si="0"/>
        <v>790</v>
      </c>
      <c r="P3" s="198">
        <f t="shared" si="0"/>
        <v>1856248.8999999997</v>
      </c>
      <c r="Q3" s="71">
        <f>IF(L3=0,0,P3/L3)</f>
        <v>0.98215330227146758</v>
      </c>
      <c r="R3" s="199">
        <f>IF(O3=0,0,P3/O3)</f>
        <v>2349.682151898734</v>
      </c>
    </row>
    <row r="4" spans="1:18" ht="14.4" customHeight="1" x14ac:dyDescent="0.3">
      <c r="A4" s="575" t="s">
        <v>327</v>
      </c>
      <c r="B4" s="575" t="s">
        <v>112</v>
      </c>
      <c r="C4" s="583" t="s">
        <v>0</v>
      </c>
      <c r="D4" s="577" t="s">
        <v>113</v>
      </c>
      <c r="E4" s="582" t="s">
        <v>83</v>
      </c>
      <c r="F4" s="578" t="s">
        <v>74</v>
      </c>
      <c r="G4" s="579">
        <v>2015</v>
      </c>
      <c r="H4" s="580"/>
      <c r="I4" s="196"/>
      <c r="J4" s="196"/>
      <c r="K4" s="579">
        <v>2016</v>
      </c>
      <c r="L4" s="580"/>
      <c r="M4" s="196"/>
      <c r="N4" s="196"/>
      <c r="O4" s="579">
        <v>2017</v>
      </c>
      <c r="P4" s="580"/>
      <c r="Q4" s="581" t="s">
        <v>2</v>
      </c>
      <c r="R4" s="576" t="s">
        <v>115</v>
      </c>
    </row>
    <row r="5" spans="1:18" ht="14.4" customHeight="1" thickBot="1" x14ac:dyDescent="0.35">
      <c r="A5" s="819"/>
      <c r="B5" s="819"/>
      <c r="C5" s="820"/>
      <c r="D5" s="821"/>
      <c r="E5" s="822"/>
      <c r="F5" s="823"/>
      <c r="G5" s="824" t="s">
        <v>84</v>
      </c>
      <c r="H5" s="825" t="s">
        <v>14</v>
      </c>
      <c r="I5" s="826"/>
      <c r="J5" s="826"/>
      <c r="K5" s="824" t="s">
        <v>84</v>
      </c>
      <c r="L5" s="825" t="s">
        <v>14</v>
      </c>
      <c r="M5" s="826"/>
      <c r="N5" s="826"/>
      <c r="O5" s="824" t="s">
        <v>84</v>
      </c>
      <c r="P5" s="825" t="s">
        <v>14</v>
      </c>
      <c r="Q5" s="827"/>
      <c r="R5" s="828"/>
    </row>
    <row r="6" spans="1:18" ht="14.4" customHeight="1" x14ac:dyDescent="0.3">
      <c r="A6" s="681" t="s">
        <v>1426</v>
      </c>
      <c r="B6" s="682" t="s">
        <v>1427</v>
      </c>
      <c r="C6" s="682" t="s">
        <v>1428</v>
      </c>
      <c r="D6" s="682" t="s">
        <v>1429</v>
      </c>
      <c r="E6" s="682" t="s">
        <v>1430</v>
      </c>
      <c r="F6" s="682" t="s">
        <v>1431</v>
      </c>
      <c r="G6" s="685"/>
      <c r="H6" s="685"/>
      <c r="I6" s="682"/>
      <c r="J6" s="682"/>
      <c r="K6" s="685">
        <v>0</v>
      </c>
      <c r="L6" s="685">
        <v>-2.1827872842550278E-11</v>
      </c>
      <c r="M6" s="682">
        <v>1</v>
      </c>
      <c r="N6" s="682"/>
      <c r="O6" s="685"/>
      <c r="P6" s="685"/>
      <c r="Q6" s="703"/>
      <c r="R6" s="686"/>
    </row>
    <row r="7" spans="1:18" ht="14.4" customHeight="1" x14ac:dyDescent="0.3">
      <c r="A7" s="687" t="s">
        <v>1426</v>
      </c>
      <c r="B7" s="688" t="s">
        <v>1427</v>
      </c>
      <c r="C7" s="688" t="s">
        <v>1428</v>
      </c>
      <c r="D7" s="688" t="s">
        <v>1429</v>
      </c>
      <c r="E7" s="688" t="s">
        <v>1432</v>
      </c>
      <c r="F7" s="688" t="s">
        <v>1431</v>
      </c>
      <c r="G7" s="691"/>
      <c r="H7" s="691"/>
      <c r="I7" s="688"/>
      <c r="J7" s="688"/>
      <c r="K7" s="691">
        <v>0</v>
      </c>
      <c r="L7" s="691">
        <v>0</v>
      </c>
      <c r="M7" s="688"/>
      <c r="N7" s="688"/>
      <c r="O7" s="691"/>
      <c r="P7" s="691"/>
      <c r="Q7" s="704"/>
      <c r="R7" s="692"/>
    </row>
    <row r="8" spans="1:18" ht="14.4" customHeight="1" x14ac:dyDescent="0.3">
      <c r="A8" s="687" t="s">
        <v>1426</v>
      </c>
      <c r="B8" s="688" t="s">
        <v>1427</v>
      </c>
      <c r="C8" s="688" t="s">
        <v>1428</v>
      </c>
      <c r="D8" s="688" t="s">
        <v>1429</v>
      </c>
      <c r="E8" s="688" t="s">
        <v>1433</v>
      </c>
      <c r="F8" s="688" t="s">
        <v>1431</v>
      </c>
      <c r="G8" s="691"/>
      <c r="H8" s="691"/>
      <c r="I8" s="688"/>
      <c r="J8" s="688"/>
      <c r="K8" s="691">
        <v>0</v>
      </c>
      <c r="L8" s="691">
        <v>0</v>
      </c>
      <c r="M8" s="688"/>
      <c r="N8" s="688"/>
      <c r="O8" s="691">
        <v>0</v>
      </c>
      <c r="P8" s="691">
        <v>-1.6007106751203537E-10</v>
      </c>
      <c r="Q8" s="704"/>
      <c r="R8" s="692"/>
    </row>
    <row r="9" spans="1:18" ht="14.4" customHeight="1" x14ac:dyDescent="0.3">
      <c r="A9" s="687" t="s">
        <v>1426</v>
      </c>
      <c r="B9" s="688" t="s">
        <v>1427</v>
      </c>
      <c r="C9" s="688" t="s">
        <v>1428</v>
      </c>
      <c r="D9" s="688" t="s">
        <v>1429</v>
      </c>
      <c r="E9" s="688" t="s">
        <v>1434</v>
      </c>
      <c r="F9" s="688" t="s">
        <v>1431</v>
      </c>
      <c r="G9" s="691"/>
      <c r="H9" s="691"/>
      <c r="I9" s="688"/>
      <c r="J9" s="688"/>
      <c r="K9" s="691">
        <v>0</v>
      </c>
      <c r="L9" s="691">
        <v>7.2759576141834259E-12</v>
      </c>
      <c r="M9" s="688">
        <v>1</v>
      </c>
      <c r="N9" s="688"/>
      <c r="O9" s="691">
        <v>0</v>
      </c>
      <c r="P9" s="691">
        <v>0</v>
      </c>
      <c r="Q9" s="704">
        <v>0</v>
      </c>
      <c r="R9" s="692"/>
    </row>
    <row r="10" spans="1:18" ht="14.4" customHeight="1" x14ac:dyDescent="0.3">
      <c r="A10" s="687" t="s">
        <v>1426</v>
      </c>
      <c r="B10" s="688" t="s">
        <v>1427</v>
      </c>
      <c r="C10" s="688" t="s">
        <v>1093</v>
      </c>
      <c r="D10" s="688" t="s">
        <v>1429</v>
      </c>
      <c r="E10" s="688" t="s">
        <v>1430</v>
      </c>
      <c r="F10" s="688" t="s">
        <v>1435</v>
      </c>
      <c r="G10" s="691"/>
      <c r="H10" s="691"/>
      <c r="I10" s="688"/>
      <c r="J10" s="688"/>
      <c r="K10" s="691">
        <v>16</v>
      </c>
      <c r="L10" s="691">
        <v>157233.91999999998</v>
      </c>
      <c r="M10" s="688">
        <v>1</v>
      </c>
      <c r="N10" s="688">
        <v>9827.119999999999</v>
      </c>
      <c r="O10" s="691"/>
      <c r="P10" s="691"/>
      <c r="Q10" s="704"/>
      <c r="R10" s="692"/>
    </row>
    <row r="11" spans="1:18" ht="14.4" customHeight="1" x14ac:dyDescent="0.3">
      <c r="A11" s="687" t="s">
        <v>1426</v>
      </c>
      <c r="B11" s="688" t="s">
        <v>1427</v>
      </c>
      <c r="C11" s="688" t="s">
        <v>1093</v>
      </c>
      <c r="D11" s="688" t="s">
        <v>1429</v>
      </c>
      <c r="E11" s="688" t="s">
        <v>1432</v>
      </c>
      <c r="F11" s="688" t="s">
        <v>1435</v>
      </c>
      <c r="G11" s="691"/>
      <c r="H11" s="691"/>
      <c r="I11" s="688"/>
      <c r="J11" s="688"/>
      <c r="K11" s="691">
        <v>18</v>
      </c>
      <c r="L11" s="691">
        <v>353776.5</v>
      </c>
      <c r="M11" s="688">
        <v>1</v>
      </c>
      <c r="N11" s="688">
        <v>19654.25</v>
      </c>
      <c r="O11" s="691"/>
      <c r="P11" s="691"/>
      <c r="Q11" s="704"/>
      <c r="R11" s="692"/>
    </row>
    <row r="12" spans="1:18" ht="14.4" customHeight="1" x14ac:dyDescent="0.3">
      <c r="A12" s="687" t="s">
        <v>1426</v>
      </c>
      <c r="B12" s="688" t="s">
        <v>1427</v>
      </c>
      <c r="C12" s="688" t="s">
        <v>1093</v>
      </c>
      <c r="D12" s="688" t="s">
        <v>1429</v>
      </c>
      <c r="E12" s="688" t="s">
        <v>1433</v>
      </c>
      <c r="F12" s="688" t="s">
        <v>1435</v>
      </c>
      <c r="G12" s="691"/>
      <c r="H12" s="691"/>
      <c r="I12" s="688"/>
      <c r="J12" s="688"/>
      <c r="K12" s="691">
        <v>53</v>
      </c>
      <c r="L12" s="691">
        <v>1031848.12</v>
      </c>
      <c r="M12" s="688">
        <v>1</v>
      </c>
      <c r="N12" s="688">
        <v>19468.832452830189</v>
      </c>
      <c r="O12" s="691">
        <v>77</v>
      </c>
      <c r="P12" s="691">
        <v>1518839.9</v>
      </c>
      <c r="Q12" s="704">
        <v>1.4719607184049528</v>
      </c>
      <c r="R12" s="692">
        <v>19725.193506493506</v>
      </c>
    </row>
    <row r="13" spans="1:18" ht="14.4" customHeight="1" x14ac:dyDescent="0.3">
      <c r="A13" s="687" t="s">
        <v>1426</v>
      </c>
      <c r="B13" s="688" t="s">
        <v>1427</v>
      </c>
      <c r="C13" s="688" t="s">
        <v>1093</v>
      </c>
      <c r="D13" s="688" t="s">
        <v>1429</v>
      </c>
      <c r="E13" s="688" t="s">
        <v>1434</v>
      </c>
      <c r="F13" s="688" t="s">
        <v>1435</v>
      </c>
      <c r="G13" s="691"/>
      <c r="H13" s="691"/>
      <c r="I13" s="688"/>
      <c r="J13" s="688"/>
      <c r="K13" s="691">
        <v>26</v>
      </c>
      <c r="L13" s="691">
        <v>255505.12</v>
      </c>
      <c r="M13" s="688">
        <v>1</v>
      </c>
      <c r="N13" s="688">
        <v>9827.119999999999</v>
      </c>
      <c r="O13" s="691">
        <v>26</v>
      </c>
      <c r="P13" s="691">
        <v>256051</v>
      </c>
      <c r="Q13" s="704">
        <v>1.0021364738209551</v>
      </c>
      <c r="R13" s="692">
        <v>9848.1153846153848</v>
      </c>
    </row>
    <row r="14" spans="1:18" ht="14.4" customHeight="1" x14ac:dyDescent="0.3">
      <c r="A14" s="687" t="s">
        <v>1426</v>
      </c>
      <c r="B14" s="688" t="s">
        <v>1427</v>
      </c>
      <c r="C14" s="688" t="s">
        <v>1093</v>
      </c>
      <c r="D14" s="688" t="s">
        <v>1436</v>
      </c>
      <c r="E14" s="688" t="s">
        <v>1437</v>
      </c>
      <c r="F14" s="688" t="s">
        <v>1438</v>
      </c>
      <c r="G14" s="691"/>
      <c r="H14" s="691"/>
      <c r="I14" s="688"/>
      <c r="J14" s="688"/>
      <c r="K14" s="691">
        <v>3</v>
      </c>
      <c r="L14" s="691">
        <v>90</v>
      </c>
      <c r="M14" s="688">
        <v>1</v>
      </c>
      <c r="N14" s="688">
        <v>30</v>
      </c>
      <c r="O14" s="691">
        <v>2</v>
      </c>
      <c r="P14" s="691">
        <v>60</v>
      </c>
      <c r="Q14" s="704">
        <v>0.66666666666666663</v>
      </c>
      <c r="R14" s="692">
        <v>30</v>
      </c>
    </row>
    <row r="15" spans="1:18" ht="14.4" customHeight="1" x14ac:dyDescent="0.3">
      <c r="A15" s="687" t="s">
        <v>1426</v>
      </c>
      <c r="B15" s="688" t="s">
        <v>1427</v>
      </c>
      <c r="C15" s="688" t="s">
        <v>1093</v>
      </c>
      <c r="D15" s="688" t="s">
        <v>1436</v>
      </c>
      <c r="E15" s="688" t="s">
        <v>1439</v>
      </c>
      <c r="F15" s="688" t="s">
        <v>1440</v>
      </c>
      <c r="G15" s="691"/>
      <c r="H15" s="691"/>
      <c r="I15" s="688"/>
      <c r="J15" s="688"/>
      <c r="K15" s="691">
        <v>2</v>
      </c>
      <c r="L15" s="691">
        <v>132</v>
      </c>
      <c r="M15" s="688">
        <v>1</v>
      </c>
      <c r="N15" s="688">
        <v>66</v>
      </c>
      <c r="O15" s="691"/>
      <c r="P15" s="691"/>
      <c r="Q15" s="704"/>
      <c r="R15" s="692"/>
    </row>
    <row r="16" spans="1:18" ht="14.4" customHeight="1" x14ac:dyDescent="0.3">
      <c r="A16" s="687" t="s">
        <v>1426</v>
      </c>
      <c r="B16" s="688" t="s">
        <v>1427</v>
      </c>
      <c r="C16" s="688" t="s">
        <v>1093</v>
      </c>
      <c r="D16" s="688" t="s">
        <v>1436</v>
      </c>
      <c r="E16" s="688" t="s">
        <v>1441</v>
      </c>
      <c r="F16" s="688" t="s">
        <v>1442</v>
      </c>
      <c r="G16" s="691"/>
      <c r="H16" s="691"/>
      <c r="I16" s="688"/>
      <c r="J16" s="688"/>
      <c r="K16" s="691">
        <v>92</v>
      </c>
      <c r="L16" s="691">
        <v>3404</v>
      </c>
      <c r="M16" s="688">
        <v>1</v>
      </c>
      <c r="N16" s="688">
        <v>37</v>
      </c>
      <c r="O16" s="691">
        <v>62</v>
      </c>
      <c r="P16" s="691">
        <v>2294</v>
      </c>
      <c r="Q16" s="704">
        <v>0.67391304347826086</v>
      </c>
      <c r="R16" s="692">
        <v>37</v>
      </c>
    </row>
    <row r="17" spans="1:18" ht="14.4" customHeight="1" x14ac:dyDescent="0.3">
      <c r="A17" s="687" t="s">
        <v>1426</v>
      </c>
      <c r="B17" s="688" t="s">
        <v>1427</v>
      </c>
      <c r="C17" s="688" t="s">
        <v>1093</v>
      </c>
      <c r="D17" s="688" t="s">
        <v>1436</v>
      </c>
      <c r="E17" s="688" t="s">
        <v>1443</v>
      </c>
      <c r="F17" s="688" t="s">
        <v>1444</v>
      </c>
      <c r="G17" s="691"/>
      <c r="H17" s="691"/>
      <c r="I17" s="688"/>
      <c r="J17" s="688"/>
      <c r="K17" s="691">
        <v>97</v>
      </c>
      <c r="L17" s="691">
        <v>17169</v>
      </c>
      <c r="M17" s="688">
        <v>1</v>
      </c>
      <c r="N17" s="688">
        <v>177</v>
      </c>
      <c r="O17" s="691">
        <v>177</v>
      </c>
      <c r="P17" s="691">
        <v>31329</v>
      </c>
      <c r="Q17" s="704">
        <v>1.8247422680412371</v>
      </c>
      <c r="R17" s="692">
        <v>177</v>
      </c>
    </row>
    <row r="18" spans="1:18" ht="14.4" customHeight="1" x14ac:dyDescent="0.3">
      <c r="A18" s="687" t="s">
        <v>1426</v>
      </c>
      <c r="B18" s="688" t="s">
        <v>1427</v>
      </c>
      <c r="C18" s="688" t="s">
        <v>1093</v>
      </c>
      <c r="D18" s="688" t="s">
        <v>1436</v>
      </c>
      <c r="E18" s="688" t="s">
        <v>1445</v>
      </c>
      <c r="F18" s="688" t="s">
        <v>1446</v>
      </c>
      <c r="G18" s="691"/>
      <c r="H18" s="691"/>
      <c r="I18" s="688"/>
      <c r="J18" s="688"/>
      <c r="K18" s="691">
        <v>79</v>
      </c>
      <c r="L18" s="691">
        <v>0</v>
      </c>
      <c r="M18" s="688"/>
      <c r="N18" s="688">
        <v>0</v>
      </c>
      <c r="O18" s="691">
        <v>83</v>
      </c>
      <c r="P18" s="691">
        <v>0</v>
      </c>
      <c r="Q18" s="704"/>
      <c r="R18" s="692">
        <v>0</v>
      </c>
    </row>
    <row r="19" spans="1:18" ht="14.4" customHeight="1" x14ac:dyDescent="0.3">
      <c r="A19" s="687" t="s">
        <v>1426</v>
      </c>
      <c r="B19" s="688" t="s">
        <v>1427</v>
      </c>
      <c r="C19" s="688" t="s">
        <v>1093</v>
      </c>
      <c r="D19" s="688" t="s">
        <v>1436</v>
      </c>
      <c r="E19" s="688" t="s">
        <v>1447</v>
      </c>
      <c r="F19" s="688" t="s">
        <v>1448</v>
      </c>
      <c r="G19" s="691"/>
      <c r="H19" s="691"/>
      <c r="I19" s="688"/>
      <c r="J19" s="688"/>
      <c r="K19" s="691">
        <v>197</v>
      </c>
      <c r="L19" s="691">
        <v>22852</v>
      </c>
      <c r="M19" s="688">
        <v>1</v>
      </c>
      <c r="N19" s="688">
        <v>116</v>
      </c>
      <c r="O19" s="691">
        <v>225</v>
      </c>
      <c r="P19" s="691">
        <v>26100</v>
      </c>
      <c r="Q19" s="704">
        <v>1.1421319796954315</v>
      </c>
      <c r="R19" s="692">
        <v>116</v>
      </c>
    </row>
    <row r="20" spans="1:18" ht="14.4" customHeight="1" x14ac:dyDescent="0.3">
      <c r="A20" s="687" t="s">
        <v>1426</v>
      </c>
      <c r="B20" s="688" t="s">
        <v>1427</v>
      </c>
      <c r="C20" s="688" t="s">
        <v>1093</v>
      </c>
      <c r="D20" s="688" t="s">
        <v>1436</v>
      </c>
      <c r="E20" s="688" t="s">
        <v>1449</v>
      </c>
      <c r="F20" s="688" t="s">
        <v>1450</v>
      </c>
      <c r="G20" s="691"/>
      <c r="H20" s="691"/>
      <c r="I20" s="688"/>
      <c r="J20" s="688"/>
      <c r="K20" s="691"/>
      <c r="L20" s="691"/>
      <c r="M20" s="688"/>
      <c r="N20" s="688"/>
      <c r="O20" s="691">
        <v>82</v>
      </c>
      <c r="P20" s="691">
        <v>2624</v>
      </c>
      <c r="Q20" s="704"/>
      <c r="R20" s="692">
        <v>32</v>
      </c>
    </row>
    <row r="21" spans="1:18" ht="14.4" customHeight="1" x14ac:dyDescent="0.3">
      <c r="A21" s="687" t="s">
        <v>1426</v>
      </c>
      <c r="B21" s="688" t="s">
        <v>1427</v>
      </c>
      <c r="C21" s="688" t="s">
        <v>1093</v>
      </c>
      <c r="D21" s="688" t="s">
        <v>1436</v>
      </c>
      <c r="E21" s="688" t="s">
        <v>1451</v>
      </c>
      <c r="F21" s="688" t="s">
        <v>1452</v>
      </c>
      <c r="G21" s="691"/>
      <c r="H21" s="691"/>
      <c r="I21" s="688"/>
      <c r="J21" s="688"/>
      <c r="K21" s="691">
        <v>92</v>
      </c>
      <c r="L21" s="691">
        <v>32568</v>
      </c>
      <c r="M21" s="688">
        <v>1</v>
      </c>
      <c r="N21" s="688">
        <v>354</v>
      </c>
      <c r="O21" s="691">
        <v>46</v>
      </c>
      <c r="P21" s="691">
        <v>16330</v>
      </c>
      <c r="Q21" s="704">
        <v>0.50141242937853103</v>
      </c>
      <c r="R21" s="692">
        <v>355</v>
      </c>
    </row>
    <row r="22" spans="1:18" ht="14.4" customHeight="1" x14ac:dyDescent="0.3">
      <c r="A22" s="687" t="s">
        <v>1426</v>
      </c>
      <c r="B22" s="688" t="s">
        <v>1427</v>
      </c>
      <c r="C22" s="688" t="s">
        <v>1093</v>
      </c>
      <c r="D22" s="688" t="s">
        <v>1436</v>
      </c>
      <c r="E22" s="688" t="s">
        <v>1453</v>
      </c>
      <c r="F22" s="688" t="s">
        <v>1454</v>
      </c>
      <c r="G22" s="691"/>
      <c r="H22" s="691"/>
      <c r="I22" s="688"/>
      <c r="J22" s="688"/>
      <c r="K22" s="691">
        <v>9</v>
      </c>
      <c r="L22" s="691">
        <v>666</v>
      </c>
      <c r="M22" s="688">
        <v>1</v>
      </c>
      <c r="N22" s="688">
        <v>74</v>
      </c>
      <c r="O22" s="691">
        <v>7</v>
      </c>
      <c r="P22" s="691">
        <v>518</v>
      </c>
      <c r="Q22" s="704">
        <v>0.77777777777777779</v>
      </c>
      <c r="R22" s="692">
        <v>74</v>
      </c>
    </row>
    <row r="23" spans="1:18" ht="14.4" customHeight="1" x14ac:dyDescent="0.3">
      <c r="A23" s="687" t="s">
        <v>1426</v>
      </c>
      <c r="B23" s="688" t="s">
        <v>1427</v>
      </c>
      <c r="C23" s="688" t="s">
        <v>1093</v>
      </c>
      <c r="D23" s="688" t="s">
        <v>1436</v>
      </c>
      <c r="E23" s="688" t="s">
        <v>1455</v>
      </c>
      <c r="F23" s="688" t="s">
        <v>1456</v>
      </c>
      <c r="G23" s="691"/>
      <c r="H23" s="691"/>
      <c r="I23" s="688"/>
      <c r="J23" s="688"/>
      <c r="K23" s="691">
        <v>7</v>
      </c>
      <c r="L23" s="691">
        <v>4907</v>
      </c>
      <c r="M23" s="688">
        <v>1</v>
      </c>
      <c r="N23" s="688">
        <v>701</v>
      </c>
      <c r="O23" s="691">
        <v>3</v>
      </c>
      <c r="P23" s="691">
        <v>2103</v>
      </c>
      <c r="Q23" s="704">
        <v>0.42857142857142855</v>
      </c>
      <c r="R23" s="692">
        <v>701</v>
      </c>
    </row>
    <row r="24" spans="1:18" ht="14.4" customHeight="1" x14ac:dyDescent="0.3">
      <c r="A24" s="687" t="s">
        <v>1426</v>
      </c>
      <c r="B24" s="688" t="s">
        <v>1427</v>
      </c>
      <c r="C24" s="688" t="s">
        <v>599</v>
      </c>
      <c r="D24" s="688" t="s">
        <v>1429</v>
      </c>
      <c r="E24" s="688" t="s">
        <v>1434</v>
      </c>
      <c r="F24" s="688" t="s">
        <v>1435</v>
      </c>
      <c r="G24" s="691"/>
      <c r="H24" s="691"/>
      <c r="I24" s="688"/>
      <c r="J24" s="688"/>
      <c r="K24" s="691">
        <v>1</v>
      </c>
      <c r="L24" s="691">
        <v>9827.1200000000008</v>
      </c>
      <c r="M24" s="688">
        <v>1</v>
      </c>
      <c r="N24" s="688">
        <v>9827.1200000000008</v>
      </c>
      <c r="O24" s="691"/>
      <c r="P24" s="691"/>
      <c r="Q24" s="704"/>
      <c r="R24" s="692"/>
    </row>
    <row r="25" spans="1:18" ht="14.4" customHeight="1" thickBot="1" x14ac:dyDescent="0.35">
      <c r="A25" s="693" t="s">
        <v>1426</v>
      </c>
      <c r="B25" s="694" t="s">
        <v>1427</v>
      </c>
      <c r="C25" s="694" t="s">
        <v>599</v>
      </c>
      <c r="D25" s="694" t="s">
        <v>1436</v>
      </c>
      <c r="E25" s="694" t="s">
        <v>1457</v>
      </c>
      <c r="F25" s="694" t="s">
        <v>1458</v>
      </c>
      <c r="G25" s="697"/>
      <c r="H25" s="697"/>
      <c r="I25" s="694"/>
      <c r="J25" s="694"/>
      <c r="K25" s="697">
        <v>1</v>
      </c>
      <c r="L25" s="697">
        <v>0</v>
      </c>
      <c r="M25" s="694"/>
      <c r="N25" s="694">
        <v>0</v>
      </c>
      <c r="O25" s="697"/>
      <c r="P25" s="697"/>
      <c r="Q25" s="705"/>
      <c r="R25" s="698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37" customWidth="1"/>
    <col min="2" max="2" width="8.6640625" style="237" bestFit="1" customWidth="1"/>
    <col min="3" max="3" width="6.109375" style="237" customWidth="1"/>
    <col min="4" max="4" width="27.77734375" style="237" customWidth="1"/>
    <col min="5" max="5" width="2.109375" style="237" bestFit="1" customWidth="1"/>
    <col min="6" max="6" width="8" style="237" customWidth="1"/>
    <col min="7" max="7" width="50.88671875" style="237" bestFit="1" customWidth="1" collapsed="1"/>
    <col min="8" max="9" width="11.109375" style="319" hidden="1" customWidth="1" outlineLevel="1"/>
    <col min="10" max="11" width="9.33203125" style="237" hidden="1" customWidth="1"/>
    <col min="12" max="13" width="11.109375" style="319" customWidth="1"/>
    <col min="14" max="15" width="9.33203125" style="237" hidden="1" customWidth="1"/>
    <col min="16" max="17" width="11.109375" style="319" customWidth="1"/>
    <col min="18" max="18" width="11.109375" style="322" customWidth="1"/>
    <col min="19" max="19" width="11.109375" style="319" customWidth="1"/>
    <col min="20" max="16384" width="8.88671875" style="237"/>
  </cols>
  <sheetData>
    <row r="1" spans="1:19" ht="18.600000000000001" customHeight="1" thickBot="1" x14ac:dyDescent="0.4">
      <c r="A1" s="504" t="s">
        <v>1460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</row>
    <row r="2" spans="1:19" ht="14.4" customHeight="1" thickBot="1" x14ac:dyDescent="0.35">
      <c r="A2" s="360" t="s">
        <v>344</v>
      </c>
      <c r="B2" s="309"/>
      <c r="C2" s="309"/>
      <c r="D2" s="309"/>
      <c r="E2" s="210"/>
      <c r="F2" s="210"/>
      <c r="G2" s="210"/>
      <c r="H2" s="338"/>
      <c r="I2" s="338"/>
      <c r="J2" s="210"/>
      <c r="K2" s="210"/>
      <c r="L2" s="338"/>
      <c r="M2" s="338"/>
      <c r="N2" s="210"/>
      <c r="O2" s="210"/>
      <c r="P2" s="338"/>
      <c r="Q2" s="338"/>
      <c r="R2" s="335"/>
      <c r="S2" s="338"/>
    </row>
    <row r="3" spans="1:19" ht="14.4" customHeight="1" thickBot="1" x14ac:dyDescent="0.35">
      <c r="G3" s="102" t="s">
        <v>151</v>
      </c>
      <c r="H3" s="197">
        <f t="shared" ref="H3:Q3" si="0">SUBTOTAL(9,H6:H1048576)</f>
        <v>0</v>
      </c>
      <c r="I3" s="198">
        <f t="shared" si="0"/>
        <v>0</v>
      </c>
      <c r="J3" s="70"/>
      <c r="K3" s="70"/>
      <c r="L3" s="198">
        <f t="shared" si="0"/>
        <v>693</v>
      </c>
      <c r="M3" s="198">
        <f t="shared" si="0"/>
        <v>1889978.78</v>
      </c>
      <c r="N3" s="70"/>
      <c r="O3" s="70"/>
      <c r="P3" s="198">
        <f t="shared" si="0"/>
        <v>790</v>
      </c>
      <c r="Q3" s="198">
        <f t="shared" si="0"/>
        <v>1856248.9</v>
      </c>
      <c r="R3" s="71">
        <f>IF(M3=0,0,Q3/M3)</f>
        <v>0.9821533022714678</v>
      </c>
      <c r="S3" s="199">
        <f>IF(P3=0,0,Q3/P3)</f>
        <v>2349.682151898734</v>
      </c>
    </row>
    <row r="4" spans="1:19" ht="14.4" customHeight="1" x14ac:dyDescent="0.3">
      <c r="A4" s="575" t="s">
        <v>327</v>
      </c>
      <c r="B4" s="575" t="s">
        <v>112</v>
      </c>
      <c r="C4" s="583" t="s">
        <v>0</v>
      </c>
      <c r="D4" s="482" t="s">
        <v>159</v>
      </c>
      <c r="E4" s="577" t="s">
        <v>113</v>
      </c>
      <c r="F4" s="582" t="s">
        <v>83</v>
      </c>
      <c r="G4" s="578" t="s">
        <v>74</v>
      </c>
      <c r="H4" s="579">
        <v>2015</v>
      </c>
      <c r="I4" s="580"/>
      <c r="J4" s="196"/>
      <c r="K4" s="196"/>
      <c r="L4" s="579">
        <v>2016</v>
      </c>
      <c r="M4" s="580"/>
      <c r="N4" s="196"/>
      <c r="O4" s="196"/>
      <c r="P4" s="579">
        <v>2017</v>
      </c>
      <c r="Q4" s="580"/>
      <c r="R4" s="581" t="s">
        <v>2</v>
      </c>
      <c r="S4" s="576" t="s">
        <v>115</v>
      </c>
    </row>
    <row r="5" spans="1:19" ht="14.4" customHeight="1" thickBot="1" x14ac:dyDescent="0.35">
      <c r="A5" s="819"/>
      <c r="B5" s="819"/>
      <c r="C5" s="820"/>
      <c r="D5" s="829"/>
      <c r="E5" s="821"/>
      <c r="F5" s="822"/>
      <c r="G5" s="823"/>
      <c r="H5" s="824" t="s">
        <v>84</v>
      </c>
      <c r="I5" s="825" t="s">
        <v>14</v>
      </c>
      <c r="J5" s="826"/>
      <c r="K5" s="826"/>
      <c r="L5" s="824" t="s">
        <v>84</v>
      </c>
      <c r="M5" s="825" t="s">
        <v>14</v>
      </c>
      <c r="N5" s="826"/>
      <c r="O5" s="826"/>
      <c r="P5" s="824" t="s">
        <v>84</v>
      </c>
      <c r="Q5" s="825" t="s">
        <v>14</v>
      </c>
      <c r="R5" s="827"/>
      <c r="S5" s="828"/>
    </row>
    <row r="6" spans="1:19" ht="14.4" customHeight="1" x14ac:dyDescent="0.3">
      <c r="A6" s="681" t="s">
        <v>1426</v>
      </c>
      <c r="B6" s="682" t="s">
        <v>1427</v>
      </c>
      <c r="C6" s="682" t="s">
        <v>1428</v>
      </c>
      <c r="D6" s="682" t="s">
        <v>1419</v>
      </c>
      <c r="E6" s="682" t="s">
        <v>1429</v>
      </c>
      <c r="F6" s="682" t="s">
        <v>1430</v>
      </c>
      <c r="G6" s="682" t="s">
        <v>1431</v>
      </c>
      <c r="H6" s="685"/>
      <c r="I6" s="685"/>
      <c r="J6" s="682"/>
      <c r="K6" s="682"/>
      <c r="L6" s="685">
        <v>0</v>
      </c>
      <c r="M6" s="685">
        <v>-2.1827872842550278E-11</v>
      </c>
      <c r="N6" s="682">
        <v>1</v>
      </c>
      <c r="O6" s="682"/>
      <c r="P6" s="685"/>
      <c r="Q6" s="685"/>
      <c r="R6" s="703"/>
      <c r="S6" s="686"/>
    </row>
    <row r="7" spans="1:19" ht="14.4" customHeight="1" x14ac:dyDescent="0.3">
      <c r="A7" s="687" t="s">
        <v>1426</v>
      </c>
      <c r="B7" s="688" t="s">
        <v>1427</v>
      </c>
      <c r="C7" s="688" t="s">
        <v>1428</v>
      </c>
      <c r="D7" s="688" t="s">
        <v>1419</v>
      </c>
      <c r="E7" s="688" t="s">
        <v>1429</v>
      </c>
      <c r="F7" s="688" t="s">
        <v>1432</v>
      </c>
      <c r="G7" s="688" t="s">
        <v>1431</v>
      </c>
      <c r="H7" s="691"/>
      <c r="I7" s="691"/>
      <c r="J7" s="688"/>
      <c r="K7" s="688"/>
      <c r="L7" s="691">
        <v>0</v>
      </c>
      <c r="M7" s="691">
        <v>0</v>
      </c>
      <c r="N7" s="688"/>
      <c r="O7" s="688"/>
      <c r="P7" s="691"/>
      <c r="Q7" s="691"/>
      <c r="R7" s="704"/>
      <c r="S7" s="692"/>
    </row>
    <row r="8" spans="1:19" ht="14.4" customHeight="1" x14ac:dyDescent="0.3">
      <c r="A8" s="687" t="s">
        <v>1426</v>
      </c>
      <c r="B8" s="688" t="s">
        <v>1427</v>
      </c>
      <c r="C8" s="688" t="s">
        <v>1428</v>
      </c>
      <c r="D8" s="688" t="s">
        <v>1419</v>
      </c>
      <c r="E8" s="688" t="s">
        <v>1429</v>
      </c>
      <c r="F8" s="688" t="s">
        <v>1433</v>
      </c>
      <c r="G8" s="688" t="s">
        <v>1431</v>
      </c>
      <c r="H8" s="691"/>
      <c r="I8" s="691"/>
      <c r="J8" s="688"/>
      <c r="K8" s="688"/>
      <c r="L8" s="691">
        <v>0</v>
      </c>
      <c r="M8" s="691">
        <v>0</v>
      </c>
      <c r="N8" s="688"/>
      <c r="O8" s="688"/>
      <c r="P8" s="691">
        <v>0</v>
      </c>
      <c r="Q8" s="691">
        <v>-1.6007106751203537E-10</v>
      </c>
      <c r="R8" s="704"/>
      <c r="S8" s="692"/>
    </row>
    <row r="9" spans="1:19" ht="14.4" customHeight="1" x14ac:dyDescent="0.3">
      <c r="A9" s="687" t="s">
        <v>1426</v>
      </c>
      <c r="B9" s="688" t="s">
        <v>1427</v>
      </c>
      <c r="C9" s="688" t="s">
        <v>1428</v>
      </c>
      <c r="D9" s="688" t="s">
        <v>1419</v>
      </c>
      <c r="E9" s="688" t="s">
        <v>1429</v>
      </c>
      <c r="F9" s="688" t="s">
        <v>1434</v>
      </c>
      <c r="G9" s="688" t="s">
        <v>1431</v>
      </c>
      <c r="H9" s="691"/>
      <c r="I9" s="691"/>
      <c r="J9" s="688"/>
      <c r="K9" s="688"/>
      <c r="L9" s="691">
        <v>0</v>
      </c>
      <c r="M9" s="691">
        <v>7.2759576141834259E-12</v>
      </c>
      <c r="N9" s="688">
        <v>1</v>
      </c>
      <c r="O9" s="688"/>
      <c r="P9" s="691">
        <v>0</v>
      </c>
      <c r="Q9" s="691">
        <v>0</v>
      </c>
      <c r="R9" s="704">
        <v>0</v>
      </c>
      <c r="S9" s="692"/>
    </row>
    <row r="10" spans="1:19" ht="14.4" customHeight="1" x14ac:dyDescent="0.3">
      <c r="A10" s="687" t="s">
        <v>1426</v>
      </c>
      <c r="B10" s="688" t="s">
        <v>1427</v>
      </c>
      <c r="C10" s="688" t="s">
        <v>1093</v>
      </c>
      <c r="D10" s="688" t="s">
        <v>1419</v>
      </c>
      <c r="E10" s="688" t="s">
        <v>1436</v>
      </c>
      <c r="F10" s="688" t="s">
        <v>1441</v>
      </c>
      <c r="G10" s="688" t="s">
        <v>1442</v>
      </c>
      <c r="H10" s="691"/>
      <c r="I10" s="691"/>
      <c r="J10" s="688"/>
      <c r="K10" s="688"/>
      <c r="L10" s="691">
        <v>1</v>
      </c>
      <c r="M10" s="691">
        <v>37</v>
      </c>
      <c r="N10" s="688">
        <v>1</v>
      </c>
      <c r="O10" s="688">
        <v>37</v>
      </c>
      <c r="P10" s="691"/>
      <c r="Q10" s="691"/>
      <c r="R10" s="704"/>
      <c r="S10" s="692"/>
    </row>
    <row r="11" spans="1:19" ht="14.4" customHeight="1" x14ac:dyDescent="0.3">
      <c r="A11" s="687" t="s">
        <v>1426</v>
      </c>
      <c r="B11" s="688" t="s">
        <v>1427</v>
      </c>
      <c r="C11" s="688" t="s">
        <v>1093</v>
      </c>
      <c r="D11" s="688" t="s">
        <v>1419</v>
      </c>
      <c r="E11" s="688" t="s">
        <v>1436</v>
      </c>
      <c r="F11" s="688" t="s">
        <v>1447</v>
      </c>
      <c r="G11" s="688" t="s">
        <v>1448</v>
      </c>
      <c r="H11" s="691"/>
      <c r="I11" s="691"/>
      <c r="J11" s="688"/>
      <c r="K11" s="688"/>
      <c r="L11" s="691">
        <v>16</v>
      </c>
      <c r="M11" s="691">
        <v>1856</v>
      </c>
      <c r="N11" s="688">
        <v>1</v>
      </c>
      <c r="O11" s="688">
        <v>116</v>
      </c>
      <c r="P11" s="691">
        <v>4</v>
      </c>
      <c r="Q11" s="691">
        <v>464</v>
      </c>
      <c r="R11" s="704">
        <v>0.25</v>
      </c>
      <c r="S11" s="692">
        <v>116</v>
      </c>
    </row>
    <row r="12" spans="1:19" ht="14.4" customHeight="1" x14ac:dyDescent="0.3">
      <c r="A12" s="687" t="s">
        <v>1426</v>
      </c>
      <c r="B12" s="688" t="s">
        <v>1427</v>
      </c>
      <c r="C12" s="688" t="s">
        <v>1093</v>
      </c>
      <c r="D12" s="688" t="s">
        <v>1060</v>
      </c>
      <c r="E12" s="688" t="s">
        <v>1429</v>
      </c>
      <c r="F12" s="688" t="s">
        <v>1433</v>
      </c>
      <c r="G12" s="688" t="s">
        <v>1435</v>
      </c>
      <c r="H12" s="691"/>
      <c r="I12" s="691"/>
      <c r="J12" s="688"/>
      <c r="K12" s="688"/>
      <c r="L12" s="691"/>
      <c r="M12" s="691"/>
      <c r="N12" s="688"/>
      <c r="O12" s="688"/>
      <c r="P12" s="691">
        <v>1</v>
      </c>
      <c r="Q12" s="691">
        <v>19771.900000000001</v>
      </c>
      <c r="R12" s="704"/>
      <c r="S12" s="692">
        <v>19771.900000000001</v>
      </c>
    </row>
    <row r="13" spans="1:19" ht="14.4" customHeight="1" x14ac:dyDescent="0.3">
      <c r="A13" s="687" t="s">
        <v>1426</v>
      </c>
      <c r="B13" s="688" t="s">
        <v>1427</v>
      </c>
      <c r="C13" s="688" t="s">
        <v>1093</v>
      </c>
      <c r="D13" s="688" t="s">
        <v>1060</v>
      </c>
      <c r="E13" s="688" t="s">
        <v>1429</v>
      </c>
      <c r="F13" s="688" t="s">
        <v>1434</v>
      </c>
      <c r="G13" s="688" t="s">
        <v>1435</v>
      </c>
      <c r="H13" s="691"/>
      <c r="I13" s="691"/>
      <c r="J13" s="688"/>
      <c r="K13" s="688"/>
      <c r="L13" s="691">
        <v>1</v>
      </c>
      <c r="M13" s="691">
        <v>9827.1200000000008</v>
      </c>
      <c r="N13" s="688">
        <v>1</v>
      </c>
      <c r="O13" s="688">
        <v>9827.1200000000008</v>
      </c>
      <c r="P13" s="691"/>
      <c r="Q13" s="691"/>
      <c r="R13" s="704"/>
      <c r="S13" s="692"/>
    </row>
    <row r="14" spans="1:19" ht="14.4" customHeight="1" x14ac:dyDescent="0.3">
      <c r="A14" s="687" t="s">
        <v>1426</v>
      </c>
      <c r="B14" s="688" t="s">
        <v>1427</v>
      </c>
      <c r="C14" s="688" t="s">
        <v>1093</v>
      </c>
      <c r="D14" s="688" t="s">
        <v>1060</v>
      </c>
      <c r="E14" s="688" t="s">
        <v>1436</v>
      </c>
      <c r="F14" s="688" t="s">
        <v>1437</v>
      </c>
      <c r="G14" s="688" t="s">
        <v>1438</v>
      </c>
      <c r="H14" s="691"/>
      <c r="I14" s="691"/>
      <c r="J14" s="688"/>
      <c r="K14" s="688"/>
      <c r="L14" s="691"/>
      <c r="M14" s="691"/>
      <c r="N14" s="688"/>
      <c r="O14" s="688"/>
      <c r="P14" s="691">
        <v>1</v>
      </c>
      <c r="Q14" s="691">
        <v>30</v>
      </c>
      <c r="R14" s="704"/>
      <c r="S14" s="692">
        <v>30</v>
      </c>
    </row>
    <row r="15" spans="1:19" ht="14.4" customHeight="1" x14ac:dyDescent="0.3">
      <c r="A15" s="687" t="s">
        <v>1426</v>
      </c>
      <c r="B15" s="688" t="s">
        <v>1427</v>
      </c>
      <c r="C15" s="688" t="s">
        <v>1093</v>
      </c>
      <c r="D15" s="688" t="s">
        <v>1060</v>
      </c>
      <c r="E15" s="688" t="s">
        <v>1436</v>
      </c>
      <c r="F15" s="688" t="s">
        <v>1441</v>
      </c>
      <c r="G15" s="688" t="s">
        <v>1442</v>
      </c>
      <c r="H15" s="691"/>
      <c r="I15" s="691"/>
      <c r="J15" s="688"/>
      <c r="K15" s="688"/>
      <c r="L15" s="691">
        <v>8</v>
      </c>
      <c r="M15" s="691">
        <v>296</v>
      </c>
      <c r="N15" s="688">
        <v>1</v>
      </c>
      <c r="O15" s="688">
        <v>37</v>
      </c>
      <c r="P15" s="691">
        <v>14</v>
      </c>
      <c r="Q15" s="691">
        <v>518</v>
      </c>
      <c r="R15" s="704">
        <v>1.75</v>
      </c>
      <c r="S15" s="692">
        <v>37</v>
      </c>
    </row>
    <row r="16" spans="1:19" ht="14.4" customHeight="1" x14ac:dyDescent="0.3">
      <c r="A16" s="687" t="s">
        <v>1426</v>
      </c>
      <c r="B16" s="688" t="s">
        <v>1427</v>
      </c>
      <c r="C16" s="688" t="s">
        <v>1093</v>
      </c>
      <c r="D16" s="688" t="s">
        <v>1060</v>
      </c>
      <c r="E16" s="688" t="s">
        <v>1436</v>
      </c>
      <c r="F16" s="688" t="s">
        <v>1443</v>
      </c>
      <c r="G16" s="688" t="s">
        <v>1444</v>
      </c>
      <c r="H16" s="691"/>
      <c r="I16" s="691"/>
      <c r="J16" s="688"/>
      <c r="K16" s="688"/>
      <c r="L16" s="691">
        <v>2</v>
      </c>
      <c r="M16" s="691">
        <v>354</v>
      </c>
      <c r="N16" s="688">
        <v>1</v>
      </c>
      <c r="O16" s="688">
        <v>177</v>
      </c>
      <c r="P16" s="691">
        <v>11</v>
      </c>
      <c r="Q16" s="691">
        <v>1947</v>
      </c>
      <c r="R16" s="704">
        <v>5.5</v>
      </c>
      <c r="S16" s="692">
        <v>177</v>
      </c>
    </row>
    <row r="17" spans="1:19" ht="14.4" customHeight="1" x14ac:dyDescent="0.3">
      <c r="A17" s="687" t="s">
        <v>1426</v>
      </c>
      <c r="B17" s="688" t="s">
        <v>1427</v>
      </c>
      <c r="C17" s="688" t="s">
        <v>1093</v>
      </c>
      <c r="D17" s="688" t="s">
        <v>1060</v>
      </c>
      <c r="E17" s="688" t="s">
        <v>1436</v>
      </c>
      <c r="F17" s="688" t="s">
        <v>1445</v>
      </c>
      <c r="G17" s="688" t="s">
        <v>1446</v>
      </c>
      <c r="H17" s="691"/>
      <c r="I17" s="691"/>
      <c r="J17" s="688"/>
      <c r="K17" s="688"/>
      <c r="L17" s="691">
        <v>1</v>
      </c>
      <c r="M17" s="691">
        <v>0</v>
      </c>
      <c r="N17" s="688"/>
      <c r="O17" s="688">
        <v>0</v>
      </c>
      <c r="P17" s="691">
        <v>1</v>
      </c>
      <c r="Q17" s="691">
        <v>0</v>
      </c>
      <c r="R17" s="704"/>
      <c r="S17" s="692">
        <v>0</v>
      </c>
    </row>
    <row r="18" spans="1:19" ht="14.4" customHeight="1" x14ac:dyDescent="0.3">
      <c r="A18" s="687" t="s">
        <v>1426</v>
      </c>
      <c r="B18" s="688" t="s">
        <v>1427</v>
      </c>
      <c r="C18" s="688" t="s">
        <v>1093</v>
      </c>
      <c r="D18" s="688" t="s">
        <v>1060</v>
      </c>
      <c r="E18" s="688" t="s">
        <v>1436</v>
      </c>
      <c r="F18" s="688" t="s">
        <v>1447</v>
      </c>
      <c r="G18" s="688" t="s">
        <v>1448</v>
      </c>
      <c r="H18" s="691"/>
      <c r="I18" s="691"/>
      <c r="J18" s="688"/>
      <c r="K18" s="688"/>
      <c r="L18" s="691">
        <v>2</v>
      </c>
      <c r="M18" s="691">
        <v>232</v>
      </c>
      <c r="N18" s="688">
        <v>1</v>
      </c>
      <c r="O18" s="688">
        <v>116</v>
      </c>
      <c r="P18" s="691">
        <v>11</v>
      </c>
      <c r="Q18" s="691">
        <v>1276</v>
      </c>
      <c r="R18" s="704">
        <v>5.5</v>
      </c>
      <c r="S18" s="692">
        <v>116</v>
      </c>
    </row>
    <row r="19" spans="1:19" ht="14.4" customHeight="1" x14ac:dyDescent="0.3">
      <c r="A19" s="687" t="s">
        <v>1426</v>
      </c>
      <c r="B19" s="688" t="s">
        <v>1427</v>
      </c>
      <c r="C19" s="688" t="s">
        <v>1093</v>
      </c>
      <c r="D19" s="688" t="s">
        <v>1060</v>
      </c>
      <c r="E19" s="688" t="s">
        <v>1436</v>
      </c>
      <c r="F19" s="688" t="s">
        <v>1449</v>
      </c>
      <c r="G19" s="688" t="s">
        <v>1450</v>
      </c>
      <c r="H19" s="691"/>
      <c r="I19" s="691"/>
      <c r="J19" s="688"/>
      <c r="K19" s="688"/>
      <c r="L19" s="691"/>
      <c r="M19" s="691"/>
      <c r="N19" s="688"/>
      <c r="O19" s="688"/>
      <c r="P19" s="691">
        <v>1</v>
      </c>
      <c r="Q19" s="691">
        <v>32</v>
      </c>
      <c r="R19" s="704"/>
      <c r="S19" s="692">
        <v>32</v>
      </c>
    </row>
    <row r="20" spans="1:19" ht="14.4" customHeight="1" x14ac:dyDescent="0.3">
      <c r="A20" s="687" t="s">
        <v>1426</v>
      </c>
      <c r="B20" s="688" t="s">
        <v>1427</v>
      </c>
      <c r="C20" s="688" t="s">
        <v>1093</v>
      </c>
      <c r="D20" s="688" t="s">
        <v>1060</v>
      </c>
      <c r="E20" s="688" t="s">
        <v>1436</v>
      </c>
      <c r="F20" s="688" t="s">
        <v>1453</v>
      </c>
      <c r="G20" s="688" t="s">
        <v>1454</v>
      </c>
      <c r="H20" s="691"/>
      <c r="I20" s="691"/>
      <c r="J20" s="688"/>
      <c r="K20" s="688"/>
      <c r="L20" s="691"/>
      <c r="M20" s="691"/>
      <c r="N20" s="688"/>
      <c r="O20" s="688"/>
      <c r="P20" s="691">
        <v>1</v>
      </c>
      <c r="Q20" s="691">
        <v>74</v>
      </c>
      <c r="R20" s="704"/>
      <c r="S20" s="692">
        <v>74</v>
      </c>
    </row>
    <row r="21" spans="1:19" ht="14.4" customHeight="1" x14ac:dyDescent="0.3">
      <c r="A21" s="687" t="s">
        <v>1426</v>
      </c>
      <c r="B21" s="688" t="s">
        <v>1427</v>
      </c>
      <c r="C21" s="688" t="s">
        <v>1093</v>
      </c>
      <c r="D21" s="688" t="s">
        <v>1423</v>
      </c>
      <c r="E21" s="688" t="s">
        <v>1436</v>
      </c>
      <c r="F21" s="688" t="s">
        <v>1441</v>
      </c>
      <c r="G21" s="688" t="s">
        <v>1442</v>
      </c>
      <c r="H21" s="691"/>
      <c r="I21" s="691"/>
      <c r="J21" s="688"/>
      <c r="K21" s="688"/>
      <c r="L21" s="691">
        <v>1</v>
      </c>
      <c r="M21" s="691">
        <v>37</v>
      </c>
      <c r="N21" s="688">
        <v>1</v>
      </c>
      <c r="O21" s="688">
        <v>37</v>
      </c>
      <c r="P21" s="691"/>
      <c r="Q21" s="691"/>
      <c r="R21" s="704"/>
      <c r="S21" s="692"/>
    </row>
    <row r="22" spans="1:19" ht="14.4" customHeight="1" x14ac:dyDescent="0.3">
      <c r="A22" s="687" t="s">
        <v>1426</v>
      </c>
      <c r="B22" s="688" t="s">
        <v>1427</v>
      </c>
      <c r="C22" s="688" t="s">
        <v>1093</v>
      </c>
      <c r="D22" s="688" t="s">
        <v>1424</v>
      </c>
      <c r="E22" s="688" t="s">
        <v>1429</v>
      </c>
      <c r="F22" s="688" t="s">
        <v>1430</v>
      </c>
      <c r="G22" s="688" t="s">
        <v>1435</v>
      </c>
      <c r="H22" s="691"/>
      <c r="I22" s="691"/>
      <c r="J22" s="688"/>
      <c r="K22" s="688"/>
      <c r="L22" s="691">
        <v>15</v>
      </c>
      <c r="M22" s="691">
        <v>147406.79999999999</v>
      </c>
      <c r="N22" s="688">
        <v>1</v>
      </c>
      <c r="O22" s="688">
        <v>9827.119999999999</v>
      </c>
      <c r="P22" s="691"/>
      <c r="Q22" s="691"/>
      <c r="R22" s="704"/>
      <c r="S22" s="692"/>
    </row>
    <row r="23" spans="1:19" ht="14.4" customHeight="1" x14ac:dyDescent="0.3">
      <c r="A23" s="687" t="s">
        <v>1426</v>
      </c>
      <c r="B23" s="688" t="s">
        <v>1427</v>
      </c>
      <c r="C23" s="688" t="s">
        <v>1093</v>
      </c>
      <c r="D23" s="688" t="s">
        <v>1424</v>
      </c>
      <c r="E23" s="688" t="s">
        <v>1429</v>
      </c>
      <c r="F23" s="688" t="s">
        <v>1432</v>
      </c>
      <c r="G23" s="688" t="s">
        <v>1435</v>
      </c>
      <c r="H23" s="691"/>
      <c r="I23" s="691"/>
      <c r="J23" s="688"/>
      <c r="K23" s="688"/>
      <c r="L23" s="691">
        <v>12</v>
      </c>
      <c r="M23" s="691">
        <v>235851</v>
      </c>
      <c r="N23" s="688">
        <v>1</v>
      </c>
      <c r="O23" s="688">
        <v>19654.25</v>
      </c>
      <c r="P23" s="691"/>
      <c r="Q23" s="691"/>
      <c r="R23" s="704"/>
      <c r="S23" s="692"/>
    </row>
    <row r="24" spans="1:19" ht="14.4" customHeight="1" x14ac:dyDescent="0.3">
      <c r="A24" s="687" t="s">
        <v>1426</v>
      </c>
      <c r="B24" s="688" t="s">
        <v>1427</v>
      </c>
      <c r="C24" s="688" t="s">
        <v>1093</v>
      </c>
      <c r="D24" s="688" t="s">
        <v>1424</v>
      </c>
      <c r="E24" s="688" t="s">
        <v>1429</v>
      </c>
      <c r="F24" s="688" t="s">
        <v>1433</v>
      </c>
      <c r="G24" s="688" t="s">
        <v>1435</v>
      </c>
      <c r="H24" s="691"/>
      <c r="I24" s="691"/>
      <c r="J24" s="688"/>
      <c r="K24" s="688"/>
      <c r="L24" s="691">
        <v>13</v>
      </c>
      <c r="M24" s="691">
        <v>255505.25</v>
      </c>
      <c r="N24" s="688">
        <v>1</v>
      </c>
      <c r="O24" s="688">
        <v>19654.25</v>
      </c>
      <c r="P24" s="691"/>
      <c r="Q24" s="691"/>
      <c r="R24" s="704"/>
      <c r="S24" s="692"/>
    </row>
    <row r="25" spans="1:19" ht="14.4" customHeight="1" x14ac:dyDescent="0.3">
      <c r="A25" s="687" t="s">
        <v>1426</v>
      </c>
      <c r="B25" s="688" t="s">
        <v>1427</v>
      </c>
      <c r="C25" s="688" t="s">
        <v>1093</v>
      </c>
      <c r="D25" s="688" t="s">
        <v>1424</v>
      </c>
      <c r="E25" s="688" t="s">
        <v>1429</v>
      </c>
      <c r="F25" s="688" t="s">
        <v>1434</v>
      </c>
      <c r="G25" s="688" t="s">
        <v>1435</v>
      </c>
      <c r="H25" s="691"/>
      <c r="I25" s="691"/>
      <c r="J25" s="688"/>
      <c r="K25" s="688"/>
      <c r="L25" s="691">
        <v>4</v>
      </c>
      <c r="M25" s="691">
        <v>39308.480000000003</v>
      </c>
      <c r="N25" s="688">
        <v>1</v>
      </c>
      <c r="O25" s="688">
        <v>9827.1200000000008</v>
      </c>
      <c r="P25" s="691"/>
      <c r="Q25" s="691"/>
      <c r="R25" s="704"/>
      <c r="S25" s="692"/>
    </row>
    <row r="26" spans="1:19" ht="14.4" customHeight="1" x14ac:dyDescent="0.3">
      <c r="A26" s="687" t="s">
        <v>1426</v>
      </c>
      <c r="B26" s="688" t="s">
        <v>1427</v>
      </c>
      <c r="C26" s="688" t="s">
        <v>1093</v>
      </c>
      <c r="D26" s="688" t="s">
        <v>1424</v>
      </c>
      <c r="E26" s="688" t="s">
        <v>1436</v>
      </c>
      <c r="F26" s="688" t="s">
        <v>1437</v>
      </c>
      <c r="G26" s="688" t="s">
        <v>1438</v>
      </c>
      <c r="H26" s="691"/>
      <c r="I26" s="691"/>
      <c r="J26" s="688"/>
      <c r="K26" s="688"/>
      <c r="L26" s="691">
        <v>3</v>
      </c>
      <c r="M26" s="691">
        <v>90</v>
      </c>
      <c r="N26" s="688">
        <v>1</v>
      </c>
      <c r="O26" s="688">
        <v>30</v>
      </c>
      <c r="P26" s="691"/>
      <c r="Q26" s="691"/>
      <c r="R26" s="704"/>
      <c r="S26" s="692"/>
    </row>
    <row r="27" spans="1:19" ht="14.4" customHeight="1" x14ac:dyDescent="0.3">
      <c r="A27" s="687" t="s">
        <v>1426</v>
      </c>
      <c r="B27" s="688" t="s">
        <v>1427</v>
      </c>
      <c r="C27" s="688" t="s">
        <v>1093</v>
      </c>
      <c r="D27" s="688" t="s">
        <v>1424</v>
      </c>
      <c r="E27" s="688" t="s">
        <v>1436</v>
      </c>
      <c r="F27" s="688" t="s">
        <v>1439</v>
      </c>
      <c r="G27" s="688" t="s">
        <v>1440</v>
      </c>
      <c r="H27" s="691"/>
      <c r="I27" s="691"/>
      <c r="J27" s="688"/>
      <c r="K27" s="688"/>
      <c r="L27" s="691">
        <v>2</v>
      </c>
      <c r="M27" s="691">
        <v>132</v>
      </c>
      <c r="N27" s="688">
        <v>1</v>
      </c>
      <c r="O27" s="688">
        <v>66</v>
      </c>
      <c r="P27" s="691"/>
      <c r="Q27" s="691"/>
      <c r="R27" s="704"/>
      <c r="S27" s="692"/>
    </row>
    <row r="28" spans="1:19" ht="14.4" customHeight="1" x14ac:dyDescent="0.3">
      <c r="A28" s="687" t="s">
        <v>1426</v>
      </c>
      <c r="B28" s="688" t="s">
        <v>1427</v>
      </c>
      <c r="C28" s="688" t="s">
        <v>1093</v>
      </c>
      <c r="D28" s="688" t="s">
        <v>1424</v>
      </c>
      <c r="E28" s="688" t="s">
        <v>1436</v>
      </c>
      <c r="F28" s="688" t="s">
        <v>1441</v>
      </c>
      <c r="G28" s="688" t="s">
        <v>1442</v>
      </c>
      <c r="H28" s="691"/>
      <c r="I28" s="691"/>
      <c r="J28" s="688"/>
      <c r="K28" s="688"/>
      <c r="L28" s="691">
        <v>52</v>
      </c>
      <c r="M28" s="691">
        <v>1924</v>
      </c>
      <c r="N28" s="688">
        <v>1</v>
      </c>
      <c r="O28" s="688">
        <v>37</v>
      </c>
      <c r="P28" s="691"/>
      <c r="Q28" s="691"/>
      <c r="R28" s="704"/>
      <c r="S28" s="692"/>
    </row>
    <row r="29" spans="1:19" ht="14.4" customHeight="1" x14ac:dyDescent="0.3">
      <c r="A29" s="687" t="s">
        <v>1426</v>
      </c>
      <c r="B29" s="688" t="s">
        <v>1427</v>
      </c>
      <c r="C29" s="688" t="s">
        <v>1093</v>
      </c>
      <c r="D29" s="688" t="s">
        <v>1424</v>
      </c>
      <c r="E29" s="688" t="s">
        <v>1436</v>
      </c>
      <c r="F29" s="688" t="s">
        <v>1443</v>
      </c>
      <c r="G29" s="688" t="s">
        <v>1444</v>
      </c>
      <c r="H29" s="691"/>
      <c r="I29" s="691"/>
      <c r="J29" s="688"/>
      <c r="K29" s="688"/>
      <c r="L29" s="691">
        <v>38</v>
      </c>
      <c r="M29" s="691">
        <v>6726</v>
      </c>
      <c r="N29" s="688">
        <v>1</v>
      </c>
      <c r="O29" s="688">
        <v>177</v>
      </c>
      <c r="P29" s="691"/>
      <c r="Q29" s="691"/>
      <c r="R29" s="704"/>
      <c r="S29" s="692"/>
    </row>
    <row r="30" spans="1:19" ht="14.4" customHeight="1" x14ac:dyDescent="0.3">
      <c r="A30" s="687" t="s">
        <v>1426</v>
      </c>
      <c r="B30" s="688" t="s">
        <v>1427</v>
      </c>
      <c r="C30" s="688" t="s">
        <v>1093</v>
      </c>
      <c r="D30" s="688" t="s">
        <v>1424</v>
      </c>
      <c r="E30" s="688" t="s">
        <v>1436</v>
      </c>
      <c r="F30" s="688" t="s">
        <v>1445</v>
      </c>
      <c r="G30" s="688" t="s">
        <v>1446</v>
      </c>
      <c r="H30" s="691"/>
      <c r="I30" s="691"/>
      <c r="J30" s="688"/>
      <c r="K30" s="688"/>
      <c r="L30" s="691">
        <v>32</v>
      </c>
      <c r="M30" s="691">
        <v>0</v>
      </c>
      <c r="N30" s="688"/>
      <c r="O30" s="688">
        <v>0</v>
      </c>
      <c r="P30" s="691"/>
      <c r="Q30" s="691"/>
      <c r="R30" s="704"/>
      <c r="S30" s="692"/>
    </row>
    <row r="31" spans="1:19" ht="14.4" customHeight="1" x14ac:dyDescent="0.3">
      <c r="A31" s="687" t="s">
        <v>1426</v>
      </c>
      <c r="B31" s="688" t="s">
        <v>1427</v>
      </c>
      <c r="C31" s="688" t="s">
        <v>1093</v>
      </c>
      <c r="D31" s="688" t="s">
        <v>1424</v>
      </c>
      <c r="E31" s="688" t="s">
        <v>1436</v>
      </c>
      <c r="F31" s="688" t="s">
        <v>1447</v>
      </c>
      <c r="G31" s="688" t="s">
        <v>1448</v>
      </c>
      <c r="H31" s="691"/>
      <c r="I31" s="691"/>
      <c r="J31" s="688"/>
      <c r="K31" s="688"/>
      <c r="L31" s="691">
        <v>31</v>
      </c>
      <c r="M31" s="691">
        <v>3596</v>
      </c>
      <c r="N31" s="688">
        <v>1</v>
      </c>
      <c r="O31" s="688">
        <v>116</v>
      </c>
      <c r="P31" s="691"/>
      <c r="Q31" s="691"/>
      <c r="R31" s="704"/>
      <c r="S31" s="692"/>
    </row>
    <row r="32" spans="1:19" ht="14.4" customHeight="1" x14ac:dyDescent="0.3">
      <c r="A32" s="687" t="s">
        <v>1426</v>
      </c>
      <c r="B32" s="688" t="s">
        <v>1427</v>
      </c>
      <c r="C32" s="688" t="s">
        <v>1093</v>
      </c>
      <c r="D32" s="688" t="s">
        <v>1424</v>
      </c>
      <c r="E32" s="688" t="s">
        <v>1436</v>
      </c>
      <c r="F32" s="688" t="s">
        <v>1453</v>
      </c>
      <c r="G32" s="688" t="s">
        <v>1454</v>
      </c>
      <c r="H32" s="691"/>
      <c r="I32" s="691"/>
      <c r="J32" s="688"/>
      <c r="K32" s="688"/>
      <c r="L32" s="691">
        <v>2</v>
      </c>
      <c r="M32" s="691">
        <v>148</v>
      </c>
      <c r="N32" s="688">
        <v>1</v>
      </c>
      <c r="O32" s="688">
        <v>74</v>
      </c>
      <c r="P32" s="691"/>
      <c r="Q32" s="691"/>
      <c r="R32" s="704"/>
      <c r="S32" s="692"/>
    </row>
    <row r="33" spans="1:19" ht="14.4" customHeight="1" x14ac:dyDescent="0.3">
      <c r="A33" s="687" t="s">
        <v>1426</v>
      </c>
      <c r="B33" s="688" t="s">
        <v>1427</v>
      </c>
      <c r="C33" s="688" t="s">
        <v>1093</v>
      </c>
      <c r="D33" s="688" t="s">
        <v>1424</v>
      </c>
      <c r="E33" s="688" t="s">
        <v>1436</v>
      </c>
      <c r="F33" s="688" t="s">
        <v>1455</v>
      </c>
      <c r="G33" s="688" t="s">
        <v>1456</v>
      </c>
      <c r="H33" s="691"/>
      <c r="I33" s="691"/>
      <c r="J33" s="688"/>
      <c r="K33" s="688"/>
      <c r="L33" s="691">
        <v>1</v>
      </c>
      <c r="M33" s="691">
        <v>701</v>
      </c>
      <c r="N33" s="688">
        <v>1</v>
      </c>
      <c r="O33" s="688">
        <v>701</v>
      </c>
      <c r="P33" s="691"/>
      <c r="Q33" s="691"/>
      <c r="R33" s="704"/>
      <c r="S33" s="692"/>
    </row>
    <row r="34" spans="1:19" ht="14.4" customHeight="1" x14ac:dyDescent="0.3">
      <c r="A34" s="687" t="s">
        <v>1426</v>
      </c>
      <c r="B34" s="688" t="s">
        <v>1427</v>
      </c>
      <c r="C34" s="688" t="s">
        <v>1093</v>
      </c>
      <c r="D34" s="688" t="s">
        <v>1062</v>
      </c>
      <c r="E34" s="688" t="s">
        <v>1429</v>
      </c>
      <c r="F34" s="688" t="s">
        <v>1432</v>
      </c>
      <c r="G34" s="688" t="s">
        <v>1435</v>
      </c>
      <c r="H34" s="691"/>
      <c r="I34" s="691"/>
      <c r="J34" s="688"/>
      <c r="K34" s="688"/>
      <c r="L34" s="691">
        <v>2</v>
      </c>
      <c r="M34" s="691">
        <v>39308.5</v>
      </c>
      <c r="N34" s="688">
        <v>1</v>
      </c>
      <c r="O34" s="688">
        <v>19654.25</v>
      </c>
      <c r="P34" s="691"/>
      <c r="Q34" s="691"/>
      <c r="R34" s="704"/>
      <c r="S34" s="692"/>
    </row>
    <row r="35" spans="1:19" ht="14.4" customHeight="1" x14ac:dyDescent="0.3">
      <c r="A35" s="687" t="s">
        <v>1426</v>
      </c>
      <c r="B35" s="688" t="s">
        <v>1427</v>
      </c>
      <c r="C35" s="688" t="s">
        <v>1093</v>
      </c>
      <c r="D35" s="688" t="s">
        <v>1062</v>
      </c>
      <c r="E35" s="688" t="s">
        <v>1429</v>
      </c>
      <c r="F35" s="688" t="s">
        <v>1433</v>
      </c>
      <c r="G35" s="688" t="s">
        <v>1435</v>
      </c>
      <c r="H35" s="691"/>
      <c r="I35" s="691"/>
      <c r="J35" s="688"/>
      <c r="K35" s="688"/>
      <c r="L35" s="691"/>
      <c r="M35" s="691"/>
      <c r="N35" s="688"/>
      <c r="O35" s="688"/>
      <c r="P35" s="691">
        <v>2</v>
      </c>
      <c r="Q35" s="691">
        <v>39543.800000000003</v>
      </c>
      <c r="R35" s="704"/>
      <c r="S35" s="692">
        <v>19771.900000000001</v>
      </c>
    </row>
    <row r="36" spans="1:19" ht="14.4" customHeight="1" x14ac:dyDescent="0.3">
      <c r="A36" s="687" t="s">
        <v>1426</v>
      </c>
      <c r="B36" s="688" t="s">
        <v>1427</v>
      </c>
      <c r="C36" s="688" t="s">
        <v>1093</v>
      </c>
      <c r="D36" s="688" t="s">
        <v>1062</v>
      </c>
      <c r="E36" s="688" t="s">
        <v>1436</v>
      </c>
      <c r="F36" s="688" t="s">
        <v>1441</v>
      </c>
      <c r="G36" s="688" t="s">
        <v>1442</v>
      </c>
      <c r="H36" s="691"/>
      <c r="I36" s="691"/>
      <c r="J36" s="688"/>
      <c r="K36" s="688"/>
      <c r="L36" s="691">
        <v>4</v>
      </c>
      <c r="M36" s="691">
        <v>148</v>
      </c>
      <c r="N36" s="688">
        <v>1</v>
      </c>
      <c r="O36" s="688">
        <v>37</v>
      </c>
      <c r="P36" s="691"/>
      <c r="Q36" s="691"/>
      <c r="R36" s="704"/>
      <c r="S36" s="692"/>
    </row>
    <row r="37" spans="1:19" ht="14.4" customHeight="1" x14ac:dyDescent="0.3">
      <c r="A37" s="687" t="s">
        <v>1426</v>
      </c>
      <c r="B37" s="688" t="s">
        <v>1427</v>
      </c>
      <c r="C37" s="688" t="s">
        <v>1093</v>
      </c>
      <c r="D37" s="688" t="s">
        <v>1062</v>
      </c>
      <c r="E37" s="688" t="s">
        <v>1436</v>
      </c>
      <c r="F37" s="688" t="s">
        <v>1443</v>
      </c>
      <c r="G37" s="688" t="s">
        <v>1444</v>
      </c>
      <c r="H37" s="691"/>
      <c r="I37" s="691"/>
      <c r="J37" s="688"/>
      <c r="K37" s="688"/>
      <c r="L37" s="691"/>
      <c r="M37" s="691"/>
      <c r="N37" s="688"/>
      <c r="O37" s="688"/>
      <c r="P37" s="691">
        <v>1</v>
      </c>
      <c r="Q37" s="691">
        <v>177</v>
      </c>
      <c r="R37" s="704"/>
      <c r="S37" s="692">
        <v>177</v>
      </c>
    </row>
    <row r="38" spans="1:19" ht="14.4" customHeight="1" x14ac:dyDescent="0.3">
      <c r="A38" s="687" t="s">
        <v>1426</v>
      </c>
      <c r="B38" s="688" t="s">
        <v>1427</v>
      </c>
      <c r="C38" s="688" t="s">
        <v>1093</v>
      </c>
      <c r="D38" s="688" t="s">
        <v>1062</v>
      </c>
      <c r="E38" s="688" t="s">
        <v>1436</v>
      </c>
      <c r="F38" s="688" t="s">
        <v>1445</v>
      </c>
      <c r="G38" s="688" t="s">
        <v>1446</v>
      </c>
      <c r="H38" s="691"/>
      <c r="I38" s="691"/>
      <c r="J38" s="688"/>
      <c r="K38" s="688"/>
      <c r="L38" s="691">
        <v>2</v>
      </c>
      <c r="M38" s="691">
        <v>0</v>
      </c>
      <c r="N38" s="688"/>
      <c r="O38" s="688">
        <v>0</v>
      </c>
      <c r="P38" s="691">
        <v>2</v>
      </c>
      <c r="Q38" s="691">
        <v>0</v>
      </c>
      <c r="R38" s="704"/>
      <c r="S38" s="692">
        <v>0</v>
      </c>
    </row>
    <row r="39" spans="1:19" ht="14.4" customHeight="1" x14ac:dyDescent="0.3">
      <c r="A39" s="687" t="s">
        <v>1426</v>
      </c>
      <c r="B39" s="688" t="s">
        <v>1427</v>
      </c>
      <c r="C39" s="688" t="s">
        <v>1093</v>
      </c>
      <c r="D39" s="688" t="s">
        <v>1062</v>
      </c>
      <c r="E39" s="688" t="s">
        <v>1436</v>
      </c>
      <c r="F39" s="688" t="s">
        <v>1447</v>
      </c>
      <c r="G39" s="688" t="s">
        <v>1448</v>
      </c>
      <c r="H39" s="691"/>
      <c r="I39" s="691"/>
      <c r="J39" s="688"/>
      <c r="K39" s="688"/>
      <c r="L39" s="691">
        <v>36</v>
      </c>
      <c r="M39" s="691">
        <v>4176</v>
      </c>
      <c r="N39" s="688">
        <v>1</v>
      </c>
      <c r="O39" s="688">
        <v>116</v>
      </c>
      <c r="P39" s="691">
        <v>45</v>
      </c>
      <c r="Q39" s="691">
        <v>5220</v>
      </c>
      <c r="R39" s="704">
        <v>1.25</v>
      </c>
      <c r="S39" s="692">
        <v>116</v>
      </c>
    </row>
    <row r="40" spans="1:19" ht="14.4" customHeight="1" x14ac:dyDescent="0.3">
      <c r="A40" s="687" t="s">
        <v>1426</v>
      </c>
      <c r="B40" s="688" t="s">
        <v>1427</v>
      </c>
      <c r="C40" s="688" t="s">
        <v>1093</v>
      </c>
      <c r="D40" s="688" t="s">
        <v>1062</v>
      </c>
      <c r="E40" s="688" t="s">
        <v>1436</v>
      </c>
      <c r="F40" s="688" t="s">
        <v>1449</v>
      </c>
      <c r="G40" s="688" t="s">
        <v>1450</v>
      </c>
      <c r="H40" s="691"/>
      <c r="I40" s="691"/>
      <c r="J40" s="688"/>
      <c r="K40" s="688"/>
      <c r="L40" s="691"/>
      <c r="M40" s="691"/>
      <c r="N40" s="688"/>
      <c r="O40" s="688"/>
      <c r="P40" s="691">
        <v>2</v>
      </c>
      <c r="Q40" s="691">
        <v>64</v>
      </c>
      <c r="R40" s="704"/>
      <c r="S40" s="692">
        <v>32</v>
      </c>
    </row>
    <row r="41" spans="1:19" ht="14.4" customHeight="1" x14ac:dyDescent="0.3">
      <c r="A41" s="687" t="s">
        <v>1426</v>
      </c>
      <c r="B41" s="688" t="s">
        <v>1427</v>
      </c>
      <c r="C41" s="688" t="s">
        <v>1093</v>
      </c>
      <c r="D41" s="688" t="s">
        <v>1062</v>
      </c>
      <c r="E41" s="688" t="s">
        <v>1436</v>
      </c>
      <c r="F41" s="688" t="s">
        <v>1451</v>
      </c>
      <c r="G41" s="688" t="s">
        <v>1452</v>
      </c>
      <c r="H41" s="691"/>
      <c r="I41" s="691"/>
      <c r="J41" s="688"/>
      <c r="K41" s="688"/>
      <c r="L41" s="691">
        <v>36</v>
      </c>
      <c r="M41" s="691">
        <v>12744</v>
      </c>
      <c r="N41" s="688">
        <v>1</v>
      </c>
      <c r="O41" s="688">
        <v>354</v>
      </c>
      <c r="P41" s="691">
        <v>44</v>
      </c>
      <c r="Q41" s="691">
        <v>15620</v>
      </c>
      <c r="R41" s="704">
        <v>1.2256748273697426</v>
      </c>
      <c r="S41" s="692">
        <v>355</v>
      </c>
    </row>
    <row r="42" spans="1:19" ht="14.4" customHeight="1" x14ac:dyDescent="0.3">
      <c r="A42" s="687" t="s">
        <v>1426</v>
      </c>
      <c r="B42" s="688" t="s">
        <v>1427</v>
      </c>
      <c r="C42" s="688" t="s">
        <v>1093</v>
      </c>
      <c r="D42" s="688" t="s">
        <v>1063</v>
      </c>
      <c r="E42" s="688" t="s">
        <v>1429</v>
      </c>
      <c r="F42" s="688" t="s">
        <v>1430</v>
      </c>
      <c r="G42" s="688" t="s">
        <v>1435</v>
      </c>
      <c r="H42" s="691"/>
      <c r="I42" s="691"/>
      <c r="J42" s="688"/>
      <c r="K42" s="688"/>
      <c r="L42" s="691">
        <v>1</v>
      </c>
      <c r="M42" s="691">
        <v>9827.1200000000008</v>
      </c>
      <c r="N42" s="688">
        <v>1</v>
      </c>
      <c r="O42" s="688">
        <v>9827.1200000000008</v>
      </c>
      <c r="P42" s="691"/>
      <c r="Q42" s="691"/>
      <c r="R42" s="704"/>
      <c r="S42" s="692"/>
    </row>
    <row r="43" spans="1:19" ht="14.4" customHeight="1" x14ac:dyDescent="0.3">
      <c r="A43" s="687" t="s">
        <v>1426</v>
      </c>
      <c r="B43" s="688" t="s">
        <v>1427</v>
      </c>
      <c r="C43" s="688" t="s">
        <v>1093</v>
      </c>
      <c r="D43" s="688" t="s">
        <v>1063</v>
      </c>
      <c r="E43" s="688" t="s">
        <v>1429</v>
      </c>
      <c r="F43" s="688" t="s">
        <v>1432</v>
      </c>
      <c r="G43" s="688" t="s">
        <v>1435</v>
      </c>
      <c r="H43" s="691"/>
      <c r="I43" s="691"/>
      <c r="J43" s="688"/>
      <c r="K43" s="688"/>
      <c r="L43" s="691">
        <v>4</v>
      </c>
      <c r="M43" s="691">
        <v>78617</v>
      </c>
      <c r="N43" s="688">
        <v>1</v>
      </c>
      <c r="O43" s="688">
        <v>19654.25</v>
      </c>
      <c r="P43" s="691"/>
      <c r="Q43" s="691"/>
      <c r="R43" s="704"/>
      <c r="S43" s="692"/>
    </row>
    <row r="44" spans="1:19" ht="14.4" customHeight="1" x14ac:dyDescent="0.3">
      <c r="A44" s="687" t="s">
        <v>1426</v>
      </c>
      <c r="B44" s="688" t="s">
        <v>1427</v>
      </c>
      <c r="C44" s="688" t="s">
        <v>1093</v>
      </c>
      <c r="D44" s="688" t="s">
        <v>1063</v>
      </c>
      <c r="E44" s="688" t="s">
        <v>1429</v>
      </c>
      <c r="F44" s="688" t="s">
        <v>1433</v>
      </c>
      <c r="G44" s="688" t="s">
        <v>1435</v>
      </c>
      <c r="H44" s="691"/>
      <c r="I44" s="691"/>
      <c r="J44" s="688"/>
      <c r="K44" s="688"/>
      <c r="L44" s="691">
        <v>40</v>
      </c>
      <c r="M44" s="691">
        <v>776342.87</v>
      </c>
      <c r="N44" s="688">
        <v>1</v>
      </c>
      <c r="O44" s="688">
        <v>19408.571749999999</v>
      </c>
      <c r="P44" s="691">
        <v>74</v>
      </c>
      <c r="Q44" s="691">
        <v>1459524.2</v>
      </c>
      <c r="R44" s="704">
        <v>1.8799994904313349</v>
      </c>
      <c r="S44" s="692">
        <v>19723.3</v>
      </c>
    </row>
    <row r="45" spans="1:19" ht="14.4" customHeight="1" x14ac:dyDescent="0.3">
      <c r="A45" s="687" t="s">
        <v>1426</v>
      </c>
      <c r="B45" s="688" t="s">
        <v>1427</v>
      </c>
      <c r="C45" s="688" t="s">
        <v>1093</v>
      </c>
      <c r="D45" s="688" t="s">
        <v>1063</v>
      </c>
      <c r="E45" s="688" t="s">
        <v>1429</v>
      </c>
      <c r="F45" s="688" t="s">
        <v>1434</v>
      </c>
      <c r="G45" s="688" t="s">
        <v>1435</v>
      </c>
      <c r="H45" s="691"/>
      <c r="I45" s="691"/>
      <c r="J45" s="688"/>
      <c r="K45" s="688"/>
      <c r="L45" s="691">
        <v>21</v>
      </c>
      <c r="M45" s="691">
        <v>206369.52000000002</v>
      </c>
      <c r="N45" s="688">
        <v>1</v>
      </c>
      <c r="O45" s="688">
        <v>9827.1200000000008</v>
      </c>
      <c r="P45" s="691">
        <v>26</v>
      </c>
      <c r="Q45" s="691">
        <v>256051</v>
      </c>
      <c r="R45" s="704">
        <v>1.2407403961592778</v>
      </c>
      <c r="S45" s="692">
        <v>9848.1153846153848</v>
      </c>
    </row>
    <row r="46" spans="1:19" ht="14.4" customHeight="1" x14ac:dyDescent="0.3">
      <c r="A46" s="687" t="s">
        <v>1426</v>
      </c>
      <c r="B46" s="688" t="s">
        <v>1427</v>
      </c>
      <c r="C46" s="688" t="s">
        <v>1093</v>
      </c>
      <c r="D46" s="688" t="s">
        <v>1063</v>
      </c>
      <c r="E46" s="688" t="s">
        <v>1436</v>
      </c>
      <c r="F46" s="688" t="s">
        <v>1437</v>
      </c>
      <c r="G46" s="688" t="s">
        <v>1438</v>
      </c>
      <c r="H46" s="691"/>
      <c r="I46" s="691"/>
      <c r="J46" s="688"/>
      <c r="K46" s="688"/>
      <c r="L46" s="691"/>
      <c r="M46" s="691"/>
      <c r="N46" s="688"/>
      <c r="O46" s="688"/>
      <c r="P46" s="691">
        <v>1</v>
      </c>
      <c r="Q46" s="691">
        <v>30</v>
      </c>
      <c r="R46" s="704"/>
      <c r="S46" s="692">
        <v>30</v>
      </c>
    </row>
    <row r="47" spans="1:19" ht="14.4" customHeight="1" x14ac:dyDescent="0.3">
      <c r="A47" s="687" t="s">
        <v>1426</v>
      </c>
      <c r="B47" s="688" t="s">
        <v>1427</v>
      </c>
      <c r="C47" s="688" t="s">
        <v>1093</v>
      </c>
      <c r="D47" s="688" t="s">
        <v>1063</v>
      </c>
      <c r="E47" s="688" t="s">
        <v>1436</v>
      </c>
      <c r="F47" s="688" t="s">
        <v>1441</v>
      </c>
      <c r="G47" s="688" t="s">
        <v>1442</v>
      </c>
      <c r="H47" s="691"/>
      <c r="I47" s="691"/>
      <c r="J47" s="688"/>
      <c r="K47" s="688"/>
      <c r="L47" s="691">
        <v>25</v>
      </c>
      <c r="M47" s="691">
        <v>925</v>
      </c>
      <c r="N47" s="688">
        <v>1</v>
      </c>
      <c r="O47" s="688">
        <v>37</v>
      </c>
      <c r="P47" s="691">
        <v>38</v>
      </c>
      <c r="Q47" s="691">
        <v>1406</v>
      </c>
      <c r="R47" s="704">
        <v>1.52</v>
      </c>
      <c r="S47" s="692">
        <v>37</v>
      </c>
    </row>
    <row r="48" spans="1:19" ht="14.4" customHeight="1" x14ac:dyDescent="0.3">
      <c r="A48" s="687" t="s">
        <v>1426</v>
      </c>
      <c r="B48" s="688" t="s">
        <v>1427</v>
      </c>
      <c r="C48" s="688" t="s">
        <v>1093</v>
      </c>
      <c r="D48" s="688" t="s">
        <v>1063</v>
      </c>
      <c r="E48" s="688" t="s">
        <v>1436</v>
      </c>
      <c r="F48" s="688" t="s">
        <v>1443</v>
      </c>
      <c r="G48" s="688" t="s">
        <v>1444</v>
      </c>
      <c r="H48" s="691"/>
      <c r="I48" s="691"/>
      <c r="J48" s="688"/>
      <c r="K48" s="688"/>
      <c r="L48" s="691">
        <v>52</v>
      </c>
      <c r="M48" s="691">
        <v>9204</v>
      </c>
      <c r="N48" s="688">
        <v>1</v>
      </c>
      <c r="O48" s="688">
        <v>177</v>
      </c>
      <c r="P48" s="691">
        <v>129</v>
      </c>
      <c r="Q48" s="691">
        <v>22833</v>
      </c>
      <c r="R48" s="704">
        <v>2.4807692307692308</v>
      </c>
      <c r="S48" s="692">
        <v>177</v>
      </c>
    </row>
    <row r="49" spans="1:19" ht="14.4" customHeight="1" x14ac:dyDescent="0.3">
      <c r="A49" s="687" t="s">
        <v>1426</v>
      </c>
      <c r="B49" s="688" t="s">
        <v>1427</v>
      </c>
      <c r="C49" s="688" t="s">
        <v>1093</v>
      </c>
      <c r="D49" s="688" t="s">
        <v>1063</v>
      </c>
      <c r="E49" s="688" t="s">
        <v>1436</v>
      </c>
      <c r="F49" s="688" t="s">
        <v>1445</v>
      </c>
      <c r="G49" s="688" t="s">
        <v>1446</v>
      </c>
      <c r="H49" s="691"/>
      <c r="I49" s="691"/>
      <c r="J49" s="688"/>
      <c r="K49" s="688"/>
      <c r="L49" s="691">
        <v>44</v>
      </c>
      <c r="M49" s="691">
        <v>0</v>
      </c>
      <c r="N49" s="688"/>
      <c r="O49" s="688">
        <v>0</v>
      </c>
      <c r="P49" s="691">
        <v>80</v>
      </c>
      <c r="Q49" s="691">
        <v>0</v>
      </c>
      <c r="R49" s="704"/>
      <c r="S49" s="692">
        <v>0</v>
      </c>
    </row>
    <row r="50" spans="1:19" ht="14.4" customHeight="1" x14ac:dyDescent="0.3">
      <c r="A50" s="687" t="s">
        <v>1426</v>
      </c>
      <c r="B50" s="688" t="s">
        <v>1427</v>
      </c>
      <c r="C50" s="688" t="s">
        <v>1093</v>
      </c>
      <c r="D50" s="688" t="s">
        <v>1063</v>
      </c>
      <c r="E50" s="688" t="s">
        <v>1436</v>
      </c>
      <c r="F50" s="688" t="s">
        <v>1447</v>
      </c>
      <c r="G50" s="688" t="s">
        <v>1448</v>
      </c>
      <c r="H50" s="691"/>
      <c r="I50" s="691"/>
      <c r="J50" s="688"/>
      <c r="K50" s="688"/>
      <c r="L50" s="691">
        <v>85</v>
      </c>
      <c r="M50" s="691">
        <v>9860</v>
      </c>
      <c r="N50" s="688">
        <v>1</v>
      </c>
      <c r="O50" s="688">
        <v>116</v>
      </c>
      <c r="P50" s="691">
        <v>129</v>
      </c>
      <c r="Q50" s="691">
        <v>14964</v>
      </c>
      <c r="R50" s="704">
        <v>1.5176470588235293</v>
      </c>
      <c r="S50" s="692">
        <v>116</v>
      </c>
    </row>
    <row r="51" spans="1:19" ht="14.4" customHeight="1" x14ac:dyDescent="0.3">
      <c r="A51" s="687" t="s">
        <v>1426</v>
      </c>
      <c r="B51" s="688" t="s">
        <v>1427</v>
      </c>
      <c r="C51" s="688" t="s">
        <v>1093</v>
      </c>
      <c r="D51" s="688" t="s">
        <v>1063</v>
      </c>
      <c r="E51" s="688" t="s">
        <v>1436</v>
      </c>
      <c r="F51" s="688" t="s">
        <v>1449</v>
      </c>
      <c r="G51" s="688" t="s">
        <v>1450</v>
      </c>
      <c r="H51" s="691"/>
      <c r="I51" s="691"/>
      <c r="J51" s="688"/>
      <c r="K51" s="688"/>
      <c r="L51" s="691"/>
      <c r="M51" s="691"/>
      <c r="N51" s="688"/>
      <c r="O51" s="688"/>
      <c r="P51" s="691">
        <v>79</v>
      </c>
      <c r="Q51" s="691">
        <v>2528</v>
      </c>
      <c r="R51" s="704"/>
      <c r="S51" s="692">
        <v>32</v>
      </c>
    </row>
    <row r="52" spans="1:19" ht="14.4" customHeight="1" x14ac:dyDescent="0.3">
      <c r="A52" s="687" t="s">
        <v>1426</v>
      </c>
      <c r="B52" s="688" t="s">
        <v>1427</v>
      </c>
      <c r="C52" s="688" t="s">
        <v>1093</v>
      </c>
      <c r="D52" s="688" t="s">
        <v>1063</v>
      </c>
      <c r="E52" s="688" t="s">
        <v>1436</v>
      </c>
      <c r="F52" s="688" t="s">
        <v>1451</v>
      </c>
      <c r="G52" s="688" t="s">
        <v>1452</v>
      </c>
      <c r="H52" s="691"/>
      <c r="I52" s="691"/>
      <c r="J52" s="688"/>
      <c r="K52" s="688"/>
      <c r="L52" s="691">
        <v>33</v>
      </c>
      <c r="M52" s="691">
        <v>11682</v>
      </c>
      <c r="N52" s="688">
        <v>1</v>
      </c>
      <c r="O52" s="688">
        <v>354</v>
      </c>
      <c r="P52" s="691"/>
      <c r="Q52" s="691"/>
      <c r="R52" s="704"/>
      <c r="S52" s="692"/>
    </row>
    <row r="53" spans="1:19" ht="14.4" customHeight="1" x14ac:dyDescent="0.3">
      <c r="A53" s="687" t="s">
        <v>1426</v>
      </c>
      <c r="B53" s="688" t="s">
        <v>1427</v>
      </c>
      <c r="C53" s="688" t="s">
        <v>1093</v>
      </c>
      <c r="D53" s="688" t="s">
        <v>1063</v>
      </c>
      <c r="E53" s="688" t="s">
        <v>1436</v>
      </c>
      <c r="F53" s="688" t="s">
        <v>1453</v>
      </c>
      <c r="G53" s="688" t="s">
        <v>1454</v>
      </c>
      <c r="H53" s="691"/>
      <c r="I53" s="691"/>
      <c r="J53" s="688"/>
      <c r="K53" s="688"/>
      <c r="L53" s="691">
        <v>7</v>
      </c>
      <c r="M53" s="691">
        <v>518</v>
      </c>
      <c r="N53" s="688">
        <v>1</v>
      </c>
      <c r="O53" s="688">
        <v>74</v>
      </c>
      <c r="P53" s="691">
        <v>6</v>
      </c>
      <c r="Q53" s="691">
        <v>444</v>
      </c>
      <c r="R53" s="704">
        <v>0.8571428571428571</v>
      </c>
      <c r="S53" s="692">
        <v>74</v>
      </c>
    </row>
    <row r="54" spans="1:19" ht="14.4" customHeight="1" x14ac:dyDescent="0.3">
      <c r="A54" s="687" t="s">
        <v>1426</v>
      </c>
      <c r="B54" s="688" t="s">
        <v>1427</v>
      </c>
      <c r="C54" s="688" t="s">
        <v>1093</v>
      </c>
      <c r="D54" s="688" t="s">
        <v>1064</v>
      </c>
      <c r="E54" s="688" t="s">
        <v>1436</v>
      </c>
      <c r="F54" s="688" t="s">
        <v>1451</v>
      </c>
      <c r="G54" s="688" t="s">
        <v>1452</v>
      </c>
      <c r="H54" s="691"/>
      <c r="I54" s="691"/>
      <c r="J54" s="688"/>
      <c r="K54" s="688"/>
      <c r="L54" s="691"/>
      <c r="M54" s="691"/>
      <c r="N54" s="688"/>
      <c r="O54" s="688"/>
      <c r="P54" s="691">
        <v>2</v>
      </c>
      <c r="Q54" s="691">
        <v>710</v>
      </c>
      <c r="R54" s="704"/>
      <c r="S54" s="692">
        <v>355</v>
      </c>
    </row>
    <row r="55" spans="1:19" ht="14.4" customHeight="1" x14ac:dyDescent="0.3">
      <c r="A55" s="687" t="s">
        <v>1426</v>
      </c>
      <c r="B55" s="688" t="s">
        <v>1427</v>
      </c>
      <c r="C55" s="688" t="s">
        <v>1093</v>
      </c>
      <c r="D55" s="688" t="s">
        <v>1064</v>
      </c>
      <c r="E55" s="688" t="s">
        <v>1436</v>
      </c>
      <c r="F55" s="688" t="s">
        <v>1455</v>
      </c>
      <c r="G55" s="688" t="s">
        <v>1456</v>
      </c>
      <c r="H55" s="691"/>
      <c r="I55" s="691"/>
      <c r="J55" s="688"/>
      <c r="K55" s="688"/>
      <c r="L55" s="691"/>
      <c r="M55" s="691"/>
      <c r="N55" s="688"/>
      <c r="O55" s="688"/>
      <c r="P55" s="691">
        <v>2</v>
      </c>
      <c r="Q55" s="691">
        <v>1402</v>
      </c>
      <c r="R55" s="704"/>
      <c r="S55" s="692">
        <v>701</v>
      </c>
    </row>
    <row r="56" spans="1:19" ht="14.4" customHeight="1" x14ac:dyDescent="0.3">
      <c r="A56" s="687" t="s">
        <v>1426</v>
      </c>
      <c r="B56" s="688" t="s">
        <v>1427</v>
      </c>
      <c r="C56" s="688" t="s">
        <v>1093</v>
      </c>
      <c r="D56" s="688" t="s">
        <v>1065</v>
      </c>
      <c r="E56" s="688" t="s">
        <v>1436</v>
      </c>
      <c r="F56" s="688" t="s">
        <v>1441</v>
      </c>
      <c r="G56" s="688" t="s">
        <v>1442</v>
      </c>
      <c r="H56" s="691"/>
      <c r="I56" s="691"/>
      <c r="J56" s="688"/>
      <c r="K56" s="688"/>
      <c r="L56" s="691">
        <v>1</v>
      </c>
      <c r="M56" s="691">
        <v>37</v>
      </c>
      <c r="N56" s="688">
        <v>1</v>
      </c>
      <c r="O56" s="688">
        <v>37</v>
      </c>
      <c r="P56" s="691">
        <v>1</v>
      </c>
      <c r="Q56" s="691">
        <v>37</v>
      </c>
      <c r="R56" s="704">
        <v>1</v>
      </c>
      <c r="S56" s="692">
        <v>37</v>
      </c>
    </row>
    <row r="57" spans="1:19" ht="14.4" customHeight="1" x14ac:dyDescent="0.3">
      <c r="A57" s="687" t="s">
        <v>1426</v>
      </c>
      <c r="B57" s="688" t="s">
        <v>1427</v>
      </c>
      <c r="C57" s="688" t="s">
        <v>1093</v>
      </c>
      <c r="D57" s="688" t="s">
        <v>1065</v>
      </c>
      <c r="E57" s="688" t="s">
        <v>1436</v>
      </c>
      <c r="F57" s="688" t="s">
        <v>1451</v>
      </c>
      <c r="G57" s="688" t="s">
        <v>1452</v>
      </c>
      <c r="H57" s="691"/>
      <c r="I57" s="691"/>
      <c r="J57" s="688"/>
      <c r="K57" s="688"/>
      <c r="L57" s="691">
        <v>1</v>
      </c>
      <c r="M57" s="691">
        <v>354</v>
      </c>
      <c r="N57" s="688">
        <v>1</v>
      </c>
      <c r="O57" s="688">
        <v>354</v>
      </c>
      <c r="P57" s="691"/>
      <c r="Q57" s="691"/>
      <c r="R57" s="704"/>
      <c r="S57" s="692"/>
    </row>
    <row r="58" spans="1:19" ht="14.4" customHeight="1" x14ac:dyDescent="0.3">
      <c r="A58" s="687" t="s">
        <v>1426</v>
      </c>
      <c r="B58" s="688" t="s">
        <v>1427</v>
      </c>
      <c r="C58" s="688" t="s">
        <v>1093</v>
      </c>
      <c r="D58" s="688" t="s">
        <v>1065</v>
      </c>
      <c r="E58" s="688" t="s">
        <v>1436</v>
      </c>
      <c r="F58" s="688" t="s">
        <v>1455</v>
      </c>
      <c r="G58" s="688" t="s">
        <v>1456</v>
      </c>
      <c r="H58" s="691"/>
      <c r="I58" s="691"/>
      <c r="J58" s="688"/>
      <c r="K58" s="688"/>
      <c r="L58" s="691">
        <v>6</v>
      </c>
      <c r="M58" s="691">
        <v>4206</v>
      </c>
      <c r="N58" s="688">
        <v>1</v>
      </c>
      <c r="O58" s="688">
        <v>701</v>
      </c>
      <c r="P58" s="691">
        <v>1</v>
      </c>
      <c r="Q58" s="691">
        <v>701</v>
      </c>
      <c r="R58" s="704">
        <v>0.16666666666666666</v>
      </c>
      <c r="S58" s="692">
        <v>701</v>
      </c>
    </row>
    <row r="59" spans="1:19" ht="14.4" customHeight="1" x14ac:dyDescent="0.3">
      <c r="A59" s="687" t="s">
        <v>1426</v>
      </c>
      <c r="B59" s="688" t="s">
        <v>1427</v>
      </c>
      <c r="C59" s="688" t="s">
        <v>1093</v>
      </c>
      <c r="D59" s="688" t="s">
        <v>1067</v>
      </c>
      <c r="E59" s="688" t="s">
        <v>1436</v>
      </c>
      <c r="F59" s="688" t="s">
        <v>1441</v>
      </c>
      <c r="G59" s="688" t="s">
        <v>1442</v>
      </c>
      <c r="H59" s="691"/>
      <c r="I59" s="691"/>
      <c r="J59" s="688"/>
      <c r="K59" s="688"/>
      <c r="L59" s="691"/>
      <c r="M59" s="691"/>
      <c r="N59" s="688"/>
      <c r="O59" s="688"/>
      <c r="P59" s="691">
        <v>9</v>
      </c>
      <c r="Q59" s="691">
        <v>333</v>
      </c>
      <c r="R59" s="704"/>
      <c r="S59" s="692">
        <v>37</v>
      </c>
    </row>
    <row r="60" spans="1:19" ht="14.4" customHeight="1" x14ac:dyDescent="0.3">
      <c r="A60" s="687" t="s">
        <v>1426</v>
      </c>
      <c r="B60" s="688" t="s">
        <v>1427</v>
      </c>
      <c r="C60" s="688" t="s">
        <v>1093</v>
      </c>
      <c r="D60" s="688" t="s">
        <v>1067</v>
      </c>
      <c r="E60" s="688" t="s">
        <v>1436</v>
      </c>
      <c r="F60" s="688" t="s">
        <v>1443</v>
      </c>
      <c r="G60" s="688" t="s">
        <v>1444</v>
      </c>
      <c r="H60" s="691"/>
      <c r="I60" s="691"/>
      <c r="J60" s="688"/>
      <c r="K60" s="688"/>
      <c r="L60" s="691">
        <v>5</v>
      </c>
      <c r="M60" s="691">
        <v>885</v>
      </c>
      <c r="N60" s="688">
        <v>1</v>
      </c>
      <c r="O60" s="688">
        <v>177</v>
      </c>
      <c r="P60" s="691">
        <v>36</v>
      </c>
      <c r="Q60" s="691">
        <v>6372</v>
      </c>
      <c r="R60" s="704">
        <v>7.2</v>
      </c>
      <c r="S60" s="692">
        <v>177</v>
      </c>
    </row>
    <row r="61" spans="1:19" ht="14.4" customHeight="1" x14ac:dyDescent="0.3">
      <c r="A61" s="687" t="s">
        <v>1426</v>
      </c>
      <c r="B61" s="688" t="s">
        <v>1427</v>
      </c>
      <c r="C61" s="688" t="s">
        <v>1093</v>
      </c>
      <c r="D61" s="688" t="s">
        <v>1067</v>
      </c>
      <c r="E61" s="688" t="s">
        <v>1436</v>
      </c>
      <c r="F61" s="688" t="s">
        <v>1447</v>
      </c>
      <c r="G61" s="688" t="s">
        <v>1448</v>
      </c>
      <c r="H61" s="691"/>
      <c r="I61" s="691"/>
      <c r="J61" s="688"/>
      <c r="K61" s="688"/>
      <c r="L61" s="691">
        <v>27</v>
      </c>
      <c r="M61" s="691">
        <v>3132</v>
      </c>
      <c r="N61" s="688">
        <v>1</v>
      </c>
      <c r="O61" s="688">
        <v>116</v>
      </c>
      <c r="P61" s="691">
        <v>36</v>
      </c>
      <c r="Q61" s="691">
        <v>4176</v>
      </c>
      <c r="R61" s="704">
        <v>1.3333333333333333</v>
      </c>
      <c r="S61" s="692">
        <v>116</v>
      </c>
    </row>
    <row r="62" spans="1:19" ht="14.4" customHeight="1" x14ac:dyDescent="0.3">
      <c r="A62" s="687" t="s">
        <v>1426</v>
      </c>
      <c r="B62" s="688" t="s">
        <v>1427</v>
      </c>
      <c r="C62" s="688" t="s">
        <v>1093</v>
      </c>
      <c r="D62" s="688" t="s">
        <v>1067</v>
      </c>
      <c r="E62" s="688" t="s">
        <v>1436</v>
      </c>
      <c r="F62" s="688" t="s">
        <v>1451</v>
      </c>
      <c r="G62" s="688" t="s">
        <v>1452</v>
      </c>
      <c r="H62" s="691"/>
      <c r="I62" s="691"/>
      <c r="J62" s="688"/>
      <c r="K62" s="688"/>
      <c r="L62" s="691">
        <v>22</v>
      </c>
      <c r="M62" s="691">
        <v>7788</v>
      </c>
      <c r="N62" s="688">
        <v>1</v>
      </c>
      <c r="O62" s="688">
        <v>354</v>
      </c>
      <c r="P62" s="691"/>
      <c r="Q62" s="691"/>
      <c r="R62" s="704"/>
      <c r="S62" s="692"/>
    </row>
    <row r="63" spans="1:19" ht="14.4" customHeight="1" x14ac:dyDescent="0.3">
      <c r="A63" s="687" t="s">
        <v>1426</v>
      </c>
      <c r="B63" s="688" t="s">
        <v>1427</v>
      </c>
      <c r="C63" s="688" t="s">
        <v>599</v>
      </c>
      <c r="D63" s="688" t="s">
        <v>1419</v>
      </c>
      <c r="E63" s="688" t="s">
        <v>1429</v>
      </c>
      <c r="F63" s="688" t="s">
        <v>1434</v>
      </c>
      <c r="G63" s="688" t="s">
        <v>1435</v>
      </c>
      <c r="H63" s="691"/>
      <c r="I63" s="691"/>
      <c r="J63" s="688"/>
      <c r="K63" s="688"/>
      <c r="L63" s="691">
        <v>1</v>
      </c>
      <c r="M63" s="691">
        <v>9827.1200000000008</v>
      </c>
      <c r="N63" s="688">
        <v>1</v>
      </c>
      <c r="O63" s="688">
        <v>9827.1200000000008</v>
      </c>
      <c r="P63" s="691"/>
      <c r="Q63" s="691"/>
      <c r="R63" s="704"/>
      <c r="S63" s="692"/>
    </row>
    <row r="64" spans="1:19" ht="14.4" customHeight="1" thickBot="1" x14ac:dyDescent="0.35">
      <c r="A64" s="693" t="s">
        <v>1426</v>
      </c>
      <c r="B64" s="694" t="s">
        <v>1427</v>
      </c>
      <c r="C64" s="694" t="s">
        <v>599</v>
      </c>
      <c r="D64" s="694" t="s">
        <v>1419</v>
      </c>
      <c r="E64" s="694" t="s">
        <v>1436</v>
      </c>
      <c r="F64" s="694" t="s">
        <v>1457</v>
      </c>
      <c r="G64" s="694" t="s">
        <v>1458</v>
      </c>
      <c r="H64" s="697"/>
      <c r="I64" s="697"/>
      <c r="J64" s="694"/>
      <c r="K64" s="694"/>
      <c r="L64" s="697">
        <v>1</v>
      </c>
      <c r="M64" s="697">
        <v>0</v>
      </c>
      <c r="N64" s="694"/>
      <c r="O64" s="694">
        <v>0</v>
      </c>
      <c r="P64" s="697"/>
      <c r="Q64" s="697"/>
      <c r="R64" s="705"/>
      <c r="S64" s="698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7" bestFit="1" customWidth="1" collapsed="1"/>
    <col min="2" max="2" width="7.77734375" style="205" hidden="1" customWidth="1" outlineLevel="1"/>
    <col min="3" max="3" width="0.109375" style="237" hidden="1" customWidth="1"/>
    <col min="4" max="4" width="7.77734375" style="205" customWidth="1"/>
    <col min="5" max="5" width="5.44140625" style="237" hidden="1" customWidth="1"/>
    <col min="6" max="6" width="7.77734375" style="205" customWidth="1"/>
    <col min="7" max="7" width="7.77734375" style="322" customWidth="1" collapsed="1"/>
    <col min="8" max="8" width="7.77734375" style="205" hidden="1" customWidth="1" outlineLevel="1"/>
    <col min="9" max="9" width="5.44140625" style="237" hidden="1" customWidth="1"/>
    <col min="10" max="10" width="7.77734375" style="205" customWidth="1"/>
    <col min="11" max="11" width="5.44140625" style="237" hidden="1" customWidth="1"/>
    <col min="12" max="12" width="7.77734375" style="205" customWidth="1"/>
    <col min="13" max="13" width="7.77734375" style="322" customWidth="1" collapsed="1"/>
    <col min="14" max="14" width="7.77734375" style="205" hidden="1" customWidth="1" outlineLevel="1"/>
    <col min="15" max="15" width="5" style="237" hidden="1" customWidth="1"/>
    <col min="16" max="16" width="7.77734375" style="205" customWidth="1"/>
    <col min="17" max="17" width="5" style="237" hidden="1" customWidth="1"/>
    <col min="18" max="18" width="7.77734375" style="205" customWidth="1"/>
    <col min="19" max="19" width="7.77734375" style="322" customWidth="1"/>
    <col min="20" max="16384" width="8.88671875" style="237"/>
  </cols>
  <sheetData>
    <row r="1" spans="1:19" ht="18.600000000000001" customHeight="1" thickBot="1" x14ac:dyDescent="0.4">
      <c r="A1" s="516" t="s">
        <v>149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</row>
    <row r="2" spans="1:19" ht="14.4" customHeight="1" thickBot="1" x14ac:dyDescent="0.35">
      <c r="A2" s="360" t="s">
        <v>344</v>
      </c>
      <c r="B2" s="334"/>
      <c r="C2" s="210"/>
      <c r="D2" s="334"/>
      <c r="E2" s="210"/>
      <c r="F2" s="334"/>
      <c r="G2" s="335"/>
      <c r="H2" s="334"/>
      <c r="I2" s="210"/>
      <c r="J2" s="334"/>
      <c r="K2" s="210"/>
      <c r="L2" s="334"/>
      <c r="M2" s="335"/>
      <c r="N2" s="334"/>
      <c r="O2" s="210"/>
      <c r="P2" s="334"/>
      <c r="Q2" s="210"/>
      <c r="R2" s="334"/>
      <c r="S2" s="335"/>
    </row>
    <row r="3" spans="1:19" ht="14.4" customHeight="1" thickBot="1" x14ac:dyDescent="0.35">
      <c r="A3" s="328" t="s">
        <v>151</v>
      </c>
      <c r="B3" s="329">
        <f>SUBTOTAL(9,B6:B1048576)</f>
        <v>8779168</v>
      </c>
      <c r="C3" s="330">
        <f t="shared" ref="C3:R3" si="0">SUBTOTAL(9,C6:C1048576)</f>
        <v>1.0333399051191072</v>
      </c>
      <c r="D3" s="330">
        <f t="shared" si="0"/>
        <v>8496092</v>
      </c>
      <c r="E3" s="330">
        <f t="shared" si="0"/>
        <v>2</v>
      </c>
      <c r="F3" s="330">
        <f t="shared" si="0"/>
        <v>12835077</v>
      </c>
      <c r="G3" s="333">
        <f>IF(D3&lt;&gt;0,F3/D3,"")</f>
        <v>1.5107036270322873</v>
      </c>
      <c r="H3" s="329">
        <f t="shared" si="0"/>
        <v>79136.510000000009</v>
      </c>
      <c r="I3" s="330">
        <f t="shared" si="0"/>
        <v>1.0768722570966955</v>
      </c>
      <c r="J3" s="330">
        <f t="shared" si="0"/>
        <v>73487.37000000001</v>
      </c>
      <c r="K3" s="330">
        <f t="shared" si="0"/>
        <v>1</v>
      </c>
      <c r="L3" s="330">
        <f t="shared" si="0"/>
        <v>196399.50999999995</v>
      </c>
      <c r="M3" s="331">
        <f>IF(J3&lt;&gt;0,L3/J3,"")</f>
        <v>2.6725614210986177</v>
      </c>
      <c r="N3" s="332">
        <f t="shared" si="0"/>
        <v>0</v>
      </c>
      <c r="O3" s="330">
        <f t="shared" si="0"/>
        <v>0</v>
      </c>
      <c r="P3" s="330">
        <f t="shared" si="0"/>
        <v>39308.5</v>
      </c>
      <c r="Q3" s="330">
        <f t="shared" si="0"/>
        <v>2</v>
      </c>
      <c r="R3" s="330">
        <f t="shared" si="0"/>
        <v>108443.65</v>
      </c>
      <c r="S3" s="331">
        <f>IF(P3&lt;&gt;0,R3/P3,"")</f>
        <v>2.7587837236221171</v>
      </c>
    </row>
    <row r="4" spans="1:19" ht="14.4" customHeight="1" x14ac:dyDescent="0.3">
      <c r="A4" s="568" t="s">
        <v>122</v>
      </c>
      <c r="B4" s="569" t="s">
        <v>116</v>
      </c>
      <c r="C4" s="570"/>
      <c r="D4" s="570"/>
      <c r="E4" s="570"/>
      <c r="F4" s="570"/>
      <c r="G4" s="572"/>
      <c r="H4" s="569" t="s">
        <v>117</v>
      </c>
      <c r="I4" s="570"/>
      <c r="J4" s="570"/>
      <c r="K4" s="570"/>
      <c r="L4" s="570"/>
      <c r="M4" s="572"/>
      <c r="N4" s="569" t="s">
        <v>118</v>
      </c>
      <c r="O4" s="570"/>
      <c r="P4" s="570"/>
      <c r="Q4" s="570"/>
      <c r="R4" s="570"/>
      <c r="S4" s="572"/>
    </row>
    <row r="5" spans="1:19" ht="14.4" customHeight="1" thickBot="1" x14ac:dyDescent="0.35">
      <c r="A5" s="790"/>
      <c r="B5" s="791">
        <v>2015</v>
      </c>
      <c r="C5" s="792"/>
      <c r="D5" s="792">
        <v>2016</v>
      </c>
      <c r="E5" s="792"/>
      <c r="F5" s="792">
        <v>2017</v>
      </c>
      <c r="G5" s="830" t="s">
        <v>2</v>
      </c>
      <c r="H5" s="791">
        <v>2015</v>
      </c>
      <c r="I5" s="792"/>
      <c r="J5" s="792">
        <v>2016</v>
      </c>
      <c r="K5" s="792"/>
      <c r="L5" s="792">
        <v>2017</v>
      </c>
      <c r="M5" s="830" t="s">
        <v>2</v>
      </c>
      <c r="N5" s="791">
        <v>2015</v>
      </c>
      <c r="O5" s="792"/>
      <c r="P5" s="792">
        <v>2016</v>
      </c>
      <c r="Q5" s="792"/>
      <c r="R5" s="792">
        <v>2017</v>
      </c>
      <c r="S5" s="830" t="s">
        <v>2</v>
      </c>
    </row>
    <row r="6" spans="1:19" ht="14.4" customHeight="1" x14ac:dyDescent="0.3">
      <c r="A6" s="713" t="s">
        <v>1043</v>
      </c>
      <c r="B6" s="812">
        <v>8779168</v>
      </c>
      <c r="C6" s="682">
        <v>1.0333399051191072</v>
      </c>
      <c r="D6" s="812">
        <v>8495915</v>
      </c>
      <c r="E6" s="682">
        <v>1</v>
      </c>
      <c r="F6" s="812">
        <v>12835077</v>
      </c>
      <c r="G6" s="703">
        <v>1.5107351003393985</v>
      </c>
      <c r="H6" s="812">
        <v>79136.510000000009</v>
      </c>
      <c r="I6" s="682">
        <v>1.0768722570966955</v>
      </c>
      <c r="J6" s="812">
        <v>73487.37000000001</v>
      </c>
      <c r="K6" s="682">
        <v>1</v>
      </c>
      <c r="L6" s="812">
        <v>196399.50999999995</v>
      </c>
      <c r="M6" s="703">
        <v>2.6725614210986177</v>
      </c>
      <c r="N6" s="812"/>
      <c r="O6" s="682"/>
      <c r="P6" s="812">
        <v>19654.25</v>
      </c>
      <c r="Q6" s="682">
        <v>1</v>
      </c>
      <c r="R6" s="812">
        <v>88671.75</v>
      </c>
      <c r="S6" s="726">
        <v>4.5115814645687315</v>
      </c>
    </row>
    <row r="7" spans="1:19" ht="14.4" customHeight="1" thickBot="1" x14ac:dyDescent="0.35">
      <c r="A7" s="818" t="s">
        <v>1461</v>
      </c>
      <c r="B7" s="816"/>
      <c r="C7" s="694"/>
      <c r="D7" s="816">
        <v>177</v>
      </c>
      <c r="E7" s="694">
        <v>1</v>
      </c>
      <c r="F7" s="816">
        <v>0</v>
      </c>
      <c r="G7" s="705">
        <v>0</v>
      </c>
      <c r="H7" s="816"/>
      <c r="I7" s="694"/>
      <c r="J7" s="816">
        <v>0</v>
      </c>
      <c r="K7" s="694"/>
      <c r="L7" s="816">
        <v>0</v>
      </c>
      <c r="M7" s="705"/>
      <c r="N7" s="816"/>
      <c r="O7" s="694"/>
      <c r="P7" s="816">
        <v>19654.25</v>
      </c>
      <c r="Q7" s="694">
        <v>1</v>
      </c>
      <c r="R7" s="816">
        <v>19771.900000000001</v>
      </c>
      <c r="S7" s="728">
        <v>1.0059859826755029</v>
      </c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7" bestFit="1" customWidth="1"/>
    <col min="2" max="2" width="8.6640625" style="237" bestFit="1" customWidth="1"/>
    <col min="3" max="3" width="2.109375" style="237" bestFit="1" customWidth="1"/>
    <col min="4" max="4" width="8" style="237" bestFit="1" customWidth="1"/>
    <col min="5" max="5" width="52.88671875" style="237" bestFit="1" customWidth="1" collapsed="1"/>
    <col min="6" max="7" width="11.109375" style="319" hidden="1" customWidth="1" outlineLevel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7"/>
  </cols>
  <sheetData>
    <row r="1" spans="1:17" ht="18.600000000000001" customHeight="1" thickBot="1" x14ac:dyDescent="0.4">
      <c r="A1" s="504" t="s">
        <v>1558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</row>
    <row r="2" spans="1:17" ht="14.4" customHeight="1" thickBot="1" x14ac:dyDescent="0.35">
      <c r="A2" s="360" t="s">
        <v>344</v>
      </c>
      <c r="B2" s="238"/>
      <c r="C2" s="238"/>
      <c r="D2" s="238"/>
      <c r="E2" s="238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102" t="s">
        <v>151</v>
      </c>
      <c r="F3" s="197">
        <f t="shared" ref="F3:O3" si="0">SUBTOTAL(9,F6:F1048576)</f>
        <v>4710.84</v>
      </c>
      <c r="G3" s="198">
        <f t="shared" si="0"/>
        <v>8858304.5099999998</v>
      </c>
      <c r="H3" s="198"/>
      <c r="I3" s="198"/>
      <c r="J3" s="198">
        <f t="shared" si="0"/>
        <v>4394</v>
      </c>
      <c r="K3" s="198">
        <f t="shared" si="0"/>
        <v>8608887.870000001</v>
      </c>
      <c r="L3" s="198"/>
      <c r="M3" s="198"/>
      <c r="N3" s="198">
        <f t="shared" si="0"/>
        <v>5633.9</v>
      </c>
      <c r="O3" s="198">
        <f t="shared" si="0"/>
        <v>13139920.16</v>
      </c>
      <c r="P3" s="71">
        <f>IF(K3=0,0,O3/K3)</f>
        <v>1.5263202818321757</v>
      </c>
      <c r="Q3" s="199">
        <f>IF(N3=0,0,O3/N3)</f>
        <v>2332.295596300964</v>
      </c>
    </row>
    <row r="4" spans="1:17" ht="14.4" customHeight="1" x14ac:dyDescent="0.3">
      <c r="A4" s="577" t="s">
        <v>67</v>
      </c>
      <c r="B4" s="575" t="s">
        <v>112</v>
      </c>
      <c r="C4" s="577" t="s">
        <v>113</v>
      </c>
      <c r="D4" s="586" t="s">
        <v>114</v>
      </c>
      <c r="E4" s="578" t="s">
        <v>74</v>
      </c>
      <c r="F4" s="584">
        <v>2015</v>
      </c>
      <c r="G4" s="585"/>
      <c r="H4" s="200"/>
      <c r="I4" s="200"/>
      <c r="J4" s="584">
        <v>2016</v>
      </c>
      <c r="K4" s="585"/>
      <c r="L4" s="200"/>
      <c r="M4" s="200"/>
      <c r="N4" s="584">
        <v>2017</v>
      </c>
      <c r="O4" s="585"/>
      <c r="P4" s="587" t="s">
        <v>2</v>
      </c>
      <c r="Q4" s="576" t="s">
        <v>115</v>
      </c>
    </row>
    <row r="5" spans="1:17" ht="14.4" customHeight="1" thickBot="1" x14ac:dyDescent="0.35">
      <c r="A5" s="821"/>
      <c r="B5" s="819"/>
      <c r="C5" s="821"/>
      <c r="D5" s="831"/>
      <c r="E5" s="823"/>
      <c r="F5" s="832" t="s">
        <v>84</v>
      </c>
      <c r="G5" s="833" t="s">
        <v>14</v>
      </c>
      <c r="H5" s="834"/>
      <c r="I5" s="834"/>
      <c r="J5" s="832" t="s">
        <v>84</v>
      </c>
      <c r="K5" s="833" t="s">
        <v>14</v>
      </c>
      <c r="L5" s="834"/>
      <c r="M5" s="834"/>
      <c r="N5" s="832" t="s">
        <v>84</v>
      </c>
      <c r="O5" s="833" t="s">
        <v>14</v>
      </c>
      <c r="P5" s="835"/>
      <c r="Q5" s="828"/>
    </row>
    <row r="6" spans="1:17" ht="14.4" customHeight="1" x14ac:dyDescent="0.3">
      <c r="A6" s="681" t="s">
        <v>583</v>
      </c>
      <c r="B6" s="682" t="s">
        <v>1427</v>
      </c>
      <c r="C6" s="682" t="s">
        <v>1429</v>
      </c>
      <c r="D6" s="682" t="s">
        <v>1433</v>
      </c>
      <c r="E6" s="682" t="s">
        <v>1431</v>
      </c>
      <c r="F6" s="685"/>
      <c r="G6" s="685"/>
      <c r="H6" s="685"/>
      <c r="I6" s="685"/>
      <c r="J6" s="685">
        <v>0</v>
      </c>
      <c r="K6" s="685">
        <v>0</v>
      </c>
      <c r="L6" s="685"/>
      <c r="M6" s="685"/>
      <c r="N6" s="685"/>
      <c r="O6" s="685"/>
      <c r="P6" s="703"/>
      <c r="Q6" s="686"/>
    </row>
    <row r="7" spans="1:17" ht="14.4" customHeight="1" x14ac:dyDescent="0.3">
      <c r="A7" s="687" t="s">
        <v>583</v>
      </c>
      <c r="B7" s="688" t="s">
        <v>1427</v>
      </c>
      <c r="C7" s="688" t="s">
        <v>1429</v>
      </c>
      <c r="D7" s="688" t="s">
        <v>1433</v>
      </c>
      <c r="E7" s="688" t="s">
        <v>1435</v>
      </c>
      <c r="F7" s="691"/>
      <c r="G7" s="691"/>
      <c r="H7" s="691"/>
      <c r="I7" s="691"/>
      <c r="J7" s="691">
        <v>1</v>
      </c>
      <c r="K7" s="691">
        <v>19654.25</v>
      </c>
      <c r="L7" s="691">
        <v>1</v>
      </c>
      <c r="M7" s="691">
        <v>19654.25</v>
      </c>
      <c r="N7" s="691"/>
      <c r="O7" s="691"/>
      <c r="P7" s="704"/>
      <c r="Q7" s="692"/>
    </row>
    <row r="8" spans="1:17" ht="14.4" customHeight="1" x14ac:dyDescent="0.3">
      <c r="A8" s="687" t="s">
        <v>583</v>
      </c>
      <c r="B8" s="688" t="s">
        <v>1427</v>
      </c>
      <c r="C8" s="688" t="s">
        <v>1429</v>
      </c>
      <c r="D8" s="688" t="s">
        <v>1434</v>
      </c>
      <c r="E8" s="688" t="s">
        <v>1431</v>
      </c>
      <c r="F8" s="691"/>
      <c r="G8" s="691"/>
      <c r="H8" s="691"/>
      <c r="I8" s="691"/>
      <c r="J8" s="691"/>
      <c r="K8" s="691"/>
      <c r="L8" s="691"/>
      <c r="M8" s="691"/>
      <c r="N8" s="691">
        <v>0</v>
      </c>
      <c r="O8" s="691">
        <v>0</v>
      </c>
      <c r="P8" s="704"/>
      <c r="Q8" s="692"/>
    </row>
    <row r="9" spans="1:17" ht="14.4" customHeight="1" x14ac:dyDescent="0.3">
      <c r="A9" s="687" t="s">
        <v>583</v>
      </c>
      <c r="B9" s="688" t="s">
        <v>1427</v>
      </c>
      <c r="C9" s="688" t="s">
        <v>1429</v>
      </c>
      <c r="D9" s="688" t="s">
        <v>1434</v>
      </c>
      <c r="E9" s="688" t="s">
        <v>1435</v>
      </c>
      <c r="F9" s="691"/>
      <c r="G9" s="691"/>
      <c r="H9" s="691"/>
      <c r="I9" s="691"/>
      <c r="J9" s="691"/>
      <c r="K9" s="691"/>
      <c r="L9" s="691"/>
      <c r="M9" s="691"/>
      <c r="N9" s="691">
        <v>9</v>
      </c>
      <c r="O9" s="691">
        <v>88671.75</v>
      </c>
      <c r="P9" s="704"/>
      <c r="Q9" s="692">
        <v>9852.4166666666661</v>
      </c>
    </row>
    <row r="10" spans="1:17" ht="14.4" customHeight="1" x14ac:dyDescent="0.3">
      <c r="A10" s="687" t="s">
        <v>583</v>
      </c>
      <c r="B10" s="688" t="s">
        <v>1427</v>
      </c>
      <c r="C10" s="688" t="s">
        <v>1436</v>
      </c>
      <c r="D10" s="688" t="s">
        <v>1441</v>
      </c>
      <c r="E10" s="688" t="s">
        <v>1442</v>
      </c>
      <c r="F10" s="691"/>
      <c r="G10" s="691"/>
      <c r="H10" s="691"/>
      <c r="I10" s="691"/>
      <c r="J10" s="691">
        <v>7</v>
      </c>
      <c r="K10" s="691">
        <v>259</v>
      </c>
      <c r="L10" s="691">
        <v>1</v>
      </c>
      <c r="M10" s="691">
        <v>37</v>
      </c>
      <c r="N10" s="691">
        <v>1</v>
      </c>
      <c r="O10" s="691">
        <v>37</v>
      </c>
      <c r="P10" s="704">
        <v>0.14285714285714285</v>
      </c>
      <c r="Q10" s="692">
        <v>37</v>
      </c>
    </row>
    <row r="11" spans="1:17" ht="14.4" customHeight="1" x14ac:dyDescent="0.3">
      <c r="A11" s="687" t="s">
        <v>583</v>
      </c>
      <c r="B11" s="688" t="s">
        <v>1427</v>
      </c>
      <c r="C11" s="688" t="s">
        <v>1436</v>
      </c>
      <c r="D11" s="688" t="s">
        <v>1443</v>
      </c>
      <c r="E11" s="688" t="s">
        <v>1444</v>
      </c>
      <c r="F11" s="691"/>
      <c r="G11" s="691"/>
      <c r="H11" s="691"/>
      <c r="I11" s="691"/>
      <c r="J11" s="691"/>
      <c r="K11" s="691"/>
      <c r="L11" s="691"/>
      <c r="M11" s="691"/>
      <c r="N11" s="691">
        <v>1</v>
      </c>
      <c r="O11" s="691">
        <v>177</v>
      </c>
      <c r="P11" s="704"/>
      <c r="Q11" s="692">
        <v>177</v>
      </c>
    </row>
    <row r="12" spans="1:17" ht="14.4" customHeight="1" x14ac:dyDescent="0.3">
      <c r="A12" s="687" t="s">
        <v>583</v>
      </c>
      <c r="B12" s="688" t="s">
        <v>1427</v>
      </c>
      <c r="C12" s="688" t="s">
        <v>1436</v>
      </c>
      <c r="D12" s="688" t="s">
        <v>1445</v>
      </c>
      <c r="E12" s="688" t="s">
        <v>1446</v>
      </c>
      <c r="F12" s="691"/>
      <c r="G12" s="691"/>
      <c r="H12" s="691"/>
      <c r="I12" s="691"/>
      <c r="J12" s="691">
        <v>1</v>
      </c>
      <c r="K12" s="691">
        <v>0</v>
      </c>
      <c r="L12" s="691"/>
      <c r="M12" s="691">
        <v>0</v>
      </c>
      <c r="N12" s="691">
        <v>9</v>
      </c>
      <c r="O12" s="691">
        <v>0</v>
      </c>
      <c r="P12" s="704"/>
      <c r="Q12" s="692">
        <v>0</v>
      </c>
    </row>
    <row r="13" spans="1:17" ht="14.4" customHeight="1" x14ac:dyDescent="0.3">
      <c r="A13" s="687" t="s">
        <v>583</v>
      </c>
      <c r="B13" s="688" t="s">
        <v>1427</v>
      </c>
      <c r="C13" s="688" t="s">
        <v>1436</v>
      </c>
      <c r="D13" s="688" t="s">
        <v>1451</v>
      </c>
      <c r="E13" s="688" t="s">
        <v>1452</v>
      </c>
      <c r="F13" s="691"/>
      <c r="G13" s="691"/>
      <c r="H13" s="691"/>
      <c r="I13" s="691"/>
      <c r="J13" s="691"/>
      <c r="K13" s="691"/>
      <c r="L13" s="691"/>
      <c r="M13" s="691"/>
      <c r="N13" s="691">
        <v>3</v>
      </c>
      <c r="O13" s="691">
        <v>1065</v>
      </c>
      <c r="P13" s="704"/>
      <c r="Q13" s="692">
        <v>355</v>
      </c>
    </row>
    <row r="14" spans="1:17" ht="14.4" customHeight="1" x14ac:dyDescent="0.3">
      <c r="A14" s="687" t="s">
        <v>583</v>
      </c>
      <c r="B14" s="688" t="s">
        <v>1462</v>
      </c>
      <c r="C14" s="688" t="s">
        <v>1429</v>
      </c>
      <c r="D14" s="688" t="s">
        <v>1463</v>
      </c>
      <c r="E14" s="688" t="s">
        <v>1464</v>
      </c>
      <c r="F14" s="691"/>
      <c r="G14" s="691"/>
      <c r="H14" s="691"/>
      <c r="I14" s="691"/>
      <c r="J14" s="691"/>
      <c r="K14" s="691"/>
      <c r="L14" s="691"/>
      <c r="M14" s="691"/>
      <c r="N14" s="691">
        <v>1</v>
      </c>
      <c r="O14" s="691">
        <v>434.87</v>
      </c>
      <c r="P14" s="704"/>
      <c r="Q14" s="692">
        <v>434.87</v>
      </c>
    </row>
    <row r="15" spans="1:17" ht="14.4" customHeight="1" x14ac:dyDescent="0.3">
      <c r="A15" s="687" t="s">
        <v>583</v>
      </c>
      <c r="B15" s="688" t="s">
        <v>1462</v>
      </c>
      <c r="C15" s="688" t="s">
        <v>1429</v>
      </c>
      <c r="D15" s="688" t="s">
        <v>1465</v>
      </c>
      <c r="E15" s="688" t="s">
        <v>1466</v>
      </c>
      <c r="F15" s="691">
        <v>1</v>
      </c>
      <c r="G15" s="691">
        <v>38.61</v>
      </c>
      <c r="H15" s="691"/>
      <c r="I15" s="691">
        <v>38.61</v>
      </c>
      <c r="J15" s="691"/>
      <c r="K15" s="691"/>
      <c r="L15" s="691"/>
      <c r="M15" s="691"/>
      <c r="N15" s="691"/>
      <c r="O15" s="691"/>
      <c r="P15" s="704"/>
      <c r="Q15" s="692"/>
    </row>
    <row r="16" spans="1:17" ht="14.4" customHeight="1" x14ac:dyDescent="0.3">
      <c r="A16" s="687" t="s">
        <v>583</v>
      </c>
      <c r="B16" s="688" t="s">
        <v>1462</v>
      </c>
      <c r="C16" s="688" t="s">
        <v>1429</v>
      </c>
      <c r="D16" s="688" t="s">
        <v>1467</v>
      </c>
      <c r="E16" s="688" t="s">
        <v>1468</v>
      </c>
      <c r="F16" s="691">
        <v>0.1</v>
      </c>
      <c r="G16" s="691">
        <v>4.54</v>
      </c>
      <c r="H16" s="691"/>
      <c r="I16" s="691">
        <v>45.4</v>
      </c>
      <c r="J16" s="691"/>
      <c r="K16" s="691"/>
      <c r="L16" s="691"/>
      <c r="M16" s="691"/>
      <c r="N16" s="691">
        <v>0.2</v>
      </c>
      <c r="O16" s="691">
        <v>8.56</v>
      </c>
      <c r="P16" s="704"/>
      <c r="Q16" s="692">
        <v>42.8</v>
      </c>
    </row>
    <row r="17" spans="1:17" ht="14.4" customHeight="1" x14ac:dyDescent="0.3">
      <c r="A17" s="687" t="s">
        <v>583</v>
      </c>
      <c r="B17" s="688" t="s">
        <v>1462</v>
      </c>
      <c r="C17" s="688" t="s">
        <v>1429</v>
      </c>
      <c r="D17" s="688" t="s">
        <v>1469</v>
      </c>
      <c r="E17" s="688" t="s">
        <v>679</v>
      </c>
      <c r="F17" s="691">
        <v>1.8</v>
      </c>
      <c r="G17" s="691">
        <v>243.18</v>
      </c>
      <c r="H17" s="691">
        <v>1.3846153846153846</v>
      </c>
      <c r="I17" s="691">
        <v>135.1</v>
      </c>
      <c r="J17" s="691">
        <v>1.2999999999999998</v>
      </c>
      <c r="K17" s="691">
        <v>175.63</v>
      </c>
      <c r="L17" s="691">
        <v>1</v>
      </c>
      <c r="M17" s="691">
        <v>135.10000000000002</v>
      </c>
      <c r="N17" s="691">
        <v>1.1000000000000001</v>
      </c>
      <c r="O17" s="691">
        <v>148.60999999999999</v>
      </c>
      <c r="P17" s="704">
        <v>0.84615384615384615</v>
      </c>
      <c r="Q17" s="692">
        <v>135.09999999999997</v>
      </c>
    </row>
    <row r="18" spans="1:17" ht="14.4" customHeight="1" x14ac:dyDescent="0.3">
      <c r="A18" s="687" t="s">
        <v>583</v>
      </c>
      <c r="B18" s="688" t="s">
        <v>1462</v>
      </c>
      <c r="C18" s="688" t="s">
        <v>1429</v>
      </c>
      <c r="D18" s="688" t="s">
        <v>1470</v>
      </c>
      <c r="E18" s="688" t="s">
        <v>1471</v>
      </c>
      <c r="F18" s="691"/>
      <c r="G18" s="691"/>
      <c r="H18" s="691"/>
      <c r="I18" s="691"/>
      <c r="J18" s="691"/>
      <c r="K18" s="691"/>
      <c r="L18" s="691"/>
      <c r="M18" s="691"/>
      <c r="N18" s="691">
        <v>0.1</v>
      </c>
      <c r="O18" s="691">
        <v>163.18</v>
      </c>
      <c r="P18" s="704"/>
      <c r="Q18" s="692">
        <v>1631.8</v>
      </c>
    </row>
    <row r="19" spans="1:17" ht="14.4" customHeight="1" x14ac:dyDescent="0.3">
      <c r="A19" s="687" t="s">
        <v>583</v>
      </c>
      <c r="B19" s="688" t="s">
        <v>1462</v>
      </c>
      <c r="C19" s="688" t="s">
        <v>1429</v>
      </c>
      <c r="D19" s="688" t="s">
        <v>1472</v>
      </c>
      <c r="E19" s="688" t="s">
        <v>1473</v>
      </c>
      <c r="F19" s="691"/>
      <c r="G19" s="691"/>
      <c r="H19" s="691"/>
      <c r="I19" s="691"/>
      <c r="J19" s="691"/>
      <c r="K19" s="691"/>
      <c r="L19" s="691"/>
      <c r="M19" s="691"/>
      <c r="N19" s="691">
        <v>0.2</v>
      </c>
      <c r="O19" s="691">
        <v>54.34</v>
      </c>
      <c r="P19" s="704"/>
      <c r="Q19" s="692">
        <v>271.7</v>
      </c>
    </row>
    <row r="20" spans="1:17" ht="14.4" customHeight="1" x14ac:dyDescent="0.3">
      <c r="A20" s="687" t="s">
        <v>583</v>
      </c>
      <c r="B20" s="688" t="s">
        <v>1462</v>
      </c>
      <c r="C20" s="688" t="s">
        <v>1429</v>
      </c>
      <c r="D20" s="688" t="s">
        <v>1474</v>
      </c>
      <c r="E20" s="688" t="s">
        <v>1475</v>
      </c>
      <c r="F20" s="691">
        <v>1.6</v>
      </c>
      <c r="G20" s="691">
        <v>74.08</v>
      </c>
      <c r="H20" s="691">
        <v>1.142857142857143</v>
      </c>
      <c r="I20" s="691">
        <v>46.3</v>
      </c>
      <c r="J20" s="691">
        <v>1.4</v>
      </c>
      <c r="K20" s="691">
        <v>64.819999999999993</v>
      </c>
      <c r="L20" s="691">
        <v>1</v>
      </c>
      <c r="M20" s="691">
        <v>46.3</v>
      </c>
      <c r="N20" s="691">
        <v>1.2</v>
      </c>
      <c r="O20" s="691">
        <v>55.559999999999995</v>
      </c>
      <c r="P20" s="704">
        <v>0.85714285714285721</v>
      </c>
      <c r="Q20" s="692">
        <v>46.3</v>
      </c>
    </row>
    <row r="21" spans="1:17" ht="14.4" customHeight="1" x14ac:dyDescent="0.3">
      <c r="A21" s="687" t="s">
        <v>583</v>
      </c>
      <c r="B21" s="688" t="s">
        <v>1462</v>
      </c>
      <c r="C21" s="688" t="s">
        <v>1429</v>
      </c>
      <c r="D21" s="688" t="s">
        <v>1476</v>
      </c>
      <c r="E21" s="688" t="s">
        <v>950</v>
      </c>
      <c r="F21" s="691">
        <v>2</v>
      </c>
      <c r="G21" s="691">
        <v>184.98</v>
      </c>
      <c r="H21" s="691"/>
      <c r="I21" s="691">
        <v>92.49</v>
      </c>
      <c r="J21" s="691"/>
      <c r="K21" s="691"/>
      <c r="L21" s="691"/>
      <c r="M21" s="691"/>
      <c r="N21" s="691"/>
      <c r="O21" s="691"/>
      <c r="P21" s="704"/>
      <c r="Q21" s="692"/>
    </row>
    <row r="22" spans="1:17" ht="14.4" customHeight="1" x14ac:dyDescent="0.3">
      <c r="A22" s="687" t="s">
        <v>583</v>
      </c>
      <c r="B22" s="688" t="s">
        <v>1462</v>
      </c>
      <c r="C22" s="688" t="s">
        <v>1429</v>
      </c>
      <c r="D22" s="688" t="s">
        <v>1477</v>
      </c>
      <c r="E22" s="688" t="s">
        <v>1478</v>
      </c>
      <c r="F22" s="691">
        <v>0.08</v>
      </c>
      <c r="G22" s="691">
        <v>277.62</v>
      </c>
      <c r="H22" s="691"/>
      <c r="I22" s="691">
        <v>3470.25</v>
      </c>
      <c r="J22" s="691"/>
      <c r="K22" s="691"/>
      <c r="L22" s="691"/>
      <c r="M22" s="691"/>
      <c r="N22" s="691"/>
      <c r="O22" s="691"/>
      <c r="P22" s="704"/>
      <c r="Q22" s="692"/>
    </row>
    <row r="23" spans="1:17" ht="14.4" customHeight="1" x14ac:dyDescent="0.3">
      <c r="A23" s="687" t="s">
        <v>583</v>
      </c>
      <c r="B23" s="688" t="s">
        <v>1462</v>
      </c>
      <c r="C23" s="688" t="s">
        <v>1429</v>
      </c>
      <c r="D23" s="688" t="s">
        <v>1479</v>
      </c>
      <c r="E23" s="688" t="s">
        <v>1480</v>
      </c>
      <c r="F23" s="691"/>
      <c r="G23" s="691"/>
      <c r="H23" s="691"/>
      <c r="I23" s="691"/>
      <c r="J23" s="691"/>
      <c r="K23" s="691"/>
      <c r="L23" s="691"/>
      <c r="M23" s="691"/>
      <c r="N23" s="691">
        <v>0.2</v>
      </c>
      <c r="O23" s="691">
        <v>425.12</v>
      </c>
      <c r="P23" s="704"/>
      <c r="Q23" s="692">
        <v>2125.6</v>
      </c>
    </row>
    <row r="24" spans="1:17" ht="14.4" customHeight="1" x14ac:dyDescent="0.3">
      <c r="A24" s="687" t="s">
        <v>583</v>
      </c>
      <c r="B24" s="688" t="s">
        <v>1462</v>
      </c>
      <c r="C24" s="688" t="s">
        <v>1429</v>
      </c>
      <c r="D24" s="688" t="s">
        <v>1481</v>
      </c>
      <c r="E24" s="688" t="s">
        <v>1024</v>
      </c>
      <c r="F24" s="691"/>
      <c r="G24" s="691"/>
      <c r="H24" s="691"/>
      <c r="I24" s="691"/>
      <c r="J24" s="691"/>
      <c r="K24" s="691"/>
      <c r="L24" s="691"/>
      <c r="M24" s="691"/>
      <c r="N24" s="691">
        <v>1</v>
      </c>
      <c r="O24" s="691">
        <v>109.6</v>
      </c>
      <c r="P24" s="704"/>
      <c r="Q24" s="692">
        <v>109.6</v>
      </c>
    </row>
    <row r="25" spans="1:17" ht="14.4" customHeight="1" x14ac:dyDescent="0.3">
      <c r="A25" s="687" t="s">
        <v>583</v>
      </c>
      <c r="B25" s="688" t="s">
        <v>1462</v>
      </c>
      <c r="C25" s="688" t="s">
        <v>1482</v>
      </c>
      <c r="D25" s="688" t="s">
        <v>1483</v>
      </c>
      <c r="E25" s="688" t="s">
        <v>1484</v>
      </c>
      <c r="F25" s="691"/>
      <c r="G25" s="691"/>
      <c r="H25" s="691"/>
      <c r="I25" s="691"/>
      <c r="J25" s="691">
        <v>1</v>
      </c>
      <c r="K25" s="691">
        <v>1471.63</v>
      </c>
      <c r="L25" s="691">
        <v>1</v>
      </c>
      <c r="M25" s="691">
        <v>1471.63</v>
      </c>
      <c r="N25" s="691">
        <v>1</v>
      </c>
      <c r="O25" s="691">
        <v>1471.63</v>
      </c>
      <c r="P25" s="704">
        <v>1</v>
      </c>
      <c r="Q25" s="692">
        <v>1471.63</v>
      </c>
    </row>
    <row r="26" spans="1:17" ht="14.4" customHeight="1" x14ac:dyDescent="0.3">
      <c r="A26" s="687" t="s">
        <v>583</v>
      </c>
      <c r="B26" s="688" t="s">
        <v>1462</v>
      </c>
      <c r="C26" s="688" t="s">
        <v>1482</v>
      </c>
      <c r="D26" s="688" t="s">
        <v>1485</v>
      </c>
      <c r="E26" s="688" t="s">
        <v>1486</v>
      </c>
      <c r="F26" s="691"/>
      <c r="G26" s="691"/>
      <c r="H26" s="691"/>
      <c r="I26" s="691"/>
      <c r="J26" s="691">
        <v>1</v>
      </c>
      <c r="K26" s="691">
        <v>241.81</v>
      </c>
      <c r="L26" s="691">
        <v>1</v>
      </c>
      <c r="M26" s="691">
        <v>241.81</v>
      </c>
      <c r="N26" s="691">
        <v>1</v>
      </c>
      <c r="O26" s="691">
        <v>241.81</v>
      </c>
      <c r="P26" s="704">
        <v>1</v>
      </c>
      <c r="Q26" s="692">
        <v>241.81</v>
      </c>
    </row>
    <row r="27" spans="1:17" ht="14.4" customHeight="1" x14ac:dyDescent="0.3">
      <c r="A27" s="687" t="s">
        <v>583</v>
      </c>
      <c r="B27" s="688" t="s">
        <v>1462</v>
      </c>
      <c r="C27" s="688" t="s">
        <v>1436</v>
      </c>
      <c r="D27" s="688" t="s">
        <v>1487</v>
      </c>
      <c r="E27" s="688" t="s">
        <v>1488</v>
      </c>
      <c r="F27" s="691">
        <v>98</v>
      </c>
      <c r="G27" s="691">
        <v>17346</v>
      </c>
      <c r="H27" s="691">
        <v>0.91588785046728971</v>
      </c>
      <c r="I27" s="691">
        <v>177</v>
      </c>
      <c r="J27" s="691">
        <v>107</v>
      </c>
      <c r="K27" s="691">
        <v>18939</v>
      </c>
      <c r="L27" s="691">
        <v>1</v>
      </c>
      <c r="M27" s="691">
        <v>177</v>
      </c>
      <c r="N27" s="691">
        <v>145</v>
      </c>
      <c r="O27" s="691">
        <v>25810</v>
      </c>
      <c r="P27" s="704">
        <v>1.3627963461640002</v>
      </c>
      <c r="Q27" s="692">
        <v>178</v>
      </c>
    </row>
    <row r="28" spans="1:17" ht="14.4" customHeight="1" x14ac:dyDescent="0.3">
      <c r="A28" s="687" t="s">
        <v>583</v>
      </c>
      <c r="B28" s="688" t="s">
        <v>1462</v>
      </c>
      <c r="C28" s="688" t="s">
        <v>1436</v>
      </c>
      <c r="D28" s="688" t="s">
        <v>1489</v>
      </c>
      <c r="E28" s="688" t="s">
        <v>1490</v>
      </c>
      <c r="F28" s="691"/>
      <c r="G28" s="691"/>
      <c r="H28" s="691"/>
      <c r="I28" s="691"/>
      <c r="J28" s="691">
        <v>1</v>
      </c>
      <c r="K28" s="691">
        <v>195</v>
      </c>
      <c r="L28" s="691">
        <v>1</v>
      </c>
      <c r="M28" s="691">
        <v>195</v>
      </c>
      <c r="N28" s="691">
        <v>1</v>
      </c>
      <c r="O28" s="691">
        <v>195</v>
      </c>
      <c r="P28" s="704">
        <v>1</v>
      </c>
      <c r="Q28" s="692">
        <v>195</v>
      </c>
    </row>
    <row r="29" spans="1:17" ht="14.4" customHeight="1" x14ac:dyDescent="0.3">
      <c r="A29" s="687" t="s">
        <v>583</v>
      </c>
      <c r="B29" s="688" t="s">
        <v>1462</v>
      </c>
      <c r="C29" s="688" t="s">
        <v>1436</v>
      </c>
      <c r="D29" s="688" t="s">
        <v>1491</v>
      </c>
      <c r="E29" s="688" t="s">
        <v>1492</v>
      </c>
      <c r="F29" s="691">
        <v>0</v>
      </c>
      <c r="G29" s="691">
        <v>0</v>
      </c>
      <c r="H29" s="691"/>
      <c r="I29" s="691"/>
      <c r="J29" s="691">
        <v>0</v>
      </c>
      <c r="K29" s="691">
        <v>0</v>
      </c>
      <c r="L29" s="691"/>
      <c r="M29" s="691"/>
      <c r="N29" s="691">
        <v>0</v>
      </c>
      <c r="O29" s="691">
        <v>0</v>
      </c>
      <c r="P29" s="704"/>
      <c r="Q29" s="692"/>
    </row>
    <row r="30" spans="1:17" ht="14.4" customHeight="1" x14ac:dyDescent="0.3">
      <c r="A30" s="687" t="s">
        <v>583</v>
      </c>
      <c r="B30" s="688" t="s">
        <v>1462</v>
      </c>
      <c r="C30" s="688" t="s">
        <v>1436</v>
      </c>
      <c r="D30" s="688" t="s">
        <v>1493</v>
      </c>
      <c r="E30" s="688" t="s">
        <v>1494</v>
      </c>
      <c r="F30" s="691">
        <v>734</v>
      </c>
      <c r="G30" s="691">
        <v>0</v>
      </c>
      <c r="H30" s="691"/>
      <c r="I30" s="691">
        <v>0</v>
      </c>
      <c r="J30" s="691">
        <v>495</v>
      </c>
      <c r="K30" s="691">
        <v>0</v>
      </c>
      <c r="L30" s="691"/>
      <c r="M30" s="691">
        <v>0</v>
      </c>
      <c r="N30" s="691">
        <v>939</v>
      </c>
      <c r="O30" s="691">
        <v>0</v>
      </c>
      <c r="P30" s="704"/>
      <c r="Q30" s="692">
        <v>0</v>
      </c>
    </row>
    <row r="31" spans="1:17" ht="14.4" customHeight="1" x14ac:dyDescent="0.3">
      <c r="A31" s="687" t="s">
        <v>583</v>
      </c>
      <c r="B31" s="688" t="s">
        <v>1462</v>
      </c>
      <c r="C31" s="688" t="s">
        <v>1436</v>
      </c>
      <c r="D31" s="688" t="s">
        <v>1495</v>
      </c>
      <c r="E31" s="688" t="s">
        <v>1496</v>
      </c>
      <c r="F31" s="691">
        <v>16</v>
      </c>
      <c r="G31" s="691">
        <v>0</v>
      </c>
      <c r="H31" s="691"/>
      <c r="I31" s="691">
        <v>0</v>
      </c>
      <c r="J31" s="691">
        <v>18</v>
      </c>
      <c r="K31" s="691">
        <v>0</v>
      </c>
      <c r="L31" s="691"/>
      <c r="M31" s="691">
        <v>0</v>
      </c>
      <c r="N31" s="691">
        <v>11</v>
      </c>
      <c r="O31" s="691">
        <v>0</v>
      </c>
      <c r="P31" s="704"/>
      <c r="Q31" s="692">
        <v>0</v>
      </c>
    </row>
    <row r="32" spans="1:17" ht="14.4" customHeight="1" x14ac:dyDescent="0.3">
      <c r="A32" s="687" t="s">
        <v>583</v>
      </c>
      <c r="B32" s="688" t="s">
        <v>1462</v>
      </c>
      <c r="C32" s="688" t="s">
        <v>1436</v>
      </c>
      <c r="D32" s="688" t="s">
        <v>1497</v>
      </c>
      <c r="E32" s="688" t="s">
        <v>1498</v>
      </c>
      <c r="F32" s="691">
        <v>287</v>
      </c>
      <c r="G32" s="691">
        <v>0</v>
      </c>
      <c r="H32" s="691"/>
      <c r="I32" s="691">
        <v>0</v>
      </c>
      <c r="J32" s="691">
        <v>321</v>
      </c>
      <c r="K32" s="691">
        <v>0</v>
      </c>
      <c r="L32" s="691"/>
      <c r="M32" s="691">
        <v>0</v>
      </c>
      <c r="N32" s="691">
        <v>309</v>
      </c>
      <c r="O32" s="691">
        <v>0</v>
      </c>
      <c r="P32" s="704"/>
      <c r="Q32" s="692">
        <v>0</v>
      </c>
    </row>
    <row r="33" spans="1:17" ht="14.4" customHeight="1" x14ac:dyDescent="0.3">
      <c r="A33" s="687" t="s">
        <v>583</v>
      </c>
      <c r="B33" s="688" t="s">
        <v>1462</v>
      </c>
      <c r="C33" s="688" t="s">
        <v>1436</v>
      </c>
      <c r="D33" s="688" t="s">
        <v>1451</v>
      </c>
      <c r="E33" s="688" t="s">
        <v>1452</v>
      </c>
      <c r="F33" s="691">
        <v>328</v>
      </c>
      <c r="G33" s="691">
        <v>108568</v>
      </c>
      <c r="H33" s="691">
        <v>0.8737585912727156</v>
      </c>
      <c r="I33" s="691">
        <v>331</v>
      </c>
      <c r="J33" s="691">
        <v>351</v>
      </c>
      <c r="K33" s="691">
        <v>124254</v>
      </c>
      <c r="L33" s="691">
        <v>1</v>
      </c>
      <c r="M33" s="691">
        <v>354</v>
      </c>
      <c r="N33" s="691">
        <v>347</v>
      </c>
      <c r="O33" s="691">
        <v>123185</v>
      </c>
      <c r="P33" s="704">
        <v>0.9913966552384631</v>
      </c>
      <c r="Q33" s="692">
        <v>355</v>
      </c>
    </row>
    <row r="34" spans="1:17" ht="14.4" customHeight="1" x14ac:dyDescent="0.3">
      <c r="A34" s="687" t="s">
        <v>583</v>
      </c>
      <c r="B34" s="688" t="s">
        <v>1462</v>
      </c>
      <c r="C34" s="688" t="s">
        <v>1436</v>
      </c>
      <c r="D34" s="688" t="s">
        <v>1455</v>
      </c>
      <c r="E34" s="688" t="s">
        <v>1456</v>
      </c>
      <c r="F34" s="691">
        <v>304</v>
      </c>
      <c r="G34" s="691">
        <v>198472</v>
      </c>
      <c r="H34" s="691">
        <v>0.86662940580570791</v>
      </c>
      <c r="I34" s="691">
        <v>652.86842105263156</v>
      </c>
      <c r="J34" s="691">
        <v>328</v>
      </c>
      <c r="K34" s="691">
        <v>229016</v>
      </c>
      <c r="L34" s="691">
        <v>1</v>
      </c>
      <c r="M34" s="691">
        <v>698.21951219512198</v>
      </c>
      <c r="N34" s="691">
        <v>320</v>
      </c>
      <c r="O34" s="691">
        <v>224320</v>
      </c>
      <c r="P34" s="704">
        <v>0.9794948824536277</v>
      </c>
      <c r="Q34" s="692">
        <v>701</v>
      </c>
    </row>
    <row r="35" spans="1:17" ht="14.4" customHeight="1" x14ac:dyDescent="0.3">
      <c r="A35" s="687" t="s">
        <v>583</v>
      </c>
      <c r="B35" s="688" t="s">
        <v>1462</v>
      </c>
      <c r="C35" s="688" t="s">
        <v>1436</v>
      </c>
      <c r="D35" s="688" t="s">
        <v>1457</v>
      </c>
      <c r="E35" s="688" t="s">
        <v>1458</v>
      </c>
      <c r="F35" s="691"/>
      <c r="G35" s="691"/>
      <c r="H35" s="691"/>
      <c r="I35" s="691"/>
      <c r="J35" s="691"/>
      <c r="K35" s="691"/>
      <c r="L35" s="691"/>
      <c r="M35" s="691"/>
      <c r="N35" s="691">
        <v>1</v>
      </c>
      <c r="O35" s="691">
        <v>0</v>
      </c>
      <c r="P35" s="704"/>
      <c r="Q35" s="692">
        <v>0</v>
      </c>
    </row>
    <row r="36" spans="1:17" ht="14.4" customHeight="1" x14ac:dyDescent="0.3">
      <c r="A36" s="687" t="s">
        <v>583</v>
      </c>
      <c r="B36" s="688" t="s">
        <v>1462</v>
      </c>
      <c r="C36" s="688" t="s">
        <v>1436</v>
      </c>
      <c r="D36" s="688" t="s">
        <v>1499</v>
      </c>
      <c r="E36" s="688" t="s">
        <v>1500</v>
      </c>
      <c r="F36" s="691">
        <v>1</v>
      </c>
      <c r="G36" s="691">
        <v>0</v>
      </c>
      <c r="H36" s="691"/>
      <c r="I36" s="691">
        <v>0</v>
      </c>
      <c r="J36" s="691">
        <v>4</v>
      </c>
      <c r="K36" s="691">
        <v>0</v>
      </c>
      <c r="L36" s="691"/>
      <c r="M36" s="691">
        <v>0</v>
      </c>
      <c r="N36" s="691">
        <v>3</v>
      </c>
      <c r="O36" s="691">
        <v>0</v>
      </c>
      <c r="P36" s="704"/>
      <c r="Q36" s="692">
        <v>0</v>
      </c>
    </row>
    <row r="37" spans="1:17" ht="14.4" customHeight="1" x14ac:dyDescent="0.3">
      <c r="A37" s="687" t="s">
        <v>583</v>
      </c>
      <c r="B37" s="688" t="s">
        <v>1462</v>
      </c>
      <c r="C37" s="688" t="s">
        <v>1436</v>
      </c>
      <c r="D37" s="688" t="s">
        <v>1501</v>
      </c>
      <c r="E37" s="688" t="s">
        <v>1502</v>
      </c>
      <c r="F37" s="691">
        <v>54</v>
      </c>
      <c r="G37" s="691">
        <v>7990</v>
      </c>
      <c r="H37" s="691">
        <v>0.8396385035729298</v>
      </c>
      <c r="I37" s="691">
        <v>147.96296296296296</v>
      </c>
      <c r="J37" s="691">
        <v>61</v>
      </c>
      <c r="K37" s="691">
        <v>9516</v>
      </c>
      <c r="L37" s="691">
        <v>1</v>
      </c>
      <c r="M37" s="691">
        <v>156</v>
      </c>
      <c r="N37" s="691">
        <v>74</v>
      </c>
      <c r="O37" s="691">
        <v>11544</v>
      </c>
      <c r="P37" s="704">
        <v>1.2131147540983607</v>
      </c>
      <c r="Q37" s="692">
        <v>156</v>
      </c>
    </row>
    <row r="38" spans="1:17" ht="14.4" customHeight="1" x14ac:dyDescent="0.3">
      <c r="A38" s="687" t="s">
        <v>583</v>
      </c>
      <c r="B38" s="688" t="s">
        <v>1462</v>
      </c>
      <c r="C38" s="688" t="s">
        <v>1436</v>
      </c>
      <c r="D38" s="688" t="s">
        <v>1503</v>
      </c>
      <c r="E38" s="688" t="s">
        <v>1504</v>
      </c>
      <c r="F38" s="691">
        <v>1406</v>
      </c>
      <c r="G38" s="691">
        <v>1346631</v>
      </c>
      <c r="H38" s="691">
        <v>1.0142959256611865</v>
      </c>
      <c r="I38" s="691">
        <v>957.77453769559031</v>
      </c>
      <c r="J38" s="691">
        <v>1399</v>
      </c>
      <c r="K38" s="691">
        <v>1327651</v>
      </c>
      <c r="L38" s="691">
        <v>1</v>
      </c>
      <c r="M38" s="691">
        <v>949</v>
      </c>
      <c r="N38" s="691">
        <v>1371</v>
      </c>
      <c r="O38" s="691">
        <v>1301079</v>
      </c>
      <c r="P38" s="704">
        <v>0.97998570407433883</v>
      </c>
      <c r="Q38" s="692">
        <v>949</v>
      </c>
    </row>
    <row r="39" spans="1:17" ht="14.4" customHeight="1" x14ac:dyDescent="0.3">
      <c r="A39" s="687" t="s">
        <v>583</v>
      </c>
      <c r="B39" s="688" t="s">
        <v>1462</v>
      </c>
      <c r="C39" s="688" t="s">
        <v>1436</v>
      </c>
      <c r="D39" s="688" t="s">
        <v>1505</v>
      </c>
      <c r="E39" s="688" t="s">
        <v>1506</v>
      </c>
      <c r="F39" s="691"/>
      <c r="G39" s="691"/>
      <c r="H39" s="691"/>
      <c r="I39" s="691"/>
      <c r="J39" s="691">
        <v>1</v>
      </c>
      <c r="K39" s="691">
        <v>0</v>
      </c>
      <c r="L39" s="691"/>
      <c r="M39" s="691">
        <v>0</v>
      </c>
      <c r="N39" s="691"/>
      <c r="O39" s="691"/>
      <c r="P39" s="704"/>
      <c r="Q39" s="692"/>
    </row>
    <row r="40" spans="1:17" ht="14.4" customHeight="1" x14ac:dyDescent="0.3">
      <c r="A40" s="687" t="s">
        <v>583</v>
      </c>
      <c r="B40" s="688" t="s">
        <v>1507</v>
      </c>
      <c r="C40" s="688" t="s">
        <v>1429</v>
      </c>
      <c r="D40" s="688" t="s">
        <v>1463</v>
      </c>
      <c r="E40" s="688" t="s">
        <v>1464</v>
      </c>
      <c r="F40" s="691">
        <v>17</v>
      </c>
      <c r="G40" s="691">
        <v>7649.67</v>
      </c>
      <c r="H40" s="691">
        <v>1.7590705268241085</v>
      </c>
      <c r="I40" s="691">
        <v>449.98058823529414</v>
      </c>
      <c r="J40" s="691">
        <v>10</v>
      </c>
      <c r="K40" s="691">
        <v>4348.7</v>
      </c>
      <c r="L40" s="691">
        <v>1</v>
      </c>
      <c r="M40" s="691">
        <v>434.87</v>
      </c>
      <c r="N40" s="691">
        <v>38</v>
      </c>
      <c r="O40" s="691">
        <v>16525.060000000001</v>
      </c>
      <c r="P40" s="704">
        <v>3.8000000000000003</v>
      </c>
      <c r="Q40" s="692">
        <v>434.87000000000006</v>
      </c>
    </row>
    <row r="41" spans="1:17" ht="14.4" customHeight="1" x14ac:dyDescent="0.3">
      <c r="A41" s="687" t="s">
        <v>583</v>
      </c>
      <c r="B41" s="688" t="s">
        <v>1507</v>
      </c>
      <c r="C41" s="688" t="s">
        <v>1429</v>
      </c>
      <c r="D41" s="688" t="s">
        <v>1508</v>
      </c>
      <c r="E41" s="688" t="s">
        <v>1509</v>
      </c>
      <c r="F41" s="691"/>
      <c r="G41" s="691"/>
      <c r="H41" s="691"/>
      <c r="I41" s="691"/>
      <c r="J41" s="691"/>
      <c r="K41" s="691"/>
      <c r="L41" s="691"/>
      <c r="M41" s="691"/>
      <c r="N41" s="691">
        <v>0.2</v>
      </c>
      <c r="O41" s="691">
        <v>88.24</v>
      </c>
      <c r="P41" s="704"/>
      <c r="Q41" s="692">
        <v>441.19999999999993</v>
      </c>
    </row>
    <row r="42" spans="1:17" ht="14.4" customHeight="1" x14ac:dyDescent="0.3">
      <c r="A42" s="687" t="s">
        <v>583</v>
      </c>
      <c r="B42" s="688" t="s">
        <v>1507</v>
      </c>
      <c r="C42" s="688" t="s">
        <v>1429</v>
      </c>
      <c r="D42" s="688" t="s">
        <v>1510</v>
      </c>
      <c r="E42" s="688" t="s">
        <v>1511</v>
      </c>
      <c r="F42" s="691">
        <v>5</v>
      </c>
      <c r="G42" s="691">
        <v>649.55000000000007</v>
      </c>
      <c r="H42" s="691">
        <v>1.6818134741856974</v>
      </c>
      <c r="I42" s="691">
        <v>129.91000000000003</v>
      </c>
      <c r="J42" s="691">
        <v>3</v>
      </c>
      <c r="K42" s="691">
        <v>386.22</v>
      </c>
      <c r="L42" s="691">
        <v>1</v>
      </c>
      <c r="M42" s="691">
        <v>128.74</v>
      </c>
      <c r="N42" s="691">
        <v>5</v>
      </c>
      <c r="O42" s="691">
        <v>643.70000000000005</v>
      </c>
      <c r="P42" s="704">
        <v>1.6666666666666667</v>
      </c>
      <c r="Q42" s="692">
        <v>128.74</v>
      </c>
    </row>
    <row r="43" spans="1:17" ht="14.4" customHeight="1" x14ac:dyDescent="0.3">
      <c r="A43" s="687" t="s">
        <v>583</v>
      </c>
      <c r="B43" s="688" t="s">
        <v>1507</v>
      </c>
      <c r="C43" s="688" t="s">
        <v>1429</v>
      </c>
      <c r="D43" s="688" t="s">
        <v>1465</v>
      </c>
      <c r="E43" s="688" t="s">
        <v>1466</v>
      </c>
      <c r="F43" s="691">
        <v>4</v>
      </c>
      <c r="G43" s="691">
        <v>154.44</v>
      </c>
      <c r="H43" s="691"/>
      <c r="I43" s="691">
        <v>38.61</v>
      </c>
      <c r="J43" s="691"/>
      <c r="K43" s="691"/>
      <c r="L43" s="691"/>
      <c r="M43" s="691"/>
      <c r="N43" s="691"/>
      <c r="O43" s="691"/>
      <c r="P43" s="704"/>
      <c r="Q43" s="692"/>
    </row>
    <row r="44" spans="1:17" ht="14.4" customHeight="1" x14ac:dyDescent="0.3">
      <c r="A44" s="687" t="s">
        <v>583</v>
      </c>
      <c r="B44" s="688" t="s">
        <v>1507</v>
      </c>
      <c r="C44" s="688" t="s">
        <v>1429</v>
      </c>
      <c r="D44" s="688" t="s">
        <v>1467</v>
      </c>
      <c r="E44" s="688" t="s">
        <v>1468</v>
      </c>
      <c r="F44" s="691">
        <v>2</v>
      </c>
      <c r="G44" s="691">
        <v>92.9</v>
      </c>
      <c r="H44" s="691">
        <v>1.8088006230529596</v>
      </c>
      <c r="I44" s="691">
        <v>46.45</v>
      </c>
      <c r="J44" s="691">
        <v>1.2</v>
      </c>
      <c r="K44" s="691">
        <v>51.36</v>
      </c>
      <c r="L44" s="691">
        <v>1</v>
      </c>
      <c r="M44" s="691">
        <v>42.800000000000004</v>
      </c>
      <c r="N44" s="691">
        <v>1.2</v>
      </c>
      <c r="O44" s="691">
        <v>51.36</v>
      </c>
      <c r="P44" s="704">
        <v>1</v>
      </c>
      <c r="Q44" s="692">
        <v>42.800000000000004</v>
      </c>
    </row>
    <row r="45" spans="1:17" ht="14.4" customHeight="1" x14ac:dyDescent="0.3">
      <c r="A45" s="687" t="s">
        <v>583</v>
      </c>
      <c r="B45" s="688" t="s">
        <v>1507</v>
      </c>
      <c r="C45" s="688" t="s">
        <v>1429</v>
      </c>
      <c r="D45" s="688" t="s">
        <v>1512</v>
      </c>
      <c r="E45" s="688" t="s">
        <v>761</v>
      </c>
      <c r="F45" s="691"/>
      <c r="G45" s="691"/>
      <c r="H45" s="691"/>
      <c r="I45" s="691"/>
      <c r="J45" s="691">
        <v>0.8</v>
      </c>
      <c r="K45" s="691">
        <v>108.68</v>
      </c>
      <c r="L45" s="691">
        <v>1</v>
      </c>
      <c r="M45" s="691">
        <v>135.85</v>
      </c>
      <c r="N45" s="691"/>
      <c r="O45" s="691"/>
      <c r="P45" s="704"/>
      <c r="Q45" s="692"/>
    </row>
    <row r="46" spans="1:17" ht="14.4" customHeight="1" x14ac:dyDescent="0.3">
      <c r="A46" s="687" t="s">
        <v>583</v>
      </c>
      <c r="B46" s="688" t="s">
        <v>1507</v>
      </c>
      <c r="C46" s="688" t="s">
        <v>1429</v>
      </c>
      <c r="D46" s="688" t="s">
        <v>1470</v>
      </c>
      <c r="E46" s="688" t="s">
        <v>1471</v>
      </c>
      <c r="F46" s="691">
        <v>1.92</v>
      </c>
      <c r="G46" s="691">
        <v>4093.91</v>
      </c>
      <c r="H46" s="691"/>
      <c r="I46" s="691">
        <v>2132.2447916666665</v>
      </c>
      <c r="J46" s="691"/>
      <c r="K46" s="691"/>
      <c r="L46" s="691"/>
      <c r="M46" s="691"/>
      <c r="N46" s="691">
        <v>1.6</v>
      </c>
      <c r="O46" s="691">
        <v>2610.88</v>
      </c>
      <c r="P46" s="704"/>
      <c r="Q46" s="692">
        <v>1631.8</v>
      </c>
    </row>
    <row r="47" spans="1:17" ht="14.4" customHeight="1" x14ac:dyDescent="0.3">
      <c r="A47" s="687" t="s">
        <v>583</v>
      </c>
      <c r="B47" s="688" t="s">
        <v>1507</v>
      </c>
      <c r="C47" s="688" t="s">
        <v>1429</v>
      </c>
      <c r="D47" s="688" t="s">
        <v>1513</v>
      </c>
      <c r="E47" s="688" t="s">
        <v>878</v>
      </c>
      <c r="F47" s="691">
        <v>1.5</v>
      </c>
      <c r="G47" s="691">
        <v>23747.329999999998</v>
      </c>
      <c r="H47" s="691">
        <v>0.43436222602837443</v>
      </c>
      <c r="I47" s="691">
        <v>15831.553333333331</v>
      </c>
      <c r="J47" s="691">
        <v>3.5</v>
      </c>
      <c r="K47" s="691">
        <v>54671.72</v>
      </c>
      <c r="L47" s="691">
        <v>1</v>
      </c>
      <c r="M47" s="691">
        <v>15620.491428571429</v>
      </c>
      <c r="N47" s="691">
        <v>5</v>
      </c>
      <c r="O47" s="691">
        <v>77927.62</v>
      </c>
      <c r="P47" s="704">
        <v>1.4253734837682077</v>
      </c>
      <c r="Q47" s="692">
        <v>15585.523999999999</v>
      </c>
    </row>
    <row r="48" spans="1:17" ht="14.4" customHeight="1" x14ac:dyDescent="0.3">
      <c r="A48" s="687" t="s">
        <v>583</v>
      </c>
      <c r="B48" s="688" t="s">
        <v>1507</v>
      </c>
      <c r="C48" s="688" t="s">
        <v>1429</v>
      </c>
      <c r="D48" s="688" t="s">
        <v>1472</v>
      </c>
      <c r="E48" s="688" t="s">
        <v>1473</v>
      </c>
      <c r="F48" s="691">
        <v>3</v>
      </c>
      <c r="G48" s="691">
        <v>1279.58</v>
      </c>
      <c r="H48" s="691">
        <v>9.419065145380932</v>
      </c>
      <c r="I48" s="691">
        <v>426.52666666666664</v>
      </c>
      <c r="J48" s="691">
        <v>0.5</v>
      </c>
      <c r="K48" s="691">
        <v>135.85000000000002</v>
      </c>
      <c r="L48" s="691">
        <v>1</v>
      </c>
      <c r="M48" s="691">
        <v>271.70000000000005</v>
      </c>
      <c r="N48" s="691">
        <v>0.2</v>
      </c>
      <c r="O48" s="691">
        <v>54.34</v>
      </c>
      <c r="P48" s="704">
        <v>0.39999999999999997</v>
      </c>
      <c r="Q48" s="692">
        <v>271.7</v>
      </c>
    </row>
    <row r="49" spans="1:17" ht="14.4" customHeight="1" x14ac:dyDescent="0.3">
      <c r="A49" s="687" t="s">
        <v>583</v>
      </c>
      <c r="B49" s="688" t="s">
        <v>1507</v>
      </c>
      <c r="C49" s="688" t="s">
        <v>1429</v>
      </c>
      <c r="D49" s="688" t="s">
        <v>1514</v>
      </c>
      <c r="E49" s="688" t="s">
        <v>1515</v>
      </c>
      <c r="F49" s="691">
        <v>10</v>
      </c>
      <c r="G49" s="691">
        <v>1115.92</v>
      </c>
      <c r="H49" s="691"/>
      <c r="I49" s="691">
        <v>111.59200000000001</v>
      </c>
      <c r="J49" s="691"/>
      <c r="K49" s="691"/>
      <c r="L49" s="691"/>
      <c r="M49" s="691"/>
      <c r="N49" s="691"/>
      <c r="O49" s="691"/>
      <c r="P49" s="704"/>
      <c r="Q49" s="692"/>
    </row>
    <row r="50" spans="1:17" ht="14.4" customHeight="1" x14ac:dyDescent="0.3">
      <c r="A50" s="687" t="s">
        <v>583</v>
      </c>
      <c r="B50" s="688" t="s">
        <v>1507</v>
      </c>
      <c r="C50" s="688" t="s">
        <v>1429</v>
      </c>
      <c r="D50" s="688" t="s">
        <v>1474</v>
      </c>
      <c r="E50" s="688" t="s">
        <v>1475</v>
      </c>
      <c r="F50" s="691">
        <v>4.6999999999999993</v>
      </c>
      <c r="G50" s="691">
        <v>220.76</v>
      </c>
      <c r="H50" s="691">
        <v>1.4448589567380064</v>
      </c>
      <c r="I50" s="691">
        <v>46.970212765957449</v>
      </c>
      <c r="J50" s="691">
        <v>3.3</v>
      </c>
      <c r="K50" s="691">
        <v>152.79</v>
      </c>
      <c r="L50" s="691">
        <v>1</v>
      </c>
      <c r="M50" s="691">
        <v>46.3</v>
      </c>
      <c r="N50" s="691">
        <v>5.4</v>
      </c>
      <c r="O50" s="691">
        <v>250.02</v>
      </c>
      <c r="P50" s="704">
        <v>1.6363636363636365</v>
      </c>
      <c r="Q50" s="692">
        <v>46.3</v>
      </c>
    </row>
    <row r="51" spans="1:17" ht="14.4" customHeight="1" x14ac:dyDescent="0.3">
      <c r="A51" s="687" t="s">
        <v>583</v>
      </c>
      <c r="B51" s="688" t="s">
        <v>1507</v>
      </c>
      <c r="C51" s="688" t="s">
        <v>1429</v>
      </c>
      <c r="D51" s="688" t="s">
        <v>1476</v>
      </c>
      <c r="E51" s="688" t="s">
        <v>950</v>
      </c>
      <c r="F51" s="691">
        <v>13</v>
      </c>
      <c r="G51" s="691">
        <v>1202.3699999999999</v>
      </c>
      <c r="H51" s="691">
        <v>3.25</v>
      </c>
      <c r="I51" s="691">
        <v>92.49</v>
      </c>
      <c r="J51" s="691">
        <v>4</v>
      </c>
      <c r="K51" s="691">
        <v>369.96</v>
      </c>
      <c r="L51" s="691">
        <v>1</v>
      </c>
      <c r="M51" s="691">
        <v>92.49</v>
      </c>
      <c r="N51" s="691">
        <v>7</v>
      </c>
      <c r="O51" s="691">
        <v>647.43000000000006</v>
      </c>
      <c r="P51" s="704">
        <v>1.7500000000000002</v>
      </c>
      <c r="Q51" s="692">
        <v>92.490000000000009</v>
      </c>
    </row>
    <row r="52" spans="1:17" ht="14.4" customHeight="1" x14ac:dyDescent="0.3">
      <c r="A52" s="687" t="s">
        <v>583</v>
      </c>
      <c r="B52" s="688" t="s">
        <v>1507</v>
      </c>
      <c r="C52" s="688" t="s">
        <v>1429</v>
      </c>
      <c r="D52" s="688" t="s">
        <v>1516</v>
      </c>
      <c r="E52" s="688" t="s">
        <v>941</v>
      </c>
      <c r="F52" s="691">
        <v>2.5</v>
      </c>
      <c r="G52" s="691">
        <v>5293.21</v>
      </c>
      <c r="H52" s="691">
        <v>3.2437860031866652</v>
      </c>
      <c r="I52" s="691">
        <v>2117.2840000000001</v>
      </c>
      <c r="J52" s="691">
        <v>1</v>
      </c>
      <c r="K52" s="691">
        <v>1631.8</v>
      </c>
      <c r="L52" s="691">
        <v>1</v>
      </c>
      <c r="M52" s="691">
        <v>1631.8</v>
      </c>
      <c r="N52" s="691">
        <v>4.0000000000000009</v>
      </c>
      <c r="O52" s="691">
        <v>6527.2</v>
      </c>
      <c r="P52" s="704">
        <v>4</v>
      </c>
      <c r="Q52" s="692">
        <v>1631.7999999999995</v>
      </c>
    </row>
    <row r="53" spans="1:17" ht="14.4" customHeight="1" x14ac:dyDescent="0.3">
      <c r="A53" s="687" t="s">
        <v>583</v>
      </c>
      <c r="B53" s="688" t="s">
        <v>1507</v>
      </c>
      <c r="C53" s="688" t="s">
        <v>1429</v>
      </c>
      <c r="D53" s="688" t="s">
        <v>1477</v>
      </c>
      <c r="E53" s="688" t="s">
        <v>1478</v>
      </c>
      <c r="F53" s="691">
        <v>0.64</v>
      </c>
      <c r="G53" s="691">
        <v>2246.1999999999998</v>
      </c>
      <c r="H53" s="691"/>
      <c r="I53" s="691">
        <v>3509.6874999999995</v>
      </c>
      <c r="J53" s="691"/>
      <c r="K53" s="691"/>
      <c r="L53" s="691"/>
      <c r="M53" s="691"/>
      <c r="N53" s="691"/>
      <c r="O53" s="691"/>
      <c r="P53" s="704"/>
      <c r="Q53" s="692"/>
    </row>
    <row r="54" spans="1:17" ht="14.4" customHeight="1" x14ac:dyDescent="0.3">
      <c r="A54" s="687" t="s">
        <v>583</v>
      </c>
      <c r="B54" s="688" t="s">
        <v>1507</v>
      </c>
      <c r="C54" s="688" t="s">
        <v>1429</v>
      </c>
      <c r="D54" s="688" t="s">
        <v>1517</v>
      </c>
      <c r="E54" s="688" t="s">
        <v>1518</v>
      </c>
      <c r="F54" s="691"/>
      <c r="G54" s="691"/>
      <c r="H54" s="691"/>
      <c r="I54" s="691"/>
      <c r="J54" s="691">
        <v>1</v>
      </c>
      <c r="K54" s="691">
        <v>65.75</v>
      </c>
      <c r="L54" s="691">
        <v>1</v>
      </c>
      <c r="M54" s="691">
        <v>65.75</v>
      </c>
      <c r="N54" s="691"/>
      <c r="O54" s="691"/>
      <c r="P54" s="704"/>
      <c r="Q54" s="692"/>
    </row>
    <row r="55" spans="1:17" ht="14.4" customHeight="1" x14ac:dyDescent="0.3">
      <c r="A55" s="687" t="s">
        <v>583</v>
      </c>
      <c r="B55" s="688" t="s">
        <v>1507</v>
      </c>
      <c r="C55" s="688" t="s">
        <v>1429</v>
      </c>
      <c r="D55" s="688" t="s">
        <v>1479</v>
      </c>
      <c r="E55" s="688" t="s">
        <v>1480</v>
      </c>
      <c r="F55" s="691"/>
      <c r="G55" s="691"/>
      <c r="H55" s="691"/>
      <c r="I55" s="691"/>
      <c r="J55" s="691"/>
      <c r="K55" s="691"/>
      <c r="L55" s="691"/>
      <c r="M55" s="691"/>
      <c r="N55" s="691">
        <v>0.3</v>
      </c>
      <c r="O55" s="691">
        <v>637.67999999999995</v>
      </c>
      <c r="P55" s="704"/>
      <c r="Q55" s="692">
        <v>2125.6</v>
      </c>
    </row>
    <row r="56" spans="1:17" ht="14.4" customHeight="1" x14ac:dyDescent="0.3">
      <c r="A56" s="687" t="s">
        <v>583</v>
      </c>
      <c r="B56" s="688" t="s">
        <v>1507</v>
      </c>
      <c r="C56" s="688" t="s">
        <v>1429</v>
      </c>
      <c r="D56" s="688" t="s">
        <v>1481</v>
      </c>
      <c r="E56" s="688" t="s">
        <v>1024</v>
      </c>
      <c r="F56" s="691"/>
      <c r="G56" s="691"/>
      <c r="H56" s="691"/>
      <c r="I56" s="691"/>
      <c r="J56" s="691"/>
      <c r="K56" s="691"/>
      <c r="L56" s="691"/>
      <c r="M56" s="691"/>
      <c r="N56" s="691">
        <v>3</v>
      </c>
      <c r="O56" s="691">
        <v>328.8</v>
      </c>
      <c r="P56" s="704"/>
      <c r="Q56" s="692">
        <v>109.60000000000001</v>
      </c>
    </row>
    <row r="57" spans="1:17" ht="14.4" customHeight="1" x14ac:dyDescent="0.3">
      <c r="A57" s="687" t="s">
        <v>583</v>
      </c>
      <c r="B57" s="688" t="s">
        <v>1507</v>
      </c>
      <c r="C57" s="688" t="s">
        <v>1482</v>
      </c>
      <c r="D57" s="688" t="s">
        <v>1483</v>
      </c>
      <c r="E57" s="688" t="s">
        <v>1484</v>
      </c>
      <c r="F57" s="691">
        <v>15</v>
      </c>
      <c r="G57" s="691">
        <v>24210.75</v>
      </c>
      <c r="H57" s="691">
        <v>3.2957283456527953</v>
      </c>
      <c r="I57" s="691">
        <v>1614.05</v>
      </c>
      <c r="J57" s="691">
        <v>5</v>
      </c>
      <c r="K57" s="691">
        <v>7346.1</v>
      </c>
      <c r="L57" s="691">
        <v>1</v>
      </c>
      <c r="M57" s="691">
        <v>1469.22</v>
      </c>
      <c r="N57" s="691">
        <v>30</v>
      </c>
      <c r="O57" s="691">
        <v>46978.350000000006</v>
      </c>
      <c r="P57" s="704">
        <v>6.3950055131294157</v>
      </c>
      <c r="Q57" s="692">
        <v>1565.9450000000002</v>
      </c>
    </row>
    <row r="58" spans="1:17" ht="14.4" customHeight="1" x14ac:dyDescent="0.3">
      <c r="A58" s="687" t="s">
        <v>583</v>
      </c>
      <c r="B58" s="688" t="s">
        <v>1507</v>
      </c>
      <c r="C58" s="688" t="s">
        <v>1482</v>
      </c>
      <c r="D58" s="688" t="s">
        <v>1519</v>
      </c>
      <c r="E58" s="688" t="s">
        <v>1520</v>
      </c>
      <c r="F58" s="691"/>
      <c r="G58" s="691"/>
      <c r="H58" s="691"/>
      <c r="I58" s="691"/>
      <c r="J58" s="691"/>
      <c r="K58" s="691"/>
      <c r="L58" s="691"/>
      <c r="M58" s="691"/>
      <c r="N58" s="691">
        <v>7</v>
      </c>
      <c r="O58" s="691">
        <v>28569.360000000001</v>
      </c>
      <c r="P58" s="704"/>
      <c r="Q58" s="692">
        <v>4081.3371428571431</v>
      </c>
    </row>
    <row r="59" spans="1:17" ht="14.4" customHeight="1" x14ac:dyDescent="0.3">
      <c r="A59" s="687" t="s">
        <v>583</v>
      </c>
      <c r="B59" s="688" t="s">
        <v>1507</v>
      </c>
      <c r="C59" s="688" t="s">
        <v>1482</v>
      </c>
      <c r="D59" s="688" t="s">
        <v>1521</v>
      </c>
      <c r="E59" s="688" t="s">
        <v>1522</v>
      </c>
      <c r="F59" s="691">
        <v>3</v>
      </c>
      <c r="G59" s="691">
        <v>2776.71</v>
      </c>
      <c r="H59" s="691">
        <v>2.6143583466716884</v>
      </c>
      <c r="I59" s="691">
        <v>925.57</v>
      </c>
      <c r="J59" s="691">
        <v>1</v>
      </c>
      <c r="K59" s="691">
        <v>1062.0999999999999</v>
      </c>
      <c r="L59" s="691">
        <v>1</v>
      </c>
      <c r="M59" s="691">
        <v>1062.0999999999999</v>
      </c>
      <c r="N59" s="691">
        <v>2</v>
      </c>
      <c r="O59" s="691">
        <v>2423.2199999999998</v>
      </c>
      <c r="P59" s="704">
        <v>2.2815365784766031</v>
      </c>
      <c r="Q59" s="692">
        <v>1211.6099999999999</v>
      </c>
    </row>
    <row r="60" spans="1:17" ht="14.4" customHeight="1" x14ac:dyDescent="0.3">
      <c r="A60" s="687" t="s">
        <v>583</v>
      </c>
      <c r="B60" s="688" t="s">
        <v>1507</v>
      </c>
      <c r="C60" s="688" t="s">
        <v>1482</v>
      </c>
      <c r="D60" s="688" t="s">
        <v>1485</v>
      </c>
      <c r="E60" s="688" t="s">
        <v>1486</v>
      </c>
      <c r="F60" s="691">
        <v>15</v>
      </c>
      <c r="G60" s="691">
        <v>3580.2</v>
      </c>
      <c r="H60" s="691">
        <v>2.9774210985903777</v>
      </c>
      <c r="I60" s="691">
        <v>238.67999999999998</v>
      </c>
      <c r="J60" s="691">
        <v>5</v>
      </c>
      <c r="K60" s="691">
        <v>1202.45</v>
      </c>
      <c r="L60" s="691">
        <v>1</v>
      </c>
      <c r="M60" s="691">
        <v>240.49</v>
      </c>
      <c r="N60" s="691">
        <v>37</v>
      </c>
      <c r="O60" s="691">
        <v>9022.9700000000012</v>
      </c>
      <c r="P60" s="704">
        <v>7.5038213647137102</v>
      </c>
      <c r="Q60" s="692">
        <v>243.86405405405409</v>
      </c>
    </row>
    <row r="61" spans="1:17" ht="14.4" customHeight="1" x14ac:dyDescent="0.3">
      <c r="A61" s="687" t="s">
        <v>583</v>
      </c>
      <c r="B61" s="688" t="s">
        <v>1507</v>
      </c>
      <c r="C61" s="688" t="s">
        <v>1436</v>
      </c>
      <c r="D61" s="688" t="s">
        <v>1523</v>
      </c>
      <c r="E61" s="688" t="s">
        <v>1524</v>
      </c>
      <c r="F61" s="691">
        <v>55</v>
      </c>
      <c r="G61" s="691">
        <v>1593075</v>
      </c>
      <c r="H61" s="691">
        <v>2.2916666666666665</v>
      </c>
      <c r="I61" s="691">
        <v>28965</v>
      </c>
      <c r="J61" s="691">
        <v>24</v>
      </c>
      <c r="K61" s="691">
        <v>695160</v>
      </c>
      <c r="L61" s="691">
        <v>1</v>
      </c>
      <c r="M61" s="691">
        <v>28965</v>
      </c>
      <c r="N61" s="691">
        <v>54</v>
      </c>
      <c r="O61" s="691">
        <v>1564110</v>
      </c>
      <c r="P61" s="704">
        <v>2.25</v>
      </c>
      <c r="Q61" s="692">
        <v>28965</v>
      </c>
    </row>
    <row r="62" spans="1:17" ht="14.4" customHeight="1" x14ac:dyDescent="0.3">
      <c r="A62" s="687" t="s">
        <v>583</v>
      </c>
      <c r="B62" s="688" t="s">
        <v>1507</v>
      </c>
      <c r="C62" s="688" t="s">
        <v>1436</v>
      </c>
      <c r="D62" s="688" t="s">
        <v>1525</v>
      </c>
      <c r="E62" s="688" t="s">
        <v>1526</v>
      </c>
      <c r="F62" s="691">
        <v>25</v>
      </c>
      <c r="G62" s="691">
        <v>341800</v>
      </c>
      <c r="H62" s="691">
        <v>0.34722222222222221</v>
      </c>
      <c r="I62" s="691">
        <v>13672</v>
      </c>
      <c r="J62" s="691">
        <v>72</v>
      </c>
      <c r="K62" s="691">
        <v>984384</v>
      </c>
      <c r="L62" s="691">
        <v>1</v>
      </c>
      <c r="M62" s="691">
        <v>13672</v>
      </c>
      <c r="N62" s="691">
        <v>194</v>
      </c>
      <c r="O62" s="691">
        <v>2652368</v>
      </c>
      <c r="P62" s="704">
        <v>2.6944444444444446</v>
      </c>
      <c r="Q62" s="692">
        <v>13672</v>
      </c>
    </row>
    <row r="63" spans="1:17" ht="14.4" customHeight="1" x14ac:dyDescent="0.3">
      <c r="A63" s="687" t="s">
        <v>583</v>
      </c>
      <c r="B63" s="688" t="s">
        <v>1507</v>
      </c>
      <c r="C63" s="688" t="s">
        <v>1436</v>
      </c>
      <c r="D63" s="688" t="s">
        <v>1491</v>
      </c>
      <c r="E63" s="688" t="s">
        <v>1492</v>
      </c>
      <c r="F63" s="691">
        <v>0</v>
      </c>
      <c r="G63" s="691">
        <v>0</v>
      </c>
      <c r="H63" s="691"/>
      <c r="I63" s="691"/>
      <c r="J63" s="691">
        <v>0</v>
      </c>
      <c r="K63" s="691">
        <v>0</v>
      </c>
      <c r="L63" s="691"/>
      <c r="M63" s="691"/>
      <c r="N63" s="691">
        <v>0</v>
      </c>
      <c r="O63" s="691">
        <v>0</v>
      </c>
      <c r="P63" s="704"/>
      <c r="Q63" s="692"/>
    </row>
    <row r="64" spans="1:17" ht="14.4" customHeight="1" x14ac:dyDescent="0.3">
      <c r="A64" s="687" t="s">
        <v>583</v>
      </c>
      <c r="B64" s="688" t="s">
        <v>1507</v>
      </c>
      <c r="C64" s="688" t="s">
        <v>1436</v>
      </c>
      <c r="D64" s="688" t="s">
        <v>1493</v>
      </c>
      <c r="E64" s="688" t="s">
        <v>1494</v>
      </c>
      <c r="F64" s="691">
        <v>310</v>
      </c>
      <c r="G64" s="691">
        <v>0</v>
      </c>
      <c r="H64" s="691"/>
      <c r="I64" s="691">
        <v>0</v>
      </c>
      <c r="J64" s="691">
        <v>266</v>
      </c>
      <c r="K64" s="691">
        <v>0</v>
      </c>
      <c r="L64" s="691"/>
      <c r="M64" s="691">
        <v>0</v>
      </c>
      <c r="N64" s="691">
        <v>545</v>
      </c>
      <c r="O64" s="691">
        <v>0</v>
      </c>
      <c r="P64" s="704"/>
      <c r="Q64" s="692">
        <v>0</v>
      </c>
    </row>
    <row r="65" spans="1:17" ht="14.4" customHeight="1" x14ac:dyDescent="0.3">
      <c r="A65" s="687" t="s">
        <v>583</v>
      </c>
      <c r="B65" s="688" t="s">
        <v>1507</v>
      </c>
      <c r="C65" s="688" t="s">
        <v>1436</v>
      </c>
      <c r="D65" s="688" t="s">
        <v>1495</v>
      </c>
      <c r="E65" s="688" t="s">
        <v>1496</v>
      </c>
      <c r="F65" s="691">
        <v>8</v>
      </c>
      <c r="G65" s="691">
        <v>0</v>
      </c>
      <c r="H65" s="691"/>
      <c r="I65" s="691">
        <v>0</v>
      </c>
      <c r="J65" s="691">
        <v>5</v>
      </c>
      <c r="K65" s="691">
        <v>0</v>
      </c>
      <c r="L65" s="691"/>
      <c r="M65" s="691">
        <v>0</v>
      </c>
      <c r="N65" s="691">
        <v>10</v>
      </c>
      <c r="O65" s="691">
        <v>0</v>
      </c>
      <c r="P65" s="704"/>
      <c r="Q65" s="692">
        <v>0</v>
      </c>
    </row>
    <row r="66" spans="1:17" ht="14.4" customHeight="1" x14ac:dyDescent="0.3">
      <c r="A66" s="687" t="s">
        <v>583</v>
      </c>
      <c r="B66" s="688" t="s">
        <v>1507</v>
      </c>
      <c r="C66" s="688" t="s">
        <v>1436</v>
      </c>
      <c r="D66" s="688" t="s">
        <v>1527</v>
      </c>
      <c r="E66" s="688" t="s">
        <v>1528</v>
      </c>
      <c r="F66" s="691"/>
      <c r="G66" s="691"/>
      <c r="H66" s="691"/>
      <c r="I66" s="691"/>
      <c r="J66" s="691">
        <v>2</v>
      </c>
      <c r="K66" s="691">
        <v>0</v>
      </c>
      <c r="L66" s="691"/>
      <c r="M66" s="691">
        <v>0</v>
      </c>
      <c r="N66" s="691">
        <v>5</v>
      </c>
      <c r="O66" s="691">
        <v>0</v>
      </c>
      <c r="P66" s="704"/>
      <c r="Q66" s="692">
        <v>0</v>
      </c>
    </row>
    <row r="67" spans="1:17" ht="14.4" customHeight="1" x14ac:dyDescent="0.3">
      <c r="A67" s="687" t="s">
        <v>583</v>
      </c>
      <c r="B67" s="688" t="s">
        <v>1507</v>
      </c>
      <c r="C67" s="688" t="s">
        <v>1436</v>
      </c>
      <c r="D67" s="688" t="s">
        <v>1497</v>
      </c>
      <c r="E67" s="688" t="s">
        <v>1498</v>
      </c>
      <c r="F67" s="691">
        <v>10</v>
      </c>
      <c r="G67" s="691">
        <v>0</v>
      </c>
      <c r="H67" s="691"/>
      <c r="I67" s="691">
        <v>0</v>
      </c>
      <c r="J67" s="691">
        <v>6</v>
      </c>
      <c r="K67" s="691">
        <v>0</v>
      </c>
      <c r="L67" s="691"/>
      <c r="M67" s="691">
        <v>0</v>
      </c>
      <c r="N67" s="691">
        <v>6</v>
      </c>
      <c r="O67" s="691">
        <v>0</v>
      </c>
      <c r="P67" s="704"/>
      <c r="Q67" s="692">
        <v>0</v>
      </c>
    </row>
    <row r="68" spans="1:17" ht="14.4" customHeight="1" x14ac:dyDescent="0.3">
      <c r="A68" s="687" t="s">
        <v>583</v>
      </c>
      <c r="B68" s="688" t="s">
        <v>1507</v>
      </c>
      <c r="C68" s="688" t="s">
        <v>1436</v>
      </c>
      <c r="D68" s="688" t="s">
        <v>1451</v>
      </c>
      <c r="E68" s="688" t="s">
        <v>1452</v>
      </c>
      <c r="F68" s="691">
        <v>11</v>
      </c>
      <c r="G68" s="691">
        <v>3640</v>
      </c>
      <c r="H68" s="691">
        <v>2.0564971751412431</v>
      </c>
      <c r="I68" s="691">
        <v>330.90909090909093</v>
      </c>
      <c r="J68" s="691">
        <v>5</v>
      </c>
      <c r="K68" s="691">
        <v>1770</v>
      </c>
      <c r="L68" s="691">
        <v>1</v>
      </c>
      <c r="M68" s="691">
        <v>354</v>
      </c>
      <c r="N68" s="691">
        <v>10</v>
      </c>
      <c r="O68" s="691">
        <v>3549</v>
      </c>
      <c r="P68" s="704">
        <v>2.0050847457627117</v>
      </c>
      <c r="Q68" s="692">
        <v>354.9</v>
      </c>
    </row>
    <row r="69" spans="1:17" ht="14.4" customHeight="1" x14ac:dyDescent="0.3">
      <c r="A69" s="687" t="s">
        <v>583</v>
      </c>
      <c r="B69" s="688" t="s">
        <v>1507</v>
      </c>
      <c r="C69" s="688" t="s">
        <v>1436</v>
      </c>
      <c r="D69" s="688" t="s">
        <v>1455</v>
      </c>
      <c r="E69" s="688" t="s">
        <v>1456</v>
      </c>
      <c r="F69" s="691">
        <v>27</v>
      </c>
      <c r="G69" s="691">
        <v>17617</v>
      </c>
      <c r="H69" s="691">
        <v>1.3569282908418701</v>
      </c>
      <c r="I69" s="691">
        <v>652.48148148148152</v>
      </c>
      <c r="J69" s="691">
        <v>19</v>
      </c>
      <c r="K69" s="691">
        <v>12983</v>
      </c>
      <c r="L69" s="691">
        <v>1</v>
      </c>
      <c r="M69" s="691">
        <v>683.31578947368416</v>
      </c>
      <c r="N69" s="691">
        <v>33</v>
      </c>
      <c r="O69" s="691">
        <v>23133</v>
      </c>
      <c r="P69" s="704">
        <v>1.7817915735962413</v>
      </c>
      <c r="Q69" s="692">
        <v>701</v>
      </c>
    </row>
    <row r="70" spans="1:17" ht="14.4" customHeight="1" x14ac:dyDescent="0.3">
      <c r="A70" s="687" t="s">
        <v>583</v>
      </c>
      <c r="B70" s="688" t="s">
        <v>1507</v>
      </c>
      <c r="C70" s="688" t="s">
        <v>1436</v>
      </c>
      <c r="D70" s="688" t="s">
        <v>1529</v>
      </c>
      <c r="E70" s="688" t="s">
        <v>1530</v>
      </c>
      <c r="F70" s="691">
        <v>447</v>
      </c>
      <c r="G70" s="691">
        <v>2821464</v>
      </c>
      <c r="H70" s="691">
        <v>1.6254545454545455</v>
      </c>
      <c r="I70" s="691">
        <v>6312</v>
      </c>
      <c r="J70" s="691">
        <v>275</v>
      </c>
      <c r="K70" s="691">
        <v>1735800</v>
      </c>
      <c r="L70" s="691">
        <v>1</v>
      </c>
      <c r="M70" s="691">
        <v>6312</v>
      </c>
      <c r="N70" s="691">
        <v>434</v>
      </c>
      <c r="O70" s="691">
        <v>2739408</v>
      </c>
      <c r="P70" s="704">
        <v>1.5781818181818181</v>
      </c>
      <c r="Q70" s="692">
        <v>6312</v>
      </c>
    </row>
    <row r="71" spans="1:17" ht="14.4" customHeight="1" x14ac:dyDescent="0.3">
      <c r="A71" s="687" t="s">
        <v>583</v>
      </c>
      <c r="B71" s="688" t="s">
        <v>1507</v>
      </c>
      <c r="C71" s="688" t="s">
        <v>1436</v>
      </c>
      <c r="D71" s="688" t="s">
        <v>1499</v>
      </c>
      <c r="E71" s="688" t="s">
        <v>1500</v>
      </c>
      <c r="F71" s="691">
        <v>6</v>
      </c>
      <c r="G71" s="691">
        <v>0</v>
      </c>
      <c r="H71" s="691"/>
      <c r="I71" s="691">
        <v>0</v>
      </c>
      <c r="J71" s="691">
        <v>4</v>
      </c>
      <c r="K71" s="691">
        <v>0</v>
      </c>
      <c r="L71" s="691"/>
      <c r="M71" s="691">
        <v>0</v>
      </c>
      <c r="N71" s="691">
        <v>10</v>
      </c>
      <c r="O71" s="691">
        <v>0</v>
      </c>
      <c r="P71" s="704"/>
      <c r="Q71" s="692">
        <v>0</v>
      </c>
    </row>
    <row r="72" spans="1:17" ht="14.4" customHeight="1" x14ac:dyDescent="0.3">
      <c r="A72" s="687" t="s">
        <v>583</v>
      </c>
      <c r="B72" s="688" t="s">
        <v>1507</v>
      </c>
      <c r="C72" s="688" t="s">
        <v>1436</v>
      </c>
      <c r="D72" s="688" t="s">
        <v>1531</v>
      </c>
      <c r="E72" s="688" t="s">
        <v>1532</v>
      </c>
      <c r="F72" s="691">
        <v>91</v>
      </c>
      <c r="G72" s="691">
        <v>2250885</v>
      </c>
      <c r="H72" s="691">
        <v>0.68421052631578949</v>
      </c>
      <c r="I72" s="691">
        <v>24735</v>
      </c>
      <c r="J72" s="691">
        <v>133</v>
      </c>
      <c r="K72" s="691">
        <v>3289755</v>
      </c>
      <c r="L72" s="691">
        <v>1</v>
      </c>
      <c r="M72" s="691">
        <v>24735</v>
      </c>
      <c r="N72" s="691">
        <v>166</v>
      </c>
      <c r="O72" s="691">
        <v>4106010</v>
      </c>
      <c r="P72" s="704">
        <v>1.2481203007518797</v>
      </c>
      <c r="Q72" s="692">
        <v>24735</v>
      </c>
    </row>
    <row r="73" spans="1:17" ht="14.4" customHeight="1" x14ac:dyDescent="0.3">
      <c r="A73" s="687" t="s">
        <v>583</v>
      </c>
      <c r="B73" s="688" t="s">
        <v>1507</v>
      </c>
      <c r="C73" s="688" t="s">
        <v>1436</v>
      </c>
      <c r="D73" s="688" t="s">
        <v>1505</v>
      </c>
      <c r="E73" s="688" t="s">
        <v>1506</v>
      </c>
      <c r="F73" s="691">
        <v>3</v>
      </c>
      <c r="G73" s="691">
        <v>0</v>
      </c>
      <c r="H73" s="691"/>
      <c r="I73" s="691">
        <v>0</v>
      </c>
      <c r="J73" s="691">
        <v>1</v>
      </c>
      <c r="K73" s="691">
        <v>0</v>
      </c>
      <c r="L73" s="691"/>
      <c r="M73" s="691">
        <v>0</v>
      </c>
      <c r="N73" s="691">
        <v>4</v>
      </c>
      <c r="O73" s="691">
        <v>0</v>
      </c>
      <c r="P73" s="704"/>
      <c r="Q73" s="692">
        <v>0</v>
      </c>
    </row>
    <row r="74" spans="1:17" ht="14.4" customHeight="1" x14ac:dyDescent="0.3">
      <c r="A74" s="687" t="s">
        <v>583</v>
      </c>
      <c r="B74" s="688" t="s">
        <v>1507</v>
      </c>
      <c r="C74" s="688" t="s">
        <v>1436</v>
      </c>
      <c r="D74" s="688" t="s">
        <v>1533</v>
      </c>
      <c r="E74" s="688" t="s">
        <v>1534</v>
      </c>
      <c r="F74" s="691">
        <v>4</v>
      </c>
      <c r="G74" s="691">
        <v>0</v>
      </c>
      <c r="H74" s="691"/>
      <c r="I74" s="691">
        <v>0</v>
      </c>
      <c r="J74" s="691">
        <v>4</v>
      </c>
      <c r="K74" s="691">
        <v>0</v>
      </c>
      <c r="L74" s="691"/>
      <c r="M74" s="691">
        <v>0</v>
      </c>
      <c r="N74" s="691">
        <v>5</v>
      </c>
      <c r="O74" s="691">
        <v>0</v>
      </c>
      <c r="P74" s="704"/>
      <c r="Q74" s="692">
        <v>0</v>
      </c>
    </row>
    <row r="75" spans="1:17" ht="14.4" customHeight="1" x14ac:dyDescent="0.3">
      <c r="A75" s="687" t="s">
        <v>583</v>
      </c>
      <c r="B75" s="688" t="s">
        <v>1507</v>
      </c>
      <c r="C75" s="688" t="s">
        <v>1436</v>
      </c>
      <c r="D75" s="688" t="s">
        <v>1535</v>
      </c>
      <c r="E75" s="688" t="s">
        <v>1536</v>
      </c>
      <c r="F75" s="691">
        <v>145</v>
      </c>
      <c r="G75" s="691">
        <v>0</v>
      </c>
      <c r="H75" s="691"/>
      <c r="I75" s="691">
        <v>0</v>
      </c>
      <c r="J75" s="691">
        <v>158</v>
      </c>
      <c r="K75" s="691">
        <v>0</v>
      </c>
      <c r="L75" s="691"/>
      <c r="M75" s="691">
        <v>0</v>
      </c>
      <c r="N75" s="691">
        <v>224</v>
      </c>
      <c r="O75" s="691">
        <v>0</v>
      </c>
      <c r="P75" s="704"/>
      <c r="Q75" s="692">
        <v>0</v>
      </c>
    </row>
    <row r="76" spans="1:17" ht="14.4" customHeight="1" x14ac:dyDescent="0.3">
      <c r="A76" s="687" t="s">
        <v>583</v>
      </c>
      <c r="B76" s="688" t="s">
        <v>1537</v>
      </c>
      <c r="C76" s="688" t="s">
        <v>1436</v>
      </c>
      <c r="D76" s="688" t="s">
        <v>1538</v>
      </c>
      <c r="E76" s="688" t="s">
        <v>1539</v>
      </c>
      <c r="F76" s="691">
        <v>2</v>
      </c>
      <c r="G76" s="691">
        <v>5384</v>
      </c>
      <c r="H76" s="691"/>
      <c r="I76" s="691">
        <v>2692</v>
      </c>
      <c r="J76" s="691"/>
      <c r="K76" s="691"/>
      <c r="L76" s="691"/>
      <c r="M76" s="691"/>
      <c r="N76" s="691">
        <v>1</v>
      </c>
      <c r="O76" s="691">
        <v>2771</v>
      </c>
      <c r="P76" s="704"/>
      <c r="Q76" s="692">
        <v>2771</v>
      </c>
    </row>
    <row r="77" spans="1:17" ht="14.4" customHeight="1" x14ac:dyDescent="0.3">
      <c r="A77" s="687" t="s">
        <v>583</v>
      </c>
      <c r="B77" s="688" t="s">
        <v>1537</v>
      </c>
      <c r="C77" s="688" t="s">
        <v>1436</v>
      </c>
      <c r="D77" s="688" t="s">
        <v>1540</v>
      </c>
      <c r="E77" s="688" t="s">
        <v>1541</v>
      </c>
      <c r="F77" s="691">
        <v>1</v>
      </c>
      <c r="G77" s="691">
        <v>5974</v>
      </c>
      <c r="H77" s="691"/>
      <c r="I77" s="691">
        <v>5974</v>
      </c>
      <c r="J77" s="691"/>
      <c r="K77" s="691"/>
      <c r="L77" s="691"/>
      <c r="M77" s="691"/>
      <c r="N77" s="691"/>
      <c r="O77" s="691"/>
      <c r="P77" s="704"/>
      <c r="Q77" s="692"/>
    </row>
    <row r="78" spans="1:17" ht="14.4" customHeight="1" x14ac:dyDescent="0.3">
      <c r="A78" s="687" t="s">
        <v>583</v>
      </c>
      <c r="B78" s="688" t="s">
        <v>1537</v>
      </c>
      <c r="C78" s="688" t="s">
        <v>1436</v>
      </c>
      <c r="D78" s="688" t="s">
        <v>1542</v>
      </c>
      <c r="E78" s="688" t="s">
        <v>1543</v>
      </c>
      <c r="F78" s="691"/>
      <c r="G78" s="691"/>
      <c r="H78" s="691"/>
      <c r="I78" s="691"/>
      <c r="J78" s="691"/>
      <c r="K78" s="691"/>
      <c r="L78" s="691"/>
      <c r="M78" s="691"/>
      <c r="N78" s="691">
        <v>1</v>
      </c>
      <c r="O78" s="691">
        <v>1709</v>
      </c>
      <c r="P78" s="704"/>
      <c r="Q78" s="692">
        <v>1709</v>
      </c>
    </row>
    <row r="79" spans="1:17" ht="14.4" customHeight="1" x14ac:dyDescent="0.3">
      <c r="A79" s="687" t="s">
        <v>583</v>
      </c>
      <c r="B79" s="688" t="s">
        <v>1537</v>
      </c>
      <c r="C79" s="688" t="s">
        <v>1436</v>
      </c>
      <c r="D79" s="688" t="s">
        <v>1544</v>
      </c>
      <c r="E79" s="688" t="s">
        <v>1545</v>
      </c>
      <c r="F79" s="691">
        <v>1</v>
      </c>
      <c r="G79" s="691">
        <v>1048</v>
      </c>
      <c r="H79" s="691"/>
      <c r="I79" s="691">
        <v>1048</v>
      </c>
      <c r="J79" s="691"/>
      <c r="K79" s="691"/>
      <c r="L79" s="691"/>
      <c r="M79" s="691"/>
      <c r="N79" s="691"/>
      <c r="O79" s="691"/>
      <c r="P79" s="704"/>
      <c r="Q79" s="692"/>
    </row>
    <row r="80" spans="1:17" ht="14.4" customHeight="1" x14ac:dyDescent="0.3">
      <c r="A80" s="687" t="s">
        <v>583</v>
      </c>
      <c r="B80" s="688" t="s">
        <v>1537</v>
      </c>
      <c r="C80" s="688" t="s">
        <v>1436</v>
      </c>
      <c r="D80" s="688" t="s">
        <v>773</v>
      </c>
      <c r="E80" s="688" t="s">
        <v>1546</v>
      </c>
      <c r="F80" s="691"/>
      <c r="G80" s="691"/>
      <c r="H80" s="691"/>
      <c r="I80" s="691"/>
      <c r="J80" s="691"/>
      <c r="K80" s="691"/>
      <c r="L80" s="691"/>
      <c r="M80" s="691"/>
      <c r="N80" s="691">
        <v>1</v>
      </c>
      <c r="O80" s="691">
        <v>1985</v>
      </c>
      <c r="P80" s="704"/>
      <c r="Q80" s="692">
        <v>1985</v>
      </c>
    </row>
    <row r="81" spans="1:17" ht="14.4" customHeight="1" x14ac:dyDescent="0.3">
      <c r="A81" s="687" t="s">
        <v>583</v>
      </c>
      <c r="B81" s="688" t="s">
        <v>1537</v>
      </c>
      <c r="C81" s="688" t="s">
        <v>1436</v>
      </c>
      <c r="D81" s="688" t="s">
        <v>1547</v>
      </c>
      <c r="E81" s="688" t="s">
        <v>1548</v>
      </c>
      <c r="F81" s="691">
        <v>2</v>
      </c>
      <c r="G81" s="691">
        <v>10904</v>
      </c>
      <c r="H81" s="691"/>
      <c r="I81" s="691">
        <v>5452</v>
      </c>
      <c r="J81" s="691"/>
      <c r="K81" s="691"/>
      <c r="L81" s="691"/>
      <c r="M81" s="691"/>
      <c r="N81" s="691">
        <v>1</v>
      </c>
      <c r="O81" s="691">
        <v>5702</v>
      </c>
      <c r="P81" s="704"/>
      <c r="Q81" s="692">
        <v>5702</v>
      </c>
    </row>
    <row r="82" spans="1:17" ht="14.4" customHeight="1" x14ac:dyDescent="0.3">
      <c r="A82" s="687" t="s">
        <v>583</v>
      </c>
      <c r="B82" s="688" t="s">
        <v>1537</v>
      </c>
      <c r="C82" s="688" t="s">
        <v>1436</v>
      </c>
      <c r="D82" s="688" t="s">
        <v>1549</v>
      </c>
      <c r="E82" s="688" t="s">
        <v>1550</v>
      </c>
      <c r="F82" s="691"/>
      <c r="G82" s="691"/>
      <c r="H82" s="691"/>
      <c r="I82" s="691"/>
      <c r="J82" s="691">
        <v>1</v>
      </c>
      <c r="K82" s="691">
        <v>9773</v>
      </c>
      <c r="L82" s="691">
        <v>1</v>
      </c>
      <c r="M82" s="691">
        <v>9773</v>
      </c>
      <c r="N82" s="691"/>
      <c r="O82" s="691"/>
      <c r="P82" s="704"/>
      <c r="Q82" s="692"/>
    </row>
    <row r="83" spans="1:17" ht="14.4" customHeight="1" x14ac:dyDescent="0.3">
      <c r="A83" s="687" t="s">
        <v>583</v>
      </c>
      <c r="B83" s="688" t="s">
        <v>1551</v>
      </c>
      <c r="C83" s="688" t="s">
        <v>1436</v>
      </c>
      <c r="D83" s="688" t="s">
        <v>1552</v>
      </c>
      <c r="E83" s="688" t="s">
        <v>1553</v>
      </c>
      <c r="F83" s="691">
        <v>229</v>
      </c>
      <c r="G83" s="691">
        <v>45338</v>
      </c>
      <c r="H83" s="691">
        <v>0.80301098122564651</v>
      </c>
      <c r="I83" s="691">
        <v>197.9825327510917</v>
      </c>
      <c r="J83" s="691">
        <v>277</v>
      </c>
      <c r="K83" s="691">
        <v>56460</v>
      </c>
      <c r="L83" s="691">
        <v>1</v>
      </c>
      <c r="M83" s="691">
        <v>203.82671480144404</v>
      </c>
      <c r="N83" s="691">
        <v>230</v>
      </c>
      <c r="O83" s="691">
        <v>46920</v>
      </c>
      <c r="P83" s="704">
        <v>0.83103081827842717</v>
      </c>
      <c r="Q83" s="692">
        <v>204</v>
      </c>
    </row>
    <row r="84" spans="1:17" ht="14.4" customHeight="1" x14ac:dyDescent="0.3">
      <c r="A84" s="687" t="s">
        <v>583</v>
      </c>
      <c r="B84" s="688" t="s">
        <v>1554</v>
      </c>
      <c r="C84" s="688" t="s">
        <v>1436</v>
      </c>
      <c r="D84" s="688" t="s">
        <v>1555</v>
      </c>
      <c r="E84" s="688" t="s">
        <v>1556</v>
      </c>
      <c r="F84" s="691">
        <v>1</v>
      </c>
      <c r="G84" s="691">
        <v>3032</v>
      </c>
      <c r="H84" s="691"/>
      <c r="I84" s="691">
        <v>3032</v>
      </c>
      <c r="J84" s="691"/>
      <c r="K84" s="691"/>
      <c r="L84" s="691"/>
      <c r="M84" s="691"/>
      <c r="N84" s="691"/>
      <c r="O84" s="691"/>
      <c r="P84" s="704"/>
      <c r="Q84" s="692"/>
    </row>
    <row r="85" spans="1:17" ht="14.4" customHeight="1" x14ac:dyDescent="0.3">
      <c r="A85" s="687" t="s">
        <v>1557</v>
      </c>
      <c r="B85" s="688" t="s">
        <v>1427</v>
      </c>
      <c r="C85" s="688" t="s">
        <v>1429</v>
      </c>
      <c r="D85" s="688" t="s">
        <v>1433</v>
      </c>
      <c r="E85" s="688" t="s">
        <v>1431</v>
      </c>
      <c r="F85" s="691"/>
      <c r="G85" s="691"/>
      <c r="H85" s="691"/>
      <c r="I85" s="691"/>
      <c r="J85" s="691">
        <v>0</v>
      </c>
      <c r="K85" s="691">
        <v>0</v>
      </c>
      <c r="L85" s="691"/>
      <c r="M85" s="691"/>
      <c r="N85" s="691">
        <v>0</v>
      </c>
      <c r="O85" s="691">
        <v>0</v>
      </c>
      <c r="P85" s="704"/>
      <c r="Q85" s="692"/>
    </row>
    <row r="86" spans="1:17" ht="14.4" customHeight="1" x14ac:dyDescent="0.3">
      <c r="A86" s="687" t="s">
        <v>1557</v>
      </c>
      <c r="B86" s="688" t="s">
        <v>1427</v>
      </c>
      <c r="C86" s="688" t="s">
        <v>1429</v>
      </c>
      <c r="D86" s="688" t="s">
        <v>1433</v>
      </c>
      <c r="E86" s="688" t="s">
        <v>1435</v>
      </c>
      <c r="F86" s="691"/>
      <c r="G86" s="691"/>
      <c r="H86" s="691"/>
      <c r="I86" s="691"/>
      <c r="J86" s="691">
        <v>1</v>
      </c>
      <c r="K86" s="691">
        <v>19654.25</v>
      </c>
      <c r="L86" s="691">
        <v>1</v>
      </c>
      <c r="M86" s="691">
        <v>19654.25</v>
      </c>
      <c r="N86" s="691">
        <v>1</v>
      </c>
      <c r="O86" s="691">
        <v>19771.900000000001</v>
      </c>
      <c r="P86" s="704">
        <v>1.0059859826755029</v>
      </c>
      <c r="Q86" s="692">
        <v>19771.900000000001</v>
      </c>
    </row>
    <row r="87" spans="1:17" ht="14.4" customHeight="1" x14ac:dyDescent="0.3">
      <c r="A87" s="687" t="s">
        <v>1557</v>
      </c>
      <c r="B87" s="688" t="s">
        <v>1427</v>
      </c>
      <c r="C87" s="688" t="s">
        <v>1436</v>
      </c>
      <c r="D87" s="688" t="s">
        <v>1443</v>
      </c>
      <c r="E87" s="688" t="s">
        <v>1444</v>
      </c>
      <c r="F87" s="691"/>
      <c r="G87" s="691"/>
      <c r="H87" s="691"/>
      <c r="I87" s="691"/>
      <c r="J87" s="691">
        <v>1</v>
      </c>
      <c r="K87" s="691">
        <v>177</v>
      </c>
      <c r="L87" s="691">
        <v>1</v>
      </c>
      <c r="M87" s="691">
        <v>177</v>
      </c>
      <c r="N87" s="691"/>
      <c r="O87" s="691"/>
      <c r="P87" s="704"/>
      <c r="Q87" s="692"/>
    </row>
    <row r="88" spans="1:17" ht="14.4" customHeight="1" thickBot="1" x14ac:dyDescent="0.35">
      <c r="A88" s="693" t="s">
        <v>1557</v>
      </c>
      <c r="B88" s="694" t="s">
        <v>1427</v>
      </c>
      <c r="C88" s="694" t="s">
        <v>1436</v>
      </c>
      <c r="D88" s="694" t="s">
        <v>1445</v>
      </c>
      <c r="E88" s="694" t="s">
        <v>1446</v>
      </c>
      <c r="F88" s="697"/>
      <c r="G88" s="697"/>
      <c r="H88" s="697"/>
      <c r="I88" s="697"/>
      <c r="J88" s="697">
        <v>1</v>
      </c>
      <c r="K88" s="697">
        <v>0</v>
      </c>
      <c r="L88" s="697"/>
      <c r="M88" s="697">
        <v>0</v>
      </c>
      <c r="N88" s="697">
        <v>1</v>
      </c>
      <c r="O88" s="697">
        <v>0</v>
      </c>
      <c r="P88" s="705"/>
      <c r="Q88" s="698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9" customWidth="1"/>
    <col min="2" max="2" width="7.88671875" style="339" hidden="1" customWidth="1" outlineLevel="1"/>
    <col min="3" max="3" width="7.88671875" style="339" customWidth="1" collapsed="1"/>
    <col min="4" max="4" width="7.88671875" style="339" customWidth="1"/>
    <col min="5" max="5" width="7.88671875" style="339" hidden="1" customWidth="1" outlineLevel="1"/>
    <col min="6" max="6" width="7.88671875" style="347" customWidth="1" collapsed="1"/>
    <col min="7" max="7" width="7.88671875" style="339" hidden="1" customWidth="1" outlineLevel="1"/>
    <col min="8" max="8" width="7.88671875" style="339" customWidth="1" collapsed="1"/>
    <col min="9" max="9" width="7.88671875" style="339" customWidth="1"/>
    <col min="10" max="10" width="7.88671875" style="339" hidden="1" customWidth="1" outlineLevel="1"/>
    <col min="11" max="11" width="7.88671875" style="348" customWidth="1" collapsed="1"/>
    <col min="12" max="13" width="7.88671875" style="339" hidden="1" customWidth="1"/>
    <col min="14" max="15" width="7.88671875" style="339" customWidth="1"/>
    <col min="16" max="16" width="0" style="339" hidden="1" customWidth="1" outlineLevel="1"/>
    <col min="17" max="17" width="9.5546875" style="339" hidden="1" customWidth="1" outlineLevel="1"/>
    <col min="18" max="18" width="9.33203125" style="339" collapsed="1"/>
    <col min="19" max="16384" width="9.33203125" style="339"/>
  </cols>
  <sheetData>
    <row r="1" spans="1:17" ht="18.600000000000001" customHeight="1" thickBot="1" x14ac:dyDescent="0.4">
      <c r="A1" s="602" t="s">
        <v>128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</row>
    <row r="2" spans="1:17" ht="14.4" customHeight="1" thickBot="1" x14ac:dyDescent="0.35">
      <c r="A2" s="360" t="s">
        <v>344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</row>
    <row r="3" spans="1:17" ht="14.4" customHeight="1" thickBot="1" x14ac:dyDescent="0.35">
      <c r="A3" s="592" t="s">
        <v>63</v>
      </c>
      <c r="B3" s="569" t="s">
        <v>64</v>
      </c>
      <c r="C3" s="570"/>
      <c r="D3" s="570"/>
      <c r="E3" s="571"/>
      <c r="F3" s="572"/>
      <c r="G3" s="569" t="s">
        <v>271</v>
      </c>
      <c r="H3" s="570"/>
      <c r="I3" s="570"/>
      <c r="J3" s="571"/>
      <c r="K3" s="572"/>
      <c r="L3" s="111"/>
      <c r="M3" s="112"/>
      <c r="N3" s="111"/>
      <c r="O3" s="113"/>
    </row>
    <row r="4" spans="1:17" ht="14.4" customHeight="1" thickBot="1" x14ac:dyDescent="0.35">
      <c r="A4" s="593"/>
      <c r="B4" s="114">
        <v>2015</v>
      </c>
      <c r="C4" s="115">
        <v>2016</v>
      </c>
      <c r="D4" s="115">
        <v>2017</v>
      </c>
      <c r="E4" s="469" t="s">
        <v>323</v>
      </c>
      <c r="F4" s="470" t="s">
        <v>2</v>
      </c>
      <c r="G4" s="114">
        <v>2015</v>
      </c>
      <c r="H4" s="115">
        <v>2016</v>
      </c>
      <c r="I4" s="115">
        <v>2017</v>
      </c>
      <c r="J4" s="115" t="s">
        <v>323</v>
      </c>
      <c r="K4" s="116" t="s">
        <v>2</v>
      </c>
      <c r="L4" s="111"/>
      <c r="M4" s="111"/>
      <c r="N4" s="117" t="s">
        <v>65</v>
      </c>
      <c r="O4" s="118" t="s">
        <v>66</v>
      </c>
      <c r="P4" s="117" t="s">
        <v>334</v>
      </c>
      <c r="Q4" s="118" t="s">
        <v>335</v>
      </c>
    </row>
    <row r="5" spans="1:17" ht="14.4" hidden="1" customHeight="1" outlineLevel="1" x14ac:dyDescent="0.3">
      <c r="A5" s="494" t="s">
        <v>160</v>
      </c>
      <c r="B5" s="109">
        <v>125.709</v>
      </c>
      <c r="C5" s="104">
        <v>111.456</v>
      </c>
      <c r="D5" s="104">
        <v>199.08699999999999</v>
      </c>
      <c r="E5" s="475">
        <f>IF(OR(D5=0,B5=0),"",D5/B5)</f>
        <v>1.5837131788495651</v>
      </c>
      <c r="F5" s="119">
        <f>IF(OR(D5=0,C5=0),"",D5/C5)</f>
        <v>1.7862385156474303</v>
      </c>
      <c r="G5" s="120">
        <v>87</v>
      </c>
      <c r="H5" s="104">
        <v>102</v>
      </c>
      <c r="I5" s="104">
        <v>108</v>
      </c>
      <c r="J5" s="475">
        <f>IF(OR(I5=0,G5=0),"",I5/G5)</f>
        <v>1.2413793103448276</v>
      </c>
      <c r="K5" s="121">
        <f>IF(OR(I5=0,H5=0),"",I5/H5)</f>
        <v>1.0588235294117647</v>
      </c>
      <c r="L5" s="111"/>
      <c r="M5" s="111"/>
      <c r="N5" s="7">
        <f>D5-C5</f>
        <v>87.630999999999986</v>
      </c>
      <c r="O5" s="8">
        <f>I5-H5</f>
        <v>6</v>
      </c>
      <c r="P5" s="7">
        <f>D5-B5</f>
        <v>73.377999999999986</v>
      </c>
      <c r="Q5" s="8">
        <f>I5-G5</f>
        <v>21</v>
      </c>
    </row>
    <row r="6" spans="1:17" ht="14.4" hidden="1" customHeight="1" outlineLevel="1" x14ac:dyDescent="0.3">
      <c r="A6" s="495" t="s">
        <v>161</v>
      </c>
      <c r="B6" s="110">
        <v>88.448999999999998</v>
      </c>
      <c r="C6" s="103">
        <v>10.635999999999999</v>
      </c>
      <c r="D6" s="103">
        <v>11.76</v>
      </c>
      <c r="E6" s="475">
        <f t="shared" ref="E6:E12" si="0">IF(OR(D6=0,B6=0),"",D6/B6)</f>
        <v>0.13295797578265442</v>
      </c>
      <c r="F6" s="119">
        <f t="shared" ref="F6:F12" si="1">IF(OR(D6=0,C6=0),"",D6/C6)</f>
        <v>1.1056788266265514</v>
      </c>
      <c r="G6" s="123">
        <v>46</v>
      </c>
      <c r="H6" s="103">
        <v>30</v>
      </c>
      <c r="I6" s="103">
        <v>33</v>
      </c>
      <c r="J6" s="476">
        <f t="shared" ref="J6:J12" si="2">IF(OR(I6=0,G6=0),"",I6/G6)</f>
        <v>0.71739130434782605</v>
      </c>
      <c r="K6" s="124">
        <f t="shared" ref="K6:K12" si="3">IF(OR(I6=0,H6=0),"",I6/H6)</f>
        <v>1.1000000000000001</v>
      </c>
      <c r="L6" s="111"/>
      <c r="M6" s="111"/>
      <c r="N6" s="5">
        <f t="shared" ref="N6:N13" si="4">D6-C6</f>
        <v>1.1240000000000006</v>
      </c>
      <c r="O6" s="6">
        <f t="shared" ref="O6:O13" si="5">I6-H6</f>
        <v>3</v>
      </c>
      <c r="P6" s="5">
        <f t="shared" ref="P6:P13" si="6">D6-B6</f>
        <v>-76.688999999999993</v>
      </c>
      <c r="Q6" s="6">
        <f t="shared" ref="Q6:Q13" si="7">I6-G6</f>
        <v>-13</v>
      </c>
    </row>
    <row r="7" spans="1:17" ht="14.4" hidden="1" customHeight="1" outlineLevel="1" x14ac:dyDescent="0.3">
      <c r="A7" s="495" t="s">
        <v>162</v>
      </c>
      <c r="B7" s="110">
        <v>253.798</v>
      </c>
      <c r="C7" s="103">
        <v>185.07400000000001</v>
      </c>
      <c r="D7" s="103">
        <v>153.08500000000001</v>
      </c>
      <c r="E7" s="475">
        <f t="shared" si="0"/>
        <v>0.60317654197432602</v>
      </c>
      <c r="F7" s="119">
        <f t="shared" si="1"/>
        <v>0.82715562423679179</v>
      </c>
      <c r="G7" s="123">
        <v>150</v>
      </c>
      <c r="H7" s="103">
        <v>180</v>
      </c>
      <c r="I7" s="103">
        <v>152</v>
      </c>
      <c r="J7" s="476">
        <f t="shared" si="2"/>
        <v>1.0133333333333334</v>
      </c>
      <c r="K7" s="124">
        <f t="shared" si="3"/>
        <v>0.84444444444444444</v>
      </c>
      <c r="L7" s="111"/>
      <c r="M7" s="111"/>
      <c r="N7" s="5">
        <f t="shared" si="4"/>
        <v>-31.989000000000004</v>
      </c>
      <c r="O7" s="6">
        <f t="shared" si="5"/>
        <v>-28</v>
      </c>
      <c r="P7" s="5">
        <f t="shared" si="6"/>
        <v>-100.71299999999999</v>
      </c>
      <c r="Q7" s="6">
        <f t="shared" si="7"/>
        <v>2</v>
      </c>
    </row>
    <row r="8" spans="1:17" ht="14.4" hidden="1" customHeight="1" outlineLevel="1" x14ac:dyDescent="0.3">
      <c r="A8" s="495" t="s">
        <v>163</v>
      </c>
      <c r="B8" s="110">
        <v>43.128999999999998</v>
      </c>
      <c r="C8" s="103">
        <v>3.5870000000000002</v>
      </c>
      <c r="D8" s="103">
        <v>10.15</v>
      </c>
      <c r="E8" s="475">
        <f t="shared" si="0"/>
        <v>0.23534049015743469</v>
      </c>
      <c r="F8" s="119">
        <f t="shared" si="1"/>
        <v>2.8296626707555061</v>
      </c>
      <c r="G8" s="123">
        <v>18</v>
      </c>
      <c r="H8" s="103">
        <v>11</v>
      </c>
      <c r="I8" s="103">
        <v>10</v>
      </c>
      <c r="J8" s="476">
        <f t="shared" si="2"/>
        <v>0.55555555555555558</v>
      </c>
      <c r="K8" s="124">
        <f t="shared" si="3"/>
        <v>0.90909090909090906</v>
      </c>
      <c r="L8" s="111"/>
      <c r="M8" s="111"/>
      <c r="N8" s="5">
        <f t="shared" si="4"/>
        <v>6.5630000000000006</v>
      </c>
      <c r="O8" s="6">
        <f t="shared" si="5"/>
        <v>-1</v>
      </c>
      <c r="P8" s="5">
        <f t="shared" si="6"/>
        <v>-32.978999999999999</v>
      </c>
      <c r="Q8" s="6">
        <f t="shared" si="7"/>
        <v>-8</v>
      </c>
    </row>
    <row r="9" spans="1:17" ht="14.4" hidden="1" customHeight="1" outlineLevel="1" x14ac:dyDescent="0.3">
      <c r="A9" s="495" t="s">
        <v>164</v>
      </c>
      <c r="B9" s="110">
        <v>0</v>
      </c>
      <c r="C9" s="103">
        <v>0</v>
      </c>
      <c r="D9" s="103">
        <v>0</v>
      </c>
      <c r="E9" s="475" t="str">
        <f t="shared" si="0"/>
        <v/>
      </c>
      <c r="F9" s="119" t="str">
        <f t="shared" si="1"/>
        <v/>
      </c>
      <c r="G9" s="123">
        <v>0</v>
      </c>
      <c r="H9" s="103">
        <v>0</v>
      </c>
      <c r="I9" s="103">
        <v>0</v>
      </c>
      <c r="J9" s="476" t="str">
        <f t="shared" si="2"/>
        <v/>
      </c>
      <c r="K9" s="124" t="str">
        <f t="shared" si="3"/>
        <v/>
      </c>
      <c r="L9" s="111"/>
      <c r="M9" s="11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95" t="s">
        <v>165</v>
      </c>
      <c r="B10" s="110">
        <v>28.657</v>
      </c>
      <c r="C10" s="103">
        <v>39.284999999999997</v>
      </c>
      <c r="D10" s="103">
        <v>52.789000000000001</v>
      </c>
      <c r="E10" s="475">
        <f t="shared" si="0"/>
        <v>1.8420979167393656</v>
      </c>
      <c r="F10" s="119">
        <f t="shared" si="1"/>
        <v>1.3437444317169405</v>
      </c>
      <c r="G10" s="123">
        <v>53</v>
      </c>
      <c r="H10" s="103">
        <v>62</v>
      </c>
      <c r="I10" s="103">
        <v>49</v>
      </c>
      <c r="J10" s="476">
        <f t="shared" si="2"/>
        <v>0.92452830188679247</v>
      </c>
      <c r="K10" s="124">
        <f t="shared" si="3"/>
        <v>0.79032258064516125</v>
      </c>
      <c r="L10" s="111"/>
      <c r="M10" s="111"/>
      <c r="N10" s="5">
        <f t="shared" si="4"/>
        <v>13.504000000000005</v>
      </c>
      <c r="O10" s="6">
        <f t="shared" si="5"/>
        <v>-13</v>
      </c>
      <c r="P10" s="5">
        <f t="shared" si="6"/>
        <v>24.132000000000001</v>
      </c>
      <c r="Q10" s="6">
        <f t="shared" si="7"/>
        <v>-4</v>
      </c>
    </row>
    <row r="11" spans="1:17" ht="14.4" hidden="1" customHeight="1" outlineLevel="1" x14ac:dyDescent="0.3">
      <c r="A11" s="495" t="s">
        <v>166</v>
      </c>
      <c r="B11" s="110">
        <v>38.441000000000003</v>
      </c>
      <c r="C11" s="103">
        <v>2.726</v>
      </c>
      <c r="D11" s="103">
        <v>73.063000000000002</v>
      </c>
      <c r="E11" s="475">
        <f t="shared" si="0"/>
        <v>1.9006529486745922</v>
      </c>
      <c r="F11" s="119">
        <f t="shared" si="1"/>
        <v>26.802274394717536</v>
      </c>
      <c r="G11" s="123">
        <v>9</v>
      </c>
      <c r="H11" s="103">
        <v>8</v>
      </c>
      <c r="I11" s="103">
        <v>9</v>
      </c>
      <c r="J11" s="476">
        <f t="shared" si="2"/>
        <v>1</v>
      </c>
      <c r="K11" s="124">
        <f t="shared" si="3"/>
        <v>1.125</v>
      </c>
      <c r="L11" s="111"/>
      <c r="M11" s="111"/>
      <c r="N11" s="5">
        <f t="shared" si="4"/>
        <v>70.337000000000003</v>
      </c>
      <c r="O11" s="6">
        <f t="shared" si="5"/>
        <v>1</v>
      </c>
      <c r="P11" s="5">
        <f t="shared" si="6"/>
        <v>34.622</v>
      </c>
      <c r="Q11" s="6">
        <f t="shared" si="7"/>
        <v>0</v>
      </c>
    </row>
    <row r="12" spans="1:17" ht="14.4" hidden="1" customHeight="1" outlineLevel="1" thickBot="1" x14ac:dyDescent="0.35">
      <c r="A12" s="496" t="s">
        <v>200</v>
      </c>
      <c r="B12" s="228">
        <v>0.66700000000000004</v>
      </c>
      <c r="C12" s="229">
        <v>0</v>
      </c>
      <c r="D12" s="229">
        <v>0</v>
      </c>
      <c r="E12" s="475" t="str">
        <f t="shared" si="0"/>
        <v/>
      </c>
      <c r="F12" s="119" t="str">
        <f t="shared" si="1"/>
        <v/>
      </c>
      <c r="G12" s="231">
        <v>2</v>
      </c>
      <c r="H12" s="229">
        <v>0</v>
      </c>
      <c r="I12" s="229">
        <v>0</v>
      </c>
      <c r="J12" s="477" t="str">
        <f t="shared" si="2"/>
        <v/>
      </c>
      <c r="K12" s="232" t="str">
        <f t="shared" si="3"/>
        <v/>
      </c>
      <c r="L12" s="111"/>
      <c r="M12" s="111"/>
      <c r="N12" s="233">
        <f t="shared" si="4"/>
        <v>0</v>
      </c>
      <c r="O12" s="234">
        <f t="shared" si="5"/>
        <v>0</v>
      </c>
      <c r="P12" s="233">
        <f t="shared" si="6"/>
        <v>-0.66700000000000004</v>
      </c>
      <c r="Q12" s="234">
        <f t="shared" si="7"/>
        <v>-2</v>
      </c>
    </row>
    <row r="13" spans="1:17" ht="14.4" customHeight="1" collapsed="1" thickBot="1" x14ac:dyDescent="0.35">
      <c r="A13" s="107" t="s">
        <v>3</v>
      </c>
      <c r="B13" s="105">
        <f>SUM(B5:B12)</f>
        <v>578.85000000000014</v>
      </c>
      <c r="C13" s="106">
        <f>SUM(C5:C12)</f>
        <v>352.76400000000001</v>
      </c>
      <c r="D13" s="106">
        <f>SUM(D5:D12)</f>
        <v>499.93399999999997</v>
      </c>
      <c r="E13" s="471">
        <f>IF(OR(D13=0,B13=0),0,D13/B13)</f>
        <v>0.86366761682646598</v>
      </c>
      <c r="F13" s="125">
        <f>IF(OR(D13=0,C13=0),0,D13/C13)</f>
        <v>1.4171910965971584</v>
      </c>
      <c r="G13" s="126">
        <f>SUM(G5:G12)</f>
        <v>365</v>
      </c>
      <c r="H13" s="106">
        <f>SUM(H5:H12)</f>
        <v>393</v>
      </c>
      <c r="I13" s="106">
        <f>SUM(I5:I12)</f>
        <v>361</v>
      </c>
      <c r="J13" s="471">
        <f>IF(OR(I13=0,G13=0),0,I13/G13)</f>
        <v>0.989041095890411</v>
      </c>
      <c r="K13" s="127">
        <f>IF(OR(I13=0,H13=0),0,I13/H13)</f>
        <v>0.9185750636132316</v>
      </c>
      <c r="L13" s="111"/>
      <c r="M13" s="111"/>
      <c r="N13" s="117">
        <f t="shared" si="4"/>
        <v>147.16999999999996</v>
      </c>
      <c r="O13" s="128">
        <f t="shared" si="5"/>
        <v>-32</v>
      </c>
      <c r="P13" s="117">
        <f t="shared" si="6"/>
        <v>-78.916000000000167</v>
      </c>
      <c r="Q13" s="128">
        <f t="shared" si="7"/>
        <v>-4</v>
      </c>
    </row>
    <row r="14" spans="1:17" ht="14.4" customHeight="1" x14ac:dyDescent="0.3">
      <c r="A14" s="129"/>
      <c r="B14" s="594"/>
      <c r="C14" s="594"/>
      <c r="D14" s="594"/>
      <c r="E14" s="595"/>
      <c r="F14" s="594"/>
      <c r="G14" s="594"/>
      <c r="H14" s="594"/>
      <c r="I14" s="594"/>
      <c r="J14" s="595"/>
      <c r="K14" s="594"/>
      <c r="L14" s="111"/>
      <c r="M14" s="111"/>
      <c r="N14" s="111"/>
      <c r="O14" s="113"/>
      <c r="P14" s="111"/>
      <c r="Q14" s="113"/>
    </row>
    <row r="15" spans="1:17" ht="14.4" customHeight="1" thickBot="1" x14ac:dyDescent="0.35">
      <c r="A15" s="129"/>
      <c r="B15" s="340"/>
      <c r="C15" s="341"/>
      <c r="D15" s="341"/>
      <c r="E15" s="341"/>
      <c r="F15" s="341"/>
      <c r="G15" s="340"/>
      <c r="H15" s="341"/>
      <c r="I15" s="341"/>
      <c r="J15" s="341"/>
      <c r="K15" s="341"/>
      <c r="L15" s="111"/>
      <c r="M15" s="111"/>
      <c r="N15" s="111"/>
      <c r="O15" s="113"/>
      <c r="P15" s="111"/>
      <c r="Q15" s="113"/>
    </row>
    <row r="16" spans="1:17" ht="14.4" customHeight="1" thickBot="1" x14ac:dyDescent="0.35">
      <c r="A16" s="596" t="s">
        <v>324</v>
      </c>
      <c r="B16" s="598" t="s">
        <v>64</v>
      </c>
      <c r="C16" s="599"/>
      <c r="D16" s="599"/>
      <c r="E16" s="600"/>
      <c r="F16" s="601"/>
      <c r="G16" s="598" t="s">
        <v>271</v>
      </c>
      <c r="H16" s="599"/>
      <c r="I16" s="599"/>
      <c r="J16" s="600"/>
      <c r="K16" s="601"/>
      <c r="L16" s="617" t="s">
        <v>171</v>
      </c>
      <c r="M16" s="618"/>
      <c r="N16" s="145"/>
      <c r="O16" s="145"/>
      <c r="P16" s="145"/>
      <c r="Q16" s="145"/>
    </row>
    <row r="17" spans="1:17" ht="14.4" customHeight="1" thickBot="1" x14ac:dyDescent="0.35">
      <c r="A17" s="597"/>
      <c r="B17" s="130">
        <v>2015</v>
      </c>
      <c r="C17" s="131">
        <v>2016</v>
      </c>
      <c r="D17" s="131">
        <v>2017</v>
      </c>
      <c r="E17" s="131" t="s">
        <v>323</v>
      </c>
      <c r="F17" s="132" t="s">
        <v>2</v>
      </c>
      <c r="G17" s="130">
        <v>2015</v>
      </c>
      <c r="H17" s="131">
        <v>2016</v>
      </c>
      <c r="I17" s="131">
        <v>2017</v>
      </c>
      <c r="J17" s="131" t="s">
        <v>323</v>
      </c>
      <c r="K17" s="132" t="s">
        <v>2</v>
      </c>
      <c r="L17" s="588" t="s">
        <v>172</v>
      </c>
      <c r="M17" s="589"/>
      <c r="N17" s="133" t="s">
        <v>65</v>
      </c>
      <c r="O17" s="134" t="s">
        <v>66</v>
      </c>
      <c r="P17" s="133" t="s">
        <v>334</v>
      </c>
      <c r="Q17" s="134" t="s">
        <v>335</v>
      </c>
    </row>
    <row r="18" spans="1:17" ht="14.4" hidden="1" customHeight="1" outlineLevel="1" x14ac:dyDescent="0.3">
      <c r="A18" s="494" t="s">
        <v>160</v>
      </c>
      <c r="B18" s="109">
        <v>0.17699999999999999</v>
      </c>
      <c r="C18" s="104">
        <v>0</v>
      </c>
      <c r="D18" s="104">
        <v>0</v>
      </c>
      <c r="E18" s="475" t="str">
        <f>IF(OR(D18=0,B18=0),"",D18/B18)</f>
        <v/>
      </c>
      <c r="F18" s="119" t="str">
        <f>IF(OR(D18=0,C18=0),"",D18/C18)</f>
        <v/>
      </c>
      <c r="G18" s="109">
        <v>1</v>
      </c>
      <c r="H18" s="104">
        <v>0</v>
      </c>
      <c r="I18" s="104">
        <v>0</v>
      </c>
      <c r="J18" s="475" t="str">
        <f>IF(OR(I18=0,G18=0),"",I18/G18)</f>
        <v/>
      </c>
      <c r="K18" s="121" t="str">
        <f>IF(OR(I18=0,H18=0),"",I18/H18)</f>
        <v/>
      </c>
      <c r="L18" s="590">
        <v>0.91871999999999998</v>
      </c>
      <c r="M18" s="591"/>
      <c r="N18" s="135">
        <f t="shared" ref="N18:N26" si="8">D18-C18</f>
        <v>0</v>
      </c>
      <c r="O18" s="136">
        <f t="shared" ref="O18:O26" si="9">I18-H18</f>
        <v>0</v>
      </c>
      <c r="P18" s="135">
        <f t="shared" ref="P18:P26" si="10">D18-B18</f>
        <v>-0.17699999999999999</v>
      </c>
      <c r="Q18" s="136">
        <f t="shared" ref="Q18:Q26" si="11">I18-G18</f>
        <v>-1</v>
      </c>
    </row>
    <row r="19" spans="1:17" ht="14.4" hidden="1" customHeight="1" outlineLevel="1" x14ac:dyDescent="0.3">
      <c r="A19" s="495" t="s">
        <v>161</v>
      </c>
      <c r="B19" s="110">
        <v>0.28599999999999998</v>
      </c>
      <c r="C19" s="103">
        <v>0</v>
      </c>
      <c r="D19" s="103">
        <v>0</v>
      </c>
      <c r="E19" s="476" t="str">
        <f t="shared" ref="E19:E25" si="12">IF(OR(D19=0,B19=0),"",D19/B19)</f>
        <v/>
      </c>
      <c r="F19" s="122" t="str">
        <f t="shared" ref="F19:F25" si="13">IF(OR(D19=0,C19=0),"",D19/C19)</f>
        <v/>
      </c>
      <c r="G19" s="110">
        <v>1</v>
      </c>
      <c r="H19" s="103">
        <v>0</v>
      </c>
      <c r="I19" s="103">
        <v>0</v>
      </c>
      <c r="J19" s="476" t="str">
        <f t="shared" ref="J19:J25" si="14">IF(OR(I19=0,G19=0),"",I19/G19)</f>
        <v/>
      </c>
      <c r="K19" s="124" t="str">
        <f t="shared" ref="K19:K25" si="15">IF(OR(I19=0,H19=0),"",I19/H19)</f>
        <v/>
      </c>
      <c r="L19" s="590">
        <v>0.99456</v>
      </c>
      <c r="M19" s="591"/>
      <c r="N19" s="137">
        <f t="shared" si="8"/>
        <v>0</v>
      </c>
      <c r="O19" s="138">
        <f t="shared" si="9"/>
        <v>0</v>
      </c>
      <c r="P19" s="137">
        <f t="shared" si="10"/>
        <v>-0.28599999999999998</v>
      </c>
      <c r="Q19" s="138">
        <f t="shared" si="11"/>
        <v>-1</v>
      </c>
    </row>
    <row r="20" spans="1:17" ht="14.4" hidden="1" customHeight="1" outlineLevel="1" x14ac:dyDescent="0.3">
      <c r="A20" s="495" t="s">
        <v>162</v>
      </c>
      <c r="B20" s="110">
        <v>1.2050000000000001</v>
      </c>
      <c r="C20" s="103">
        <v>2.121</v>
      </c>
      <c r="D20" s="103">
        <v>0.83</v>
      </c>
      <c r="E20" s="476">
        <f t="shared" si="12"/>
        <v>0.6887966804979252</v>
      </c>
      <c r="F20" s="122">
        <f t="shared" si="13"/>
        <v>0.39132484677039131</v>
      </c>
      <c r="G20" s="110">
        <v>5</v>
      </c>
      <c r="H20" s="103">
        <v>4</v>
      </c>
      <c r="I20" s="103">
        <v>4</v>
      </c>
      <c r="J20" s="476">
        <f t="shared" si="14"/>
        <v>0.8</v>
      </c>
      <c r="K20" s="124">
        <f t="shared" si="15"/>
        <v>1</v>
      </c>
      <c r="L20" s="590">
        <v>0.96671999999999991</v>
      </c>
      <c r="M20" s="591"/>
      <c r="N20" s="137">
        <f t="shared" si="8"/>
        <v>-1.2909999999999999</v>
      </c>
      <c r="O20" s="138">
        <f t="shared" si="9"/>
        <v>0</v>
      </c>
      <c r="P20" s="137">
        <f t="shared" si="10"/>
        <v>-0.37500000000000011</v>
      </c>
      <c r="Q20" s="138">
        <f t="shared" si="11"/>
        <v>-1</v>
      </c>
    </row>
    <row r="21" spans="1:17" ht="14.4" hidden="1" customHeight="1" outlineLevel="1" x14ac:dyDescent="0.3">
      <c r="A21" s="495" t="s">
        <v>163</v>
      </c>
      <c r="B21" s="110">
        <v>0.17699999999999999</v>
      </c>
      <c r="C21" s="103">
        <v>0</v>
      </c>
      <c r="D21" s="103">
        <v>0</v>
      </c>
      <c r="E21" s="476" t="str">
        <f t="shared" si="12"/>
        <v/>
      </c>
      <c r="F21" s="122" t="str">
        <f t="shared" si="13"/>
        <v/>
      </c>
      <c r="G21" s="110">
        <v>1</v>
      </c>
      <c r="H21" s="103">
        <v>0</v>
      </c>
      <c r="I21" s="103">
        <v>0</v>
      </c>
      <c r="J21" s="476" t="str">
        <f t="shared" si="14"/>
        <v/>
      </c>
      <c r="K21" s="124" t="str">
        <f t="shared" si="15"/>
        <v/>
      </c>
      <c r="L21" s="590">
        <v>1.11744</v>
      </c>
      <c r="M21" s="591"/>
      <c r="N21" s="137">
        <f t="shared" si="8"/>
        <v>0</v>
      </c>
      <c r="O21" s="138">
        <f t="shared" si="9"/>
        <v>0</v>
      </c>
      <c r="P21" s="137">
        <f t="shared" si="10"/>
        <v>-0.17699999999999999</v>
      </c>
      <c r="Q21" s="138">
        <f t="shared" si="11"/>
        <v>-1</v>
      </c>
    </row>
    <row r="22" spans="1:17" ht="14.4" hidden="1" customHeight="1" outlineLevel="1" x14ac:dyDescent="0.3">
      <c r="A22" s="495" t="s">
        <v>164</v>
      </c>
      <c r="B22" s="110">
        <v>0</v>
      </c>
      <c r="C22" s="103">
        <v>0</v>
      </c>
      <c r="D22" s="103">
        <v>0</v>
      </c>
      <c r="E22" s="476" t="str">
        <f t="shared" si="12"/>
        <v/>
      </c>
      <c r="F22" s="122" t="str">
        <f t="shared" si="13"/>
        <v/>
      </c>
      <c r="G22" s="110">
        <v>0</v>
      </c>
      <c r="H22" s="103">
        <v>0</v>
      </c>
      <c r="I22" s="103">
        <v>0</v>
      </c>
      <c r="J22" s="476" t="str">
        <f t="shared" si="14"/>
        <v/>
      </c>
      <c r="K22" s="124" t="str">
        <f t="shared" si="15"/>
        <v/>
      </c>
      <c r="L22" s="590">
        <v>0.96</v>
      </c>
      <c r="M22" s="591"/>
      <c r="N22" s="137">
        <f t="shared" si="8"/>
        <v>0</v>
      </c>
      <c r="O22" s="138">
        <f t="shared" si="9"/>
        <v>0</v>
      </c>
      <c r="P22" s="137">
        <f t="shared" si="10"/>
        <v>0</v>
      </c>
      <c r="Q22" s="138">
        <f t="shared" si="11"/>
        <v>0</v>
      </c>
    </row>
    <row r="23" spans="1:17" ht="14.4" hidden="1" customHeight="1" outlineLevel="1" x14ac:dyDescent="0.3">
      <c r="A23" s="495" t="s">
        <v>165</v>
      </c>
      <c r="B23" s="110">
        <v>0</v>
      </c>
      <c r="C23" s="103">
        <v>0.25700000000000001</v>
      </c>
      <c r="D23" s="103">
        <v>0.434</v>
      </c>
      <c r="E23" s="476" t="str">
        <f t="shared" si="12"/>
        <v/>
      </c>
      <c r="F23" s="122">
        <f t="shared" si="13"/>
        <v>1.688715953307393</v>
      </c>
      <c r="G23" s="110">
        <v>0</v>
      </c>
      <c r="H23" s="103">
        <v>1</v>
      </c>
      <c r="I23" s="103">
        <v>2</v>
      </c>
      <c r="J23" s="476" t="str">
        <f t="shared" si="14"/>
        <v/>
      </c>
      <c r="K23" s="124">
        <f t="shared" si="15"/>
        <v>2</v>
      </c>
      <c r="L23" s="590">
        <v>0.98495999999999995</v>
      </c>
      <c r="M23" s="591"/>
      <c r="N23" s="137">
        <f t="shared" si="8"/>
        <v>0.17699999999999999</v>
      </c>
      <c r="O23" s="138">
        <f t="shared" si="9"/>
        <v>1</v>
      </c>
      <c r="P23" s="137">
        <f t="shared" si="10"/>
        <v>0.434</v>
      </c>
      <c r="Q23" s="138">
        <f t="shared" si="11"/>
        <v>2</v>
      </c>
    </row>
    <row r="24" spans="1:17" ht="14.4" hidden="1" customHeight="1" outlineLevel="1" x14ac:dyDescent="0.3">
      <c r="A24" s="495" t="s">
        <v>166</v>
      </c>
      <c r="B24" s="110">
        <v>0</v>
      </c>
      <c r="C24" s="103">
        <v>0</v>
      </c>
      <c r="D24" s="103">
        <v>0</v>
      </c>
      <c r="E24" s="476" t="str">
        <f t="shared" si="12"/>
        <v/>
      </c>
      <c r="F24" s="122" t="str">
        <f t="shared" si="13"/>
        <v/>
      </c>
      <c r="G24" s="110">
        <v>0</v>
      </c>
      <c r="H24" s="103">
        <v>0</v>
      </c>
      <c r="I24" s="103">
        <v>0</v>
      </c>
      <c r="J24" s="476" t="str">
        <f t="shared" si="14"/>
        <v/>
      </c>
      <c r="K24" s="124" t="str">
        <f t="shared" si="15"/>
        <v/>
      </c>
      <c r="L24" s="590">
        <v>1.0147199999999998</v>
      </c>
      <c r="M24" s="591"/>
      <c r="N24" s="137">
        <f t="shared" si="8"/>
        <v>0</v>
      </c>
      <c r="O24" s="138">
        <f t="shared" si="9"/>
        <v>0</v>
      </c>
      <c r="P24" s="137">
        <f t="shared" si="10"/>
        <v>0</v>
      </c>
      <c r="Q24" s="138">
        <f t="shared" si="11"/>
        <v>0</v>
      </c>
    </row>
    <row r="25" spans="1:17" ht="14.4" hidden="1" customHeight="1" outlineLevel="1" thickBot="1" x14ac:dyDescent="0.35">
      <c r="A25" s="496" t="s">
        <v>200</v>
      </c>
      <c r="B25" s="228">
        <v>0</v>
      </c>
      <c r="C25" s="229">
        <v>0</v>
      </c>
      <c r="D25" s="229">
        <v>0</v>
      </c>
      <c r="E25" s="477" t="str">
        <f t="shared" si="12"/>
        <v/>
      </c>
      <c r="F25" s="230" t="str">
        <f t="shared" si="13"/>
        <v/>
      </c>
      <c r="G25" s="228">
        <v>0</v>
      </c>
      <c r="H25" s="229">
        <v>0</v>
      </c>
      <c r="I25" s="229">
        <v>0</v>
      </c>
      <c r="J25" s="477" t="str">
        <f t="shared" si="14"/>
        <v/>
      </c>
      <c r="K25" s="232" t="str">
        <f t="shared" si="15"/>
        <v/>
      </c>
      <c r="L25" s="342"/>
      <c r="M25" s="343"/>
      <c r="N25" s="235">
        <f t="shared" si="8"/>
        <v>0</v>
      </c>
      <c r="O25" s="236">
        <f t="shared" si="9"/>
        <v>0</v>
      </c>
      <c r="P25" s="235">
        <f t="shared" si="10"/>
        <v>0</v>
      </c>
      <c r="Q25" s="236">
        <f t="shared" si="11"/>
        <v>0</v>
      </c>
    </row>
    <row r="26" spans="1:17" ht="14.4" customHeight="1" collapsed="1" thickBot="1" x14ac:dyDescent="0.35">
      <c r="A26" s="499" t="s">
        <v>3</v>
      </c>
      <c r="B26" s="139">
        <f>SUM(B18:B25)</f>
        <v>1.8450000000000002</v>
      </c>
      <c r="C26" s="140">
        <f>SUM(C18:C25)</f>
        <v>2.3780000000000001</v>
      </c>
      <c r="D26" s="140">
        <f>SUM(D18:D25)</f>
        <v>1.264</v>
      </c>
      <c r="E26" s="472">
        <f>IF(OR(D26=0,B26=0),0,D26/B26)</f>
        <v>0.68509485094850942</v>
      </c>
      <c r="F26" s="141">
        <f>IF(OR(D26=0,C26=0),0,D26/C26)</f>
        <v>0.53153910849453323</v>
      </c>
      <c r="G26" s="139">
        <f>SUM(G18:G25)</f>
        <v>8</v>
      </c>
      <c r="H26" s="140">
        <f>SUM(H18:H25)</f>
        <v>5</v>
      </c>
      <c r="I26" s="140">
        <f>SUM(I18:I25)</f>
        <v>6</v>
      </c>
      <c r="J26" s="472">
        <f>IF(OR(I26=0,G26=0),0,I26/G26)</f>
        <v>0.75</v>
      </c>
      <c r="K26" s="142">
        <f>IF(OR(I26=0,H26=0),0,I26/H26)</f>
        <v>1.2</v>
      </c>
      <c r="L26" s="111"/>
      <c r="M26" s="111"/>
      <c r="N26" s="133">
        <f t="shared" si="8"/>
        <v>-1.1140000000000001</v>
      </c>
      <c r="O26" s="143">
        <f t="shared" si="9"/>
        <v>1</v>
      </c>
      <c r="P26" s="133">
        <f t="shared" si="10"/>
        <v>-0.58100000000000018</v>
      </c>
      <c r="Q26" s="143">
        <f t="shared" si="11"/>
        <v>-2</v>
      </c>
    </row>
    <row r="27" spans="1:17" ht="14.4" customHeight="1" x14ac:dyDescent="0.3">
      <c r="A27" s="144"/>
      <c r="B27" s="594" t="s">
        <v>198</v>
      </c>
      <c r="C27" s="603"/>
      <c r="D27" s="603"/>
      <c r="E27" s="604"/>
      <c r="F27" s="603"/>
      <c r="G27" s="594" t="s">
        <v>199</v>
      </c>
      <c r="H27" s="603"/>
      <c r="I27" s="603"/>
      <c r="J27" s="604"/>
      <c r="K27" s="603"/>
      <c r="L27" s="145"/>
      <c r="M27" s="145"/>
      <c r="N27" s="145"/>
      <c r="O27" s="146"/>
      <c r="P27" s="145"/>
      <c r="Q27" s="146"/>
    </row>
    <row r="28" spans="1:17" ht="14.4" customHeight="1" thickBot="1" x14ac:dyDescent="0.35">
      <c r="A28" s="144"/>
      <c r="B28" s="340"/>
      <c r="C28" s="341"/>
      <c r="D28" s="341"/>
      <c r="E28" s="341"/>
      <c r="F28" s="341"/>
      <c r="G28" s="340"/>
      <c r="H28" s="341"/>
      <c r="I28" s="341"/>
      <c r="J28" s="341"/>
      <c r="K28" s="341"/>
      <c r="L28" s="145"/>
      <c r="M28" s="145"/>
      <c r="N28" s="145"/>
      <c r="O28" s="146"/>
      <c r="P28" s="145"/>
      <c r="Q28" s="146"/>
    </row>
    <row r="29" spans="1:17" ht="14.4" customHeight="1" thickBot="1" x14ac:dyDescent="0.35">
      <c r="A29" s="611" t="s">
        <v>325</v>
      </c>
      <c r="B29" s="613" t="s">
        <v>64</v>
      </c>
      <c r="C29" s="614"/>
      <c r="D29" s="614"/>
      <c r="E29" s="615"/>
      <c r="F29" s="616"/>
      <c r="G29" s="614" t="s">
        <v>271</v>
      </c>
      <c r="H29" s="614"/>
      <c r="I29" s="614"/>
      <c r="J29" s="615"/>
      <c r="K29" s="616"/>
      <c r="L29" s="145"/>
      <c r="M29" s="145"/>
      <c r="N29" s="145"/>
      <c r="O29" s="146"/>
      <c r="P29" s="145"/>
      <c r="Q29" s="146"/>
    </row>
    <row r="30" spans="1:17" ht="14.4" customHeight="1" thickBot="1" x14ac:dyDescent="0.35">
      <c r="A30" s="612"/>
      <c r="B30" s="147">
        <v>2015</v>
      </c>
      <c r="C30" s="148">
        <v>2016</v>
      </c>
      <c r="D30" s="148">
        <v>2017</v>
      </c>
      <c r="E30" s="148" t="s">
        <v>323</v>
      </c>
      <c r="F30" s="149" t="s">
        <v>2</v>
      </c>
      <c r="G30" s="148">
        <v>2015</v>
      </c>
      <c r="H30" s="148">
        <v>2016</v>
      </c>
      <c r="I30" s="148">
        <v>2017</v>
      </c>
      <c r="J30" s="148" t="s">
        <v>323</v>
      </c>
      <c r="K30" s="149" t="s">
        <v>2</v>
      </c>
      <c r="L30" s="145"/>
      <c r="M30" s="145"/>
      <c r="N30" s="150" t="s">
        <v>65</v>
      </c>
      <c r="O30" s="151" t="s">
        <v>66</v>
      </c>
      <c r="P30" s="150" t="s">
        <v>334</v>
      </c>
      <c r="Q30" s="151" t="s">
        <v>335</v>
      </c>
    </row>
    <row r="31" spans="1:17" ht="14.4" hidden="1" customHeight="1" outlineLevel="1" x14ac:dyDescent="0.3">
      <c r="A31" s="494" t="s">
        <v>160</v>
      </c>
      <c r="B31" s="109">
        <v>0</v>
      </c>
      <c r="C31" s="104">
        <v>0</v>
      </c>
      <c r="D31" s="104">
        <v>0</v>
      </c>
      <c r="E31" s="475" t="str">
        <f>IF(OR(D31=0,B31=0),"",D31/B31)</f>
        <v/>
      </c>
      <c r="F31" s="119" t="str">
        <f>IF(OR(D31=0,C31=0),"",D31/C31)</f>
        <v/>
      </c>
      <c r="G31" s="120">
        <v>0</v>
      </c>
      <c r="H31" s="104">
        <v>0</v>
      </c>
      <c r="I31" s="104">
        <v>0</v>
      </c>
      <c r="J31" s="475" t="str">
        <f>IF(OR(I31=0,G31=0),"",I31/G31)</f>
        <v/>
      </c>
      <c r="K31" s="121" t="str">
        <f>IF(OR(I31=0,H31=0),"",I31/H31)</f>
        <v/>
      </c>
      <c r="L31" s="145"/>
      <c r="M31" s="145"/>
      <c r="N31" s="135">
        <f t="shared" ref="N31:N39" si="16">D31-C31</f>
        <v>0</v>
      </c>
      <c r="O31" s="136">
        <f t="shared" ref="O31:O39" si="17">I31-H31</f>
        <v>0</v>
      </c>
      <c r="P31" s="135">
        <f t="shared" ref="P31:P39" si="18">D31-B31</f>
        <v>0</v>
      </c>
      <c r="Q31" s="136">
        <f t="shared" ref="Q31:Q39" si="19">I31-G31</f>
        <v>0</v>
      </c>
    </row>
    <row r="32" spans="1:17" ht="14.4" hidden="1" customHeight="1" outlineLevel="1" x14ac:dyDescent="0.3">
      <c r="A32" s="495" t="s">
        <v>161</v>
      </c>
      <c r="B32" s="110">
        <v>0</v>
      </c>
      <c r="C32" s="103">
        <v>0</v>
      </c>
      <c r="D32" s="103">
        <v>0</v>
      </c>
      <c r="E32" s="476" t="str">
        <f t="shared" ref="E32:E38" si="20">IF(OR(D32=0,B32=0),"",D32/B32)</f>
        <v/>
      </c>
      <c r="F32" s="122" t="str">
        <f t="shared" ref="F32:F38" si="21">IF(OR(D32=0,C32=0),"",D32/C32)</f>
        <v/>
      </c>
      <c r="G32" s="123">
        <v>0</v>
      </c>
      <c r="H32" s="103">
        <v>0</v>
      </c>
      <c r="I32" s="103">
        <v>0</v>
      </c>
      <c r="J32" s="476" t="str">
        <f t="shared" ref="J32:J38" si="22">IF(OR(I32=0,G32=0),"",I32/G32)</f>
        <v/>
      </c>
      <c r="K32" s="124" t="str">
        <f t="shared" ref="K32:K38" si="23">IF(OR(I32=0,H32=0),"",I32/H32)</f>
        <v/>
      </c>
      <c r="L32" s="145"/>
      <c r="M32" s="145"/>
      <c r="N32" s="137">
        <f t="shared" si="16"/>
        <v>0</v>
      </c>
      <c r="O32" s="138">
        <f t="shared" si="17"/>
        <v>0</v>
      </c>
      <c r="P32" s="137">
        <f t="shared" si="18"/>
        <v>0</v>
      </c>
      <c r="Q32" s="138">
        <f t="shared" si="19"/>
        <v>0</v>
      </c>
    </row>
    <row r="33" spans="1:17" ht="14.4" hidden="1" customHeight="1" outlineLevel="1" x14ac:dyDescent="0.3">
      <c r="A33" s="495" t="s">
        <v>162</v>
      </c>
      <c r="B33" s="110">
        <v>0</v>
      </c>
      <c r="C33" s="103">
        <v>0</v>
      </c>
      <c r="D33" s="103">
        <v>0</v>
      </c>
      <c r="E33" s="476" t="str">
        <f t="shared" si="20"/>
        <v/>
      </c>
      <c r="F33" s="122" t="str">
        <f t="shared" si="21"/>
        <v/>
      </c>
      <c r="G33" s="123">
        <v>0</v>
      </c>
      <c r="H33" s="103">
        <v>0</v>
      </c>
      <c r="I33" s="103">
        <v>0</v>
      </c>
      <c r="J33" s="476" t="str">
        <f t="shared" si="22"/>
        <v/>
      </c>
      <c r="K33" s="124" t="str">
        <f t="shared" si="23"/>
        <v/>
      </c>
      <c r="L33" s="145"/>
      <c r="M33" s="145"/>
      <c r="N33" s="137">
        <f t="shared" si="16"/>
        <v>0</v>
      </c>
      <c r="O33" s="138">
        <f t="shared" si="17"/>
        <v>0</v>
      </c>
      <c r="P33" s="137">
        <f t="shared" si="18"/>
        <v>0</v>
      </c>
      <c r="Q33" s="138">
        <f t="shared" si="19"/>
        <v>0</v>
      </c>
    </row>
    <row r="34" spans="1:17" ht="14.4" hidden="1" customHeight="1" outlineLevel="1" x14ac:dyDescent="0.3">
      <c r="A34" s="495" t="s">
        <v>163</v>
      </c>
      <c r="B34" s="110">
        <v>0</v>
      </c>
      <c r="C34" s="103">
        <v>0</v>
      </c>
      <c r="D34" s="103">
        <v>0</v>
      </c>
      <c r="E34" s="476" t="str">
        <f t="shared" si="20"/>
        <v/>
      </c>
      <c r="F34" s="122" t="str">
        <f t="shared" si="21"/>
        <v/>
      </c>
      <c r="G34" s="123">
        <v>0</v>
      </c>
      <c r="H34" s="103">
        <v>0</v>
      </c>
      <c r="I34" s="103">
        <v>0</v>
      </c>
      <c r="J34" s="476" t="str">
        <f t="shared" si="22"/>
        <v/>
      </c>
      <c r="K34" s="124" t="str">
        <f t="shared" si="23"/>
        <v/>
      </c>
      <c r="L34" s="145"/>
      <c r="M34" s="145"/>
      <c r="N34" s="137">
        <f t="shared" si="16"/>
        <v>0</v>
      </c>
      <c r="O34" s="138">
        <f t="shared" si="17"/>
        <v>0</v>
      </c>
      <c r="P34" s="137">
        <f t="shared" si="18"/>
        <v>0</v>
      </c>
      <c r="Q34" s="138">
        <f t="shared" si="19"/>
        <v>0</v>
      </c>
    </row>
    <row r="35" spans="1:17" ht="14.4" hidden="1" customHeight="1" outlineLevel="1" x14ac:dyDescent="0.3">
      <c r="A35" s="495" t="s">
        <v>164</v>
      </c>
      <c r="B35" s="110">
        <v>0</v>
      </c>
      <c r="C35" s="103">
        <v>0</v>
      </c>
      <c r="D35" s="103">
        <v>0</v>
      </c>
      <c r="E35" s="476" t="str">
        <f t="shared" si="20"/>
        <v/>
      </c>
      <c r="F35" s="122" t="str">
        <f t="shared" si="21"/>
        <v/>
      </c>
      <c r="G35" s="123">
        <v>0</v>
      </c>
      <c r="H35" s="103">
        <v>0</v>
      </c>
      <c r="I35" s="103">
        <v>0</v>
      </c>
      <c r="J35" s="476" t="str">
        <f t="shared" si="22"/>
        <v/>
      </c>
      <c r="K35" s="124" t="str">
        <f t="shared" si="23"/>
        <v/>
      </c>
      <c r="L35" s="145"/>
      <c r="M35" s="145"/>
      <c r="N35" s="137">
        <f t="shared" si="16"/>
        <v>0</v>
      </c>
      <c r="O35" s="138">
        <f t="shared" si="17"/>
        <v>0</v>
      </c>
      <c r="P35" s="137">
        <f t="shared" si="18"/>
        <v>0</v>
      </c>
      <c r="Q35" s="138">
        <f t="shared" si="19"/>
        <v>0</v>
      </c>
    </row>
    <row r="36" spans="1:17" ht="14.4" hidden="1" customHeight="1" outlineLevel="1" x14ac:dyDescent="0.3">
      <c r="A36" s="495" t="s">
        <v>165</v>
      </c>
      <c r="B36" s="110">
        <v>0</v>
      </c>
      <c r="C36" s="103">
        <v>0</v>
      </c>
      <c r="D36" s="103">
        <v>0</v>
      </c>
      <c r="E36" s="476" t="str">
        <f t="shared" si="20"/>
        <v/>
      </c>
      <c r="F36" s="122" t="str">
        <f t="shared" si="21"/>
        <v/>
      </c>
      <c r="G36" s="123">
        <v>0</v>
      </c>
      <c r="H36" s="103">
        <v>0</v>
      </c>
      <c r="I36" s="103">
        <v>0</v>
      </c>
      <c r="J36" s="476" t="str">
        <f t="shared" si="22"/>
        <v/>
      </c>
      <c r="K36" s="124" t="str">
        <f t="shared" si="23"/>
        <v/>
      </c>
      <c r="L36" s="145"/>
      <c r="M36" s="145"/>
      <c r="N36" s="137">
        <f t="shared" si="16"/>
        <v>0</v>
      </c>
      <c r="O36" s="138">
        <f t="shared" si="17"/>
        <v>0</v>
      </c>
      <c r="P36" s="137">
        <f t="shared" si="18"/>
        <v>0</v>
      </c>
      <c r="Q36" s="138">
        <f t="shared" si="19"/>
        <v>0</v>
      </c>
    </row>
    <row r="37" spans="1:17" ht="14.4" hidden="1" customHeight="1" outlineLevel="1" x14ac:dyDescent="0.3">
      <c r="A37" s="495" t="s">
        <v>166</v>
      </c>
      <c r="B37" s="110">
        <v>0</v>
      </c>
      <c r="C37" s="103">
        <v>0</v>
      </c>
      <c r="D37" s="103">
        <v>0</v>
      </c>
      <c r="E37" s="476" t="str">
        <f t="shared" si="20"/>
        <v/>
      </c>
      <c r="F37" s="122" t="str">
        <f t="shared" si="21"/>
        <v/>
      </c>
      <c r="G37" s="123">
        <v>0</v>
      </c>
      <c r="H37" s="103">
        <v>0</v>
      </c>
      <c r="I37" s="103">
        <v>0</v>
      </c>
      <c r="J37" s="476" t="str">
        <f t="shared" si="22"/>
        <v/>
      </c>
      <c r="K37" s="124" t="str">
        <f t="shared" si="23"/>
        <v/>
      </c>
      <c r="L37" s="145"/>
      <c r="M37" s="145"/>
      <c r="N37" s="137">
        <f t="shared" si="16"/>
        <v>0</v>
      </c>
      <c r="O37" s="138">
        <f t="shared" si="17"/>
        <v>0</v>
      </c>
      <c r="P37" s="137">
        <f t="shared" si="18"/>
        <v>0</v>
      </c>
      <c r="Q37" s="138">
        <f t="shared" si="19"/>
        <v>0</v>
      </c>
    </row>
    <row r="38" spans="1:17" ht="14.4" hidden="1" customHeight="1" outlineLevel="1" thickBot="1" x14ac:dyDescent="0.35">
      <c r="A38" s="496" t="s">
        <v>200</v>
      </c>
      <c r="B38" s="228">
        <v>0</v>
      </c>
      <c r="C38" s="229">
        <v>0</v>
      </c>
      <c r="D38" s="229">
        <v>0</v>
      </c>
      <c r="E38" s="477" t="str">
        <f t="shared" si="20"/>
        <v/>
      </c>
      <c r="F38" s="230" t="str">
        <f t="shared" si="21"/>
        <v/>
      </c>
      <c r="G38" s="231">
        <v>0</v>
      </c>
      <c r="H38" s="229">
        <v>0</v>
      </c>
      <c r="I38" s="229">
        <v>0</v>
      </c>
      <c r="J38" s="477" t="str">
        <f t="shared" si="22"/>
        <v/>
      </c>
      <c r="K38" s="232" t="str">
        <f t="shared" si="23"/>
        <v/>
      </c>
      <c r="L38" s="145"/>
      <c r="M38" s="145"/>
      <c r="N38" s="235">
        <f t="shared" si="16"/>
        <v>0</v>
      </c>
      <c r="O38" s="236">
        <f t="shared" si="17"/>
        <v>0</v>
      </c>
      <c r="P38" s="235">
        <f t="shared" si="18"/>
        <v>0</v>
      </c>
      <c r="Q38" s="236">
        <f t="shared" si="19"/>
        <v>0</v>
      </c>
    </row>
    <row r="39" spans="1:17" ht="14.4" customHeight="1" collapsed="1" thickBot="1" x14ac:dyDescent="0.35">
      <c r="A39" s="498" t="s">
        <v>3</v>
      </c>
      <c r="B39" s="108">
        <f>SUM(B31:B38)</f>
        <v>0</v>
      </c>
      <c r="C39" s="152">
        <f>SUM(C31:C38)</f>
        <v>0</v>
      </c>
      <c r="D39" s="152">
        <f>SUM(D31:D38)</f>
        <v>0</v>
      </c>
      <c r="E39" s="473">
        <f>IF(OR(D39=0,B39=0),0,D39/B39)</f>
        <v>0</v>
      </c>
      <c r="F39" s="153">
        <f>IF(OR(D39=0,C39=0),0,D39/C39)</f>
        <v>0</v>
      </c>
      <c r="G39" s="154">
        <f>SUM(G31:G38)</f>
        <v>0</v>
      </c>
      <c r="H39" s="152">
        <f>SUM(H31:H38)</f>
        <v>0</v>
      </c>
      <c r="I39" s="152">
        <f>SUM(I31:I38)</f>
        <v>0</v>
      </c>
      <c r="J39" s="473">
        <f>IF(OR(I39=0,G39=0),0,I39/G39)</f>
        <v>0</v>
      </c>
      <c r="K39" s="155">
        <f>IF(OR(I39=0,H39=0),0,I39/H39)</f>
        <v>0</v>
      </c>
      <c r="L39" s="145"/>
      <c r="M39" s="145"/>
      <c r="N39" s="150">
        <f t="shared" si="16"/>
        <v>0</v>
      </c>
      <c r="O39" s="156">
        <f t="shared" si="17"/>
        <v>0</v>
      </c>
      <c r="P39" s="150">
        <f t="shared" si="18"/>
        <v>0</v>
      </c>
      <c r="Q39" s="156">
        <f t="shared" si="19"/>
        <v>0</v>
      </c>
    </row>
    <row r="40" spans="1:17" ht="14.4" customHeight="1" x14ac:dyDescent="0.25">
      <c r="A40" s="344"/>
      <c r="B40" s="344"/>
      <c r="C40" s="344"/>
      <c r="D40" s="344"/>
      <c r="E40" s="344"/>
      <c r="F40" s="345"/>
      <c r="G40" s="344"/>
      <c r="H40" s="344"/>
      <c r="I40" s="344"/>
      <c r="J40" s="344"/>
      <c r="K40" s="346"/>
      <c r="L40" s="344"/>
      <c r="M40" s="344"/>
      <c r="N40" s="344"/>
      <c r="O40" s="344"/>
      <c r="P40" s="344"/>
      <c r="Q40" s="344"/>
    </row>
    <row r="41" spans="1:17" ht="14.4" customHeight="1" thickBot="1" x14ac:dyDescent="0.3">
      <c r="A41" s="344"/>
      <c r="B41" s="344"/>
      <c r="C41" s="344"/>
      <c r="D41" s="344"/>
      <c r="E41" s="344"/>
      <c r="F41" s="345"/>
      <c r="G41" s="344"/>
      <c r="H41" s="344"/>
      <c r="I41" s="344"/>
      <c r="J41" s="344"/>
      <c r="K41" s="346"/>
      <c r="L41" s="344"/>
      <c r="M41" s="344"/>
      <c r="N41" s="344"/>
      <c r="O41" s="344"/>
      <c r="P41" s="344"/>
      <c r="Q41" s="344"/>
    </row>
    <row r="42" spans="1:17" ht="14.4" customHeight="1" thickBot="1" x14ac:dyDescent="0.35">
      <c r="A42" s="605" t="s">
        <v>326</v>
      </c>
      <c r="B42" s="607" t="s">
        <v>64</v>
      </c>
      <c r="C42" s="608"/>
      <c r="D42" s="608"/>
      <c r="E42" s="609"/>
      <c r="F42" s="610"/>
      <c r="G42" s="608" t="s">
        <v>271</v>
      </c>
      <c r="H42" s="608"/>
      <c r="I42" s="608"/>
      <c r="J42" s="609"/>
      <c r="K42" s="610"/>
      <c r="L42" s="145"/>
      <c r="M42" s="145"/>
      <c r="N42" s="145"/>
      <c r="O42" s="146"/>
      <c r="P42" s="145"/>
      <c r="Q42" s="146"/>
    </row>
    <row r="43" spans="1:17" ht="14.4" customHeight="1" thickBot="1" x14ac:dyDescent="0.35">
      <c r="A43" s="606"/>
      <c r="B43" s="458">
        <v>2015</v>
      </c>
      <c r="C43" s="459">
        <v>2016</v>
      </c>
      <c r="D43" s="459">
        <v>2017</v>
      </c>
      <c r="E43" s="459" t="s">
        <v>323</v>
      </c>
      <c r="F43" s="460" t="s">
        <v>2</v>
      </c>
      <c r="G43" s="459">
        <v>2015</v>
      </c>
      <c r="H43" s="459">
        <v>2016</v>
      </c>
      <c r="I43" s="459">
        <v>2017</v>
      </c>
      <c r="J43" s="459" t="s">
        <v>323</v>
      </c>
      <c r="K43" s="460" t="s">
        <v>2</v>
      </c>
      <c r="L43" s="145"/>
      <c r="M43" s="145"/>
      <c r="N43" s="466" t="s">
        <v>65</v>
      </c>
      <c r="O43" s="468" t="s">
        <v>66</v>
      </c>
      <c r="P43" s="466" t="s">
        <v>334</v>
      </c>
      <c r="Q43" s="468" t="s">
        <v>335</v>
      </c>
    </row>
    <row r="44" spans="1:17" ht="14.4" hidden="1" customHeight="1" outlineLevel="1" x14ac:dyDescent="0.3">
      <c r="A44" s="494" t="s">
        <v>160</v>
      </c>
      <c r="B44" s="109">
        <v>125.532</v>
      </c>
      <c r="C44" s="104">
        <v>111.456</v>
      </c>
      <c r="D44" s="104">
        <v>199.08699999999999</v>
      </c>
      <c r="E44" s="475">
        <f>IF(OR(D44=0,B44=0),"",D44/B44)</f>
        <v>1.5859462129178217</v>
      </c>
      <c r="F44" s="119">
        <f>IF(OR(D44=0,C44=0),"",D44/C44)</f>
        <v>1.7862385156474303</v>
      </c>
      <c r="G44" s="120">
        <v>86</v>
      </c>
      <c r="H44" s="104">
        <v>102</v>
      </c>
      <c r="I44" s="104">
        <v>108</v>
      </c>
      <c r="J44" s="475">
        <f>IF(OR(I44=0,G44=0),"",I44/G44)</f>
        <v>1.2558139534883721</v>
      </c>
      <c r="K44" s="121">
        <f>IF(OR(I44=0,H44=0),"",I44/H44)</f>
        <v>1.0588235294117647</v>
      </c>
      <c r="L44" s="145"/>
      <c r="M44" s="145"/>
      <c r="N44" s="135">
        <f t="shared" ref="N44:N52" si="24">D44-C44</f>
        <v>87.630999999999986</v>
      </c>
      <c r="O44" s="136">
        <f t="shared" ref="O44:O52" si="25">I44-H44</f>
        <v>6</v>
      </c>
      <c r="P44" s="135">
        <f t="shared" ref="P44:P52" si="26">D44-B44</f>
        <v>73.554999999999993</v>
      </c>
      <c r="Q44" s="136">
        <f t="shared" ref="Q44:Q52" si="27">I44-G44</f>
        <v>22</v>
      </c>
    </row>
    <row r="45" spans="1:17" ht="14.4" hidden="1" customHeight="1" outlineLevel="1" x14ac:dyDescent="0.3">
      <c r="A45" s="495" t="s">
        <v>161</v>
      </c>
      <c r="B45" s="110">
        <v>88.162999999999997</v>
      </c>
      <c r="C45" s="103">
        <v>10.635999999999999</v>
      </c>
      <c r="D45" s="103">
        <v>11.76</v>
      </c>
      <c r="E45" s="476">
        <f t="shared" ref="E45:E51" si="28">IF(OR(D45=0,B45=0),"",D45/B45)</f>
        <v>0.13338929029184579</v>
      </c>
      <c r="F45" s="122">
        <f t="shared" ref="F45:F51" si="29">IF(OR(D45=0,C45=0),"",D45/C45)</f>
        <v>1.1056788266265514</v>
      </c>
      <c r="G45" s="123">
        <v>45</v>
      </c>
      <c r="H45" s="103">
        <v>30</v>
      </c>
      <c r="I45" s="103">
        <v>33</v>
      </c>
      <c r="J45" s="476">
        <f t="shared" ref="J45:J51" si="30">IF(OR(I45=0,G45=0),"",I45/G45)</f>
        <v>0.73333333333333328</v>
      </c>
      <c r="K45" s="124">
        <f t="shared" ref="K45:K51" si="31">IF(OR(I45=0,H45=0),"",I45/H45)</f>
        <v>1.1000000000000001</v>
      </c>
      <c r="L45" s="145"/>
      <c r="M45" s="145"/>
      <c r="N45" s="137">
        <f t="shared" si="24"/>
        <v>1.1240000000000006</v>
      </c>
      <c r="O45" s="138">
        <f t="shared" si="25"/>
        <v>3</v>
      </c>
      <c r="P45" s="137">
        <f t="shared" si="26"/>
        <v>-76.402999999999992</v>
      </c>
      <c r="Q45" s="138">
        <f t="shared" si="27"/>
        <v>-12</v>
      </c>
    </row>
    <row r="46" spans="1:17" ht="14.4" hidden="1" customHeight="1" outlineLevel="1" x14ac:dyDescent="0.3">
      <c r="A46" s="495" t="s">
        <v>162</v>
      </c>
      <c r="B46" s="110">
        <v>252.59299999999999</v>
      </c>
      <c r="C46" s="103">
        <v>182.953</v>
      </c>
      <c r="D46" s="103">
        <v>152.255</v>
      </c>
      <c r="E46" s="476">
        <f t="shared" si="28"/>
        <v>0.6027680893769819</v>
      </c>
      <c r="F46" s="122">
        <f t="shared" si="29"/>
        <v>0.8322082720698758</v>
      </c>
      <c r="G46" s="123">
        <v>145</v>
      </c>
      <c r="H46" s="103">
        <v>176</v>
      </c>
      <c r="I46" s="103">
        <v>148</v>
      </c>
      <c r="J46" s="476">
        <f t="shared" si="30"/>
        <v>1.0206896551724138</v>
      </c>
      <c r="K46" s="124">
        <f t="shared" si="31"/>
        <v>0.84090909090909094</v>
      </c>
      <c r="L46" s="145"/>
      <c r="M46" s="145"/>
      <c r="N46" s="137">
        <f t="shared" si="24"/>
        <v>-30.698000000000008</v>
      </c>
      <c r="O46" s="138">
        <f t="shared" si="25"/>
        <v>-28</v>
      </c>
      <c r="P46" s="137">
        <f t="shared" si="26"/>
        <v>-100.33799999999999</v>
      </c>
      <c r="Q46" s="138">
        <f t="shared" si="27"/>
        <v>3</v>
      </c>
    </row>
    <row r="47" spans="1:17" ht="14.4" hidden="1" customHeight="1" outlineLevel="1" x14ac:dyDescent="0.3">
      <c r="A47" s="495" t="s">
        <v>163</v>
      </c>
      <c r="B47" s="110">
        <v>42.951999999999998</v>
      </c>
      <c r="C47" s="103">
        <v>3.5870000000000002</v>
      </c>
      <c r="D47" s="103">
        <v>10.15</v>
      </c>
      <c r="E47" s="476">
        <f t="shared" si="28"/>
        <v>0.23631029986962193</v>
      </c>
      <c r="F47" s="122">
        <f t="shared" si="29"/>
        <v>2.8296626707555061</v>
      </c>
      <c r="G47" s="123">
        <v>17</v>
      </c>
      <c r="H47" s="103">
        <v>11</v>
      </c>
      <c r="I47" s="103">
        <v>10</v>
      </c>
      <c r="J47" s="476">
        <f t="shared" si="30"/>
        <v>0.58823529411764708</v>
      </c>
      <c r="K47" s="124">
        <f t="shared" si="31"/>
        <v>0.90909090909090906</v>
      </c>
      <c r="L47" s="145"/>
      <c r="M47" s="145"/>
      <c r="N47" s="137">
        <f t="shared" si="24"/>
        <v>6.5630000000000006</v>
      </c>
      <c r="O47" s="138">
        <f t="shared" si="25"/>
        <v>-1</v>
      </c>
      <c r="P47" s="137">
        <f t="shared" si="26"/>
        <v>-32.802</v>
      </c>
      <c r="Q47" s="138">
        <f t="shared" si="27"/>
        <v>-7</v>
      </c>
    </row>
    <row r="48" spans="1:17" ht="14.4" hidden="1" customHeight="1" outlineLevel="1" x14ac:dyDescent="0.3">
      <c r="A48" s="495" t="s">
        <v>164</v>
      </c>
      <c r="B48" s="110">
        <v>0</v>
      </c>
      <c r="C48" s="103">
        <v>0</v>
      </c>
      <c r="D48" s="103">
        <v>0</v>
      </c>
      <c r="E48" s="476" t="str">
        <f t="shared" si="28"/>
        <v/>
      </c>
      <c r="F48" s="122" t="str">
        <f t="shared" si="29"/>
        <v/>
      </c>
      <c r="G48" s="123">
        <v>0</v>
      </c>
      <c r="H48" s="103">
        <v>0</v>
      </c>
      <c r="I48" s="103">
        <v>0</v>
      </c>
      <c r="J48" s="476" t="str">
        <f t="shared" si="30"/>
        <v/>
      </c>
      <c r="K48" s="124" t="str">
        <f t="shared" si="31"/>
        <v/>
      </c>
      <c r="L48" s="145"/>
      <c r="M48" s="145"/>
      <c r="N48" s="137">
        <f t="shared" si="24"/>
        <v>0</v>
      </c>
      <c r="O48" s="138">
        <f t="shared" si="25"/>
        <v>0</v>
      </c>
      <c r="P48" s="137">
        <f t="shared" si="26"/>
        <v>0</v>
      </c>
      <c r="Q48" s="138">
        <f t="shared" si="27"/>
        <v>0</v>
      </c>
    </row>
    <row r="49" spans="1:17" ht="14.4" hidden="1" customHeight="1" outlineLevel="1" x14ac:dyDescent="0.3">
      <c r="A49" s="495" t="s">
        <v>165</v>
      </c>
      <c r="B49" s="110">
        <v>28.657</v>
      </c>
      <c r="C49" s="103">
        <v>39.027999999999999</v>
      </c>
      <c r="D49" s="103">
        <v>52.354999999999997</v>
      </c>
      <c r="E49" s="476">
        <f t="shared" si="28"/>
        <v>1.82695327494155</v>
      </c>
      <c r="F49" s="122">
        <f t="shared" si="29"/>
        <v>1.341472788767039</v>
      </c>
      <c r="G49" s="123">
        <v>53</v>
      </c>
      <c r="H49" s="103">
        <v>61</v>
      </c>
      <c r="I49" s="103">
        <v>47</v>
      </c>
      <c r="J49" s="476">
        <f t="shared" si="30"/>
        <v>0.8867924528301887</v>
      </c>
      <c r="K49" s="124">
        <f t="shared" si="31"/>
        <v>0.77049180327868849</v>
      </c>
      <c r="L49" s="145"/>
      <c r="M49" s="145"/>
      <c r="N49" s="137">
        <f t="shared" si="24"/>
        <v>13.326999999999998</v>
      </c>
      <c r="O49" s="138">
        <f t="shared" si="25"/>
        <v>-14</v>
      </c>
      <c r="P49" s="137">
        <f t="shared" si="26"/>
        <v>23.697999999999997</v>
      </c>
      <c r="Q49" s="138">
        <f t="shared" si="27"/>
        <v>-6</v>
      </c>
    </row>
    <row r="50" spans="1:17" ht="14.4" hidden="1" customHeight="1" outlineLevel="1" x14ac:dyDescent="0.3">
      <c r="A50" s="495" t="s">
        <v>166</v>
      </c>
      <c r="B50" s="110">
        <v>38.441000000000003</v>
      </c>
      <c r="C50" s="103">
        <v>2.726</v>
      </c>
      <c r="D50" s="103">
        <v>73.063000000000002</v>
      </c>
      <c r="E50" s="476">
        <f t="shared" si="28"/>
        <v>1.9006529486745922</v>
      </c>
      <c r="F50" s="122">
        <f t="shared" si="29"/>
        <v>26.802274394717536</v>
      </c>
      <c r="G50" s="123">
        <v>9</v>
      </c>
      <c r="H50" s="103">
        <v>8</v>
      </c>
      <c r="I50" s="103">
        <v>9</v>
      </c>
      <c r="J50" s="476">
        <f t="shared" si="30"/>
        <v>1</v>
      </c>
      <c r="K50" s="124">
        <f t="shared" si="31"/>
        <v>1.125</v>
      </c>
      <c r="L50" s="145"/>
      <c r="M50" s="145"/>
      <c r="N50" s="137">
        <f t="shared" si="24"/>
        <v>70.337000000000003</v>
      </c>
      <c r="O50" s="138">
        <f t="shared" si="25"/>
        <v>1</v>
      </c>
      <c r="P50" s="137">
        <f t="shared" si="26"/>
        <v>34.622</v>
      </c>
      <c r="Q50" s="138">
        <f t="shared" si="27"/>
        <v>0</v>
      </c>
    </row>
    <row r="51" spans="1:17" ht="14.4" hidden="1" customHeight="1" outlineLevel="1" thickBot="1" x14ac:dyDescent="0.35">
      <c r="A51" s="496" t="s">
        <v>200</v>
      </c>
      <c r="B51" s="228">
        <v>0.66700000000000004</v>
      </c>
      <c r="C51" s="229">
        <v>0</v>
      </c>
      <c r="D51" s="229">
        <v>0</v>
      </c>
      <c r="E51" s="477" t="str">
        <f t="shared" si="28"/>
        <v/>
      </c>
      <c r="F51" s="230" t="str">
        <f t="shared" si="29"/>
        <v/>
      </c>
      <c r="G51" s="231">
        <v>2</v>
      </c>
      <c r="H51" s="229">
        <v>0</v>
      </c>
      <c r="I51" s="229">
        <v>0</v>
      </c>
      <c r="J51" s="477" t="str">
        <f t="shared" si="30"/>
        <v/>
      </c>
      <c r="K51" s="232" t="str">
        <f t="shared" si="31"/>
        <v/>
      </c>
      <c r="L51" s="145"/>
      <c r="M51" s="145"/>
      <c r="N51" s="235">
        <f t="shared" si="24"/>
        <v>0</v>
      </c>
      <c r="O51" s="236">
        <f t="shared" si="25"/>
        <v>0</v>
      </c>
      <c r="P51" s="235">
        <f t="shared" si="26"/>
        <v>-0.66700000000000004</v>
      </c>
      <c r="Q51" s="236">
        <f t="shared" si="27"/>
        <v>-2</v>
      </c>
    </row>
    <row r="52" spans="1:17" ht="14.4" customHeight="1" collapsed="1" thickBot="1" x14ac:dyDescent="0.35">
      <c r="A52" s="497" t="s">
        <v>3</v>
      </c>
      <c r="B52" s="461">
        <f>SUM(B44:B51)</f>
        <v>577.00500000000011</v>
      </c>
      <c r="C52" s="462">
        <f>SUM(C44:C51)</f>
        <v>350.38600000000002</v>
      </c>
      <c r="D52" s="462">
        <f>SUM(D44:D51)</f>
        <v>498.66999999999996</v>
      </c>
      <c r="E52" s="474">
        <f>IF(OR(D52=0,B52=0),0,D52/B52)</f>
        <v>0.86423861145050718</v>
      </c>
      <c r="F52" s="463">
        <f>IF(OR(D52=0,C52=0),0,D52/C52)</f>
        <v>1.4232018402561744</v>
      </c>
      <c r="G52" s="464">
        <f>SUM(G44:G51)</f>
        <v>357</v>
      </c>
      <c r="H52" s="462">
        <f>SUM(H44:H51)</f>
        <v>388</v>
      </c>
      <c r="I52" s="462">
        <f>SUM(I44:I51)</f>
        <v>355</v>
      </c>
      <c r="J52" s="474">
        <f>IF(OR(I52=0,G52=0),0,I52/G52)</f>
        <v>0.99439775910364148</v>
      </c>
      <c r="K52" s="465">
        <f>IF(OR(I52=0,H52=0),0,I52/H52)</f>
        <v>0.91494845360824739</v>
      </c>
      <c r="L52" s="145"/>
      <c r="M52" s="145"/>
      <c r="N52" s="466">
        <f t="shared" si="24"/>
        <v>148.28399999999993</v>
      </c>
      <c r="O52" s="467">
        <f t="shared" si="25"/>
        <v>-33</v>
      </c>
      <c r="P52" s="466">
        <f t="shared" si="26"/>
        <v>-78.33500000000015</v>
      </c>
      <c r="Q52" s="467">
        <f t="shared" si="27"/>
        <v>-2</v>
      </c>
    </row>
    <row r="53" spans="1:17" ht="14.4" customHeight="1" x14ac:dyDescent="0.25">
      <c r="A53" s="344"/>
      <c r="B53" s="344"/>
      <c r="C53" s="344"/>
      <c r="D53" s="344"/>
      <c r="E53" s="344"/>
      <c r="F53" s="345"/>
      <c r="G53" s="344"/>
      <c r="H53" s="344"/>
      <c r="I53" s="344"/>
      <c r="J53" s="344"/>
      <c r="K53" s="346"/>
      <c r="L53" s="344"/>
      <c r="M53" s="344"/>
      <c r="N53" s="344"/>
      <c r="O53" s="344"/>
    </row>
    <row r="54" spans="1:17" ht="14.4" customHeight="1" x14ac:dyDescent="0.3">
      <c r="A54" s="245" t="s">
        <v>322</v>
      </c>
      <c r="B54" s="344"/>
      <c r="C54" s="344"/>
      <c r="D54" s="344"/>
      <c r="E54" s="344"/>
      <c r="F54" s="345"/>
      <c r="G54" s="344"/>
      <c r="H54" s="344"/>
      <c r="I54" s="344"/>
      <c r="J54" s="344"/>
      <c r="K54" s="346"/>
      <c r="L54" s="344"/>
      <c r="M54" s="344"/>
      <c r="N54" s="344"/>
      <c r="O54" s="344"/>
    </row>
    <row r="55" spans="1:17" ht="14.4" customHeight="1" x14ac:dyDescent="0.25">
      <c r="A55" s="428" t="s">
        <v>318</v>
      </c>
    </row>
    <row r="56" spans="1:17" ht="14.4" customHeight="1" x14ac:dyDescent="0.25">
      <c r="A56" s="429" t="s">
        <v>319</v>
      </c>
    </row>
    <row r="57" spans="1:17" ht="14.4" customHeight="1" x14ac:dyDescent="0.25">
      <c r="A57" s="428" t="s">
        <v>320</v>
      </c>
    </row>
    <row r="58" spans="1:17" ht="14.4" customHeight="1" x14ac:dyDescent="0.25">
      <c r="A58" s="429" t="s">
        <v>329</v>
      </c>
    </row>
    <row r="59" spans="1:17" ht="14.4" customHeight="1" x14ac:dyDescent="0.25">
      <c r="A59" s="429" t="s">
        <v>330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3" bestFit="1" customWidth="1"/>
    <col min="2" max="3" width="7.77734375" style="192" customWidth="1"/>
    <col min="4" max="5" width="7.77734375" style="73" customWidth="1"/>
    <col min="6" max="6" width="14.88671875" style="73" bestFit="1" customWidth="1"/>
    <col min="7" max="7" width="2" style="73" bestFit="1" customWidth="1"/>
    <col min="8" max="8" width="5.33203125" style="73" bestFit="1" customWidth="1"/>
    <col min="9" max="9" width="7.6640625" style="73" bestFit="1" customWidth="1"/>
    <col min="10" max="10" width="6.88671875" style="73" bestFit="1" customWidth="1"/>
    <col min="11" max="11" width="17.33203125" style="73" bestFit="1" customWidth="1"/>
    <col min="12" max="13" width="19.6640625" style="73" bestFit="1" customWidth="1"/>
    <col min="14" max="16384" width="8.88671875" style="73"/>
  </cols>
  <sheetData>
    <row r="1" spans="1:13" ht="18.600000000000001" customHeight="1" thickBot="1" x14ac:dyDescent="0.4">
      <c r="A1" s="535" t="s">
        <v>108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</row>
    <row r="2" spans="1:13" ht="14.4" customHeight="1" x14ac:dyDescent="0.3">
      <c r="A2" s="360" t="s">
        <v>344</v>
      </c>
      <c r="B2" s="188"/>
      <c r="C2" s="188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" customHeight="1" x14ac:dyDescent="0.3">
      <c r="A3" s="72"/>
      <c r="B3" s="349"/>
      <c r="C3" s="349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" customHeight="1" x14ac:dyDescent="0.3">
      <c r="A4" s="72"/>
      <c r="B4" s="349"/>
      <c r="C4" s="349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" customHeight="1" x14ac:dyDescent="0.3">
      <c r="A5" s="72"/>
      <c r="B5" s="349"/>
      <c r="C5" s="349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" customHeight="1" x14ac:dyDescent="0.3">
      <c r="A6" s="72"/>
      <c r="B6" s="349"/>
      <c r="C6" s="349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" customHeight="1" x14ac:dyDescent="0.3">
      <c r="A7" s="72"/>
      <c r="B7" s="349"/>
      <c r="C7" s="349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" customHeight="1" x14ac:dyDescent="0.3">
      <c r="A8" s="72"/>
      <c r="B8" s="349"/>
      <c r="C8" s="349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" customHeight="1" x14ac:dyDescent="0.3">
      <c r="A9" s="72"/>
      <c r="B9" s="349"/>
      <c r="C9" s="349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" customHeight="1" x14ac:dyDescent="0.3">
      <c r="A10" s="72"/>
      <c r="B10" s="349"/>
      <c r="C10" s="349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" customHeight="1" x14ac:dyDescent="0.3">
      <c r="A11" s="72"/>
      <c r="B11" s="349"/>
      <c r="C11" s="349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" customHeight="1" x14ac:dyDescent="0.3">
      <c r="A12" s="72"/>
      <c r="B12" s="349"/>
      <c r="C12" s="349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" customHeight="1" x14ac:dyDescent="0.3">
      <c r="A13" s="72"/>
      <c r="B13" s="349"/>
      <c r="C13" s="349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" customHeight="1" x14ac:dyDescent="0.3">
      <c r="A14" s="72"/>
      <c r="B14" s="349"/>
      <c r="C14" s="349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" customHeight="1" x14ac:dyDescent="0.3">
      <c r="A15" s="72"/>
      <c r="B15" s="349"/>
      <c r="C15" s="349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" customHeight="1" x14ac:dyDescent="0.3">
      <c r="A16" s="72"/>
      <c r="B16" s="349"/>
      <c r="C16" s="349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" customHeight="1" x14ac:dyDescent="0.3">
      <c r="A17" s="72"/>
      <c r="B17" s="349"/>
      <c r="C17" s="349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" customHeight="1" x14ac:dyDescent="0.3">
      <c r="A18" s="72"/>
      <c r="B18" s="349"/>
      <c r="C18" s="349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" customHeight="1" x14ac:dyDescent="0.3">
      <c r="A19" s="72"/>
      <c r="B19" s="349"/>
      <c r="C19" s="349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" customHeight="1" x14ac:dyDescent="0.3">
      <c r="A20" s="72"/>
      <c r="B20" s="349"/>
      <c r="C20" s="349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" customHeight="1" x14ac:dyDescent="0.3">
      <c r="A21" s="72"/>
      <c r="B21" s="349"/>
      <c r="C21" s="349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" customHeight="1" x14ac:dyDescent="0.3">
      <c r="A22" s="72"/>
      <c r="B22" s="349"/>
      <c r="C22" s="349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" customHeight="1" x14ac:dyDescent="0.3">
      <c r="A23" s="72"/>
      <c r="B23" s="349"/>
      <c r="C23" s="349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" customHeight="1" x14ac:dyDescent="0.3">
      <c r="A24" s="72"/>
      <c r="B24" s="349"/>
      <c r="C24" s="349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" customHeight="1" x14ac:dyDescent="0.3">
      <c r="A25" s="72"/>
      <c r="B25" s="349"/>
      <c r="C25" s="349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" customHeight="1" x14ac:dyDescent="0.3">
      <c r="A26" s="72"/>
      <c r="B26" s="349"/>
      <c r="C26" s="349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" customHeight="1" x14ac:dyDescent="0.3">
      <c r="A27" s="72"/>
      <c r="B27" s="349"/>
      <c r="C27" s="349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" customHeight="1" x14ac:dyDescent="0.3">
      <c r="A28" s="72"/>
      <c r="B28" s="349"/>
      <c r="C28" s="349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" customHeight="1" x14ac:dyDescent="0.3">
      <c r="A29" s="72"/>
      <c r="B29" s="349"/>
      <c r="C29" s="349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" customHeight="1" thickBot="1" x14ac:dyDescent="0.35">
      <c r="A30" s="72"/>
      <c r="B30" s="349"/>
      <c r="C30" s="349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" customHeight="1" x14ac:dyDescent="0.3">
      <c r="A31" s="165"/>
      <c r="B31" s="619" t="s">
        <v>76</v>
      </c>
      <c r="C31" s="620"/>
      <c r="D31" s="620"/>
      <c r="E31" s="621"/>
      <c r="F31" s="157" t="s">
        <v>76</v>
      </c>
      <c r="G31" s="75"/>
      <c r="H31" s="75"/>
      <c r="I31" s="72"/>
      <c r="J31" s="72"/>
      <c r="K31" s="72"/>
      <c r="L31" s="72"/>
      <c r="M31" s="72"/>
    </row>
    <row r="32" spans="1:13" ht="14.4" customHeight="1" thickBot="1" x14ac:dyDescent="0.35">
      <c r="A32" s="166" t="s">
        <v>60</v>
      </c>
      <c r="B32" s="158" t="s">
        <v>79</v>
      </c>
      <c r="C32" s="159" t="s">
        <v>80</v>
      </c>
      <c r="D32" s="159" t="s">
        <v>81</v>
      </c>
      <c r="E32" s="160" t="s">
        <v>2</v>
      </c>
      <c r="F32" s="161" t="s">
        <v>82</v>
      </c>
      <c r="G32" s="350"/>
      <c r="H32" s="350" t="s">
        <v>109</v>
      </c>
      <c r="I32" s="72"/>
      <c r="J32" s="72"/>
      <c r="K32" s="72"/>
      <c r="L32" s="72"/>
      <c r="M32" s="72"/>
    </row>
    <row r="33" spans="1:13" ht="14.4" customHeight="1" x14ac:dyDescent="0.3">
      <c r="A33" s="162" t="s">
        <v>96</v>
      </c>
      <c r="B33" s="189">
        <v>1106</v>
      </c>
      <c r="C33" s="189">
        <v>1069</v>
      </c>
      <c r="D33" s="76">
        <f>IF(C33="","",C33-B33)</f>
        <v>-37</v>
      </c>
      <c r="E33" s="77">
        <f>IF(C33="","",C33/B33)</f>
        <v>0.96654611211573238</v>
      </c>
      <c r="F33" s="78">
        <v>168</v>
      </c>
      <c r="G33" s="350">
        <v>0</v>
      </c>
      <c r="H33" s="351">
        <v>1</v>
      </c>
      <c r="I33" s="72"/>
      <c r="J33" s="72"/>
      <c r="K33" s="72"/>
      <c r="L33" s="72"/>
      <c r="M33" s="72"/>
    </row>
    <row r="34" spans="1:13" ht="14.4" customHeight="1" x14ac:dyDescent="0.3">
      <c r="A34" s="163" t="s">
        <v>97</v>
      </c>
      <c r="B34" s="190">
        <v>2873</v>
      </c>
      <c r="C34" s="190">
        <v>2740</v>
      </c>
      <c r="D34" s="79">
        <f t="shared" ref="D34:D45" si="0">IF(C34="","",C34-B34)</f>
        <v>-133</v>
      </c>
      <c r="E34" s="80">
        <f t="shared" ref="E34:E45" si="1">IF(C34="","",C34/B34)</f>
        <v>0.95370692655760525</v>
      </c>
      <c r="F34" s="81">
        <v>409</v>
      </c>
      <c r="G34" s="350">
        <v>1</v>
      </c>
      <c r="H34" s="351">
        <v>1</v>
      </c>
      <c r="I34" s="72"/>
      <c r="J34" s="72"/>
      <c r="K34" s="72"/>
      <c r="L34" s="72"/>
      <c r="M34" s="72"/>
    </row>
    <row r="35" spans="1:13" ht="14.4" customHeight="1" x14ac:dyDescent="0.3">
      <c r="A35" s="163" t="s">
        <v>98</v>
      </c>
      <c r="B35" s="190"/>
      <c r="C35" s="190"/>
      <c r="D35" s="79" t="str">
        <f t="shared" si="0"/>
        <v/>
      </c>
      <c r="E35" s="80" t="str">
        <f t="shared" si="1"/>
        <v/>
      </c>
      <c r="F35" s="81"/>
      <c r="G35" s="352"/>
      <c r="H35" s="352"/>
      <c r="I35" s="72"/>
      <c r="J35" s="72"/>
      <c r="K35" s="72"/>
      <c r="L35" s="72"/>
      <c r="M35" s="72"/>
    </row>
    <row r="36" spans="1:13" ht="14.4" customHeight="1" x14ac:dyDescent="0.3">
      <c r="A36" s="163" t="s">
        <v>99</v>
      </c>
      <c r="B36" s="190"/>
      <c r="C36" s="190"/>
      <c r="D36" s="79" t="str">
        <f t="shared" si="0"/>
        <v/>
      </c>
      <c r="E36" s="80" t="str">
        <f t="shared" si="1"/>
        <v/>
      </c>
      <c r="F36" s="81"/>
      <c r="G36" s="352"/>
      <c r="H36" s="352"/>
      <c r="I36" s="72"/>
      <c r="J36" s="72"/>
      <c r="K36" s="72"/>
      <c r="L36" s="72"/>
      <c r="M36" s="72"/>
    </row>
    <row r="37" spans="1:13" ht="14.4" customHeight="1" x14ac:dyDescent="0.3">
      <c r="A37" s="163" t="s">
        <v>100</v>
      </c>
      <c r="B37" s="190"/>
      <c r="C37" s="190"/>
      <c r="D37" s="79" t="str">
        <f t="shared" si="0"/>
        <v/>
      </c>
      <c r="E37" s="80" t="str">
        <f t="shared" si="1"/>
        <v/>
      </c>
      <c r="F37" s="81"/>
      <c r="G37" s="352"/>
      <c r="H37" s="352"/>
      <c r="I37" s="72"/>
      <c r="J37" s="72"/>
      <c r="K37" s="72"/>
      <c r="L37" s="72"/>
      <c r="M37" s="72"/>
    </row>
    <row r="38" spans="1:13" ht="14.4" customHeight="1" x14ac:dyDescent="0.3">
      <c r="A38" s="163" t="s">
        <v>101</v>
      </c>
      <c r="B38" s="190"/>
      <c r="C38" s="190"/>
      <c r="D38" s="79" t="str">
        <f t="shared" si="0"/>
        <v/>
      </c>
      <c r="E38" s="80" t="str">
        <f t="shared" si="1"/>
        <v/>
      </c>
      <c r="F38" s="81"/>
      <c r="G38" s="352"/>
      <c r="H38" s="352"/>
      <c r="I38" s="72"/>
      <c r="J38" s="72"/>
      <c r="K38" s="72"/>
      <c r="L38" s="72"/>
      <c r="M38" s="72"/>
    </row>
    <row r="39" spans="1:13" ht="14.4" customHeight="1" x14ac:dyDescent="0.3">
      <c r="A39" s="163" t="s">
        <v>102</v>
      </c>
      <c r="B39" s="190"/>
      <c r="C39" s="190"/>
      <c r="D39" s="79" t="str">
        <f t="shared" si="0"/>
        <v/>
      </c>
      <c r="E39" s="80" t="str">
        <f t="shared" si="1"/>
        <v/>
      </c>
      <c r="F39" s="81"/>
      <c r="G39" s="352"/>
      <c r="H39" s="352"/>
      <c r="I39" s="72"/>
      <c r="J39" s="72"/>
      <c r="K39" s="72"/>
      <c r="L39" s="72"/>
      <c r="M39" s="72"/>
    </row>
    <row r="40" spans="1:13" ht="14.4" customHeight="1" x14ac:dyDescent="0.3">
      <c r="A40" s="163" t="s">
        <v>103</v>
      </c>
      <c r="B40" s="190"/>
      <c r="C40" s="190"/>
      <c r="D40" s="79" t="str">
        <f t="shared" si="0"/>
        <v/>
      </c>
      <c r="E40" s="80" t="str">
        <f t="shared" si="1"/>
        <v/>
      </c>
      <c r="F40" s="81"/>
      <c r="G40" s="352"/>
      <c r="H40" s="352"/>
      <c r="I40" s="72"/>
      <c r="J40" s="72"/>
      <c r="K40" s="72"/>
      <c r="L40" s="72"/>
      <c r="M40" s="72"/>
    </row>
    <row r="41" spans="1:13" ht="14.4" customHeight="1" x14ac:dyDescent="0.3">
      <c r="A41" s="163" t="s">
        <v>104</v>
      </c>
      <c r="B41" s="190"/>
      <c r="C41" s="190"/>
      <c r="D41" s="79" t="str">
        <f t="shared" si="0"/>
        <v/>
      </c>
      <c r="E41" s="80" t="str">
        <f t="shared" si="1"/>
        <v/>
      </c>
      <c r="F41" s="81"/>
      <c r="G41" s="352"/>
      <c r="H41" s="352"/>
      <c r="I41" s="72"/>
      <c r="J41" s="72"/>
      <c r="K41" s="72"/>
      <c r="L41" s="72"/>
      <c r="M41" s="72"/>
    </row>
    <row r="42" spans="1:13" ht="14.4" customHeight="1" x14ac:dyDescent="0.3">
      <c r="A42" s="163" t="s">
        <v>105</v>
      </c>
      <c r="B42" s="190"/>
      <c r="C42" s="190"/>
      <c r="D42" s="79" t="str">
        <f t="shared" si="0"/>
        <v/>
      </c>
      <c r="E42" s="80" t="str">
        <f t="shared" si="1"/>
        <v/>
      </c>
      <c r="F42" s="81"/>
      <c r="G42" s="352"/>
      <c r="H42" s="352"/>
      <c r="I42" s="72"/>
      <c r="J42" s="72"/>
      <c r="K42" s="72"/>
      <c r="L42" s="72"/>
      <c r="M42" s="72"/>
    </row>
    <row r="43" spans="1:13" ht="14.4" customHeight="1" x14ac:dyDescent="0.3">
      <c r="A43" s="163" t="s">
        <v>106</v>
      </c>
      <c r="B43" s="190"/>
      <c r="C43" s="190"/>
      <c r="D43" s="79" t="str">
        <f t="shared" si="0"/>
        <v/>
      </c>
      <c r="E43" s="80" t="str">
        <f t="shared" si="1"/>
        <v/>
      </c>
      <c r="F43" s="81"/>
      <c r="G43" s="352"/>
      <c r="H43" s="352"/>
      <c r="I43" s="72"/>
      <c r="J43" s="72"/>
      <c r="K43" s="72"/>
      <c r="L43" s="72"/>
      <c r="M43" s="72"/>
    </row>
    <row r="44" spans="1:13" ht="14.4" customHeight="1" x14ac:dyDescent="0.3">
      <c r="A44" s="163" t="s">
        <v>107</v>
      </c>
      <c r="B44" s="190"/>
      <c r="C44" s="190"/>
      <c r="D44" s="79" t="str">
        <f t="shared" si="0"/>
        <v/>
      </c>
      <c r="E44" s="80" t="str">
        <f t="shared" si="1"/>
        <v/>
      </c>
      <c r="F44" s="81"/>
      <c r="G44" s="352"/>
      <c r="H44" s="352"/>
      <c r="I44" s="72"/>
      <c r="J44" s="72"/>
      <c r="K44" s="72"/>
      <c r="L44" s="72"/>
      <c r="M44" s="72"/>
    </row>
    <row r="45" spans="1:13" ht="14.4" customHeight="1" thickBot="1" x14ac:dyDescent="0.35">
      <c r="A45" s="164" t="s">
        <v>110</v>
      </c>
      <c r="B45" s="191"/>
      <c r="C45" s="191"/>
      <c r="D45" s="82" t="str">
        <f t="shared" si="0"/>
        <v/>
      </c>
      <c r="E45" s="83" t="str">
        <f t="shared" si="1"/>
        <v/>
      </c>
      <c r="F45" s="84"/>
      <c r="G45" s="352"/>
      <c r="H45" s="352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88" customWidth="1"/>
    <col min="2" max="2" width="6.5546875" style="203" hidden="1" customWidth="1" outlineLevel="1"/>
    <col min="3" max="3" width="5.88671875" style="203" hidden="1" customWidth="1" outlineLevel="1"/>
    <col min="4" max="4" width="7.6640625" style="203" hidden="1" customWidth="1" outlineLevel="1"/>
    <col min="5" max="5" width="6.5546875" style="91" customWidth="1" collapsed="1"/>
    <col min="6" max="6" width="5.88671875" style="91" customWidth="1"/>
    <col min="7" max="7" width="7.6640625" style="91" customWidth="1"/>
    <col min="8" max="8" width="6.6640625" style="91" bestFit="1" customWidth="1"/>
    <col min="9" max="9" width="6" style="91" bestFit="1" customWidth="1"/>
    <col min="10" max="10" width="7.77734375" style="91" bestFit="1" customWidth="1"/>
    <col min="11" max="11" width="9.109375" style="91" bestFit="1" customWidth="1"/>
    <col min="12" max="12" width="3.88671875" style="91" bestFit="1" customWidth="1"/>
    <col min="13" max="13" width="4.33203125" style="91" bestFit="1" customWidth="1"/>
    <col min="14" max="14" width="5.44140625" style="91" bestFit="1" customWidth="1"/>
    <col min="15" max="15" width="4" style="91" bestFit="1" customWidth="1"/>
    <col min="16" max="16" width="55.44140625" style="85" customWidth="1"/>
    <col min="17" max="17" width="7.88671875" style="89" bestFit="1" customWidth="1"/>
    <col min="18" max="18" width="6" style="89" bestFit="1" customWidth="1"/>
    <col min="19" max="19" width="9.5546875" style="203" customWidth="1"/>
    <col min="20" max="20" width="9.6640625" style="203" customWidth="1"/>
    <col min="21" max="21" width="7.6640625" style="203" bestFit="1" customWidth="1"/>
    <col min="22" max="22" width="6.109375" style="92" bestFit="1" customWidth="1"/>
    <col min="23" max="23" width="17.21875" style="90" bestFit="1" customWidth="1"/>
    <col min="24" max="16384" width="8.88671875" style="85"/>
  </cols>
  <sheetData>
    <row r="1" spans="1:23" s="302" customFormat="1" ht="18.600000000000001" customHeight="1" thickBot="1" x14ac:dyDescent="0.4">
      <c r="A1" s="563" t="s">
        <v>1608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</row>
    <row r="2" spans="1:23" ht="14.4" customHeight="1" thickBot="1" x14ac:dyDescent="0.35">
      <c r="A2" s="360" t="s">
        <v>344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6" customFormat="1" ht="14.4" customHeight="1" x14ac:dyDescent="0.3">
      <c r="A3" s="628" t="s">
        <v>68</v>
      </c>
      <c r="B3" s="629">
        <v>2015</v>
      </c>
      <c r="C3" s="630"/>
      <c r="D3" s="631"/>
      <c r="E3" s="629">
        <v>2016</v>
      </c>
      <c r="F3" s="630"/>
      <c r="G3" s="631"/>
      <c r="H3" s="629">
        <v>2017</v>
      </c>
      <c r="I3" s="630"/>
      <c r="J3" s="631"/>
      <c r="K3" s="632" t="s">
        <v>69</v>
      </c>
      <c r="L3" s="624" t="s">
        <v>70</v>
      </c>
      <c r="M3" s="624" t="s">
        <v>71</v>
      </c>
      <c r="N3" s="624" t="s">
        <v>72</v>
      </c>
      <c r="O3" s="253" t="s">
        <v>73</v>
      </c>
      <c r="P3" s="625" t="s">
        <v>74</v>
      </c>
      <c r="Q3" s="626" t="s">
        <v>75</v>
      </c>
      <c r="R3" s="627"/>
      <c r="S3" s="622" t="s">
        <v>76</v>
      </c>
      <c r="T3" s="623"/>
      <c r="U3" s="623"/>
      <c r="V3" s="623"/>
      <c r="W3" s="204" t="s">
        <v>76</v>
      </c>
    </row>
    <row r="4" spans="1:23" s="87" customFormat="1" ht="14.4" customHeight="1" thickBot="1" x14ac:dyDescent="0.35">
      <c r="A4" s="862"/>
      <c r="B4" s="863" t="s">
        <v>77</v>
      </c>
      <c r="C4" s="864" t="s">
        <v>65</v>
      </c>
      <c r="D4" s="865" t="s">
        <v>78</v>
      </c>
      <c r="E4" s="863" t="s">
        <v>77</v>
      </c>
      <c r="F4" s="864" t="s">
        <v>65</v>
      </c>
      <c r="G4" s="865" t="s">
        <v>78</v>
      </c>
      <c r="H4" s="863" t="s">
        <v>77</v>
      </c>
      <c r="I4" s="864" t="s">
        <v>65</v>
      </c>
      <c r="J4" s="865" t="s">
        <v>78</v>
      </c>
      <c r="K4" s="866"/>
      <c r="L4" s="867"/>
      <c r="M4" s="867"/>
      <c r="N4" s="867"/>
      <c r="O4" s="868"/>
      <c r="P4" s="869"/>
      <c r="Q4" s="870" t="s">
        <v>66</v>
      </c>
      <c r="R4" s="871" t="s">
        <v>65</v>
      </c>
      <c r="S4" s="872" t="s">
        <v>79</v>
      </c>
      <c r="T4" s="873" t="s">
        <v>80</v>
      </c>
      <c r="U4" s="873" t="s">
        <v>81</v>
      </c>
      <c r="V4" s="874" t="s">
        <v>2</v>
      </c>
      <c r="W4" s="875" t="s">
        <v>82</v>
      </c>
    </row>
    <row r="5" spans="1:23" ht="14.4" customHeight="1" x14ac:dyDescent="0.3">
      <c r="A5" s="903" t="s">
        <v>1559</v>
      </c>
      <c r="B5" s="876">
        <v>3</v>
      </c>
      <c r="C5" s="877">
        <v>0.53</v>
      </c>
      <c r="D5" s="878">
        <v>2.2999999999999998</v>
      </c>
      <c r="E5" s="879"/>
      <c r="F5" s="880"/>
      <c r="G5" s="881"/>
      <c r="H5" s="882">
        <v>2</v>
      </c>
      <c r="I5" s="880">
        <v>0.35</v>
      </c>
      <c r="J5" s="881">
        <v>1</v>
      </c>
      <c r="K5" s="883">
        <v>0.18</v>
      </c>
      <c r="L5" s="882">
        <v>1</v>
      </c>
      <c r="M5" s="882">
        <v>5</v>
      </c>
      <c r="N5" s="884">
        <v>2</v>
      </c>
      <c r="O5" s="882" t="s">
        <v>1560</v>
      </c>
      <c r="P5" s="885" t="s">
        <v>1561</v>
      </c>
      <c r="Q5" s="886">
        <f>H5-B5</f>
        <v>-1</v>
      </c>
      <c r="R5" s="886">
        <f>I5-C5</f>
        <v>-0.18000000000000005</v>
      </c>
      <c r="S5" s="378">
        <f>IF(H5=0,"",H5*N5)</f>
        <v>4</v>
      </c>
      <c r="T5" s="378">
        <f>IF(H5=0,"",H5*J5)</f>
        <v>2</v>
      </c>
      <c r="U5" s="378">
        <f>IF(H5=0,"",T5-S5)</f>
        <v>-2</v>
      </c>
      <c r="V5" s="887">
        <f>IF(H5=0,"",T5/S5)</f>
        <v>0.5</v>
      </c>
      <c r="W5" s="888"/>
    </row>
    <row r="6" spans="1:23" ht="14.4" customHeight="1" x14ac:dyDescent="0.3">
      <c r="A6" s="904" t="s">
        <v>1562</v>
      </c>
      <c r="B6" s="889">
        <v>1</v>
      </c>
      <c r="C6" s="890">
        <v>0.28999999999999998</v>
      </c>
      <c r="D6" s="846">
        <v>4</v>
      </c>
      <c r="E6" s="891"/>
      <c r="F6" s="892"/>
      <c r="G6" s="847"/>
      <c r="H6" s="893">
        <v>1</v>
      </c>
      <c r="I6" s="892">
        <v>0.28999999999999998</v>
      </c>
      <c r="J6" s="847">
        <v>1</v>
      </c>
      <c r="K6" s="894">
        <v>0.28999999999999998</v>
      </c>
      <c r="L6" s="893">
        <v>1</v>
      </c>
      <c r="M6" s="893">
        <v>5</v>
      </c>
      <c r="N6" s="895">
        <v>2</v>
      </c>
      <c r="O6" s="893" t="s">
        <v>1560</v>
      </c>
      <c r="P6" s="896" t="s">
        <v>1563</v>
      </c>
      <c r="Q6" s="897">
        <f t="shared" ref="Q6:R32" si="0">H6-B6</f>
        <v>0</v>
      </c>
      <c r="R6" s="897">
        <f t="shared" si="0"/>
        <v>0</v>
      </c>
      <c r="S6" s="898">
        <f t="shared" ref="S6:S32" si="1">IF(H6=0,"",H6*N6)</f>
        <v>2</v>
      </c>
      <c r="T6" s="898">
        <f t="shared" ref="T6:T32" si="2">IF(H6=0,"",H6*J6)</f>
        <v>1</v>
      </c>
      <c r="U6" s="898">
        <f t="shared" ref="U6:U32" si="3">IF(H6=0,"",T6-S6)</f>
        <v>-1</v>
      </c>
      <c r="V6" s="899">
        <f t="shared" ref="V6:V32" si="4">IF(H6=0,"",T6/S6)</f>
        <v>0.5</v>
      </c>
      <c r="W6" s="848"/>
    </row>
    <row r="7" spans="1:23" ht="14.4" customHeight="1" x14ac:dyDescent="0.3">
      <c r="A7" s="904" t="s">
        <v>1564</v>
      </c>
      <c r="B7" s="889"/>
      <c r="C7" s="890"/>
      <c r="D7" s="846"/>
      <c r="E7" s="891">
        <v>3</v>
      </c>
      <c r="F7" s="892">
        <v>1.76</v>
      </c>
      <c r="G7" s="847">
        <v>2.7</v>
      </c>
      <c r="H7" s="893"/>
      <c r="I7" s="892"/>
      <c r="J7" s="847"/>
      <c r="K7" s="894">
        <v>0.49</v>
      </c>
      <c r="L7" s="893">
        <v>1</v>
      </c>
      <c r="M7" s="893">
        <v>5</v>
      </c>
      <c r="N7" s="895">
        <v>2</v>
      </c>
      <c r="O7" s="893" t="s">
        <v>1560</v>
      </c>
      <c r="P7" s="896" t="s">
        <v>1565</v>
      </c>
      <c r="Q7" s="897">
        <f t="shared" si="0"/>
        <v>0</v>
      </c>
      <c r="R7" s="897">
        <f t="shared" si="0"/>
        <v>0</v>
      </c>
      <c r="S7" s="898" t="str">
        <f t="shared" si="1"/>
        <v/>
      </c>
      <c r="T7" s="898" t="str">
        <f t="shared" si="2"/>
        <v/>
      </c>
      <c r="U7" s="898" t="str">
        <f t="shared" si="3"/>
        <v/>
      </c>
      <c r="V7" s="899" t="str">
        <f t="shared" si="4"/>
        <v/>
      </c>
      <c r="W7" s="848"/>
    </row>
    <row r="8" spans="1:23" ht="14.4" customHeight="1" x14ac:dyDescent="0.3">
      <c r="A8" s="905" t="s">
        <v>1566</v>
      </c>
      <c r="B8" s="857"/>
      <c r="C8" s="859"/>
      <c r="D8" s="860"/>
      <c r="E8" s="855"/>
      <c r="F8" s="839"/>
      <c r="G8" s="840"/>
      <c r="H8" s="849">
        <v>1</v>
      </c>
      <c r="I8" s="850">
        <v>50.08</v>
      </c>
      <c r="J8" s="851">
        <v>114</v>
      </c>
      <c r="K8" s="842">
        <v>50.08</v>
      </c>
      <c r="L8" s="841">
        <v>28</v>
      </c>
      <c r="M8" s="841">
        <v>252</v>
      </c>
      <c r="N8" s="843">
        <v>84</v>
      </c>
      <c r="O8" s="841" t="s">
        <v>1567</v>
      </c>
      <c r="P8" s="856" t="s">
        <v>1568</v>
      </c>
      <c r="Q8" s="844">
        <f t="shared" si="0"/>
        <v>1</v>
      </c>
      <c r="R8" s="844">
        <f t="shared" si="0"/>
        <v>50.08</v>
      </c>
      <c r="S8" s="857">
        <f t="shared" si="1"/>
        <v>84</v>
      </c>
      <c r="T8" s="857">
        <f t="shared" si="2"/>
        <v>114</v>
      </c>
      <c r="U8" s="857">
        <f t="shared" si="3"/>
        <v>30</v>
      </c>
      <c r="V8" s="858">
        <f t="shared" si="4"/>
        <v>1.3571428571428572</v>
      </c>
      <c r="W8" s="845">
        <v>30</v>
      </c>
    </row>
    <row r="9" spans="1:23" ht="14.4" customHeight="1" x14ac:dyDescent="0.3">
      <c r="A9" s="905" t="s">
        <v>1569</v>
      </c>
      <c r="B9" s="857">
        <v>6</v>
      </c>
      <c r="C9" s="859">
        <v>180.37</v>
      </c>
      <c r="D9" s="860">
        <v>67.5</v>
      </c>
      <c r="E9" s="855">
        <v>2</v>
      </c>
      <c r="F9" s="839">
        <v>60.09</v>
      </c>
      <c r="G9" s="840">
        <v>61</v>
      </c>
      <c r="H9" s="849">
        <v>6</v>
      </c>
      <c r="I9" s="850">
        <v>129.19</v>
      </c>
      <c r="J9" s="852">
        <v>39.299999999999997</v>
      </c>
      <c r="K9" s="842">
        <v>30.04</v>
      </c>
      <c r="L9" s="841">
        <v>22</v>
      </c>
      <c r="M9" s="841">
        <v>198</v>
      </c>
      <c r="N9" s="843">
        <v>66</v>
      </c>
      <c r="O9" s="841" t="s">
        <v>1567</v>
      </c>
      <c r="P9" s="856" t="s">
        <v>1570</v>
      </c>
      <c r="Q9" s="844">
        <f t="shared" si="0"/>
        <v>0</v>
      </c>
      <c r="R9" s="844">
        <f t="shared" si="0"/>
        <v>-51.180000000000007</v>
      </c>
      <c r="S9" s="857">
        <f t="shared" si="1"/>
        <v>396</v>
      </c>
      <c r="T9" s="857">
        <f t="shared" si="2"/>
        <v>235.79999999999998</v>
      </c>
      <c r="U9" s="857">
        <f t="shared" si="3"/>
        <v>-160.20000000000002</v>
      </c>
      <c r="V9" s="858">
        <f t="shared" si="4"/>
        <v>0.59545454545454546</v>
      </c>
      <c r="W9" s="845">
        <v>11</v>
      </c>
    </row>
    <row r="10" spans="1:23" ht="14.4" customHeight="1" x14ac:dyDescent="0.3">
      <c r="A10" s="905" t="s">
        <v>1571</v>
      </c>
      <c r="B10" s="836">
        <v>1</v>
      </c>
      <c r="C10" s="837">
        <v>33.799999999999997</v>
      </c>
      <c r="D10" s="838">
        <v>114</v>
      </c>
      <c r="E10" s="855"/>
      <c r="F10" s="839"/>
      <c r="G10" s="840"/>
      <c r="H10" s="841"/>
      <c r="I10" s="839"/>
      <c r="J10" s="840"/>
      <c r="K10" s="842">
        <v>33.799999999999997</v>
      </c>
      <c r="L10" s="841">
        <v>23</v>
      </c>
      <c r="M10" s="841">
        <v>207</v>
      </c>
      <c r="N10" s="843">
        <v>69</v>
      </c>
      <c r="O10" s="841" t="s">
        <v>1567</v>
      </c>
      <c r="P10" s="856" t="s">
        <v>1572</v>
      </c>
      <c r="Q10" s="844">
        <f t="shared" si="0"/>
        <v>-1</v>
      </c>
      <c r="R10" s="844">
        <f t="shared" si="0"/>
        <v>-33.799999999999997</v>
      </c>
      <c r="S10" s="857" t="str">
        <f t="shared" si="1"/>
        <v/>
      </c>
      <c r="T10" s="857" t="str">
        <f t="shared" si="2"/>
        <v/>
      </c>
      <c r="U10" s="857" t="str">
        <f t="shared" si="3"/>
        <v/>
      </c>
      <c r="V10" s="858" t="str">
        <f t="shared" si="4"/>
        <v/>
      </c>
      <c r="W10" s="845"/>
    </row>
    <row r="11" spans="1:23" ht="14.4" customHeight="1" x14ac:dyDescent="0.3">
      <c r="A11" s="905" t="s">
        <v>1573</v>
      </c>
      <c r="B11" s="836"/>
      <c r="C11" s="837"/>
      <c r="D11" s="838"/>
      <c r="E11" s="855">
        <v>1</v>
      </c>
      <c r="F11" s="839">
        <v>8.43</v>
      </c>
      <c r="G11" s="840">
        <v>38</v>
      </c>
      <c r="H11" s="841">
        <v>1</v>
      </c>
      <c r="I11" s="839">
        <v>7.5</v>
      </c>
      <c r="J11" s="840">
        <v>8</v>
      </c>
      <c r="K11" s="842">
        <v>8.43</v>
      </c>
      <c r="L11" s="841">
        <v>9</v>
      </c>
      <c r="M11" s="841">
        <v>81</v>
      </c>
      <c r="N11" s="843">
        <v>27</v>
      </c>
      <c r="O11" s="841" t="s">
        <v>1567</v>
      </c>
      <c r="P11" s="856" t="s">
        <v>1574</v>
      </c>
      <c r="Q11" s="844">
        <f t="shared" si="0"/>
        <v>1</v>
      </c>
      <c r="R11" s="844">
        <f t="shared" si="0"/>
        <v>7.5</v>
      </c>
      <c r="S11" s="857">
        <f t="shared" si="1"/>
        <v>27</v>
      </c>
      <c r="T11" s="857">
        <f t="shared" si="2"/>
        <v>8</v>
      </c>
      <c r="U11" s="857">
        <f t="shared" si="3"/>
        <v>-19</v>
      </c>
      <c r="V11" s="858">
        <f t="shared" si="4"/>
        <v>0.29629629629629628</v>
      </c>
      <c r="W11" s="845"/>
    </row>
    <row r="12" spans="1:23" ht="14.4" customHeight="1" x14ac:dyDescent="0.3">
      <c r="A12" s="904" t="s">
        <v>1575</v>
      </c>
      <c r="B12" s="889">
        <v>7</v>
      </c>
      <c r="C12" s="890">
        <v>104.23</v>
      </c>
      <c r="D12" s="846">
        <v>34.1</v>
      </c>
      <c r="E12" s="891">
        <v>2</v>
      </c>
      <c r="F12" s="892">
        <v>30.08</v>
      </c>
      <c r="G12" s="847">
        <v>44.5</v>
      </c>
      <c r="H12" s="893">
        <v>5</v>
      </c>
      <c r="I12" s="892">
        <v>72.599999999999994</v>
      </c>
      <c r="J12" s="853">
        <v>45</v>
      </c>
      <c r="K12" s="894">
        <v>15.04</v>
      </c>
      <c r="L12" s="893">
        <v>14</v>
      </c>
      <c r="M12" s="893">
        <v>123</v>
      </c>
      <c r="N12" s="895">
        <v>41</v>
      </c>
      <c r="O12" s="893" t="s">
        <v>1567</v>
      </c>
      <c r="P12" s="896" t="s">
        <v>1574</v>
      </c>
      <c r="Q12" s="897">
        <f t="shared" si="0"/>
        <v>-2</v>
      </c>
      <c r="R12" s="897">
        <f t="shared" si="0"/>
        <v>-31.63000000000001</v>
      </c>
      <c r="S12" s="898">
        <f t="shared" si="1"/>
        <v>205</v>
      </c>
      <c r="T12" s="898">
        <f t="shared" si="2"/>
        <v>225</v>
      </c>
      <c r="U12" s="898">
        <f t="shared" si="3"/>
        <v>20</v>
      </c>
      <c r="V12" s="899">
        <f t="shared" si="4"/>
        <v>1.0975609756097562</v>
      </c>
      <c r="W12" s="848">
        <v>57</v>
      </c>
    </row>
    <row r="13" spans="1:23" ht="14.4" customHeight="1" x14ac:dyDescent="0.3">
      <c r="A13" s="905" t="s">
        <v>1576</v>
      </c>
      <c r="B13" s="836">
        <v>1</v>
      </c>
      <c r="C13" s="837">
        <v>16.670000000000002</v>
      </c>
      <c r="D13" s="838">
        <v>47</v>
      </c>
      <c r="E13" s="855"/>
      <c r="F13" s="839"/>
      <c r="G13" s="840"/>
      <c r="H13" s="841"/>
      <c r="I13" s="839"/>
      <c r="J13" s="840"/>
      <c r="K13" s="842">
        <v>16.670000000000002</v>
      </c>
      <c r="L13" s="841">
        <v>14</v>
      </c>
      <c r="M13" s="841">
        <v>126</v>
      </c>
      <c r="N13" s="843">
        <v>42</v>
      </c>
      <c r="O13" s="841" t="s">
        <v>1567</v>
      </c>
      <c r="P13" s="856" t="s">
        <v>1577</v>
      </c>
      <c r="Q13" s="844">
        <f t="shared" si="0"/>
        <v>-1</v>
      </c>
      <c r="R13" s="844">
        <f t="shared" si="0"/>
        <v>-16.670000000000002</v>
      </c>
      <c r="S13" s="857" t="str">
        <f t="shared" si="1"/>
        <v/>
      </c>
      <c r="T13" s="857" t="str">
        <f t="shared" si="2"/>
        <v/>
      </c>
      <c r="U13" s="857" t="str">
        <f t="shared" si="3"/>
        <v/>
      </c>
      <c r="V13" s="858" t="str">
        <f t="shared" si="4"/>
        <v/>
      </c>
      <c r="W13" s="845"/>
    </row>
    <row r="14" spans="1:23" ht="14.4" customHeight="1" x14ac:dyDescent="0.3">
      <c r="A14" s="905" t="s">
        <v>1578</v>
      </c>
      <c r="B14" s="857">
        <v>1</v>
      </c>
      <c r="C14" s="859">
        <v>3.06</v>
      </c>
      <c r="D14" s="860">
        <v>24</v>
      </c>
      <c r="E14" s="855"/>
      <c r="F14" s="839"/>
      <c r="G14" s="840"/>
      <c r="H14" s="849">
        <v>3</v>
      </c>
      <c r="I14" s="850">
        <v>8.58</v>
      </c>
      <c r="J14" s="852">
        <v>5.3</v>
      </c>
      <c r="K14" s="842">
        <v>3.06</v>
      </c>
      <c r="L14" s="841">
        <v>5</v>
      </c>
      <c r="M14" s="841">
        <v>48</v>
      </c>
      <c r="N14" s="843">
        <v>16</v>
      </c>
      <c r="O14" s="841" t="s">
        <v>1567</v>
      </c>
      <c r="P14" s="856" t="s">
        <v>1579</v>
      </c>
      <c r="Q14" s="844">
        <f t="shared" si="0"/>
        <v>2</v>
      </c>
      <c r="R14" s="844">
        <f t="shared" si="0"/>
        <v>5.52</v>
      </c>
      <c r="S14" s="857">
        <f t="shared" si="1"/>
        <v>48</v>
      </c>
      <c r="T14" s="857">
        <f t="shared" si="2"/>
        <v>15.899999999999999</v>
      </c>
      <c r="U14" s="857">
        <f t="shared" si="3"/>
        <v>-32.1</v>
      </c>
      <c r="V14" s="858">
        <f t="shared" si="4"/>
        <v>0.33124999999999999</v>
      </c>
      <c r="W14" s="845"/>
    </row>
    <row r="15" spans="1:23" ht="14.4" customHeight="1" x14ac:dyDescent="0.3">
      <c r="A15" s="904" t="s">
        <v>1580</v>
      </c>
      <c r="B15" s="898">
        <v>2</v>
      </c>
      <c r="C15" s="900">
        <v>7.62</v>
      </c>
      <c r="D15" s="861">
        <v>6</v>
      </c>
      <c r="E15" s="891">
        <v>7</v>
      </c>
      <c r="F15" s="892">
        <v>31.11</v>
      </c>
      <c r="G15" s="847">
        <v>16.600000000000001</v>
      </c>
      <c r="H15" s="901">
        <v>7</v>
      </c>
      <c r="I15" s="902">
        <v>31.11</v>
      </c>
      <c r="J15" s="854">
        <v>19.7</v>
      </c>
      <c r="K15" s="894">
        <v>4.4400000000000004</v>
      </c>
      <c r="L15" s="893">
        <v>7</v>
      </c>
      <c r="M15" s="893">
        <v>60</v>
      </c>
      <c r="N15" s="895">
        <v>20</v>
      </c>
      <c r="O15" s="893" t="s">
        <v>1567</v>
      </c>
      <c r="P15" s="896" t="s">
        <v>1579</v>
      </c>
      <c r="Q15" s="897">
        <f t="shared" si="0"/>
        <v>5</v>
      </c>
      <c r="R15" s="897">
        <f t="shared" si="0"/>
        <v>23.49</v>
      </c>
      <c r="S15" s="898">
        <f t="shared" si="1"/>
        <v>140</v>
      </c>
      <c r="T15" s="898">
        <f t="shared" si="2"/>
        <v>137.9</v>
      </c>
      <c r="U15" s="898">
        <f t="shared" si="3"/>
        <v>-2.0999999999999943</v>
      </c>
      <c r="V15" s="899">
        <f t="shared" si="4"/>
        <v>0.98499999999999999</v>
      </c>
      <c r="W15" s="848">
        <v>23</v>
      </c>
    </row>
    <row r="16" spans="1:23" ht="14.4" customHeight="1" x14ac:dyDescent="0.3">
      <c r="A16" s="904" t="s">
        <v>1581</v>
      </c>
      <c r="B16" s="898">
        <v>6</v>
      </c>
      <c r="C16" s="900">
        <v>45.91</v>
      </c>
      <c r="D16" s="861">
        <v>29.2</v>
      </c>
      <c r="E16" s="891">
        <v>4</v>
      </c>
      <c r="F16" s="892">
        <v>30.54</v>
      </c>
      <c r="G16" s="847">
        <v>27.3</v>
      </c>
      <c r="H16" s="901">
        <v>4</v>
      </c>
      <c r="I16" s="902">
        <v>37.03</v>
      </c>
      <c r="J16" s="853">
        <v>49.5</v>
      </c>
      <c r="K16" s="894">
        <v>7.64</v>
      </c>
      <c r="L16" s="893">
        <v>9</v>
      </c>
      <c r="M16" s="893">
        <v>81</v>
      </c>
      <c r="N16" s="895">
        <v>27</v>
      </c>
      <c r="O16" s="893" t="s">
        <v>1567</v>
      </c>
      <c r="P16" s="896" t="s">
        <v>1579</v>
      </c>
      <c r="Q16" s="897">
        <f t="shared" si="0"/>
        <v>-2</v>
      </c>
      <c r="R16" s="897">
        <f t="shared" si="0"/>
        <v>-8.8799999999999955</v>
      </c>
      <c r="S16" s="898">
        <f t="shared" si="1"/>
        <v>108</v>
      </c>
      <c r="T16" s="898">
        <f t="shared" si="2"/>
        <v>198</v>
      </c>
      <c r="U16" s="898">
        <f t="shared" si="3"/>
        <v>90</v>
      </c>
      <c r="V16" s="899">
        <f t="shared" si="4"/>
        <v>1.8333333333333333</v>
      </c>
      <c r="W16" s="848">
        <v>97</v>
      </c>
    </row>
    <row r="17" spans="1:23" ht="14.4" customHeight="1" x14ac:dyDescent="0.3">
      <c r="A17" s="905" t="s">
        <v>1582</v>
      </c>
      <c r="B17" s="836">
        <v>7</v>
      </c>
      <c r="C17" s="837">
        <v>4.05</v>
      </c>
      <c r="D17" s="838">
        <v>8.6</v>
      </c>
      <c r="E17" s="855">
        <v>6</v>
      </c>
      <c r="F17" s="839">
        <v>3.47</v>
      </c>
      <c r="G17" s="840">
        <v>4.7</v>
      </c>
      <c r="H17" s="841">
        <v>8</v>
      </c>
      <c r="I17" s="839">
        <v>4.63</v>
      </c>
      <c r="J17" s="840">
        <v>5.9</v>
      </c>
      <c r="K17" s="842">
        <v>0.57999999999999996</v>
      </c>
      <c r="L17" s="841">
        <v>2</v>
      </c>
      <c r="M17" s="841">
        <v>21</v>
      </c>
      <c r="N17" s="843">
        <v>7</v>
      </c>
      <c r="O17" s="841" t="s">
        <v>1567</v>
      </c>
      <c r="P17" s="856" t="s">
        <v>1583</v>
      </c>
      <c r="Q17" s="844">
        <f t="shared" si="0"/>
        <v>1</v>
      </c>
      <c r="R17" s="844">
        <f t="shared" si="0"/>
        <v>0.58000000000000007</v>
      </c>
      <c r="S17" s="857">
        <f t="shared" si="1"/>
        <v>56</v>
      </c>
      <c r="T17" s="857">
        <f t="shared" si="2"/>
        <v>47.2</v>
      </c>
      <c r="U17" s="857">
        <f t="shared" si="3"/>
        <v>-8.7999999999999972</v>
      </c>
      <c r="V17" s="858">
        <f t="shared" si="4"/>
        <v>0.84285714285714286</v>
      </c>
      <c r="W17" s="845">
        <v>6</v>
      </c>
    </row>
    <row r="18" spans="1:23" ht="14.4" customHeight="1" x14ac:dyDescent="0.3">
      <c r="A18" s="904" t="s">
        <v>1584</v>
      </c>
      <c r="B18" s="889">
        <v>17</v>
      </c>
      <c r="C18" s="890">
        <v>25.83</v>
      </c>
      <c r="D18" s="846">
        <v>10.5</v>
      </c>
      <c r="E18" s="891">
        <v>13</v>
      </c>
      <c r="F18" s="892">
        <v>19.75</v>
      </c>
      <c r="G18" s="847">
        <v>8.1999999999999993</v>
      </c>
      <c r="H18" s="893">
        <v>7</v>
      </c>
      <c r="I18" s="892">
        <v>10.64</v>
      </c>
      <c r="J18" s="853">
        <v>12.7</v>
      </c>
      <c r="K18" s="894">
        <v>1.52</v>
      </c>
      <c r="L18" s="893">
        <v>4</v>
      </c>
      <c r="M18" s="893">
        <v>33</v>
      </c>
      <c r="N18" s="895">
        <v>11</v>
      </c>
      <c r="O18" s="893" t="s">
        <v>1567</v>
      </c>
      <c r="P18" s="896" t="s">
        <v>1583</v>
      </c>
      <c r="Q18" s="897">
        <f t="shared" si="0"/>
        <v>-10</v>
      </c>
      <c r="R18" s="897">
        <f t="shared" si="0"/>
        <v>-15.189999999999998</v>
      </c>
      <c r="S18" s="898">
        <f t="shared" si="1"/>
        <v>77</v>
      </c>
      <c r="T18" s="898">
        <f t="shared" si="2"/>
        <v>88.899999999999991</v>
      </c>
      <c r="U18" s="898">
        <f t="shared" si="3"/>
        <v>11.899999999999991</v>
      </c>
      <c r="V18" s="899">
        <f t="shared" si="4"/>
        <v>1.1545454545454545</v>
      </c>
      <c r="W18" s="848">
        <v>23</v>
      </c>
    </row>
    <row r="19" spans="1:23" ht="14.4" customHeight="1" x14ac:dyDescent="0.3">
      <c r="A19" s="904" t="s">
        <v>1585</v>
      </c>
      <c r="B19" s="889">
        <v>4</v>
      </c>
      <c r="C19" s="890">
        <v>15.17</v>
      </c>
      <c r="D19" s="846">
        <v>23</v>
      </c>
      <c r="E19" s="891">
        <v>7</v>
      </c>
      <c r="F19" s="892">
        <v>31.42</v>
      </c>
      <c r="G19" s="847">
        <v>27.4</v>
      </c>
      <c r="H19" s="893">
        <v>5</v>
      </c>
      <c r="I19" s="892">
        <v>22.86</v>
      </c>
      <c r="J19" s="853">
        <v>32</v>
      </c>
      <c r="K19" s="894">
        <v>3.78</v>
      </c>
      <c r="L19" s="893">
        <v>6</v>
      </c>
      <c r="M19" s="893">
        <v>51</v>
      </c>
      <c r="N19" s="895">
        <v>17</v>
      </c>
      <c r="O19" s="893" t="s">
        <v>1567</v>
      </c>
      <c r="P19" s="896" t="s">
        <v>1583</v>
      </c>
      <c r="Q19" s="897">
        <f t="shared" si="0"/>
        <v>1</v>
      </c>
      <c r="R19" s="897">
        <f t="shared" si="0"/>
        <v>7.6899999999999995</v>
      </c>
      <c r="S19" s="898">
        <f t="shared" si="1"/>
        <v>85</v>
      </c>
      <c r="T19" s="898">
        <f t="shared" si="2"/>
        <v>160</v>
      </c>
      <c r="U19" s="898">
        <f t="shared" si="3"/>
        <v>75</v>
      </c>
      <c r="V19" s="899">
        <f t="shared" si="4"/>
        <v>1.8823529411764706</v>
      </c>
      <c r="W19" s="848">
        <v>75</v>
      </c>
    </row>
    <row r="20" spans="1:23" ht="14.4" customHeight="1" x14ac:dyDescent="0.3">
      <c r="A20" s="905" t="s">
        <v>1586</v>
      </c>
      <c r="B20" s="836">
        <v>1</v>
      </c>
      <c r="C20" s="837">
        <v>14.22</v>
      </c>
      <c r="D20" s="838">
        <v>30</v>
      </c>
      <c r="E20" s="855"/>
      <c r="F20" s="839"/>
      <c r="G20" s="840"/>
      <c r="H20" s="841"/>
      <c r="I20" s="839"/>
      <c r="J20" s="840"/>
      <c r="K20" s="842">
        <v>14.22</v>
      </c>
      <c r="L20" s="841">
        <v>11</v>
      </c>
      <c r="M20" s="841">
        <v>99</v>
      </c>
      <c r="N20" s="843">
        <v>33</v>
      </c>
      <c r="O20" s="841" t="s">
        <v>1567</v>
      </c>
      <c r="P20" s="856" t="s">
        <v>1587</v>
      </c>
      <c r="Q20" s="844">
        <f t="shared" si="0"/>
        <v>-1</v>
      </c>
      <c r="R20" s="844">
        <f t="shared" si="0"/>
        <v>-14.22</v>
      </c>
      <c r="S20" s="857" t="str">
        <f t="shared" si="1"/>
        <v/>
      </c>
      <c r="T20" s="857" t="str">
        <f t="shared" si="2"/>
        <v/>
      </c>
      <c r="U20" s="857" t="str">
        <f t="shared" si="3"/>
        <v/>
      </c>
      <c r="V20" s="858" t="str">
        <f t="shared" si="4"/>
        <v/>
      </c>
      <c r="W20" s="845"/>
    </row>
    <row r="21" spans="1:23" ht="14.4" customHeight="1" x14ac:dyDescent="0.3">
      <c r="A21" s="905" t="s">
        <v>1588</v>
      </c>
      <c r="B21" s="836">
        <v>1</v>
      </c>
      <c r="C21" s="837">
        <v>0.39</v>
      </c>
      <c r="D21" s="838">
        <v>6</v>
      </c>
      <c r="E21" s="855">
        <v>2</v>
      </c>
      <c r="F21" s="839">
        <v>0.78</v>
      </c>
      <c r="G21" s="840">
        <v>8</v>
      </c>
      <c r="H21" s="841">
        <v>1</v>
      </c>
      <c r="I21" s="839">
        <v>0.39</v>
      </c>
      <c r="J21" s="851">
        <v>6</v>
      </c>
      <c r="K21" s="842">
        <v>0.39</v>
      </c>
      <c r="L21" s="841">
        <v>2</v>
      </c>
      <c r="M21" s="841">
        <v>15</v>
      </c>
      <c r="N21" s="843">
        <v>5</v>
      </c>
      <c r="O21" s="841" t="s">
        <v>1567</v>
      </c>
      <c r="P21" s="856" t="s">
        <v>1589</v>
      </c>
      <c r="Q21" s="844">
        <f t="shared" si="0"/>
        <v>0</v>
      </c>
      <c r="R21" s="844">
        <f t="shared" si="0"/>
        <v>0</v>
      </c>
      <c r="S21" s="857">
        <f t="shared" si="1"/>
        <v>5</v>
      </c>
      <c r="T21" s="857">
        <f t="shared" si="2"/>
        <v>6</v>
      </c>
      <c r="U21" s="857">
        <f t="shared" si="3"/>
        <v>1</v>
      </c>
      <c r="V21" s="858">
        <f t="shared" si="4"/>
        <v>1.2</v>
      </c>
      <c r="W21" s="845">
        <v>1</v>
      </c>
    </row>
    <row r="22" spans="1:23" ht="14.4" customHeight="1" x14ac:dyDescent="0.3">
      <c r="A22" s="904" t="s">
        <v>1590</v>
      </c>
      <c r="B22" s="889">
        <v>4</v>
      </c>
      <c r="C22" s="890">
        <v>2.95</v>
      </c>
      <c r="D22" s="846">
        <v>7.5</v>
      </c>
      <c r="E22" s="891">
        <v>2</v>
      </c>
      <c r="F22" s="892">
        <v>1.7</v>
      </c>
      <c r="G22" s="847">
        <v>12</v>
      </c>
      <c r="H22" s="893"/>
      <c r="I22" s="892"/>
      <c r="J22" s="847"/>
      <c r="K22" s="894">
        <v>0.84</v>
      </c>
      <c r="L22" s="893">
        <v>2</v>
      </c>
      <c r="M22" s="893">
        <v>21</v>
      </c>
      <c r="N22" s="895">
        <v>7</v>
      </c>
      <c r="O22" s="893" t="s">
        <v>1567</v>
      </c>
      <c r="P22" s="896" t="s">
        <v>1589</v>
      </c>
      <c r="Q22" s="897">
        <f t="shared" si="0"/>
        <v>-4</v>
      </c>
      <c r="R22" s="897">
        <f t="shared" si="0"/>
        <v>-2.95</v>
      </c>
      <c r="S22" s="898" t="str">
        <f t="shared" si="1"/>
        <v/>
      </c>
      <c r="T22" s="898" t="str">
        <f t="shared" si="2"/>
        <v/>
      </c>
      <c r="U22" s="898" t="str">
        <f t="shared" si="3"/>
        <v/>
      </c>
      <c r="V22" s="899" t="str">
        <f t="shared" si="4"/>
        <v/>
      </c>
      <c r="W22" s="848"/>
    </row>
    <row r="23" spans="1:23" ht="14.4" customHeight="1" x14ac:dyDescent="0.3">
      <c r="A23" s="905" t="s">
        <v>1591</v>
      </c>
      <c r="B23" s="857">
        <v>2</v>
      </c>
      <c r="C23" s="859">
        <v>14.89</v>
      </c>
      <c r="D23" s="860">
        <v>11.5</v>
      </c>
      <c r="E23" s="855">
        <v>2</v>
      </c>
      <c r="F23" s="839">
        <v>14.89</v>
      </c>
      <c r="G23" s="840">
        <v>14.5</v>
      </c>
      <c r="H23" s="849">
        <v>3</v>
      </c>
      <c r="I23" s="850">
        <v>22.34</v>
      </c>
      <c r="J23" s="851">
        <v>16.7</v>
      </c>
      <c r="K23" s="842">
        <v>7.45</v>
      </c>
      <c r="L23" s="841">
        <v>4</v>
      </c>
      <c r="M23" s="841">
        <v>36</v>
      </c>
      <c r="N23" s="843">
        <v>12</v>
      </c>
      <c r="O23" s="841" t="s">
        <v>1567</v>
      </c>
      <c r="P23" s="856" t="s">
        <v>1592</v>
      </c>
      <c r="Q23" s="844">
        <f t="shared" si="0"/>
        <v>1</v>
      </c>
      <c r="R23" s="844">
        <f t="shared" si="0"/>
        <v>7.4499999999999993</v>
      </c>
      <c r="S23" s="857">
        <f t="shared" si="1"/>
        <v>36</v>
      </c>
      <c r="T23" s="857">
        <f t="shared" si="2"/>
        <v>50.099999999999994</v>
      </c>
      <c r="U23" s="857">
        <f t="shared" si="3"/>
        <v>14.099999999999994</v>
      </c>
      <c r="V23" s="858">
        <f t="shared" si="4"/>
        <v>1.3916666666666666</v>
      </c>
      <c r="W23" s="845">
        <v>14</v>
      </c>
    </row>
    <row r="24" spans="1:23" ht="14.4" customHeight="1" x14ac:dyDescent="0.3">
      <c r="A24" s="905" t="s">
        <v>1593</v>
      </c>
      <c r="B24" s="857"/>
      <c r="C24" s="859"/>
      <c r="D24" s="860"/>
      <c r="E24" s="855">
        <v>1</v>
      </c>
      <c r="F24" s="839">
        <v>0.91</v>
      </c>
      <c r="G24" s="840">
        <v>8</v>
      </c>
      <c r="H24" s="849">
        <v>1</v>
      </c>
      <c r="I24" s="850">
        <v>0.91</v>
      </c>
      <c r="J24" s="852">
        <v>8</v>
      </c>
      <c r="K24" s="842">
        <v>0.91</v>
      </c>
      <c r="L24" s="841">
        <v>3</v>
      </c>
      <c r="M24" s="841">
        <v>27</v>
      </c>
      <c r="N24" s="843">
        <v>9</v>
      </c>
      <c r="O24" s="841" t="s">
        <v>1567</v>
      </c>
      <c r="P24" s="856" t="s">
        <v>1594</v>
      </c>
      <c r="Q24" s="844">
        <f t="shared" si="0"/>
        <v>1</v>
      </c>
      <c r="R24" s="844">
        <f t="shared" si="0"/>
        <v>0.91</v>
      </c>
      <c r="S24" s="857">
        <f t="shared" si="1"/>
        <v>9</v>
      </c>
      <c r="T24" s="857">
        <f t="shared" si="2"/>
        <v>8</v>
      </c>
      <c r="U24" s="857">
        <f t="shared" si="3"/>
        <v>-1</v>
      </c>
      <c r="V24" s="858">
        <f t="shared" si="4"/>
        <v>0.88888888888888884</v>
      </c>
      <c r="W24" s="845"/>
    </row>
    <row r="25" spans="1:23" ht="14.4" customHeight="1" x14ac:dyDescent="0.3">
      <c r="A25" s="904" t="s">
        <v>1595</v>
      </c>
      <c r="B25" s="898">
        <v>5</v>
      </c>
      <c r="C25" s="900">
        <v>4.8</v>
      </c>
      <c r="D25" s="861">
        <v>8.8000000000000007</v>
      </c>
      <c r="E25" s="891">
        <v>2</v>
      </c>
      <c r="F25" s="892">
        <v>1.91</v>
      </c>
      <c r="G25" s="847">
        <v>9.5</v>
      </c>
      <c r="H25" s="901">
        <v>6</v>
      </c>
      <c r="I25" s="902">
        <v>5.73</v>
      </c>
      <c r="J25" s="854">
        <v>8.6999999999999993</v>
      </c>
      <c r="K25" s="894">
        <v>0.95</v>
      </c>
      <c r="L25" s="893">
        <v>3</v>
      </c>
      <c r="M25" s="893">
        <v>27</v>
      </c>
      <c r="N25" s="895">
        <v>9</v>
      </c>
      <c r="O25" s="893" t="s">
        <v>1567</v>
      </c>
      <c r="P25" s="896" t="s">
        <v>1594</v>
      </c>
      <c r="Q25" s="897">
        <f t="shared" si="0"/>
        <v>1</v>
      </c>
      <c r="R25" s="897">
        <f t="shared" si="0"/>
        <v>0.9300000000000006</v>
      </c>
      <c r="S25" s="898">
        <f t="shared" si="1"/>
        <v>54</v>
      </c>
      <c r="T25" s="898">
        <f t="shared" si="2"/>
        <v>52.199999999999996</v>
      </c>
      <c r="U25" s="898">
        <f t="shared" si="3"/>
        <v>-1.8000000000000043</v>
      </c>
      <c r="V25" s="899">
        <f t="shared" si="4"/>
        <v>0.96666666666666656</v>
      </c>
      <c r="W25" s="848">
        <v>3</v>
      </c>
    </row>
    <row r="26" spans="1:23" ht="14.4" customHeight="1" x14ac:dyDescent="0.3">
      <c r="A26" s="904" t="s">
        <v>1596</v>
      </c>
      <c r="B26" s="898">
        <v>1</v>
      </c>
      <c r="C26" s="900">
        <v>2.93</v>
      </c>
      <c r="D26" s="861">
        <v>15</v>
      </c>
      <c r="E26" s="891">
        <v>1</v>
      </c>
      <c r="F26" s="892">
        <v>2.93</v>
      </c>
      <c r="G26" s="847">
        <v>9</v>
      </c>
      <c r="H26" s="901">
        <v>2</v>
      </c>
      <c r="I26" s="902">
        <v>5.86</v>
      </c>
      <c r="J26" s="854">
        <v>10.5</v>
      </c>
      <c r="K26" s="894">
        <v>2.93</v>
      </c>
      <c r="L26" s="893">
        <v>4</v>
      </c>
      <c r="M26" s="893">
        <v>33</v>
      </c>
      <c r="N26" s="895">
        <v>11</v>
      </c>
      <c r="O26" s="893" t="s">
        <v>1567</v>
      </c>
      <c r="P26" s="896" t="s">
        <v>1594</v>
      </c>
      <c r="Q26" s="897">
        <f t="shared" si="0"/>
        <v>1</v>
      </c>
      <c r="R26" s="897">
        <f t="shared" si="0"/>
        <v>2.93</v>
      </c>
      <c r="S26" s="898">
        <f t="shared" si="1"/>
        <v>22</v>
      </c>
      <c r="T26" s="898">
        <f t="shared" si="2"/>
        <v>21</v>
      </c>
      <c r="U26" s="898">
        <f t="shared" si="3"/>
        <v>-1</v>
      </c>
      <c r="V26" s="899">
        <f t="shared" si="4"/>
        <v>0.95454545454545459</v>
      </c>
      <c r="W26" s="848"/>
    </row>
    <row r="27" spans="1:23" ht="14.4" customHeight="1" x14ac:dyDescent="0.3">
      <c r="A27" s="905" t="s">
        <v>1597</v>
      </c>
      <c r="B27" s="857">
        <v>159</v>
      </c>
      <c r="C27" s="859">
        <v>46.17</v>
      </c>
      <c r="D27" s="860">
        <v>4.4000000000000004</v>
      </c>
      <c r="E27" s="849">
        <v>250</v>
      </c>
      <c r="F27" s="850">
        <v>72.83</v>
      </c>
      <c r="G27" s="852">
        <v>4.5999999999999996</v>
      </c>
      <c r="H27" s="841">
        <v>266</v>
      </c>
      <c r="I27" s="839">
        <v>77.55</v>
      </c>
      <c r="J27" s="840">
        <v>4.5</v>
      </c>
      <c r="K27" s="842">
        <v>0.28999999999999998</v>
      </c>
      <c r="L27" s="841">
        <v>2</v>
      </c>
      <c r="M27" s="841">
        <v>15</v>
      </c>
      <c r="N27" s="843">
        <v>5</v>
      </c>
      <c r="O27" s="841" t="s">
        <v>1567</v>
      </c>
      <c r="P27" s="856" t="s">
        <v>1598</v>
      </c>
      <c r="Q27" s="844">
        <f t="shared" si="0"/>
        <v>107</v>
      </c>
      <c r="R27" s="844">
        <f t="shared" si="0"/>
        <v>31.379999999999995</v>
      </c>
      <c r="S27" s="857">
        <f t="shared" si="1"/>
        <v>1330</v>
      </c>
      <c r="T27" s="857">
        <f t="shared" si="2"/>
        <v>1197</v>
      </c>
      <c r="U27" s="857">
        <f t="shared" si="3"/>
        <v>-133</v>
      </c>
      <c r="V27" s="858">
        <f t="shared" si="4"/>
        <v>0.9</v>
      </c>
      <c r="W27" s="845">
        <v>56</v>
      </c>
    </row>
    <row r="28" spans="1:23" ht="14.4" customHeight="1" x14ac:dyDescent="0.3">
      <c r="A28" s="904" t="s">
        <v>1599</v>
      </c>
      <c r="B28" s="898">
        <v>112</v>
      </c>
      <c r="C28" s="900">
        <v>42.18</v>
      </c>
      <c r="D28" s="861">
        <v>5.3</v>
      </c>
      <c r="E28" s="901">
        <v>53</v>
      </c>
      <c r="F28" s="902">
        <v>20.11</v>
      </c>
      <c r="G28" s="854">
        <v>5.8</v>
      </c>
      <c r="H28" s="893">
        <v>25</v>
      </c>
      <c r="I28" s="892">
        <v>9.41</v>
      </c>
      <c r="J28" s="847">
        <v>5.4</v>
      </c>
      <c r="K28" s="894">
        <v>0.38</v>
      </c>
      <c r="L28" s="893">
        <v>2</v>
      </c>
      <c r="M28" s="893">
        <v>18</v>
      </c>
      <c r="N28" s="895">
        <v>6</v>
      </c>
      <c r="O28" s="893" t="s">
        <v>1567</v>
      </c>
      <c r="P28" s="896" t="s">
        <v>1600</v>
      </c>
      <c r="Q28" s="897">
        <f t="shared" si="0"/>
        <v>-87</v>
      </c>
      <c r="R28" s="897">
        <f t="shared" si="0"/>
        <v>-32.769999999999996</v>
      </c>
      <c r="S28" s="898">
        <f t="shared" si="1"/>
        <v>150</v>
      </c>
      <c r="T28" s="898">
        <f t="shared" si="2"/>
        <v>135</v>
      </c>
      <c r="U28" s="898">
        <f t="shared" si="3"/>
        <v>-15</v>
      </c>
      <c r="V28" s="899">
        <f t="shared" si="4"/>
        <v>0.9</v>
      </c>
      <c r="W28" s="848">
        <v>6</v>
      </c>
    </row>
    <row r="29" spans="1:23" ht="14.4" customHeight="1" x14ac:dyDescent="0.3">
      <c r="A29" s="904" t="s">
        <v>1601</v>
      </c>
      <c r="B29" s="898">
        <v>20</v>
      </c>
      <c r="C29" s="900">
        <v>11.85</v>
      </c>
      <c r="D29" s="861">
        <v>5.3</v>
      </c>
      <c r="E29" s="901">
        <v>33</v>
      </c>
      <c r="F29" s="902">
        <v>19.55</v>
      </c>
      <c r="G29" s="854">
        <v>5.0999999999999996</v>
      </c>
      <c r="H29" s="893">
        <v>4</v>
      </c>
      <c r="I29" s="892">
        <v>2.37</v>
      </c>
      <c r="J29" s="853">
        <v>7</v>
      </c>
      <c r="K29" s="894">
        <v>0.59</v>
      </c>
      <c r="L29" s="893">
        <v>2</v>
      </c>
      <c r="M29" s="893">
        <v>18</v>
      </c>
      <c r="N29" s="895">
        <v>6</v>
      </c>
      <c r="O29" s="893" t="s">
        <v>1567</v>
      </c>
      <c r="P29" s="896" t="s">
        <v>1600</v>
      </c>
      <c r="Q29" s="897">
        <f t="shared" si="0"/>
        <v>-16</v>
      </c>
      <c r="R29" s="897">
        <f t="shared" si="0"/>
        <v>-9.48</v>
      </c>
      <c r="S29" s="898">
        <f t="shared" si="1"/>
        <v>24</v>
      </c>
      <c r="T29" s="898">
        <f t="shared" si="2"/>
        <v>28</v>
      </c>
      <c r="U29" s="898">
        <f t="shared" si="3"/>
        <v>4</v>
      </c>
      <c r="V29" s="899">
        <f t="shared" si="4"/>
        <v>1.1666666666666667</v>
      </c>
      <c r="W29" s="848">
        <v>7</v>
      </c>
    </row>
    <row r="30" spans="1:23" ht="14.4" customHeight="1" x14ac:dyDescent="0.3">
      <c r="A30" s="905" t="s">
        <v>1602</v>
      </c>
      <c r="B30" s="836">
        <v>4</v>
      </c>
      <c r="C30" s="837">
        <v>1.03</v>
      </c>
      <c r="D30" s="838">
        <v>2.2999999999999998</v>
      </c>
      <c r="E30" s="855">
        <v>1</v>
      </c>
      <c r="F30" s="839">
        <v>0.26</v>
      </c>
      <c r="G30" s="840">
        <v>3</v>
      </c>
      <c r="H30" s="841">
        <v>2</v>
      </c>
      <c r="I30" s="839">
        <v>0.51</v>
      </c>
      <c r="J30" s="840">
        <v>1.5</v>
      </c>
      <c r="K30" s="842">
        <v>0.26</v>
      </c>
      <c r="L30" s="841">
        <v>1</v>
      </c>
      <c r="M30" s="841">
        <v>9</v>
      </c>
      <c r="N30" s="843">
        <v>3</v>
      </c>
      <c r="O30" s="841" t="s">
        <v>1560</v>
      </c>
      <c r="P30" s="856" t="s">
        <v>1603</v>
      </c>
      <c r="Q30" s="844">
        <f t="shared" si="0"/>
        <v>-2</v>
      </c>
      <c r="R30" s="844">
        <f t="shared" si="0"/>
        <v>-0.52</v>
      </c>
      <c r="S30" s="857">
        <f t="shared" si="1"/>
        <v>6</v>
      </c>
      <c r="T30" s="857">
        <f t="shared" si="2"/>
        <v>3</v>
      </c>
      <c r="U30" s="857">
        <f t="shared" si="3"/>
        <v>-3</v>
      </c>
      <c r="V30" s="858">
        <f t="shared" si="4"/>
        <v>0.5</v>
      </c>
      <c r="W30" s="845"/>
    </row>
    <row r="31" spans="1:23" ht="14.4" customHeight="1" x14ac:dyDescent="0.3">
      <c r="A31" s="904" t="s">
        <v>1604</v>
      </c>
      <c r="B31" s="889"/>
      <c r="C31" s="890"/>
      <c r="D31" s="846"/>
      <c r="E31" s="891">
        <v>1</v>
      </c>
      <c r="F31" s="892">
        <v>0.36</v>
      </c>
      <c r="G31" s="847">
        <v>6</v>
      </c>
      <c r="H31" s="893"/>
      <c r="I31" s="892"/>
      <c r="J31" s="847"/>
      <c r="K31" s="894">
        <v>0.36</v>
      </c>
      <c r="L31" s="893">
        <v>1</v>
      </c>
      <c r="M31" s="893">
        <v>12</v>
      </c>
      <c r="N31" s="895">
        <v>4</v>
      </c>
      <c r="O31" s="893" t="s">
        <v>1560</v>
      </c>
      <c r="P31" s="896" t="s">
        <v>1605</v>
      </c>
      <c r="Q31" s="897">
        <f t="shared" si="0"/>
        <v>0</v>
      </c>
      <c r="R31" s="897">
        <f t="shared" si="0"/>
        <v>0</v>
      </c>
      <c r="S31" s="898" t="str">
        <f t="shared" si="1"/>
        <v/>
      </c>
      <c r="T31" s="898" t="str">
        <f t="shared" si="2"/>
        <v/>
      </c>
      <c r="U31" s="898" t="str">
        <f t="shared" si="3"/>
        <v/>
      </c>
      <c r="V31" s="899" t="str">
        <f t="shared" si="4"/>
        <v/>
      </c>
      <c r="W31" s="848"/>
    </row>
    <row r="32" spans="1:23" ht="14.4" customHeight="1" thickBot="1" x14ac:dyDescent="0.35">
      <c r="A32" s="906" t="s">
        <v>1606</v>
      </c>
      <c r="B32" s="907"/>
      <c r="C32" s="908"/>
      <c r="D32" s="909"/>
      <c r="E32" s="910"/>
      <c r="F32" s="911"/>
      <c r="G32" s="912"/>
      <c r="H32" s="913">
        <v>1</v>
      </c>
      <c r="I32" s="914">
        <v>0.11</v>
      </c>
      <c r="J32" s="915">
        <v>4</v>
      </c>
      <c r="K32" s="916">
        <v>0.11</v>
      </c>
      <c r="L32" s="917">
        <v>2</v>
      </c>
      <c r="M32" s="917">
        <v>15</v>
      </c>
      <c r="N32" s="918">
        <v>5</v>
      </c>
      <c r="O32" s="917" t="s">
        <v>1560</v>
      </c>
      <c r="P32" s="919" t="s">
        <v>1607</v>
      </c>
      <c r="Q32" s="920">
        <f t="shared" si="0"/>
        <v>1</v>
      </c>
      <c r="R32" s="920">
        <f t="shared" si="0"/>
        <v>0.11</v>
      </c>
      <c r="S32" s="907">
        <f t="shared" si="1"/>
        <v>5</v>
      </c>
      <c r="T32" s="907">
        <f t="shared" si="2"/>
        <v>4</v>
      </c>
      <c r="U32" s="907">
        <f t="shared" si="3"/>
        <v>-1</v>
      </c>
      <c r="V32" s="921">
        <f t="shared" si="4"/>
        <v>0.8</v>
      </c>
      <c r="W32" s="92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3:Q1048576">
    <cfRule type="cellIs" dxfId="12" priority="9" stopIfTrue="1" operator="lessThan">
      <formula>0</formula>
    </cfRule>
  </conditionalFormatting>
  <conditionalFormatting sqref="U33:U1048576">
    <cfRule type="cellIs" dxfId="11" priority="8" stopIfTrue="1" operator="greaterThan">
      <formula>0</formula>
    </cfRule>
  </conditionalFormatting>
  <conditionalFormatting sqref="V33:V1048576">
    <cfRule type="cellIs" dxfId="10" priority="7" stopIfTrue="1" operator="greaterThan">
      <formula>1</formula>
    </cfRule>
  </conditionalFormatting>
  <conditionalFormatting sqref="V33:V1048576">
    <cfRule type="cellIs" dxfId="9" priority="4" stopIfTrue="1" operator="greaterThan">
      <formula>1</formula>
    </cfRule>
  </conditionalFormatting>
  <conditionalFormatting sqref="U33:U1048576">
    <cfRule type="cellIs" dxfId="8" priority="5" stopIfTrue="1" operator="greaterThan">
      <formula>0</formula>
    </cfRule>
  </conditionalFormatting>
  <conditionalFormatting sqref="Q33:Q1048576">
    <cfRule type="cellIs" dxfId="7" priority="6" stopIfTrue="1" operator="lessThan">
      <formula>0</formula>
    </cfRule>
  </conditionalFormatting>
  <conditionalFormatting sqref="V5:V32">
    <cfRule type="cellIs" dxfId="6" priority="1" stopIfTrue="1" operator="greaterThan">
      <formula>1</formula>
    </cfRule>
  </conditionalFormatting>
  <conditionalFormatting sqref="U5:U32">
    <cfRule type="cellIs" dxfId="5" priority="2" stopIfTrue="1" operator="greaterThan">
      <formula>0</formula>
    </cfRule>
  </conditionalFormatting>
  <conditionalFormatting sqref="Q5:Q3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7" customWidth="1" collapsed="1"/>
    <col min="2" max="2" width="7.77734375" style="205" hidden="1" customWidth="1" outlineLevel="1"/>
    <col min="3" max="3" width="7.21875" style="237" hidden="1" customWidth="1"/>
    <col min="4" max="4" width="7.77734375" style="205" customWidth="1"/>
    <col min="5" max="5" width="7.21875" style="237" hidden="1" customWidth="1"/>
    <col min="6" max="6" width="7.77734375" style="205" customWidth="1"/>
    <col min="7" max="7" width="7.77734375" style="322" customWidth="1" collapsed="1"/>
    <col min="8" max="8" width="7.77734375" style="205" hidden="1" customWidth="1" outlineLevel="1"/>
    <col min="9" max="9" width="7.21875" style="237" hidden="1" customWidth="1"/>
    <col min="10" max="10" width="7.77734375" style="205" customWidth="1"/>
    <col min="11" max="11" width="7.21875" style="237" hidden="1" customWidth="1"/>
    <col min="12" max="12" width="7.77734375" style="205" customWidth="1"/>
    <col min="13" max="13" width="7.77734375" style="322" customWidth="1"/>
    <col min="14" max="16384" width="8.88671875" style="237"/>
  </cols>
  <sheetData>
    <row r="1" spans="1:13" ht="18.600000000000001" customHeight="1" thickBot="1" x14ac:dyDescent="0.4">
      <c r="A1" s="516" t="s">
        <v>150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3" ht="14.4" customHeight="1" thickBot="1" x14ac:dyDescent="0.35">
      <c r="A2" s="360" t="s">
        <v>344</v>
      </c>
      <c r="B2" s="334"/>
      <c r="C2" s="210"/>
      <c r="D2" s="334"/>
      <c r="E2" s="210"/>
      <c r="F2" s="334"/>
      <c r="G2" s="335"/>
      <c r="H2" s="334"/>
      <c r="I2" s="210"/>
      <c r="J2" s="334"/>
      <c r="K2" s="210"/>
      <c r="L2" s="334"/>
      <c r="M2" s="335"/>
    </row>
    <row r="3" spans="1:13" ht="14.4" customHeight="1" thickBot="1" x14ac:dyDescent="0.35">
      <c r="A3" s="328" t="s">
        <v>151</v>
      </c>
      <c r="B3" s="329">
        <f>SUBTOTAL(9,B6:B1048576)</f>
        <v>833932</v>
      </c>
      <c r="C3" s="330">
        <f t="shared" ref="C3:L3" si="0">SUBTOTAL(9,C6:C1048576)</f>
        <v>9.3168491355035776</v>
      </c>
      <c r="D3" s="330">
        <f t="shared" si="0"/>
        <v>776423</v>
      </c>
      <c r="E3" s="330">
        <f t="shared" si="0"/>
        <v>8</v>
      </c>
      <c r="F3" s="330">
        <f t="shared" si="0"/>
        <v>970132</v>
      </c>
      <c r="G3" s="333">
        <f>IF(D3&lt;&gt;0,F3/D3,"")</f>
        <v>1.249489002772973</v>
      </c>
      <c r="H3" s="329">
        <f t="shared" si="0"/>
        <v>1501.7700000000002</v>
      </c>
      <c r="I3" s="330">
        <f t="shared" si="0"/>
        <v>2.2615315111813876</v>
      </c>
      <c r="J3" s="330">
        <f t="shared" si="0"/>
        <v>664.05</v>
      </c>
      <c r="K3" s="330">
        <f t="shared" si="0"/>
        <v>1</v>
      </c>
      <c r="L3" s="330">
        <f t="shared" si="0"/>
        <v>871.96</v>
      </c>
      <c r="M3" s="331">
        <f>IF(J3&lt;&gt;0,L3/J3,"")</f>
        <v>1.3130938935321137</v>
      </c>
    </row>
    <row r="4" spans="1:13" ht="14.4" customHeight="1" x14ac:dyDescent="0.3">
      <c r="A4" s="633" t="s">
        <v>111</v>
      </c>
      <c r="B4" s="569" t="s">
        <v>116</v>
      </c>
      <c r="C4" s="570"/>
      <c r="D4" s="570"/>
      <c r="E4" s="570"/>
      <c r="F4" s="570"/>
      <c r="G4" s="572"/>
      <c r="H4" s="569" t="s">
        <v>117</v>
      </c>
      <c r="I4" s="570"/>
      <c r="J4" s="570"/>
      <c r="K4" s="570"/>
      <c r="L4" s="570"/>
      <c r="M4" s="572"/>
    </row>
    <row r="5" spans="1:13" s="320" customFormat="1" ht="14.4" customHeight="1" thickBot="1" x14ac:dyDescent="0.35">
      <c r="A5" s="923"/>
      <c r="B5" s="924">
        <v>2015</v>
      </c>
      <c r="C5" s="925"/>
      <c r="D5" s="925">
        <v>2016</v>
      </c>
      <c r="E5" s="925"/>
      <c r="F5" s="925">
        <v>2017</v>
      </c>
      <c r="G5" s="830" t="s">
        <v>2</v>
      </c>
      <c r="H5" s="924">
        <v>2015</v>
      </c>
      <c r="I5" s="925"/>
      <c r="J5" s="925">
        <v>2016</v>
      </c>
      <c r="K5" s="925"/>
      <c r="L5" s="925">
        <v>2017</v>
      </c>
      <c r="M5" s="830" t="s">
        <v>2</v>
      </c>
    </row>
    <row r="6" spans="1:13" ht="14.4" customHeight="1" x14ac:dyDescent="0.3">
      <c r="A6" s="713" t="s">
        <v>1609</v>
      </c>
      <c r="B6" s="812">
        <v>111414</v>
      </c>
      <c r="C6" s="682">
        <v>2.4632221264177225</v>
      </c>
      <c r="D6" s="812">
        <v>45231</v>
      </c>
      <c r="E6" s="682">
        <v>1</v>
      </c>
      <c r="F6" s="812">
        <v>1285</v>
      </c>
      <c r="G6" s="703">
        <v>2.8409718998032324E-2</v>
      </c>
      <c r="H6" s="812"/>
      <c r="I6" s="682"/>
      <c r="J6" s="812"/>
      <c r="K6" s="682"/>
      <c r="L6" s="812"/>
      <c r="M6" s="726"/>
    </row>
    <row r="7" spans="1:13" ht="14.4" customHeight="1" x14ac:dyDescent="0.3">
      <c r="A7" s="716" t="s">
        <v>1610</v>
      </c>
      <c r="B7" s="814">
        <v>47554</v>
      </c>
      <c r="C7" s="688">
        <v>1.5798671096345516</v>
      </c>
      <c r="D7" s="814">
        <v>30100</v>
      </c>
      <c r="E7" s="688">
        <v>1</v>
      </c>
      <c r="F7" s="814">
        <v>132576</v>
      </c>
      <c r="G7" s="704">
        <v>4.404518272425249</v>
      </c>
      <c r="H7" s="814"/>
      <c r="I7" s="688"/>
      <c r="J7" s="814"/>
      <c r="K7" s="688"/>
      <c r="L7" s="814"/>
      <c r="M7" s="727"/>
    </row>
    <row r="8" spans="1:13" ht="14.4" customHeight="1" x14ac:dyDescent="0.3">
      <c r="A8" s="716" t="s">
        <v>1611</v>
      </c>
      <c r="B8" s="814">
        <v>328114</v>
      </c>
      <c r="C8" s="688">
        <v>1.0519340204863505</v>
      </c>
      <c r="D8" s="814">
        <v>311915</v>
      </c>
      <c r="E8" s="688">
        <v>1</v>
      </c>
      <c r="F8" s="814">
        <v>512128</v>
      </c>
      <c r="G8" s="704">
        <v>1.6418832053604346</v>
      </c>
      <c r="H8" s="814"/>
      <c r="I8" s="688"/>
      <c r="J8" s="814"/>
      <c r="K8" s="688"/>
      <c r="L8" s="814"/>
      <c r="M8" s="727"/>
    </row>
    <row r="9" spans="1:13" ht="14.4" customHeight="1" x14ac:dyDescent="0.3">
      <c r="A9" s="716" t="s">
        <v>1612</v>
      </c>
      <c r="B9" s="814">
        <v>25280</v>
      </c>
      <c r="C9" s="688">
        <v>0.4840778967121766</v>
      </c>
      <c r="D9" s="814">
        <v>52223</v>
      </c>
      <c r="E9" s="688">
        <v>1</v>
      </c>
      <c r="F9" s="814">
        <v>43179</v>
      </c>
      <c r="G9" s="704">
        <v>0.82681960055914061</v>
      </c>
      <c r="H9" s="814">
        <v>1501.7700000000002</v>
      </c>
      <c r="I9" s="688">
        <v>2.2615315111813876</v>
      </c>
      <c r="J9" s="814">
        <v>664.05</v>
      </c>
      <c r="K9" s="688">
        <v>1</v>
      </c>
      <c r="L9" s="814">
        <v>871.96</v>
      </c>
      <c r="M9" s="727">
        <v>1.3130938935321137</v>
      </c>
    </row>
    <row r="10" spans="1:13" ht="14.4" customHeight="1" x14ac:dyDescent="0.3">
      <c r="A10" s="716" t="s">
        <v>1613</v>
      </c>
      <c r="B10" s="814">
        <v>196531</v>
      </c>
      <c r="C10" s="688">
        <v>0.95584358737415498</v>
      </c>
      <c r="D10" s="814">
        <v>205610</v>
      </c>
      <c r="E10" s="688">
        <v>1</v>
      </c>
      <c r="F10" s="814">
        <v>171025</v>
      </c>
      <c r="G10" s="704">
        <v>0.83179320071980933</v>
      </c>
      <c r="H10" s="814"/>
      <c r="I10" s="688"/>
      <c r="J10" s="814"/>
      <c r="K10" s="688"/>
      <c r="L10" s="814"/>
      <c r="M10" s="727"/>
    </row>
    <row r="11" spans="1:13" ht="14.4" customHeight="1" x14ac:dyDescent="0.3">
      <c r="A11" s="716" t="s">
        <v>1614</v>
      </c>
      <c r="B11" s="814">
        <v>13828</v>
      </c>
      <c r="C11" s="688">
        <v>0.73148539991536188</v>
      </c>
      <c r="D11" s="814">
        <v>18904</v>
      </c>
      <c r="E11" s="688">
        <v>1</v>
      </c>
      <c r="F11" s="814">
        <v>3890</v>
      </c>
      <c r="G11" s="704">
        <v>0.20577655522640712</v>
      </c>
      <c r="H11" s="814"/>
      <c r="I11" s="688"/>
      <c r="J11" s="814"/>
      <c r="K11" s="688"/>
      <c r="L11" s="814"/>
      <c r="M11" s="727"/>
    </row>
    <row r="12" spans="1:13" ht="14.4" customHeight="1" x14ac:dyDescent="0.3">
      <c r="A12" s="716" t="s">
        <v>1615</v>
      </c>
      <c r="B12" s="814">
        <v>89124</v>
      </c>
      <c r="C12" s="688">
        <v>0.96846543368178561</v>
      </c>
      <c r="D12" s="814">
        <v>92026</v>
      </c>
      <c r="E12" s="688">
        <v>1</v>
      </c>
      <c r="F12" s="814">
        <v>100010</v>
      </c>
      <c r="G12" s="704">
        <v>1.0867580901049703</v>
      </c>
      <c r="H12" s="814"/>
      <c r="I12" s="688"/>
      <c r="J12" s="814"/>
      <c r="K12" s="688"/>
      <c r="L12" s="814"/>
      <c r="M12" s="727"/>
    </row>
    <row r="13" spans="1:13" ht="14.4" customHeight="1" thickBot="1" x14ac:dyDescent="0.35">
      <c r="A13" s="818" t="s">
        <v>1616</v>
      </c>
      <c r="B13" s="816">
        <v>22087</v>
      </c>
      <c r="C13" s="694">
        <v>1.0819535612814735</v>
      </c>
      <c r="D13" s="816">
        <v>20414</v>
      </c>
      <c r="E13" s="694">
        <v>1</v>
      </c>
      <c r="F13" s="816">
        <v>6039</v>
      </c>
      <c r="G13" s="705">
        <v>0.29582639365141572</v>
      </c>
      <c r="H13" s="816"/>
      <c r="I13" s="694"/>
      <c r="J13" s="816"/>
      <c r="K13" s="694"/>
      <c r="L13" s="816"/>
      <c r="M13" s="72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7" bestFit="1" customWidth="1"/>
    <col min="2" max="2" width="9.5546875" style="237" hidden="1" customWidth="1" outlineLevel="1"/>
    <col min="3" max="3" width="9.5546875" style="237" customWidth="1" collapsed="1"/>
    <col min="4" max="4" width="2.21875" style="237" customWidth="1"/>
    <col min="5" max="8" width="9.5546875" style="237" customWidth="1"/>
    <col min="9" max="10" width="9.77734375" style="237" hidden="1" customWidth="1" outlineLevel="1"/>
    <col min="11" max="11" width="8.88671875" style="237" collapsed="1"/>
    <col min="12" max="16384" width="8.88671875" style="237"/>
  </cols>
  <sheetData>
    <row r="1" spans="1:10" ht="18.600000000000001" customHeight="1" thickBot="1" x14ac:dyDescent="0.4">
      <c r="A1" s="515" t="s">
        <v>167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ht="14.4" customHeight="1" thickBot="1" x14ac:dyDescent="0.35">
      <c r="A2" s="360" t="s">
        <v>344</v>
      </c>
      <c r="B2" s="210"/>
      <c r="C2" s="210"/>
      <c r="D2" s="210"/>
      <c r="E2" s="210"/>
      <c r="F2" s="210"/>
    </row>
    <row r="3" spans="1:10" ht="14.4" customHeight="1" x14ac:dyDescent="0.3">
      <c r="A3" s="506"/>
      <c r="B3" s="206">
        <v>2015</v>
      </c>
      <c r="C3" s="44">
        <v>2016</v>
      </c>
      <c r="D3" s="11"/>
      <c r="E3" s="510">
        <v>2017</v>
      </c>
      <c r="F3" s="511"/>
      <c r="G3" s="511"/>
      <c r="H3" s="512"/>
      <c r="I3" s="513">
        <v>2017</v>
      </c>
      <c r="J3" s="514"/>
    </row>
    <row r="4" spans="1:10" ht="14.4" customHeight="1" thickBot="1" x14ac:dyDescent="0.35">
      <c r="A4" s="507"/>
      <c r="B4" s="508" t="s">
        <v>87</v>
      </c>
      <c r="C4" s="509"/>
      <c r="D4" s="11"/>
      <c r="E4" s="227" t="s">
        <v>87</v>
      </c>
      <c r="F4" s="208" t="s">
        <v>88</v>
      </c>
      <c r="G4" s="208" t="s">
        <v>62</v>
      </c>
      <c r="H4" s="209" t="s">
        <v>89</v>
      </c>
      <c r="I4" s="484" t="s">
        <v>332</v>
      </c>
      <c r="J4" s="485" t="s">
        <v>333</v>
      </c>
    </row>
    <row r="5" spans="1:10" ht="14.4" customHeight="1" x14ac:dyDescent="0.3">
      <c r="A5" s="211" t="str">
        <f>HYPERLINK("#'Léky Žádanky'!A1","Léky (Kč)")</f>
        <v>Léky (Kč)</v>
      </c>
      <c r="B5" s="31">
        <v>358.40806999999995</v>
      </c>
      <c r="C5" s="33">
        <v>2378.0724499999997</v>
      </c>
      <c r="D5" s="12"/>
      <c r="E5" s="216">
        <v>1400.96126</v>
      </c>
      <c r="F5" s="32">
        <v>1276.666666666667</v>
      </c>
      <c r="G5" s="215">
        <f>E5-F5</f>
        <v>124.29459333333307</v>
      </c>
      <c r="H5" s="221">
        <f>IF(F5&lt;0.00000001,"",E5/F5)</f>
        <v>1.0973586892950389</v>
      </c>
    </row>
    <row r="6" spans="1:10" ht="14.4" customHeight="1" x14ac:dyDescent="0.3">
      <c r="A6" s="211" t="str">
        <f>HYPERLINK("#'Materiál Žádanky'!A1","Materiál - SZM (Kč)")</f>
        <v>Materiál - SZM (Kč)</v>
      </c>
      <c r="B6" s="14">
        <v>641.72287000000097</v>
      </c>
      <c r="C6" s="35">
        <v>681.55813000000001</v>
      </c>
      <c r="D6" s="12"/>
      <c r="E6" s="217">
        <v>741.90528999999992</v>
      </c>
      <c r="F6" s="34">
        <v>802.85345378033662</v>
      </c>
      <c r="G6" s="218">
        <f>E6-F6</f>
        <v>-60.948163780336699</v>
      </c>
      <c r="H6" s="222">
        <f>IF(F6&lt;0.00000001,"",E6/F6)</f>
        <v>0.92408556817766108</v>
      </c>
    </row>
    <row r="7" spans="1:10" ht="14.4" customHeight="1" x14ac:dyDescent="0.3">
      <c r="A7" s="211" t="str">
        <f>HYPERLINK("#'Osobní náklady'!A1","Osobní náklady (Kč) *")</f>
        <v>Osobní náklady (Kč) *</v>
      </c>
      <c r="B7" s="14">
        <v>6756.2118500000033</v>
      </c>
      <c r="C7" s="35">
        <v>7099.6157499999999</v>
      </c>
      <c r="D7" s="12"/>
      <c r="E7" s="217">
        <v>7752.4254000000001</v>
      </c>
      <c r="F7" s="34">
        <v>8304.1666666666679</v>
      </c>
      <c r="G7" s="218">
        <f>E7-F7</f>
        <v>-551.7412666666678</v>
      </c>
      <c r="H7" s="222">
        <f>IF(F7&lt;0.00000001,"",E7/F7)</f>
        <v>0.93355850275965868</v>
      </c>
    </row>
    <row r="8" spans="1:10" ht="14.4" customHeight="1" thickBot="1" x14ac:dyDescent="0.35">
      <c r="A8" s="1" t="s">
        <v>90</v>
      </c>
      <c r="B8" s="15">
        <v>1359.8367900000085</v>
      </c>
      <c r="C8" s="37">
        <v>1591.2524700000017</v>
      </c>
      <c r="D8" s="12"/>
      <c r="E8" s="219">
        <v>1723.16679</v>
      </c>
      <c r="F8" s="36">
        <v>1688.2027619488522</v>
      </c>
      <c r="G8" s="220">
        <f>E8-F8</f>
        <v>34.964028051147807</v>
      </c>
      <c r="H8" s="223">
        <f>IF(F8&lt;0.00000001,"",E8/F8)</f>
        <v>1.0207107989864828</v>
      </c>
    </row>
    <row r="9" spans="1:10" ht="14.4" customHeight="1" thickBot="1" x14ac:dyDescent="0.35">
      <c r="A9" s="2" t="s">
        <v>91</v>
      </c>
      <c r="B9" s="3">
        <v>9116.1795800000127</v>
      </c>
      <c r="C9" s="39">
        <v>11750.498800000001</v>
      </c>
      <c r="D9" s="12"/>
      <c r="E9" s="3">
        <v>11618.458739999998</v>
      </c>
      <c r="F9" s="38">
        <v>12071.889549062524</v>
      </c>
      <c r="G9" s="38">
        <f>E9-F9</f>
        <v>-453.43080906252544</v>
      </c>
      <c r="H9" s="224">
        <f>IF(F9&lt;0.00000001,"",E9/F9)</f>
        <v>0.96243911881237032</v>
      </c>
    </row>
    <row r="10" spans="1:10" ht="14.4" customHeight="1" thickBot="1" x14ac:dyDescent="0.35">
      <c r="A10" s="16"/>
      <c r="B10" s="16"/>
      <c r="C10" s="207"/>
      <c r="D10" s="12"/>
      <c r="E10" s="16"/>
      <c r="F10" s="17"/>
    </row>
    <row r="11" spans="1:10" ht="14.4" customHeight="1" x14ac:dyDescent="0.3">
      <c r="A11" s="240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81.787999999999997</v>
      </c>
      <c r="D11" s="12"/>
      <c r="E11" s="216">
        <f>IF(ISERROR(VLOOKUP("Celkem:",'ZV Vykáz.-A'!A:H,8,0)),0,VLOOKUP("Celkem:",'ZV Vykáz.-A'!A:H,8,0)/1000)</f>
        <v>81.358000000000004</v>
      </c>
      <c r="F11" s="32">
        <f>C11</f>
        <v>81.787999999999997</v>
      </c>
      <c r="G11" s="215">
        <f>E11-F11</f>
        <v>-0.42999999999999261</v>
      </c>
      <c r="H11" s="221">
        <f>IF(F11&lt;0.00000001,"",E11/F11)</f>
        <v>0.99474250501296047</v>
      </c>
      <c r="I11" s="215">
        <f>E11-B11</f>
        <v>81.358000000000004</v>
      </c>
      <c r="J11" s="221" t="str">
        <f>IF(B11&lt;0.00000001,"",E11/B11)</f>
        <v/>
      </c>
    </row>
    <row r="12" spans="1:10" ht="14.4" customHeight="1" thickBot="1" x14ac:dyDescent="0.35">
      <c r="A12" s="241" t="str">
        <f>HYPERLINK("#CaseMix!A1","Hospitalizace *")</f>
        <v>Hospitalizace *</v>
      </c>
      <c r="B12" s="15">
        <f>IF(ISERROR(VLOOKUP("Celkem",CaseMix!A:D,2,0)),0,VLOOKUP("Celkem",CaseMix!A:D,2,0)*30)</f>
        <v>17365.500000000004</v>
      </c>
      <c r="C12" s="37">
        <f>IF(ISERROR(VLOOKUP("Celkem",CaseMix!A:D,3,0)),0,VLOOKUP("Celkem",CaseMix!A:D,3,0)*30)</f>
        <v>10582.92</v>
      </c>
      <c r="D12" s="12"/>
      <c r="E12" s="219">
        <f>IF(ISERROR(VLOOKUP("Celkem",CaseMix!A:D,4,0)),0,VLOOKUP("Celkem",CaseMix!A:D,4,0)*30)</f>
        <v>14998.019999999999</v>
      </c>
      <c r="F12" s="36">
        <f>C12</f>
        <v>10582.92</v>
      </c>
      <c r="G12" s="220">
        <f>E12-F12</f>
        <v>4415.0999999999985</v>
      </c>
      <c r="H12" s="223">
        <f>IF(F12&lt;0.00000001,"",E12/F12)</f>
        <v>1.4171910965971584</v>
      </c>
      <c r="I12" s="220">
        <f>E12-B12</f>
        <v>-2367.480000000005</v>
      </c>
      <c r="J12" s="223">
        <f>IF(B12&lt;0.00000001,"",E12/B12)</f>
        <v>0.86366761682646598</v>
      </c>
    </row>
    <row r="13" spans="1:10" ht="14.4" customHeight="1" thickBot="1" x14ac:dyDescent="0.35">
      <c r="A13" s="4" t="s">
        <v>94</v>
      </c>
      <c r="B13" s="9">
        <f>SUM(B11:B12)</f>
        <v>17365.500000000004</v>
      </c>
      <c r="C13" s="41">
        <f>SUM(C11:C12)</f>
        <v>10664.708000000001</v>
      </c>
      <c r="D13" s="12"/>
      <c r="E13" s="9">
        <f>SUM(E11:E12)</f>
        <v>15079.377999999999</v>
      </c>
      <c r="F13" s="40">
        <f>SUM(F11:F12)</f>
        <v>10664.708000000001</v>
      </c>
      <c r="G13" s="40">
        <f>E13-F13</f>
        <v>4414.6699999999983</v>
      </c>
      <c r="H13" s="225">
        <f>IF(F13&lt;0.00000001,"",E13/F13)</f>
        <v>1.4139513243119266</v>
      </c>
      <c r="I13" s="40">
        <f>SUM(I11:I12)</f>
        <v>-2286.1220000000048</v>
      </c>
      <c r="J13" s="225">
        <f>IF(B13&lt;0.00000001,"",E13/B13)</f>
        <v>0.86835265324925837</v>
      </c>
    </row>
    <row r="14" spans="1:10" ht="14.4" customHeight="1" thickBot="1" x14ac:dyDescent="0.35">
      <c r="A14" s="16"/>
      <c r="B14" s="16"/>
      <c r="C14" s="207"/>
      <c r="D14" s="12"/>
      <c r="E14" s="16"/>
      <c r="F14" s="17"/>
    </row>
    <row r="15" spans="1:10" ht="14.4" customHeight="1" thickBot="1" x14ac:dyDescent="0.35">
      <c r="A15" s="242" t="str">
        <f>HYPERLINK("#'HI Graf'!A1","Hospodářský index (Výnosy / Náklady) *")</f>
        <v>Hospodářský index (Výnosy / Náklady) *</v>
      </c>
      <c r="B15" s="10">
        <f>IF(B9=0,"",B13/B9)</f>
        <v>1.9049098196900569</v>
      </c>
      <c r="C15" s="43">
        <f>IF(C9=0,"",C13/C9)</f>
        <v>0.90759619498025046</v>
      </c>
      <c r="D15" s="12"/>
      <c r="E15" s="10">
        <f>IF(E9=0,"",E13/E9)</f>
        <v>1.2978810991585965</v>
      </c>
      <c r="F15" s="42">
        <f>IF(F9=0,"",F13/F9)</f>
        <v>0.88343319880922855</v>
      </c>
      <c r="G15" s="42">
        <f>IF(ISERROR(F15-E15),"",E15-F15)</f>
        <v>0.41444790034936796</v>
      </c>
      <c r="H15" s="226">
        <f>IF(ISERROR(F15-E15),"",IF(F15&lt;0.00000001,"",E15/F15))</f>
        <v>1.4691332643011361</v>
      </c>
    </row>
    <row r="17" spans="1:8" ht="14.4" customHeight="1" x14ac:dyDescent="0.3">
      <c r="A17" s="212" t="s">
        <v>193</v>
      </c>
    </row>
    <row r="18" spans="1:8" ht="14.4" customHeight="1" x14ac:dyDescent="0.3">
      <c r="A18" s="415" t="s">
        <v>234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233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3" t="s">
        <v>283</v>
      </c>
    </row>
    <row r="21" spans="1:8" ht="14.4" customHeight="1" x14ac:dyDescent="0.3">
      <c r="A21" s="213" t="s">
        <v>194</v>
      </c>
    </row>
    <row r="22" spans="1:8" ht="14.4" customHeight="1" x14ac:dyDescent="0.3">
      <c r="A22" s="214" t="s">
        <v>331</v>
      </c>
    </row>
    <row r="23" spans="1:8" ht="14.4" customHeight="1" x14ac:dyDescent="0.3">
      <c r="A23" s="214" t="s">
        <v>195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0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7" bestFit="1" customWidth="1"/>
    <col min="2" max="2" width="8.6640625" style="237" bestFit="1" customWidth="1"/>
    <col min="3" max="3" width="2.109375" style="237" bestFit="1" customWidth="1"/>
    <col min="4" max="4" width="8" style="237" bestFit="1" customWidth="1"/>
    <col min="5" max="5" width="52.88671875" style="237" bestFit="1" customWidth="1" collapsed="1"/>
    <col min="6" max="7" width="11.109375" style="319" hidden="1" customWidth="1" outlineLevel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7"/>
  </cols>
  <sheetData>
    <row r="1" spans="1:17" ht="18.600000000000001" customHeight="1" thickBot="1" x14ac:dyDescent="0.4">
      <c r="A1" s="516" t="s">
        <v>2020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</row>
    <row r="2" spans="1:17" ht="14.4" customHeight="1" thickBot="1" x14ac:dyDescent="0.35">
      <c r="A2" s="360" t="s">
        <v>344</v>
      </c>
      <c r="B2" s="210"/>
      <c r="C2" s="210"/>
      <c r="D2" s="210"/>
      <c r="E2" s="210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102" t="s">
        <v>151</v>
      </c>
      <c r="F3" s="197">
        <f t="shared" ref="F3:O3" si="0">SUBTOTAL(9,F6:F1048576)</f>
        <v>5701.46</v>
      </c>
      <c r="G3" s="201">
        <f t="shared" si="0"/>
        <v>835433.77</v>
      </c>
      <c r="H3" s="202"/>
      <c r="I3" s="202"/>
      <c r="J3" s="197">
        <f t="shared" si="0"/>
        <v>6119.08</v>
      </c>
      <c r="K3" s="201">
        <f t="shared" si="0"/>
        <v>777087.05</v>
      </c>
      <c r="L3" s="202"/>
      <c r="M3" s="202"/>
      <c r="N3" s="197">
        <f t="shared" si="0"/>
        <v>7255.130000000001</v>
      </c>
      <c r="O3" s="201">
        <f t="shared" si="0"/>
        <v>971003.96</v>
      </c>
      <c r="P3" s="167">
        <f>IF(K3=0,"",O3/K3)</f>
        <v>1.2495433555352646</v>
      </c>
      <c r="Q3" s="199">
        <f>IF(N3=0,"",O3/N3)</f>
        <v>133.83687955970461</v>
      </c>
    </row>
    <row r="4" spans="1:17" ht="14.4" customHeight="1" x14ac:dyDescent="0.3">
      <c r="A4" s="577" t="s">
        <v>67</v>
      </c>
      <c r="B4" s="575" t="s">
        <v>112</v>
      </c>
      <c r="C4" s="577" t="s">
        <v>113</v>
      </c>
      <c r="D4" s="586" t="s">
        <v>83</v>
      </c>
      <c r="E4" s="578" t="s">
        <v>11</v>
      </c>
      <c r="F4" s="584">
        <v>2015</v>
      </c>
      <c r="G4" s="585"/>
      <c r="H4" s="200"/>
      <c r="I4" s="200"/>
      <c r="J4" s="584">
        <v>2016</v>
      </c>
      <c r="K4" s="585"/>
      <c r="L4" s="200"/>
      <c r="M4" s="200"/>
      <c r="N4" s="584">
        <v>2017</v>
      </c>
      <c r="O4" s="585"/>
      <c r="P4" s="587" t="s">
        <v>2</v>
      </c>
      <c r="Q4" s="576" t="s">
        <v>115</v>
      </c>
    </row>
    <row r="5" spans="1:17" ht="14.4" customHeight="1" thickBot="1" x14ac:dyDescent="0.35">
      <c r="A5" s="821"/>
      <c r="B5" s="819"/>
      <c r="C5" s="821"/>
      <c r="D5" s="831"/>
      <c r="E5" s="823"/>
      <c r="F5" s="832" t="s">
        <v>84</v>
      </c>
      <c r="G5" s="833" t="s">
        <v>14</v>
      </c>
      <c r="H5" s="834"/>
      <c r="I5" s="834"/>
      <c r="J5" s="832" t="s">
        <v>84</v>
      </c>
      <c r="K5" s="833" t="s">
        <v>14</v>
      </c>
      <c r="L5" s="834"/>
      <c r="M5" s="834"/>
      <c r="N5" s="832" t="s">
        <v>84</v>
      </c>
      <c r="O5" s="833" t="s">
        <v>14</v>
      </c>
      <c r="P5" s="835"/>
      <c r="Q5" s="828"/>
    </row>
    <row r="6" spans="1:17" ht="14.4" customHeight="1" x14ac:dyDescent="0.3">
      <c r="A6" s="681" t="s">
        <v>1617</v>
      </c>
      <c r="B6" s="682" t="s">
        <v>1618</v>
      </c>
      <c r="C6" s="682" t="s">
        <v>1436</v>
      </c>
      <c r="D6" s="682" t="s">
        <v>1619</v>
      </c>
      <c r="E6" s="682" t="s">
        <v>1620</v>
      </c>
      <c r="F6" s="685">
        <v>2</v>
      </c>
      <c r="G6" s="685">
        <v>606</v>
      </c>
      <c r="H6" s="685">
        <v>1.9299363057324841</v>
      </c>
      <c r="I6" s="685">
        <v>303</v>
      </c>
      <c r="J6" s="685">
        <v>1</v>
      </c>
      <c r="K6" s="685">
        <v>314</v>
      </c>
      <c r="L6" s="685">
        <v>1</v>
      </c>
      <c r="M6" s="685">
        <v>314</v>
      </c>
      <c r="N6" s="685"/>
      <c r="O6" s="685"/>
      <c r="P6" s="703"/>
      <c r="Q6" s="686"/>
    </row>
    <row r="7" spans="1:17" ht="14.4" customHeight="1" x14ac:dyDescent="0.3">
      <c r="A7" s="687" t="s">
        <v>1617</v>
      </c>
      <c r="B7" s="688" t="s">
        <v>1618</v>
      </c>
      <c r="C7" s="688" t="s">
        <v>1436</v>
      </c>
      <c r="D7" s="688" t="s">
        <v>1621</v>
      </c>
      <c r="E7" s="688" t="s">
        <v>1622</v>
      </c>
      <c r="F7" s="691">
        <v>2</v>
      </c>
      <c r="G7" s="691">
        <v>2536</v>
      </c>
      <c r="H7" s="691">
        <v>1.9766173031956353</v>
      </c>
      <c r="I7" s="691">
        <v>1268</v>
      </c>
      <c r="J7" s="691">
        <v>1</v>
      </c>
      <c r="K7" s="691">
        <v>1283</v>
      </c>
      <c r="L7" s="691">
        <v>1</v>
      </c>
      <c r="M7" s="691">
        <v>1283</v>
      </c>
      <c r="N7" s="691">
        <v>1</v>
      </c>
      <c r="O7" s="691">
        <v>1285</v>
      </c>
      <c r="P7" s="704">
        <v>1.0015588464536243</v>
      </c>
      <c r="Q7" s="692">
        <v>1285</v>
      </c>
    </row>
    <row r="8" spans="1:17" ht="14.4" customHeight="1" x14ac:dyDescent="0.3">
      <c r="A8" s="687" t="s">
        <v>1617</v>
      </c>
      <c r="B8" s="688" t="s">
        <v>1618</v>
      </c>
      <c r="C8" s="688" t="s">
        <v>1436</v>
      </c>
      <c r="D8" s="688" t="s">
        <v>1623</v>
      </c>
      <c r="E8" s="688" t="s">
        <v>1624</v>
      </c>
      <c r="F8" s="691">
        <v>42</v>
      </c>
      <c r="G8" s="691">
        <v>95088</v>
      </c>
      <c r="H8" s="691">
        <v>2.5906713164777679</v>
      </c>
      <c r="I8" s="691">
        <v>2264</v>
      </c>
      <c r="J8" s="691">
        <v>16</v>
      </c>
      <c r="K8" s="691">
        <v>36704</v>
      </c>
      <c r="L8" s="691">
        <v>1</v>
      </c>
      <c r="M8" s="691">
        <v>2294</v>
      </c>
      <c r="N8" s="691"/>
      <c r="O8" s="691"/>
      <c r="P8" s="704"/>
      <c r="Q8" s="692"/>
    </row>
    <row r="9" spans="1:17" ht="14.4" customHeight="1" x14ac:dyDescent="0.3">
      <c r="A9" s="687" t="s">
        <v>1617</v>
      </c>
      <c r="B9" s="688" t="s">
        <v>1618</v>
      </c>
      <c r="C9" s="688" t="s">
        <v>1436</v>
      </c>
      <c r="D9" s="688" t="s">
        <v>1625</v>
      </c>
      <c r="E9" s="688" t="s">
        <v>1626</v>
      </c>
      <c r="F9" s="691">
        <v>2</v>
      </c>
      <c r="G9" s="691">
        <v>13184</v>
      </c>
      <c r="H9" s="691">
        <v>1.9024531024531024</v>
      </c>
      <c r="I9" s="691">
        <v>6592</v>
      </c>
      <c r="J9" s="691">
        <v>1</v>
      </c>
      <c r="K9" s="691">
        <v>6930</v>
      </c>
      <c r="L9" s="691">
        <v>1</v>
      </c>
      <c r="M9" s="691">
        <v>6930</v>
      </c>
      <c r="N9" s="691"/>
      <c r="O9" s="691"/>
      <c r="P9" s="704"/>
      <c r="Q9" s="692"/>
    </row>
    <row r="10" spans="1:17" ht="14.4" customHeight="1" x14ac:dyDescent="0.3">
      <c r="A10" s="687" t="s">
        <v>1627</v>
      </c>
      <c r="B10" s="688" t="s">
        <v>1628</v>
      </c>
      <c r="C10" s="688" t="s">
        <v>1436</v>
      </c>
      <c r="D10" s="688" t="s">
        <v>1629</v>
      </c>
      <c r="E10" s="688" t="s">
        <v>1630</v>
      </c>
      <c r="F10" s="691">
        <v>341</v>
      </c>
      <c r="G10" s="691">
        <v>22165</v>
      </c>
      <c r="H10" s="691">
        <v>1.1366666666666667</v>
      </c>
      <c r="I10" s="691">
        <v>65</v>
      </c>
      <c r="J10" s="691">
        <v>300</v>
      </c>
      <c r="K10" s="691">
        <v>19500</v>
      </c>
      <c r="L10" s="691">
        <v>1</v>
      </c>
      <c r="M10" s="691">
        <v>65</v>
      </c>
      <c r="N10" s="691">
        <v>394</v>
      </c>
      <c r="O10" s="691">
        <v>25610</v>
      </c>
      <c r="P10" s="704">
        <v>1.3133333333333332</v>
      </c>
      <c r="Q10" s="692">
        <v>65</v>
      </c>
    </row>
    <row r="11" spans="1:17" ht="14.4" customHeight="1" x14ac:dyDescent="0.3">
      <c r="A11" s="687" t="s">
        <v>1627</v>
      </c>
      <c r="B11" s="688" t="s">
        <v>1628</v>
      </c>
      <c r="C11" s="688" t="s">
        <v>1436</v>
      </c>
      <c r="D11" s="688" t="s">
        <v>1631</v>
      </c>
      <c r="E11" s="688" t="s">
        <v>1632</v>
      </c>
      <c r="F11" s="691">
        <v>5</v>
      </c>
      <c r="G11" s="691">
        <v>120</v>
      </c>
      <c r="H11" s="691">
        <v>1.25</v>
      </c>
      <c r="I11" s="691">
        <v>24</v>
      </c>
      <c r="J11" s="691">
        <v>4</v>
      </c>
      <c r="K11" s="691">
        <v>96</v>
      </c>
      <c r="L11" s="691">
        <v>1</v>
      </c>
      <c r="M11" s="691">
        <v>24</v>
      </c>
      <c r="N11" s="691">
        <v>10</v>
      </c>
      <c r="O11" s="691">
        <v>240</v>
      </c>
      <c r="P11" s="704">
        <v>2.5</v>
      </c>
      <c r="Q11" s="692">
        <v>24</v>
      </c>
    </row>
    <row r="12" spans="1:17" ht="14.4" customHeight="1" x14ac:dyDescent="0.3">
      <c r="A12" s="687" t="s">
        <v>1627</v>
      </c>
      <c r="B12" s="688" t="s">
        <v>1628</v>
      </c>
      <c r="C12" s="688" t="s">
        <v>1436</v>
      </c>
      <c r="D12" s="688" t="s">
        <v>1633</v>
      </c>
      <c r="E12" s="688" t="s">
        <v>1634</v>
      </c>
      <c r="F12" s="691"/>
      <c r="G12" s="691"/>
      <c r="H12" s="691"/>
      <c r="I12" s="691"/>
      <c r="J12" s="691"/>
      <c r="K12" s="691"/>
      <c r="L12" s="691"/>
      <c r="M12" s="691"/>
      <c r="N12" s="691">
        <v>4</v>
      </c>
      <c r="O12" s="691">
        <v>220</v>
      </c>
      <c r="P12" s="704"/>
      <c r="Q12" s="692">
        <v>55</v>
      </c>
    </row>
    <row r="13" spans="1:17" ht="14.4" customHeight="1" x14ac:dyDescent="0.3">
      <c r="A13" s="687" t="s">
        <v>1627</v>
      </c>
      <c r="B13" s="688" t="s">
        <v>1628</v>
      </c>
      <c r="C13" s="688" t="s">
        <v>1436</v>
      </c>
      <c r="D13" s="688" t="s">
        <v>1635</v>
      </c>
      <c r="E13" s="688" t="s">
        <v>1636</v>
      </c>
      <c r="F13" s="691">
        <v>23</v>
      </c>
      <c r="G13" s="691">
        <v>1771</v>
      </c>
      <c r="H13" s="691">
        <v>2.5555555555555554</v>
      </c>
      <c r="I13" s="691">
        <v>77</v>
      </c>
      <c r="J13" s="691">
        <v>9</v>
      </c>
      <c r="K13" s="691">
        <v>693</v>
      </c>
      <c r="L13" s="691">
        <v>1</v>
      </c>
      <c r="M13" s="691">
        <v>77</v>
      </c>
      <c r="N13" s="691">
        <v>25</v>
      </c>
      <c r="O13" s="691">
        <v>1925</v>
      </c>
      <c r="P13" s="704">
        <v>2.7777777777777777</v>
      </c>
      <c r="Q13" s="692">
        <v>77</v>
      </c>
    </row>
    <row r="14" spans="1:17" ht="14.4" customHeight="1" x14ac:dyDescent="0.3">
      <c r="A14" s="687" t="s">
        <v>1627</v>
      </c>
      <c r="B14" s="688" t="s">
        <v>1628</v>
      </c>
      <c r="C14" s="688" t="s">
        <v>1436</v>
      </c>
      <c r="D14" s="688" t="s">
        <v>1637</v>
      </c>
      <c r="E14" s="688" t="s">
        <v>1638</v>
      </c>
      <c r="F14" s="691">
        <v>312</v>
      </c>
      <c r="G14" s="691">
        <v>7176</v>
      </c>
      <c r="H14" s="691">
        <v>2.9313725490196076</v>
      </c>
      <c r="I14" s="691">
        <v>23</v>
      </c>
      <c r="J14" s="691">
        <v>102</v>
      </c>
      <c r="K14" s="691">
        <v>2448</v>
      </c>
      <c r="L14" s="691">
        <v>1</v>
      </c>
      <c r="M14" s="691">
        <v>24</v>
      </c>
      <c r="N14" s="691">
        <v>129</v>
      </c>
      <c r="O14" s="691">
        <v>3096</v>
      </c>
      <c r="P14" s="704">
        <v>1.2647058823529411</v>
      </c>
      <c r="Q14" s="692">
        <v>24</v>
      </c>
    </row>
    <row r="15" spans="1:17" ht="14.4" customHeight="1" x14ac:dyDescent="0.3">
      <c r="A15" s="687" t="s">
        <v>1627</v>
      </c>
      <c r="B15" s="688" t="s">
        <v>1628</v>
      </c>
      <c r="C15" s="688" t="s">
        <v>1436</v>
      </c>
      <c r="D15" s="688" t="s">
        <v>1639</v>
      </c>
      <c r="E15" s="688" t="s">
        <v>1640</v>
      </c>
      <c r="F15" s="691"/>
      <c r="G15" s="691"/>
      <c r="H15" s="691"/>
      <c r="I15" s="691"/>
      <c r="J15" s="691"/>
      <c r="K15" s="691"/>
      <c r="L15" s="691"/>
      <c r="M15" s="691"/>
      <c r="N15" s="691">
        <v>2</v>
      </c>
      <c r="O15" s="691">
        <v>200</v>
      </c>
      <c r="P15" s="704"/>
      <c r="Q15" s="692">
        <v>100</v>
      </c>
    </row>
    <row r="16" spans="1:17" ht="14.4" customHeight="1" x14ac:dyDescent="0.3">
      <c r="A16" s="687" t="s">
        <v>1627</v>
      </c>
      <c r="B16" s="688" t="s">
        <v>1628</v>
      </c>
      <c r="C16" s="688" t="s">
        <v>1436</v>
      </c>
      <c r="D16" s="688" t="s">
        <v>1641</v>
      </c>
      <c r="E16" s="688" t="s">
        <v>1642</v>
      </c>
      <c r="F16" s="691">
        <v>1</v>
      </c>
      <c r="G16" s="691">
        <v>209</v>
      </c>
      <c r="H16" s="691"/>
      <c r="I16" s="691">
        <v>209</v>
      </c>
      <c r="J16" s="691"/>
      <c r="K16" s="691"/>
      <c r="L16" s="691"/>
      <c r="M16" s="691"/>
      <c r="N16" s="691"/>
      <c r="O16" s="691"/>
      <c r="P16" s="704"/>
      <c r="Q16" s="692"/>
    </row>
    <row r="17" spans="1:17" ht="14.4" customHeight="1" x14ac:dyDescent="0.3">
      <c r="A17" s="687" t="s">
        <v>1627</v>
      </c>
      <c r="B17" s="688" t="s">
        <v>1628</v>
      </c>
      <c r="C17" s="688" t="s">
        <v>1436</v>
      </c>
      <c r="D17" s="688" t="s">
        <v>1643</v>
      </c>
      <c r="E17" s="688" t="s">
        <v>1644</v>
      </c>
      <c r="F17" s="691">
        <v>32</v>
      </c>
      <c r="G17" s="691">
        <v>2112</v>
      </c>
      <c r="H17" s="691">
        <v>1.0666666666666667</v>
      </c>
      <c r="I17" s="691">
        <v>66</v>
      </c>
      <c r="J17" s="691">
        <v>30</v>
      </c>
      <c r="K17" s="691">
        <v>1980</v>
      </c>
      <c r="L17" s="691">
        <v>1</v>
      </c>
      <c r="M17" s="691">
        <v>66</v>
      </c>
      <c r="N17" s="691">
        <v>43</v>
      </c>
      <c r="O17" s="691">
        <v>2838</v>
      </c>
      <c r="P17" s="704">
        <v>1.4333333333333333</v>
      </c>
      <c r="Q17" s="692">
        <v>66</v>
      </c>
    </row>
    <row r="18" spans="1:17" ht="14.4" customHeight="1" x14ac:dyDescent="0.3">
      <c r="A18" s="687" t="s">
        <v>1627</v>
      </c>
      <c r="B18" s="688" t="s">
        <v>1628</v>
      </c>
      <c r="C18" s="688" t="s">
        <v>1436</v>
      </c>
      <c r="D18" s="688" t="s">
        <v>1645</v>
      </c>
      <c r="E18" s="688" t="s">
        <v>1646</v>
      </c>
      <c r="F18" s="691"/>
      <c r="G18" s="691"/>
      <c r="H18" s="691"/>
      <c r="I18" s="691"/>
      <c r="J18" s="691"/>
      <c r="K18" s="691"/>
      <c r="L18" s="691"/>
      <c r="M18" s="691"/>
      <c r="N18" s="691">
        <v>255</v>
      </c>
      <c r="O18" s="691">
        <v>89250</v>
      </c>
      <c r="P18" s="704"/>
      <c r="Q18" s="692">
        <v>350</v>
      </c>
    </row>
    <row r="19" spans="1:17" ht="14.4" customHeight="1" x14ac:dyDescent="0.3">
      <c r="A19" s="687" t="s">
        <v>1627</v>
      </c>
      <c r="B19" s="688" t="s">
        <v>1628</v>
      </c>
      <c r="C19" s="688" t="s">
        <v>1436</v>
      </c>
      <c r="D19" s="688" t="s">
        <v>1647</v>
      </c>
      <c r="E19" s="688" t="s">
        <v>1648</v>
      </c>
      <c r="F19" s="691">
        <v>295</v>
      </c>
      <c r="G19" s="691">
        <v>7080</v>
      </c>
      <c r="H19" s="691">
        <v>2.8897959183673469</v>
      </c>
      <c r="I19" s="691">
        <v>24</v>
      </c>
      <c r="J19" s="691">
        <v>98</v>
      </c>
      <c r="K19" s="691">
        <v>2450</v>
      </c>
      <c r="L19" s="691">
        <v>1</v>
      </c>
      <c r="M19" s="691">
        <v>25</v>
      </c>
      <c r="N19" s="691">
        <v>114</v>
      </c>
      <c r="O19" s="691">
        <v>2850</v>
      </c>
      <c r="P19" s="704">
        <v>1.1632653061224489</v>
      </c>
      <c r="Q19" s="692">
        <v>25</v>
      </c>
    </row>
    <row r="20" spans="1:17" ht="14.4" customHeight="1" x14ac:dyDescent="0.3">
      <c r="A20" s="687" t="s">
        <v>1627</v>
      </c>
      <c r="B20" s="688" t="s">
        <v>1628</v>
      </c>
      <c r="C20" s="688" t="s">
        <v>1436</v>
      </c>
      <c r="D20" s="688" t="s">
        <v>1649</v>
      </c>
      <c r="E20" s="688" t="s">
        <v>1650</v>
      </c>
      <c r="F20" s="691">
        <v>1</v>
      </c>
      <c r="G20" s="691">
        <v>739</v>
      </c>
      <c r="H20" s="691"/>
      <c r="I20" s="691">
        <v>739</v>
      </c>
      <c r="J20" s="691"/>
      <c r="K20" s="691"/>
      <c r="L20" s="691"/>
      <c r="M20" s="691"/>
      <c r="N20" s="691"/>
      <c r="O20" s="691"/>
      <c r="P20" s="704"/>
      <c r="Q20" s="692"/>
    </row>
    <row r="21" spans="1:17" ht="14.4" customHeight="1" x14ac:dyDescent="0.3">
      <c r="A21" s="687" t="s">
        <v>1627</v>
      </c>
      <c r="B21" s="688" t="s">
        <v>1628</v>
      </c>
      <c r="C21" s="688" t="s">
        <v>1436</v>
      </c>
      <c r="D21" s="688" t="s">
        <v>1651</v>
      </c>
      <c r="E21" s="688" t="s">
        <v>1652</v>
      </c>
      <c r="F21" s="691">
        <v>4</v>
      </c>
      <c r="G21" s="691">
        <v>720</v>
      </c>
      <c r="H21" s="691">
        <v>1.988950276243094</v>
      </c>
      <c r="I21" s="691">
        <v>180</v>
      </c>
      <c r="J21" s="691">
        <v>2</v>
      </c>
      <c r="K21" s="691">
        <v>362</v>
      </c>
      <c r="L21" s="691">
        <v>1</v>
      </c>
      <c r="M21" s="691">
        <v>181</v>
      </c>
      <c r="N21" s="691">
        <v>5</v>
      </c>
      <c r="O21" s="691">
        <v>905</v>
      </c>
      <c r="P21" s="704">
        <v>2.5</v>
      </c>
      <c r="Q21" s="692">
        <v>181</v>
      </c>
    </row>
    <row r="22" spans="1:17" ht="14.4" customHeight="1" x14ac:dyDescent="0.3">
      <c r="A22" s="687" t="s">
        <v>1627</v>
      </c>
      <c r="B22" s="688" t="s">
        <v>1628</v>
      </c>
      <c r="C22" s="688" t="s">
        <v>1436</v>
      </c>
      <c r="D22" s="688" t="s">
        <v>1653</v>
      </c>
      <c r="E22" s="688" t="s">
        <v>1654</v>
      </c>
      <c r="F22" s="691">
        <v>5</v>
      </c>
      <c r="G22" s="691">
        <v>1265</v>
      </c>
      <c r="H22" s="691">
        <v>4.9803149606299213</v>
      </c>
      <c r="I22" s="691">
        <v>253</v>
      </c>
      <c r="J22" s="691">
        <v>1</v>
      </c>
      <c r="K22" s="691">
        <v>254</v>
      </c>
      <c r="L22" s="691">
        <v>1</v>
      </c>
      <c r="M22" s="691">
        <v>254</v>
      </c>
      <c r="N22" s="691">
        <v>6</v>
      </c>
      <c r="O22" s="691">
        <v>1524</v>
      </c>
      <c r="P22" s="704">
        <v>6</v>
      </c>
      <c r="Q22" s="692">
        <v>254</v>
      </c>
    </row>
    <row r="23" spans="1:17" ht="14.4" customHeight="1" x14ac:dyDescent="0.3">
      <c r="A23" s="687" t="s">
        <v>1627</v>
      </c>
      <c r="B23" s="688" t="s">
        <v>1628</v>
      </c>
      <c r="C23" s="688" t="s">
        <v>1436</v>
      </c>
      <c r="D23" s="688" t="s">
        <v>1655</v>
      </c>
      <c r="E23" s="688" t="s">
        <v>1656</v>
      </c>
      <c r="F23" s="691">
        <v>7</v>
      </c>
      <c r="G23" s="691">
        <v>1512</v>
      </c>
      <c r="H23" s="691">
        <v>6.967741935483871</v>
      </c>
      <c r="I23" s="691">
        <v>216</v>
      </c>
      <c r="J23" s="691">
        <v>1</v>
      </c>
      <c r="K23" s="691">
        <v>217</v>
      </c>
      <c r="L23" s="691">
        <v>1</v>
      </c>
      <c r="M23" s="691">
        <v>217</v>
      </c>
      <c r="N23" s="691">
        <v>4</v>
      </c>
      <c r="O23" s="691">
        <v>868</v>
      </c>
      <c r="P23" s="704">
        <v>4</v>
      </c>
      <c r="Q23" s="692">
        <v>217</v>
      </c>
    </row>
    <row r="24" spans="1:17" ht="14.4" customHeight="1" x14ac:dyDescent="0.3">
      <c r="A24" s="687" t="s">
        <v>1627</v>
      </c>
      <c r="B24" s="688" t="s">
        <v>1628</v>
      </c>
      <c r="C24" s="688" t="s">
        <v>1436</v>
      </c>
      <c r="D24" s="688" t="s">
        <v>1657</v>
      </c>
      <c r="E24" s="688" t="s">
        <v>1658</v>
      </c>
      <c r="F24" s="691">
        <v>39</v>
      </c>
      <c r="G24" s="691">
        <v>1950</v>
      </c>
      <c r="H24" s="691">
        <v>0.9285714285714286</v>
      </c>
      <c r="I24" s="691">
        <v>50</v>
      </c>
      <c r="J24" s="691">
        <v>42</v>
      </c>
      <c r="K24" s="691">
        <v>2100</v>
      </c>
      <c r="L24" s="691">
        <v>1</v>
      </c>
      <c r="M24" s="691">
        <v>50</v>
      </c>
      <c r="N24" s="691">
        <v>61</v>
      </c>
      <c r="O24" s="691">
        <v>3050</v>
      </c>
      <c r="P24" s="704">
        <v>1.4523809523809523</v>
      </c>
      <c r="Q24" s="692">
        <v>50</v>
      </c>
    </row>
    <row r="25" spans="1:17" ht="14.4" customHeight="1" x14ac:dyDescent="0.3">
      <c r="A25" s="687" t="s">
        <v>1627</v>
      </c>
      <c r="B25" s="688" t="s">
        <v>1628</v>
      </c>
      <c r="C25" s="688" t="s">
        <v>1436</v>
      </c>
      <c r="D25" s="688" t="s">
        <v>1659</v>
      </c>
      <c r="E25" s="688" t="s">
        <v>1660</v>
      </c>
      <c r="F25" s="691">
        <v>1</v>
      </c>
      <c r="G25" s="691">
        <v>735</v>
      </c>
      <c r="H25" s="691"/>
      <c r="I25" s="691">
        <v>735</v>
      </c>
      <c r="J25" s="691"/>
      <c r="K25" s="691"/>
      <c r="L25" s="691"/>
      <c r="M25" s="691"/>
      <c r="N25" s="691"/>
      <c r="O25" s="691"/>
      <c r="P25" s="704"/>
      <c r="Q25" s="692"/>
    </row>
    <row r="26" spans="1:17" ht="14.4" customHeight="1" x14ac:dyDescent="0.3">
      <c r="A26" s="687" t="s">
        <v>1661</v>
      </c>
      <c r="B26" s="688" t="s">
        <v>1662</v>
      </c>
      <c r="C26" s="688" t="s">
        <v>1436</v>
      </c>
      <c r="D26" s="688" t="s">
        <v>1663</v>
      </c>
      <c r="E26" s="688" t="s">
        <v>1664</v>
      </c>
      <c r="F26" s="691">
        <v>14</v>
      </c>
      <c r="G26" s="691">
        <v>378</v>
      </c>
      <c r="H26" s="691">
        <v>1</v>
      </c>
      <c r="I26" s="691">
        <v>27</v>
      </c>
      <c r="J26" s="691">
        <v>14</v>
      </c>
      <c r="K26" s="691">
        <v>378</v>
      </c>
      <c r="L26" s="691">
        <v>1</v>
      </c>
      <c r="M26" s="691">
        <v>27</v>
      </c>
      <c r="N26" s="691">
        <v>22</v>
      </c>
      <c r="O26" s="691">
        <v>594</v>
      </c>
      <c r="P26" s="704">
        <v>1.5714285714285714</v>
      </c>
      <c r="Q26" s="692">
        <v>27</v>
      </c>
    </row>
    <row r="27" spans="1:17" ht="14.4" customHeight="1" x14ac:dyDescent="0.3">
      <c r="A27" s="687" t="s">
        <v>1661</v>
      </c>
      <c r="B27" s="688" t="s">
        <v>1662</v>
      </c>
      <c r="C27" s="688" t="s">
        <v>1436</v>
      </c>
      <c r="D27" s="688" t="s">
        <v>1665</v>
      </c>
      <c r="E27" s="688" t="s">
        <v>1666</v>
      </c>
      <c r="F27" s="691">
        <v>4</v>
      </c>
      <c r="G27" s="691">
        <v>96</v>
      </c>
      <c r="H27" s="691">
        <v>4</v>
      </c>
      <c r="I27" s="691">
        <v>24</v>
      </c>
      <c r="J27" s="691">
        <v>1</v>
      </c>
      <c r="K27" s="691">
        <v>24</v>
      </c>
      <c r="L27" s="691">
        <v>1</v>
      </c>
      <c r="M27" s="691">
        <v>24</v>
      </c>
      <c r="N27" s="691">
        <v>19</v>
      </c>
      <c r="O27" s="691">
        <v>456</v>
      </c>
      <c r="P27" s="704">
        <v>19</v>
      </c>
      <c r="Q27" s="692">
        <v>24</v>
      </c>
    </row>
    <row r="28" spans="1:17" ht="14.4" customHeight="1" x14ac:dyDescent="0.3">
      <c r="A28" s="687" t="s">
        <v>1661</v>
      </c>
      <c r="B28" s="688" t="s">
        <v>1662</v>
      </c>
      <c r="C28" s="688" t="s">
        <v>1436</v>
      </c>
      <c r="D28" s="688" t="s">
        <v>1667</v>
      </c>
      <c r="E28" s="688" t="s">
        <v>1668</v>
      </c>
      <c r="F28" s="691">
        <v>24</v>
      </c>
      <c r="G28" s="691">
        <v>648</v>
      </c>
      <c r="H28" s="691">
        <v>1.7142857142857142</v>
      </c>
      <c r="I28" s="691">
        <v>27</v>
      </c>
      <c r="J28" s="691">
        <v>14</v>
      </c>
      <c r="K28" s="691">
        <v>378</v>
      </c>
      <c r="L28" s="691">
        <v>1</v>
      </c>
      <c r="M28" s="691">
        <v>27</v>
      </c>
      <c r="N28" s="691">
        <v>26</v>
      </c>
      <c r="O28" s="691">
        <v>702</v>
      </c>
      <c r="P28" s="704">
        <v>1.8571428571428572</v>
      </c>
      <c r="Q28" s="692">
        <v>27</v>
      </c>
    </row>
    <row r="29" spans="1:17" ht="14.4" customHeight="1" x14ac:dyDescent="0.3">
      <c r="A29" s="687" t="s">
        <v>1661</v>
      </c>
      <c r="B29" s="688" t="s">
        <v>1662</v>
      </c>
      <c r="C29" s="688" t="s">
        <v>1436</v>
      </c>
      <c r="D29" s="688" t="s">
        <v>1669</v>
      </c>
      <c r="E29" s="688" t="s">
        <v>1670</v>
      </c>
      <c r="F29" s="691">
        <v>4</v>
      </c>
      <c r="G29" s="691">
        <v>108</v>
      </c>
      <c r="H29" s="691">
        <v>0.8</v>
      </c>
      <c r="I29" s="691">
        <v>27</v>
      </c>
      <c r="J29" s="691">
        <v>5</v>
      </c>
      <c r="K29" s="691">
        <v>135</v>
      </c>
      <c r="L29" s="691">
        <v>1</v>
      </c>
      <c r="M29" s="691">
        <v>27</v>
      </c>
      <c r="N29" s="691">
        <v>4</v>
      </c>
      <c r="O29" s="691">
        <v>108</v>
      </c>
      <c r="P29" s="704">
        <v>0.8</v>
      </c>
      <c r="Q29" s="692">
        <v>27</v>
      </c>
    </row>
    <row r="30" spans="1:17" ht="14.4" customHeight="1" x14ac:dyDescent="0.3">
      <c r="A30" s="687" t="s">
        <v>1661</v>
      </c>
      <c r="B30" s="688" t="s">
        <v>1662</v>
      </c>
      <c r="C30" s="688" t="s">
        <v>1436</v>
      </c>
      <c r="D30" s="688" t="s">
        <v>1671</v>
      </c>
      <c r="E30" s="688" t="s">
        <v>1672</v>
      </c>
      <c r="F30" s="691">
        <v>333</v>
      </c>
      <c r="G30" s="691">
        <v>7326</v>
      </c>
      <c r="H30" s="691">
        <v>0.77083333333333337</v>
      </c>
      <c r="I30" s="691">
        <v>22</v>
      </c>
      <c r="J30" s="691">
        <v>432</v>
      </c>
      <c r="K30" s="691">
        <v>9504</v>
      </c>
      <c r="L30" s="691">
        <v>1</v>
      </c>
      <c r="M30" s="691">
        <v>22</v>
      </c>
      <c r="N30" s="691">
        <v>432</v>
      </c>
      <c r="O30" s="691">
        <v>9504</v>
      </c>
      <c r="P30" s="704">
        <v>1</v>
      </c>
      <c r="Q30" s="692">
        <v>22</v>
      </c>
    </row>
    <row r="31" spans="1:17" ht="14.4" customHeight="1" x14ac:dyDescent="0.3">
      <c r="A31" s="687" t="s">
        <v>1661</v>
      </c>
      <c r="B31" s="688" t="s">
        <v>1662</v>
      </c>
      <c r="C31" s="688" t="s">
        <v>1436</v>
      </c>
      <c r="D31" s="688" t="s">
        <v>1673</v>
      </c>
      <c r="E31" s="688" t="s">
        <v>1674</v>
      </c>
      <c r="F31" s="691">
        <v>458</v>
      </c>
      <c r="G31" s="691">
        <v>28396</v>
      </c>
      <c r="H31" s="691">
        <v>0.59791122715404699</v>
      </c>
      <c r="I31" s="691">
        <v>62</v>
      </c>
      <c r="J31" s="691">
        <v>766</v>
      </c>
      <c r="K31" s="691">
        <v>47492</v>
      </c>
      <c r="L31" s="691">
        <v>1</v>
      </c>
      <c r="M31" s="691">
        <v>62</v>
      </c>
      <c r="N31" s="691">
        <v>787</v>
      </c>
      <c r="O31" s="691">
        <v>48794</v>
      </c>
      <c r="P31" s="704">
        <v>1.0274151436031331</v>
      </c>
      <c r="Q31" s="692">
        <v>62</v>
      </c>
    </row>
    <row r="32" spans="1:17" ht="14.4" customHeight="1" x14ac:dyDescent="0.3">
      <c r="A32" s="687" t="s">
        <v>1661</v>
      </c>
      <c r="B32" s="688" t="s">
        <v>1662</v>
      </c>
      <c r="C32" s="688" t="s">
        <v>1436</v>
      </c>
      <c r="D32" s="688" t="s">
        <v>1675</v>
      </c>
      <c r="E32" s="688" t="s">
        <v>1676</v>
      </c>
      <c r="F32" s="691">
        <v>14</v>
      </c>
      <c r="G32" s="691">
        <v>1148</v>
      </c>
      <c r="H32" s="691"/>
      <c r="I32" s="691">
        <v>82</v>
      </c>
      <c r="J32" s="691"/>
      <c r="K32" s="691"/>
      <c r="L32" s="691"/>
      <c r="M32" s="691"/>
      <c r="N32" s="691"/>
      <c r="O32" s="691"/>
      <c r="P32" s="704"/>
      <c r="Q32" s="692"/>
    </row>
    <row r="33" spans="1:17" ht="14.4" customHeight="1" x14ac:dyDescent="0.3">
      <c r="A33" s="687" t="s">
        <v>1661</v>
      </c>
      <c r="B33" s="688" t="s">
        <v>1662</v>
      </c>
      <c r="C33" s="688" t="s">
        <v>1436</v>
      </c>
      <c r="D33" s="688" t="s">
        <v>1677</v>
      </c>
      <c r="E33" s="688" t="s">
        <v>1678</v>
      </c>
      <c r="F33" s="691">
        <v>5</v>
      </c>
      <c r="G33" s="691">
        <v>4935</v>
      </c>
      <c r="H33" s="691">
        <v>4.9949392712550607</v>
      </c>
      <c r="I33" s="691">
        <v>987</v>
      </c>
      <c r="J33" s="691">
        <v>1</v>
      </c>
      <c r="K33" s="691">
        <v>988</v>
      </c>
      <c r="L33" s="691">
        <v>1</v>
      </c>
      <c r="M33" s="691">
        <v>988</v>
      </c>
      <c r="N33" s="691">
        <v>6</v>
      </c>
      <c r="O33" s="691">
        <v>5928</v>
      </c>
      <c r="P33" s="704">
        <v>6</v>
      </c>
      <c r="Q33" s="692">
        <v>988</v>
      </c>
    </row>
    <row r="34" spans="1:17" ht="14.4" customHeight="1" x14ac:dyDescent="0.3">
      <c r="A34" s="687" t="s">
        <v>1661</v>
      </c>
      <c r="B34" s="688" t="s">
        <v>1662</v>
      </c>
      <c r="C34" s="688" t="s">
        <v>1436</v>
      </c>
      <c r="D34" s="688" t="s">
        <v>1679</v>
      </c>
      <c r="E34" s="688" t="s">
        <v>1680</v>
      </c>
      <c r="F34" s="691">
        <v>263</v>
      </c>
      <c r="G34" s="691">
        <v>7890</v>
      </c>
      <c r="H34" s="691">
        <v>1.1484716157205239</v>
      </c>
      <c r="I34" s="691">
        <v>30</v>
      </c>
      <c r="J34" s="691">
        <v>229</v>
      </c>
      <c r="K34" s="691">
        <v>6870</v>
      </c>
      <c r="L34" s="691">
        <v>1</v>
      </c>
      <c r="M34" s="691">
        <v>30</v>
      </c>
      <c r="N34" s="691">
        <v>305</v>
      </c>
      <c r="O34" s="691">
        <v>9150</v>
      </c>
      <c r="P34" s="704">
        <v>1.331877729257642</v>
      </c>
      <c r="Q34" s="692">
        <v>30</v>
      </c>
    </row>
    <row r="35" spans="1:17" ht="14.4" customHeight="1" x14ac:dyDescent="0.3">
      <c r="A35" s="687" t="s">
        <v>1661</v>
      </c>
      <c r="B35" s="688" t="s">
        <v>1662</v>
      </c>
      <c r="C35" s="688" t="s">
        <v>1436</v>
      </c>
      <c r="D35" s="688" t="s">
        <v>1681</v>
      </c>
      <c r="E35" s="688" t="s">
        <v>1682</v>
      </c>
      <c r="F35" s="691"/>
      <c r="G35" s="691"/>
      <c r="H35" s="691"/>
      <c r="I35" s="691"/>
      <c r="J35" s="691"/>
      <c r="K35" s="691"/>
      <c r="L35" s="691"/>
      <c r="M35" s="691"/>
      <c r="N35" s="691">
        <v>1</v>
      </c>
      <c r="O35" s="691">
        <v>1784</v>
      </c>
      <c r="P35" s="704"/>
      <c r="Q35" s="692">
        <v>1784</v>
      </c>
    </row>
    <row r="36" spans="1:17" ht="14.4" customHeight="1" x14ac:dyDescent="0.3">
      <c r="A36" s="687" t="s">
        <v>1661</v>
      </c>
      <c r="B36" s="688" t="s">
        <v>1662</v>
      </c>
      <c r="C36" s="688" t="s">
        <v>1436</v>
      </c>
      <c r="D36" s="688" t="s">
        <v>1683</v>
      </c>
      <c r="E36" s="688" t="s">
        <v>1684</v>
      </c>
      <c r="F36" s="691"/>
      <c r="G36" s="691"/>
      <c r="H36" s="691"/>
      <c r="I36" s="691"/>
      <c r="J36" s="691"/>
      <c r="K36" s="691"/>
      <c r="L36" s="691"/>
      <c r="M36" s="691"/>
      <c r="N36" s="691">
        <v>1</v>
      </c>
      <c r="O36" s="691">
        <v>82</v>
      </c>
      <c r="P36" s="704"/>
      <c r="Q36" s="692">
        <v>82</v>
      </c>
    </row>
    <row r="37" spans="1:17" ht="14.4" customHeight="1" x14ac:dyDescent="0.3">
      <c r="A37" s="687" t="s">
        <v>1661</v>
      </c>
      <c r="B37" s="688" t="s">
        <v>1662</v>
      </c>
      <c r="C37" s="688" t="s">
        <v>1436</v>
      </c>
      <c r="D37" s="688" t="s">
        <v>1685</v>
      </c>
      <c r="E37" s="688" t="s">
        <v>1686</v>
      </c>
      <c r="F37" s="691"/>
      <c r="G37" s="691"/>
      <c r="H37" s="691"/>
      <c r="I37" s="691"/>
      <c r="J37" s="691">
        <v>1</v>
      </c>
      <c r="K37" s="691">
        <v>266</v>
      </c>
      <c r="L37" s="691">
        <v>1</v>
      </c>
      <c r="M37" s="691">
        <v>266</v>
      </c>
      <c r="N37" s="691"/>
      <c r="O37" s="691"/>
      <c r="P37" s="704"/>
      <c r="Q37" s="692"/>
    </row>
    <row r="38" spans="1:17" ht="14.4" customHeight="1" x14ac:dyDescent="0.3">
      <c r="A38" s="687" t="s">
        <v>1661</v>
      </c>
      <c r="B38" s="688" t="s">
        <v>1662</v>
      </c>
      <c r="C38" s="688" t="s">
        <v>1436</v>
      </c>
      <c r="D38" s="688" t="s">
        <v>1687</v>
      </c>
      <c r="E38" s="688" t="s">
        <v>1688</v>
      </c>
      <c r="F38" s="691"/>
      <c r="G38" s="691"/>
      <c r="H38" s="691"/>
      <c r="I38" s="691"/>
      <c r="J38" s="691">
        <v>1</v>
      </c>
      <c r="K38" s="691">
        <v>230</v>
      </c>
      <c r="L38" s="691">
        <v>1</v>
      </c>
      <c r="M38" s="691">
        <v>230</v>
      </c>
      <c r="N38" s="691"/>
      <c r="O38" s="691"/>
      <c r="P38" s="704"/>
      <c r="Q38" s="692"/>
    </row>
    <row r="39" spans="1:17" ht="14.4" customHeight="1" x14ac:dyDescent="0.3">
      <c r="A39" s="687" t="s">
        <v>1661</v>
      </c>
      <c r="B39" s="688" t="s">
        <v>1662</v>
      </c>
      <c r="C39" s="688" t="s">
        <v>1436</v>
      </c>
      <c r="D39" s="688" t="s">
        <v>1689</v>
      </c>
      <c r="E39" s="688" t="s">
        <v>1690</v>
      </c>
      <c r="F39" s="691">
        <v>29</v>
      </c>
      <c r="G39" s="691">
        <v>493</v>
      </c>
      <c r="H39" s="691">
        <v>0.76315789473684215</v>
      </c>
      <c r="I39" s="691">
        <v>17</v>
      </c>
      <c r="J39" s="691">
        <v>38</v>
      </c>
      <c r="K39" s="691">
        <v>646</v>
      </c>
      <c r="L39" s="691">
        <v>1</v>
      </c>
      <c r="M39" s="691">
        <v>17</v>
      </c>
      <c r="N39" s="691">
        <v>39</v>
      </c>
      <c r="O39" s="691">
        <v>663</v>
      </c>
      <c r="P39" s="704">
        <v>1.0263157894736843</v>
      </c>
      <c r="Q39" s="692">
        <v>17</v>
      </c>
    </row>
    <row r="40" spans="1:17" ht="14.4" customHeight="1" x14ac:dyDescent="0.3">
      <c r="A40" s="687" t="s">
        <v>1661</v>
      </c>
      <c r="B40" s="688" t="s">
        <v>1662</v>
      </c>
      <c r="C40" s="688" t="s">
        <v>1436</v>
      </c>
      <c r="D40" s="688" t="s">
        <v>1691</v>
      </c>
      <c r="E40" s="688" t="s">
        <v>1692</v>
      </c>
      <c r="F40" s="691"/>
      <c r="G40" s="691"/>
      <c r="H40" s="691"/>
      <c r="I40" s="691"/>
      <c r="J40" s="691"/>
      <c r="K40" s="691"/>
      <c r="L40" s="691"/>
      <c r="M40" s="691"/>
      <c r="N40" s="691">
        <v>1</v>
      </c>
      <c r="O40" s="691">
        <v>483</v>
      </c>
      <c r="P40" s="704"/>
      <c r="Q40" s="692">
        <v>483</v>
      </c>
    </row>
    <row r="41" spans="1:17" ht="14.4" customHeight="1" x14ac:dyDescent="0.3">
      <c r="A41" s="687" t="s">
        <v>1661</v>
      </c>
      <c r="B41" s="688" t="s">
        <v>1662</v>
      </c>
      <c r="C41" s="688" t="s">
        <v>1436</v>
      </c>
      <c r="D41" s="688" t="s">
        <v>1693</v>
      </c>
      <c r="E41" s="688" t="s">
        <v>1694</v>
      </c>
      <c r="F41" s="691"/>
      <c r="G41" s="691"/>
      <c r="H41" s="691"/>
      <c r="I41" s="691"/>
      <c r="J41" s="691"/>
      <c r="K41" s="691"/>
      <c r="L41" s="691"/>
      <c r="M41" s="691"/>
      <c r="N41" s="691">
        <v>1</v>
      </c>
      <c r="O41" s="691">
        <v>47</v>
      </c>
      <c r="P41" s="704"/>
      <c r="Q41" s="692">
        <v>47</v>
      </c>
    </row>
    <row r="42" spans="1:17" ht="14.4" customHeight="1" x14ac:dyDescent="0.3">
      <c r="A42" s="687" t="s">
        <v>1661</v>
      </c>
      <c r="B42" s="688" t="s">
        <v>1662</v>
      </c>
      <c r="C42" s="688" t="s">
        <v>1436</v>
      </c>
      <c r="D42" s="688" t="s">
        <v>1695</v>
      </c>
      <c r="E42" s="688" t="s">
        <v>1696</v>
      </c>
      <c r="F42" s="691">
        <v>3</v>
      </c>
      <c r="G42" s="691">
        <v>159</v>
      </c>
      <c r="H42" s="691">
        <v>3</v>
      </c>
      <c r="I42" s="691">
        <v>53</v>
      </c>
      <c r="J42" s="691">
        <v>1</v>
      </c>
      <c r="K42" s="691">
        <v>53</v>
      </c>
      <c r="L42" s="691">
        <v>1</v>
      </c>
      <c r="M42" s="691">
        <v>53</v>
      </c>
      <c r="N42" s="691"/>
      <c r="O42" s="691"/>
      <c r="P42" s="704"/>
      <c r="Q42" s="692"/>
    </row>
    <row r="43" spans="1:17" ht="14.4" customHeight="1" x14ac:dyDescent="0.3">
      <c r="A43" s="687" t="s">
        <v>1661</v>
      </c>
      <c r="B43" s="688" t="s">
        <v>1662</v>
      </c>
      <c r="C43" s="688" t="s">
        <v>1436</v>
      </c>
      <c r="D43" s="688" t="s">
        <v>1697</v>
      </c>
      <c r="E43" s="688" t="s">
        <v>1698</v>
      </c>
      <c r="F43" s="691">
        <v>9</v>
      </c>
      <c r="G43" s="691">
        <v>171</v>
      </c>
      <c r="H43" s="691">
        <v>0.9</v>
      </c>
      <c r="I43" s="691">
        <v>19</v>
      </c>
      <c r="J43" s="691">
        <v>10</v>
      </c>
      <c r="K43" s="691">
        <v>190</v>
      </c>
      <c r="L43" s="691">
        <v>1</v>
      </c>
      <c r="M43" s="691">
        <v>19</v>
      </c>
      <c r="N43" s="691">
        <v>2</v>
      </c>
      <c r="O43" s="691">
        <v>38</v>
      </c>
      <c r="P43" s="704">
        <v>0.2</v>
      </c>
      <c r="Q43" s="692">
        <v>19</v>
      </c>
    </row>
    <row r="44" spans="1:17" ht="14.4" customHeight="1" x14ac:dyDescent="0.3">
      <c r="A44" s="687" t="s">
        <v>1661</v>
      </c>
      <c r="B44" s="688" t="s">
        <v>1662</v>
      </c>
      <c r="C44" s="688" t="s">
        <v>1436</v>
      </c>
      <c r="D44" s="688" t="s">
        <v>1699</v>
      </c>
      <c r="E44" s="688" t="s">
        <v>1700</v>
      </c>
      <c r="F44" s="691"/>
      <c r="G44" s="691"/>
      <c r="H44" s="691"/>
      <c r="I44" s="691"/>
      <c r="J44" s="691">
        <v>4</v>
      </c>
      <c r="K44" s="691">
        <v>432</v>
      </c>
      <c r="L44" s="691">
        <v>1</v>
      </c>
      <c r="M44" s="691">
        <v>108</v>
      </c>
      <c r="N44" s="691">
        <v>2</v>
      </c>
      <c r="O44" s="691">
        <v>216</v>
      </c>
      <c r="P44" s="704">
        <v>0.5</v>
      </c>
      <c r="Q44" s="692">
        <v>108</v>
      </c>
    </row>
    <row r="45" spans="1:17" ht="14.4" customHeight="1" x14ac:dyDescent="0.3">
      <c r="A45" s="687" t="s">
        <v>1661</v>
      </c>
      <c r="B45" s="688" t="s">
        <v>1662</v>
      </c>
      <c r="C45" s="688" t="s">
        <v>1436</v>
      </c>
      <c r="D45" s="688" t="s">
        <v>1701</v>
      </c>
      <c r="E45" s="688" t="s">
        <v>1702</v>
      </c>
      <c r="F45" s="691"/>
      <c r="G45" s="691"/>
      <c r="H45" s="691"/>
      <c r="I45" s="691"/>
      <c r="J45" s="691"/>
      <c r="K45" s="691"/>
      <c r="L45" s="691"/>
      <c r="M45" s="691"/>
      <c r="N45" s="691">
        <v>3</v>
      </c>
      <c r="O45" s="691">
        <v>1176</v>
      </c>
      <c r="P45" s="704"/>
      <c r="Q45" s="692">
        <v>392</v>
      </c>
    </row>
    <row r="46" spans="1:17" ht="14.4" customHeight="1" x14ac:dyDescent="0.3">
      <c r="A46" s="687" t="s">
        <v>1661</v>
      </c>
      <c r="B46" s="688" t="s">
        <v>1662</v>
      </c>
      <c r="C46" s="688" t="s">
        <v>1436</v>
      </c>
      <c r="D46" s="688" t="s">
        <v>1703</v>
      </c>
      <c r="E46" s="688" t="s">
        <v>1704</v>
      </c>
      <c r="F46" s="691">
        <v>4</v>
      </c>
      <c r="G46" s="691">
        <v>1848</v>
      </c>
      <c r="H46" s="691">
        <v>1.9913793103448276</v>
      </c>
      <c r="I46" s="691">
        <v>462</v>
      </c>
      <c r="J46" s="691">
        <v>2</v>
      </c>
      <c r="K46" s="691">
        <v>928</v>
      </c>
      <c r="L46" s="691">
        <v>1</v>
      </c>
      <c r="M46" s="691">
        <v>464</v>
      </c>
      <c r="N46" s="691">
        <v>2</v>
      </c>
      <c r="O46" s="691">
        <v>928</v>
      </c>
      <c r="P46" s="704">
        <v>1</v>
      </c>
      <c r="Q46" s="692">
        <v>464</v>
      </c>
    </row>
    <row r="47" spans="1:17" ht="14.4" customHeight="1" x14ac:dyDescent="0.3">
      <c r="A47" s="687" t="s">
        <v>1661</v>
      </c>
      <c r="B47" s="688" t="s">
        <v>1662</v>
      </c>
      <c r="C47" s="688" t="s">
        <v>1436</v>
      </c>
      <c r="D47" s="688" t="s">
        <v>1705</v>
      </c>
      <c r="E47" s="688" t="s">
        <v>1706</v>
      </c>
      <c r="F47" s="691">
        <v>9</v>
      </c>
      <c r="G47" s="691">
        <v>2808</v>
      </c>
      <c r="H47" s="691">
        <v>1.1214057507987221</v>
      </c>
      <c r="I47" s="691">
        <v>312</v>
      </c>
      <c r="J47" s="691">
        <v>8</v>
      </c>
      <c r="K47" s="691">
        <v>2504</v>
      </c>
      <c r="L47" s="691">
        <v>1</v>
      </c>
      <c r="M47" s="691">
        <v>313</v>
      </c>
      <c r="N47" s="691">
        <v>2</v>
      </c>
      <c r="O47" s="691">
        <v>626</v>
      </c>
      <c r="P47" s="704">
        <v>0.25</v>
      </c>
      <c r="Q47" s="692">
        <v>313</v>
      </c>
    </row>
    <row r="48" spans="1:17" ht="14.4" customHeight="1" x14ac:dyDescent="0.3">
      <c r="A48" s="687" t="s">
        <v>1661</v>
      </c>
      <c r="B48" s="688" t="s">
        <v>1662</v>
      </c>
      <c r="C48" s="688" t="s">
        <v>1436</v>
      </c>
      <c r="D48" s="688" t="s">
        <v>1707</v>
      </c>
      <c r="E48" s="688" t="s">
        <v>1708</v>
      </c>
      <c r="F48" s="691"/>
      <c r="G48" s="691"/>
      <c r="H48" s="691"/>
      <c r="I48" s="691"/>
      <c r="J48" s="691"/>
      <c r="K48" s="691"/>
      <c r="L48" s="691"/>
      <c r="M48" s="691"/>
      <c r="N48" s="691">
        <v>6</v>
      </c>
      <c r="O48" s="691">
        <v>5118</v>
      </c>
      <c r="P48" s="704"/>
      <c r="Q48" s="692">
        <v>853</v>
      </c>
    </row>
    <row r="49" spans="1:17" ht="14.4" customHeight="1" x14ac:dyDescent="0.3">
      <c r="A49" s="687" t="s">
        <v>1661</v>
      </c>
      <c r="B49" s="688" t="s">
        <v>1662</v>
      </c>
      <c r="C49" s="688" t="s">
        <v>1436</v>
      </c>
      <c r="D49" s="688" t="s">
        <v>1709</v>
      </c>
      <c r="E49" s="688" t="s">
        <v>1710</v>
      </c>
      <c r="F49" s="691">
        <v>299</v>
      </c>
      <c r="G49" s="691">
        <v>55614</v>
      </c>
      <c r="H49" s="691">
        <v>0.99799016617018987</v>
      </c>
      <c r="I49" s="691">
        <v>186</v>
      </c>
      <c r="J49" s="691">
        <v>298</v>
      </c>
      <c r="K49" s="691">
        <v>55726</v>
      </c>
      <c r="L49" s="691">
        <v>1</v>
      </c>
      <c r="M49" s="691">
        <v>187</v>
      </c>
      <c r="N49" s="691">
        <v>145</v>
      </c>
      <c r="O49" s="691">
        <v>27115</v>
      </c>
      <c r="P49" s="704">
        <v>0.48657718120805371</v>
      </c>
      <c r="Q49" s="692">
        <v>187</v>
      </c>
    </row>
    <row r="50" spans="1:17" ht="14.4" customHeight="1" x14ac:dyDescent="0.3">
      <c r="A50" s="687" t="s">
        <v>1661</v>
      </c>
      <c r="B50" s="688" t="s">
        <v>1662</v>
      </c>
      <c r="C50" s="688" t="s">
        <v>1436</v>
      </c>
      <c r="D50" s="688" t="s">
        <v>1711</v>
      </c>
      <c r="E50" s="688" t="s">
        <v>1712</v>
      </c>
      <c r="F50" s="691"/>
      <c r="G50" s="691"/>
      <c r="H50" s="691"/>
      <c r="I50" s="691"/>
      <c r="J50" s="691"/>
      <c r="K50" s="691"/>
      <c r="L50" s="691"/>
      <c r="M50" s="691"/>
      <c r="N50" s="691">
        <v>1</v>
      </c>
      <c r="O50" s="691">
        <v>167</v>
      </c>
      <c r="P50" s="704"/>
      <c r="Q50" s="692">
        <v>167</v>
      </c>
    </row>
    <row r="51" spans="1:17" ht="14.4" customHeight="1" x14ac:dyDescent="0.3">
      <c r="A51" s="687" t="s">
        <v>1661</v>
      </c>
      <c r="B51" s="688" t="s">
        <v>1662</v>
      </c>
      <c r="C51" s="688" t="s">
        <v>1436</v>
      </c>
      <c r="D51" s="688" t="s">
        <v>1713</v>
      </c>
      <c r="E51" s="688" t="s">
        <v>1714</v>
      </c>
      <c r="F51" s="691"/>
      <c r="G51" s="691"/>
      <c r="H51" s="691"/>
      <c r="I51" s="691"/>
      <c r="J51" s="691"/>
      <c r="K51" s="691"/>
      <c r="L51" s="691"/>
      <c r="M51" s="691"/>
      <c r="N51" s="691">
        <v>1</v>
      </c>
      <c r="O51" s="691">
        <v>1222</v>
      </c>
      <c r="P51" s="704"/>
      <c r="Q51" s="692">
        <v>1222</v>
      </c>
    </row>
    <row r="52" spans="1:17" ht="14.4" customHeight="1" x14ac:dyDescent="0.3">
      <c r="A52" s="687" t="s">
        <v>1661</v>
      </c>
      <c r="B52" s="688" t="s">
        <v>1662</v>
      </c>
      <c r="C52" s="688" t="s">
        <v>1436</v>
      </c>
      <c r="D52" s="688" t="s">
        <v>1715</v>
      </c>
      <c r="E52" s="688" t="s">
        <v>1716</v>
      </c>
      <c r="F52" s="691">
        <v>15</v>
      </c>
      <c r="G52" s="691">
        <v>11790</v>
      </c>
      <c r="H52" s="691">
        <v>7.4904701397712836</v>
      </c>
      <c r="I52" s="691">
        <v>786</v>
      </c>
      <c r="J52" s="691">
        <v>2</v>
      </c>
      <c r="K52" s="691">
        <v>1574</v>
      </c>
      <c r="L52" s="691">
        <v>1</v>
      </c>
      <c r="M52" s="691">
        <v>787</v>
      </c>
      <c r="N52" s="691">
        <v>115</v>
      </c>
      <c r="O52" s="691">
        <v>90620</v>
      </c>
      <c r="P52" s="704">
        <v>57.573062261753492</v>
      </c>
      <c r="Q52" s="692">
        <v>788</v>
      </c>
    </row>
    <row r="53" spans="1:17" ht="14.4" customHeight="1" x14ac:dyDescent="0.3">
      <c r="A53" s="687" t="s">
        <v>1661</v>
      </c>
      <c r="B53" s="688" t="s">
        <v>1662</v>
      </c>
      <c r="C53" s="688" t="s">
        <v>1436</v>
      </c>
      <c r="D53" s="688" t="s">
        <v>1717</v>
      </c>
      <c r="E53" s="688" t="s">
        <v>1718</v>
      </c>
      <c r="F53" s="691"/>
      <c r="G53" s="691"/>
      <c r="H53" s="691"/>
      <c r="I53" s="691"/>
      <c r="J53" s="691"/>
      <c r="K53" s="691"/>
      <c r="L53" s="691"/>
      <c r="M53" s="691"/>
      <c r="N53" s="691">
        <v>2</v>
      </c>
      <c r="O53" s="691">
        <v>378</v>
      </c>
      <c r="P53" s="704"/>
      <c r="Q53" s="692">
        <v>189</v>
      </c>
    </row>
    <row r="54" spans="1:17" ht="14.4" customHeight="1" x14ac:dyDescent="0.3">
      <c r="A54" s="687" t="s">
        <v>1661</v>
      </c>
      <c r="B54" s="688" t="s">
        <v>1662</v>
      </c>
      <c r="C54" s="688" t="s">
        <v>1436</v>
      </c>
      <c r="D54" s="688" t="s">
        <v>1719</v>
      </c>
      <c r="E54" s="688" t="s">
        <v>1720</v>
      </c>
      <c r="F54" s="691">
        <v>22</v>
      </c>
      <c r="G54" s="691">
        <v>5016</v>
      </c>
      <c r="H54" s="691">
        <v>0.87615720524017471</v>
      </c>
      <c r="I54" s="691">
        <v>228</v>
      </c>
      <c r="J54" s="691">
        <v>25</v>
      </c>
      <c r="K54" s="691">
        <v>5725</v>
      </c>
      <c r="L54" s="691">
        <v>1</v>
      </c>
      <c r="M54" s="691">
        <v>229</v>
      </c>
      <c r="N54" s="691">
        <v>36</v>
      </c>
      <c r="O54" s="691">
        <v>8244</v>
      </c>
      <c r="P54" s="704">
        <v>1.44</v>
      </c>
      <c r="Q54" s="692">
        <v>229</v>
      </c>
    </row>
    <row r="55" spans="1:17" ht="14.4" customHeight="1" x14ac:dyDescent="0.3">
      <c r="A55" s="687" t="s">
        <v>1661</v>
      </c>
      <c r="B55" s="688" t="s">
        <v>1662</v>
      </c>
      <c r="C55" s="688" t="s">
        <v>1436</v>
      </c>
      <c r="D55" s="688" t="s">
        <v>1721</v>
      </c>
      <c r="E55" s="688" t="s">
        <v>1722</v>
      </c>
      <c r="F55" s="691"/>
      <c r="G55" s="691"/>
      <c r="H55" s="691"/>
      <c r="I55" s="691"/>
      <c r="J55" s="691"/>
      <c r="K55" s="691"/>
      <c r="L55" s="691"/>
      <c r="M55" s="691"/>
      <c r="N55" s="691">
        <v>1</v>
      </c>
      <c r="O55" s="691">
        <v>562</v>
      </c>
      <c r="P55" s="704"/>
      <c r="Q55" s="692">
        <v>562</v>
      </c>
    </row>
    <row r="56" spans="1:17" ht="14.4" customHeight="1" x14ac:dyDescent="0.3">
      <c r="A56" s="687" t="s">
        <v>1661</v>
      </c>
      <c r="B56" s="688" t="s">
        <v>1662</v>
      </c>
      <c r="C56" s="688" t="s">
        <v>1436</v>
      </c>
      <c r="D56" s="688" t="s">
        <v>1723</v>
      </c>
      <c r="E56" s="688" t="s">
        <v>1724</v>
      </c>
      <c r="F56" s="691">
        <v>1</v>
      </c>
      <c r="G56" s="691">
        <v>178</v>
      </c>
      <c r="H56" s="691"/>
      <c r="I56" s="691">
        <v>178</v>
      </c>
      <c r="J56" s="691"/>
      <c r="K56" s="691"/>
      <c r="L56" s="691"/>
      <c r="M56" s="691"/>
      <c r="N56" s="691"/>
      <c r="O56" s="691"/>
      <c r="P56" s="704"/>
      <c r="Q56" s="692"/>
    </row>
    <row r="57" spans="1:17" ht="14.4" customHeight="1" x14ac:dyDescent="0.3">
      <c r="A57" s="687" t="s">
        <v>1661</v>
      </c>
      <c r="B57" s="688" t="s">
        <v>1662</v>
      </c>
      <c r="C57" s="688" t="s">
        <v>1436</v>
      </c>
      <c r="D57" s="688" t="s">
        <v>1725</v>
      </c>
      <c r="E57" s="688" t="s">
        <v>1726</v>
      </c>
      <c r="F57" s="691"/>
      <c r="G57" s="691"/>
      <c r="H57" s="691"/>
      <c r="I57" s="691"/>
      <c r="J57" s="691"/>
      <c r="K57" s="691"/>
      <c r="L57" s="691"/>
      <c r="M57" s="691"/>
      <c r="N57" s="691">
        <v>1</v>
      </c>
      <c r="O57" s="691">
        <v>941</v>
      </c>
      <c r="P57" s="704"/>
      <c r="Q57" s="692">
        <v>941</v>
      </c>
    </row>
    <row r="58" spans="1:17" ht="14.4" customHeight="1" x14ac:dyDescent="0.3">
      <c r="A58" s="687" t="s">
        <v>1661</v>
      </c>
      <c r="B58" s="688" t="s">
        <v>1662</v>
      </c>
      <c r="C58" s="688" t="s">
        <v>1436</v>
      </c>
      <c r="D58" s="688" t="s">
        <v>1727</v>
      </c>
      <c r="E58" s="688" t="s">
        <v>1728</v>
      </c>
      <c r="F58" s="691">
        <v>325</v>
      </c>
      <c r="G58" s="691">
        <v>9750</v>
      </c>
      <c r="H58" s="691">
        <v>0.74712643678160917</v>
      </c>
      <c r="I58" s="691">
        <v>30</v>
      </c>
      <c r="J58" s="691">
        <v>435</v>
      </c>
      <c r="K58" s="691">
        <v>13050</v>
      </c>
      <c r="L58" s="691">
        <v>1</v>
      </c>
      <c r="M58" s="691">
        <v>30</v>
      </c>
      <c r="N58" s="691">
        <v>442</v>
      </c>
      <c r="O58" s="691">
        <v>13260</v>
      </c>
      <c r="P58" s="704">
        <v>1.0160919540229885</v>
      </c>
      <c r="Q58" s="692">
        <v>30</v>
      </c>
    </row>
    <row r="59" spans="1:17" ht="14.4" customHeight="1" x14ac:dyDescent="0.3">
      <c r="A59" s="687" t="s">
        <v>1661</v>
      </c>
      <c r="B59" s="688" t="s">
        <v>1662</v>
      </c>
      <c r="C59" s="688" t="s">
        <v>1436</v>
      </c>
      <c r="D59" s="688" t="s">
        <v>1729</v>
      </c>
      <c r="E59" s="688" t="s">
        <v>1730</v>
      </c>
      <c r="F59" s="691">
        <v>3</v>
      </c>
      <c r="G59" s="691">
        <v>36</v>
      </c>
      <c r="H59" s="691">
        <v>3</v>
      </c>
      <c r="I59" s="691">
        <v>12</v>
      </c>
      <c r="J59" s="691">
        <v>1</v>
      </c>
      <c r="K59" s="691">
        <v>12</v>
      </c>
      <c r="L59" s="691">
        <v>1</v>
      </c>
      <c r="M59" s="691">
        <v>12</v>
      </c>
      <c r="N59" s="691">
        <v>2</v>
      </c>
      <c r="O59" s="691">
        <v>24</v>
      </c>
      <c r="P59" s="704">
        <v>2</v>
      </c>
      <c r="Q59" s="692">
        <v>12</v>
      </c>
    </row>
    <row r="60" spans="1:17" ht="14.4" customHeight="1" x14ac:dyDescent="0.3">
      <c r="A60" s="687" t="s">
        <v>1661</v>
      </c>
      <c r="B60" s="688" t="s">
        <v>1662</v>
      </c>
      <c r="C60" s="688" t="s">
        <v>1436</v>
      </c>
      <c r="D60" s="688" t="s">
        <v>1731</v>
      </c>
      <c r="E60" s="688" t="s">
        <v>1732</v>
      </c>
      <c r="F60" s="691"/>
      <c r="G60" s="691"/>
      <c r="H60" s="691"/>
      <c r="I60" s="691"/>
      <c r="J60" s="691"/>
      <c r="K60" s="691"/>
      <c r="L60" s="691"/>
      <c r="M60" s="691"/>
      <c r="N60" s="691">
        <v>1</v>
      </c>
      <c r="O60" s="691">
        <v>183</v>
      </c>
      <c r="P60" s="704"/>
      <c r="Q60" s="692">
        <v>183</v>
      </c>
    </row>
    <row r="61" spans="1:17" ht="14.4" customHeight="1" x14ac:dyDescent="0.3">
      <c r="A61" s="687" t="s">
        <v>1661</v>
      </c>
      <c r="B61" s="688" t="s">
        <v>1662</v>
      </c>
      <c r="C61" s="688" t="s">
        <v>1436</v>
      </c>
      <c r="D61" s="688" t="s">
        <v>1733</v>
      </c>
      <c r="E61" s="688" t="s">
        <v>1734</v>
      </c>
      <c r="F61" s="691">
        <v>14</v>
      </c>
      <c r="G61" s="691">
        <v>1008</v>
      </c>
      <c r="H61" s="691"/>
      <c r="I61" s="691">
        <v>72</v>
      </c>
      <c r="J61" s="691"/>
      <c r="K61" s="691"/>
      <c r="L61" s="691"/>
      <c r="M61" s="691"/>
      <c r="N61" s="691">
        <v>1</v>
      </c>
      <c r="O61" s="691">
        <v>73</v>
      </c>
      <c r="P61" s="704"/>
      <c r="Q61" s="692">
        <v>73</v>
      </c>
    </row>
    <row r="62" spans="1:17" ht="14.4" customHeight="1" x14ac:dyDescent="0.3">
      <c r="A62" s="687" t="s">
        <v>1661</v>
      </c>
      <c r="B62" s="688" t="s">
        <v>1662</v>
      </c>
      <c r="C62" s="688" t="s">
        <v>1436</v>
      </c>
      <c r="D62" s="688" t="s">
        <v>1621</v>
      </c>
      <c r="E62" s="688" t="s">
        <v>1622</v>
      </c>
      <c r="F62" s="691">
        <v>10</v>
      </c>
      <c r="G62" s="691">
        <v>12680</v>
      </c>
      <c r="H62" s="691">
        <v>1.9766173031956353</v>
      </c>
      <c r="I62" s="691">
        <v>1268</v>
      </c>
      <c r="J62" s="691">
        <v>5</v>
      </c>
      <c r="K62" s="691">
        <v>6415</v>
      </c>
      <c r="L62" s="691">
        <v>1</v>
      </c>
      <c r="M62" s="691">
        <v>1283</v>
      </c>
      <c r="N62" s="691">
        <v>4</v>
      </c>
      <c r="O62" s="691">
        <v>5140</v>
      </c>
      <c r="P62" s="704">
        <v>0.80124707716289945</v>
      </c>
      <c r="Q62" s="692">
        <v>1285</v>
      </c>
    </row>
    <row r="63" spans="1:17" ht="14.4" customHeight="1" x14ac:dyDescent="0.3">
      <c r="A63" s="687" t="s">
        <v>1661</v>
      </c>
      <c r="B63" s="688" t="s">
        <v>1662</v>
      </c>
      <c r="C63" s="688" t="s">
        <v>1436</v>
      </c>
      <c r="D63" s="688" t="s">
        <v>1735</v>
      </c>
      <c r="E63" s="688" t="s">
        <v>1736</v>
      </c>
      <c r="F63" s="691">
        <v>278</v>
      </c>
      <c r="G63" s="691">
        <v>41144</v>
      </c>
      <c r="H63" s="691">
        <v>1.3602671339306378</v>
      </c>
      <c r="I63" s="691">
        <v>148</v>
      </c>
      <c r="J63" s="691">
        <v>203</v>
      </c>
      <c r="K63" s="691">
        <v>30247</v>
      </c>
      <c r="L63" s="691">
        <v>1</v>
      </c>
      <c r="M63" s="691">
        <v>149</v>
      </c>
      <c r="N63" s="691">
        <v>275</v>
      </c>
      <c r="O63" s="691">
        <v>40975</v>
      </c>
      <c r="P63" s="704">
        <v>1.354679802955665</v>
      </c>
      <c r="Q63" s="692">
        <v>149</v>
      </c>
    </row>
    <row r="64" spans="1:17" ht="14.4" customHeight="1" x14ac:dyDescent="0.3">
      <c r="A64" s="687" t="s">
        <v>1661</v>
      </c>
      <c r="B64" s="688" t="s">
        <v>1662</v>
      </c>
      <c r="C64" s="688" t="s">
        <v>1436</v>
      </c>
      <c r="D64" s="688" t="s">
        <v>1737</v>
      </c>
      <c r="E64" s="688" t="s">
        <v>1738</v>
      </c>
      <c r="F64" s="691">
        <v>335</v>
      </c>
      <c r="G64" s="691">
        <v>10050</v>
      </c>
      <c r="H64" s="691">
        <v>0.77011494252873558</v>
      </c>
      <c r="I64" s="691">
        <v>30</v>
      </c>
      <c r="J64" s="691">
        <v>435</v>
      </c>
      <c r="K64" s="691">
        <v>13050</v>
      </c>
      <c r="L64" s="691">
        <v>1</v>
      </c>
      <c r="M64" s="691">
        <v>30</v>
      </c>
      <c r="N64" s="691">
        <v>439</v>
      </c>
      <c r="O64" s="691">
        <v>13170</v>
      </c>
      <c r="P64" s="704">
        <v>1.0091954022988505</v>
      </c>
      <c r="Q64" s="692">
        <v>30</v>
      </c>
    </row>
    <row r="65" spans="1:17" ht="14.4" customHeight="1" x14ac:dyDescent="0.3">
      <c r="A65" s="687" t="s">
        <v>1661</v>
      </c>
      <c r="B65" s="688" t="s">
        <v>1662</v>
      </c>
      <c r="C65" s="688" t="s">
        <v>1436</v>
      </c>
      <c r="D65" s="688" t="s">
        <v>1739</v>
      </c>
      <c r="E65" s="688" t="s">
        <v>1740</v>
      </c>
      <c r="F65" s="691">
        <v>1</v>
      </c>
      <c r="G65" s="691">
        <v>31</v>
      </c>
      <c r="H65" s="691">
        <v>1</v>
      </c>
      <c r="I65" s="691">
        <v>31</v>
      </c>
      <c r="J65" s="691">
        <v>1</v>
      </c>
      <c r="K65" s="691">
        <v>31</v>
      </c>
      <c r="L65" s="691">
        <v>1</v>
      </c>
      <c r="M65" s="691">
        <v>31</v>
      </c>
      <c r="N65" s="691">
        <v>1</v>
      </c>
      <c r="O65" s="691">
        <v>31</v>
      </c>
      <c r="P65" s="704">
        <v>1</v>
      </c>
      <c r="Q65" s="692">
        <v>31</v>
      </c>
    </row>
    <row r="66" spans="1:17" ht="14.4" customHeight="1" x14ac:dyDescent="0.3">
      <c r="A66" s="687" t="s">
        <v>1661</v>
      </c>
      <c r="B66" s="688" t="s">
        <v>1662</v>
      </c>
      <c r="C66" s="688" t="s">
        <v>1436</v>
      </c>
      <c r="D66" s="688" t="s">
        <v>1741</v>
      </c>
      <c r="E66" s="688" t="s">
        <v>1742</v>
      </c>
      <c r="F66" s="691">
        <v>14</v>
      </c>
      <c r="G66" s="691">
        <v>378</v>
      </c>
      <c r="H66" s="691">
        <v>1</v>
      </c>
      <c r="I66" s="691">
        <v>27</v>
      </c>
      <c r="J66" s="691">
        <v>14</v>
      </c>
      <c r="K66" s="691">
        <v>378</v>
      </c>
      <c r="L66" s="691">
        <v>1</v>
      </c>
      <c r="M66" s="691">
        <v>27</v>
      </c>
      <c r="N66" s="691">
        <v>22</v>
      </c>
      <c r="O66" s="691">
        <v>594</v>
      </c>
      <c r="P66" s="704">
        <v>1.5714285714285714</v>
      </c>
      <c r="Q66" s="692">
        <v>27</v>
      </c>
    </row>
    <row r="67" spans="1:17" ht="14.4" customHeight="1" x14ac:dyDescent="0.3">
      <c r="A67" s="687" t="s">
        <v>1661</v>
      </c>
      <c r="B67" s="688" t="s">
        <v>1662</v>
      </c>
      <c r="C67" s="688" t="s">
        <v>1436</v>
      </c>
      <c r="D67" s="688" t="s">
        <v>1743</v>
      </c>
      <c r="E67" s="688" t="s">
        <v>1744</v>
      </c>
      <c r="F67" s="691">
        <v>1</v>
      </c>
      <c r="G67" s="691">
        <v>162</v>
      </c>
      <c r="H67" s="691"/>
      <c r="I67" s="691">
        <v>162</v>
      </c>
      <c r="J67" s="691"/>
      <c r="K67" s="691"/>
      <c r="L67" s="691"/>
      <c r="M67" s="691"/>
      <c r="N67" s="691"/>
      <c r="O67" s="691"/>
      <c r="P67" s="704"/>
      <c r="Q67" s="692"/>
    </row>
    <row r="68" spans="1:17" ht="14.4" customHeight="1" x14ac:dyDescent="0.3">
      <c r="A68" s="687" t="s">
        <v>1661</v>
      </c>
      <c r="B68" s="688" t="s">
        <v>1662</v>
      </c>
      <c r="C68" s="688" t="s">
        <v>1436</v>
      </c>
      <c r="D68" s="688" t="s">
        <v>1745</v>
      </c>
      <c r="E68" s="688" t="s">
        <v>1746</v>
      </c>
      <c r="F68" s="691">
        <v>7</v>
      </c>
      <c r="G68" s="691">
        <v>154</v>
      </c>
      <c r="H68" s="691">
        <v>3.5</v>
      </c>
      <c r="I68" s="691">
        <v>22</v>
      </c>
      <c r="J68" s="691">
        <v>2</v>
      </c>
      <c r="K68" s="691">
        <v>44</v>
      </c>
      <c r="L68" s="691">
        <v>1</v>
      </c>
      <c r="M68" s="691">
        <v>22</v>
      </c>
      <c r="N68" s="691">
        <v>4</v>
      </c>
      <c r="O68" s="691">
        <v>88</v>
      </c>
      <c r="P68" s="704">
        <v>2</v>
      </c>
      <c r="Q68" s="692">
        <v>22</v>
      </c>
    </row>
    <row r="69" spans="1:17" ht="14.4" customHeight="1" x14ac:dyDescent="0.3">
      <c r="A69" s="687" t="s">
        <v>1661</v>
      </c>
      <c r="B69" s="688" t="s">
        <v>1662</v>
      </c>
      <c r="C69" s="688" t="s">
        <v>1436</v>
      </c>
      <c r="D69" s="688" t="s">
        <v>1747</v>
      </c>
      <c r="E69" s="688" t="s">
        <v>1748</v>
      </c>
      <c r="F69" s="691"/>
      <c r="G69" s="691"/>
      <c r="H69" s="691"/>
      <c r="I69" s="691"/>
      <c r="J69" s="691"/>
      <c r="K69" s="691"/>
      <c r="L69" s="691"/>
      <c r="M69" s="691"/>
      <c r="N69" s="691">
        <v>3</v>
      </c>
      <c r="O69" s="691">
        <v>2610</v>
      </c>
      <c r="P69" s="704"/>
      <c r="Q69" s="692">
        <v>870</v>
      </c>
    </row>
    <row r="70" spans="1:17" ht="14.4" customHeight="1" x14ac:dyDescent="0.3">
      <c r="A70" s="687" t="s">
        <v>1661</v>
      </c>
      <c r="B70" s="688" t="s">
        <v>1662</v>
      </c>
      <c r="C70" s="688" t="s">
        <v>1436</v>
      </c>
      <c r="D70" s="688" t="s">
        <v>1749</v>
      </c>
      <c r="E70" s="688" t="s">
        <v>1750</v>
      </c>
      <c r="F70" s="691">
        <v>14</v>
      </c>
      <c r="G70" s="691">
        <v>350</v>
      </c>
      <c r="H70" s="691">
        <v>3.5</v>
      </c>
      <c r="I70" s="691">
        <v>25</v>
      </c>
      <c r="J70" s="691">
        <v>4</v>
      </c>
      <c r="K70" s="691">
        <v>100</v>
      </c>
      <c r="L70" s="691">
        <v>1</v>
      </c>
      <c r="M70" s="691">
        <v>25</v>
      </c>
      <c r="N70" s="691">
        <v>16</v>
      </c>
      <c r="O70" s="691">
        <v>400</v>
      </c>
      <c r="P70" s="704">
        <v>4</v>
      </c>
      <c r="Q70" s="692">
        <v>25</v>
      </c>
    </row>
    <row r="71" spans="1:17" ht="14.4" customHeight="1" x14ac:dyDescent="0.3">
      <c r="A71" s="687" t="s">
        <v>1661</v>
      </c>
      <c r="B71" s="688" t="s">
        <v>1662</v>
      </c>
      <c r="C71" s="688" t="s">
        <v>1436</v>
      </c>
      <c r="D71" s="688" t="s">
        <v>1751</v>
      </c>
      <c r="E71" s="688" t="s">
        <v>1752</v>
      </c>
      <c r="F71" s="691">
        <v>2</v>
      </c>
      <c r="G71" s="691">
        <v>66</v>
      </c>
      <c r="H71" s="691">
        <v>0.66666666666666663</v>
      </c>
      <c r="I71" s="691">
        <v>33</v>
      </c>
      <c r="J71" s="691">
        <v>3</v>
      </c>
      <c r="K71" s="691">
        <v>99</v>
      </c>
      <c r="L71" s="691">
        <v>1</v>
      </c>
      <c r="M71" s="691">
        <v>33</v>
      </c>
      <c r="N71" s="691">
        <v>10</v>
      </c>
      <c r="O71" s="691">
        <v>330</v>
      </c>
      <c r="P71" s="704">
        <v>3.3333333333333335</v>
      </c>
      <c r="Q71" s="692">
        <v>33</v>
      </c>
    </row>
    <row r="72" spans="1:17" ht="14.4" customHeight="1" x14ac:dyDescent="0.3">
      <c r="A72" s="687" t="s">
        <v>1661</v>
      </c>
      <c r="B72" s="688" t="s">
        <v>1662</v>
      </c>
      <c r="C72" s="688" t="s">
        <v>1436</v>
      </c>
      <c r="D72" s="688" t="s">
        <v>1753</v>
      </c>
      <c r="E72" s="688" t="s">
        <v>1754</v>
      </c>
      <c r="F72" s="691">
        <v>8</v>
      </c>
      <c r="G72" s="691">
        <v>240</v>
      </c>
      <c r="H72" s="691">
        <v>4</v>
      </c>
      <c r="I72" s="691">
        <v>30</v>
      </c>
      <c r="J72" s="691">
        <v>2</v>
      </c>
      <c r="K72" s="691">
        <v>60</v>
      </c>
      <c r="L72" s="691">
        <v>1</v>
      </c>
      <c r="M72" s="691">
        <v>30</v>
      </c>
      <c r="N72" s="691">
        <v>4</v>
      </c>
      <c r="O72" s="691">
        <v>120</v>
      </c>
      <c r="P72" s="704">
        <v>2</v>
      </c>
      <c r="Q72" s="692">
        <v>30</v>
      </c>
    </row>
    <row r="73" spans="1:17" ht="14.4" customHeight="1" x14ac:dyDescent="0.3">
      <c r="A73" s="687" t="s">
        <v>1661</v>
      </c>
      <c r="B73" s="688" t="s">
        <v>1662</v>
      </c>
      <c r="C73" s="688" t="s">
        <v>1436</v>
      </c>
      <c r="D73" s="688" t="s">
        <v>1755</v>
      </c>
      <c r="E73" s="688" t="s">
        <v>1756</v>
      </c>
      <c r="F73" s="691"/>
      <c r="G73" s="691"/>
      <c r="H73" s="691"/>
      <c r="I73" s="691"/>
      <c r="J73" s="691"/>
      <c r="K73" s="691"/>
      <c r="L73" s="691"/>
      <c r="M73" s="691"/>
      <c r="N73" s="691">
        <v>1</v>
      </c>
      <c r="O73" s="691">
        <v>205</v>
      </c>
      <c r="P73" s="704"/>
      <c r="Q73" s="692">
        <v>205</v>
      </c>
    </row>
    <row r="74" spans="1:17" ht="14.4" customHeight="1" x14ac:dyDescent="0.3">
      <c r="A74" s="687" t="s">
        <v>1661</v>
      </c>
      <c r="B74" s="688" t="s">
        <v>1662</v>
      </c>
      <c r="C74" s="688" t="s">
        <v>1436</v>
      </c>
      <c r="D74" s="688" t="s">
        <v>1757</v>
      </c>
      <c r="E74" s="688" t="s">
        <v>1758</v>
      </c>
      <c r="F74" s="691">
        <v>4</v>
      </c>
      <c r="G74" s="691">
        <v>104</v>
      </c>
      <c r="H74" s="691">
        <v>1</v>
      </c>
      <c r="I74" s="691">
        <v>26</v>
      </c>
      <c r="J74" s="691">
        <v>4</v>
      </c>
      <c r="K74" s="691">
        <v>104</v>
      </c>
      <c r="L74" s="691">
        <v>1</v>
      </c>
      <c r="M74" s="691">
        <v>26</v>
      </c>
      <c r="N74" s="691">
        <v>12</v>
      </c>
      <c r="O74" s="691">
        <v>312</v>
      </c>
      <c r="P74" s="704">
        <v>3</v>
      </c>
      <c r="Q74" s="692">
        <v>26</v>
      </c>
    </row>
    <row r="75" spans="1:17" ht="14.4" customHeight="1" x14ac:dyDescent="0.3">
      <c r="A75" s="687" t="s">
        <v>1661</v>
      </c>
      <c r="B75" s="688" t="s">
        <v>1662</v>
      </c>
      <c r="C75" s="688" t="s">
        <v>1436</v>
      </c>
      <c r="D75" s="688" t="s">
        <v>1759</v>
      </c>
      <c r="E75" s="688" t="s">
        <v>1760</v>
      </c>
      <c r="F75" s="691"/>
      <c r="G75" s="691"/>
      <c r="H75" s="691"/>
      <c r="I75" s="691"/>
      <c r="J75" s="691"/>
      <c r="K75" s="691"/>
      <c r="L75" s="691"/>
      <c r="M75" s="691"/>
      <c r="N75" s="691">
        <v>1</v>
      </c>
      <c r="O75" s="691">
        <v>176</v>
      </c>
      <c r="P75" s="704"/>
      <c r="Q75" s="692">
        <v>176</v>
      </c>
    </row>
    <row r="76" spans="1:17" ht="14.4" customHeight="1" x14ac:dyDescent="0.3">
      <c r="A76" s="687" t="s">
        <v>1661</v>
      </c>
      <c r="B76" s="688" t="s">
        <v>1662</v>
      </c>
      <c r="C76" s="688" t="s">
        <v>1436</v>
      </c>
      <c r="D76" s="688" t="s">
        <v>1761</v>
      </c>
      <c r="E76" s="688" t="s">
        <v>1762</v>
      </c>
      <c r="F76" s="691">
        <v>46</v>
      </c>
      <c r="G76" s="691">
        <v>690</v>
      </c>
      <c r="H76" s="691">
        <v>1.3142857142857143</v>
      </c>
      <c r="I76" s="691">
        <v>15</v>
      </c>
      <c r="J76" s="691">
        <v>35</v>
      </c>
      <c r="K76" s="691">
        <v>525</v>
      </c>
      <c r="L76" s="691">
        <v>1</v>
      </c>
      <c r="M76" s="691">
        <v>15</v>
      </c>
      <c r="N76" s="691">
        <v>45</v>
      </c>
      <c r="O76" s="691">
        <v>675</v>
      </c>
      <c r="P76" s="704">
        <v>1.2857142857142858</v>
      </c>
      <c r="Q76" s="692">
        <v>15</v>
      </c>
    </row>
    <row r="77" spans="1:17" ht="14.4" customHeight="1" x14ac:dyDescent="0.3">
      <c r="A77" s="687" t="s">
        <v>1661</v>
      </c>
      <c r="B77" s="688" t="s">
        <v>1662</v>
      </c>
      <c r="C77" s="688" t="s">
        <v>1436</v>
      </c>
      <c r="D77" s="688" t="s">
        <v>1763</v>
      </c>
      <c r="E77" s="688" t="s">
        <v>1764</v>
      </c>
      <c r="F77" s="691">
        <v>16</v>
      </c>
      <c r="G77" s="691">
        <v>368</v>
      </c>
      <c r="H77" s="691">
        <v>1</v>
      </c>
      <c r="I77" s="691">
        <v>23</v>
      </c>
      <c r="J77" s="691">
        <v>16</v>
      </c>
      <c r="K77" s="691">
        <v>368</v>
      </c>
      <c r="L77" s="691">
        <v>1</v>
      </c>
      <c r="M77" s="691">
        <v>23</v>
      </c>
      <c r="N77" s="691">
        <v>24</v>
      </c>
      <c r="O77" s="691">
        <v>552</v>
      </c>
      <c r="P77" s="704">
        <v>1.5</v>
      </c>
      <c r="Q77" s="692">
        <v>23</v>
      </c>
    </row>
    <row r="78" spans="1:17" ht="14.4" customHeight="1" x14ac:dyDescent="0.3">
      <c r="A78" s="687" t="s">
        <v>1661</v>
      </c>
      <c r="B78" s="688" t="s">
        <v>1662</v>
      </c>
      <c r="C78" s="688" t="s">
        <v>1436</v>
      </c>
      <c r="D78" s="688" t="s">
        <v>1765</v>
      </c>
      <c r="E78" s="688" t="s">
        <v>1766</v>
      </c>
      <c r="F78" s="691">
        <v>207</v>
      </c>
      <c r="G78" s="691">
        <v>4761</v>
      </c>
      <c r="H78" s="691">
        <v>0.48477751756440279</v>
      </c>
      <c r="I78" s="691">
        <v>23</v>
      </c>
      <c r="J78" s="691">
        <v>427</v>
      </c>
      <c r="K78" s="691">
        <v>9821</v>
      </c>
      <c r="L78" s="691">
        <v>1</v>
      </c>
      <c r="M78" s="691">
        <v>23</v>
      </c>
      <c r="N78" s="691">
        <v>426</v>
      </c>
      <c r="O78" s="691">
        <v>9798</v>
      </c>
      <c r="P78" s="704">
        <v>0.99765807962529274</v>
      </c>
      <c r="Q78" s="692">
        <v>23</v>
      </c>
    </row>
    <row r="79" spans="1:17" ht="14.4" customHeight="1" x14ac:dyDescent="0.3">
      <c r="A79" s="687" t="s">
        <v>1661</v>
      </c>
      <c r="B79" s="688" t="s">
        <v>1662</v>
      </c>
      <c r="C79" s="688" t="s">
        <v>1436</v>
      </c>
      <c r="D79" s="688" t="s">
        <v>1767</v>
      </c>
      <c r="E79" s="688" t="s">
        <v>1768</v>
      </c>
      <c r="F79" s="691"/>
      <c r="G79" s="691"/>
      <c r="H79" s="691"/>
      <c r="I79" s="691"/>
      <c r="J79" s="691"/>
      <c r="K79" s="691"/>
      <c r="L79" s="691"/>
      <c r="M79" s="691"/>
      <c r="N79" s="691">
        <v>2</v>
      </c>
      <c r="O79" s="691">
        <v>800</v>
      </c>
      <c r="P79" s="704"/>
      <c r="Q79" s="692">
        <v>400</v>
      </c>
    </row>
    <row r="80" spans="1:17" ht="14.4" customHeight="1" x14ac:dyDescent="0.3">
      <c r="A80" s="687" t="s">
        <v>1661</v>
      </c>
      <c r="B80" s="688" t="s">
        <v>1662</v>
      </c>
      <c r="C80" s="688" t="s">
        <v>1436</v>
      </c>
      <c r="D80" s="688" t="s">
        <v>1769</v>
      </c>
      <c r="E80" s="688" t="s">
        <v>1770</v>
      </c>
      <c r="F80" s="691">
        <v>2</v>
      </c>
      <c r="G80" s="691">
        <v>340</v>
      </c>
      <c r="H80" s="691">
        <v>1.9883040935672514</v>
      </c>
      <c r="I80" s="691">
        <v>170</v>
      </c>
      <c r="J80" s="691">
        <v>1</v>
      </c>
      <c r="K80" s="691">
        <v>171</v>
      </c>
      <c r="L80" s="691">
        <v>1</v>
      </c>
      <c r="M80" s="691">
        <v>171</v>
      </c>
      <c r="N80" s="691">
        <v>1</v>
      </c>
      <c r="O80" s="691">
        <v>171</v>
      </c>
      <c r="P80" s="704">
        <v>1</v>
      </c>
      <c r="Q80" s="692">
        <v>171</v>
      </c>
    </row>
    <row r="81" spans="1:17" ht="14.4" customHeight="1" x14ac:dyDescent="0.3">
      <c r="A81" s="687" t="s">
        <v>1661</v>
      </c>
      <c r="B81" s="688" t="s">
        <v>1662</v>
      </c>
      <c r="C81" s="688" t="s">
        <v>1436</v>
      </c>
      <c r="D81" s="688" t="s">
        <v>1771</v>
      </c>
      <c r="E81" s="688" t="s">
        <v>1772</v>
      </c>
      <c r="F81" s="691"/>
      <c r="G81" s="691"/>
      <c r="H81" s="691"/>
      <c r="I81" s="691"/>
      <c r="J81" s="691"/>
      <c r="K81" s="691"/>
      <c r="L81" s="691"/>
      <c r="M81" s="691"/>
      <c r="N81" s="691">
        <v>1</v>
      </c>
      <c r="O81" s="691">
        <v>331</v>
      </c>
      <c r="P81" s="704"/>
      <c r="Q81" s="692">
        <v>331</v>
      </c>
    </row>
    <row r="82" spans="1:17" ht="14.4" customHeight="1" x14ac:dyDescent="0.3">
      <c r="A82" s="687" t="s">
        <v>1661</v>
      </c>
      <c r="B82" s="688" t="s">
        <v>1662</v>
      </c>
      <c r="C82" s="688" t="s">
        <v>1436</v>
      </c>
      <c r="D82" s="688" t="s">
        <v>1773</v>
      </c>
      <c r="E82" s="688" t="s">
        <v>1774</v>
      </c>
      <c r="F82" s="691">
        <v>4</v>
      </c>
      <c r="G82" s="691">
        <v>116</v>
      </c>
      <c r="H82" s="691">
        <v>1</v>
      </c>
      <c r="I82" s="691">
        <v>29</v>
      </c>
      <c r="J82" s="691">
        <v>4</v>
      </c>
      <c r="K82" s="691">
        <v>116</v>
      </c>
      <c r="L82" s="691">
        <v>1</v>
      </c>
      <c r="M82" s="691">
        <v>29</v>
      </c>
      <c r="N82" s="691">
        <v>11</v>
      </c>
      <c r="O82" s="691">
        <v>319</v>
      </c>
      <c r="P82" s="704">
        <v>2.75</v>
      </c>
      <c r="Q82" s="692">
        <v>29</v>
      </c>
    </row>
    <row r="83" spans="1:17" ht="14.4" customHeight="1" x14ac:dyDescent="0.3">
      <c r="A83" s="687" t="s">
        <v>1661</v>
      </c>
      <c r="B83" s="688" t="s">
        <v>1662</v>
      </c>
      <c r="C83" s="688" t="s">
        <v>1436</v>
      </c>
      <c r="D83" s="688" t="s">
        <v>1775</v>
      </c>
      <c r="E83" s="688" t="s">
        <v>1776</v>
      </c>
      <c r="F83" s="691">
        <v>1</v>
      </c>
      <c r="G83" s="691">
        <v>198</v>
      </c>
      <c r="H83" s="691"/>
      <c r="I83" s="691">
        <v>198</v>
      </c>
      <c r="J83" s="691"/>
      <c r="K83" s="691"/>
      <c r="L83" s="691"/>
      <c r="M83" s="691"/>
      <c r="N83" s="691"/>
      <c r="O83" s="691"/>
      <c r="P83" s="704"/>
      <c r="Q83" s="692"/>
    </row>
    <row r="84" spans="1:17" ht="14.4" customHeight="1" x14ac:dyDescent="0.3">
      <c r="A84" s="687" t="s">
        <v>1661</v>
      </c>
      <c r="B84" s="688" t="s">
        <v>1662</v>
      </c>
      <c r="C84" s="688" t="s">
        <v>1436</v>
      </c>
      <c r="D84" s="688" t="s">
        <v>1777</v>
      </c>
      <c r="E84" s="688" t="s">
        <v>1778</v>
      </c>
      <c r="F84" s="691">
        <v>7</v>
      </c>
      <c r="G84" s="691">
        <v>105</v>
      </c>
      <c r="H84" s="691">
        <v>0.7</v>
      </c>
      <c r="I84" s="691">
        <v>15</v>
      </c>
      <c r="J84" s="691">
        <v>10</v>
      </c>
      <c r="K84" s="691">
        <v>150</v>
      </c>
      <c r="L84" s="691">
        <v>1</v>
      </c>
      <c r="M84" s="691">
        <v>15</v>
      </c>
      <c r="N84" s="691">
        <v>18</v>
      </c>
      <c r="O84" s="691">
        <v>270</v>
      </c>
      <c r="P84" s="704">
        <v>1.8</v>
      </c>
      <c r="Q84" s="692">
        <v>15</v>
      </c>
    </row>
    <row r="85" spans="1:17" ht="14.4" customHeight="1" x14ac:dyDescent="0.3">
      <c r="A85" s="687" t="s">
        <v>1661</v>
      </c>
      <c r="B85" s="688" t="s">
        <v>1662</v>
      </c>
      <c r="C85" s="688" t="s">
        <v>1436</v>
      </c>
      <c r="D85" s="688" t="s">
        <v>1779</v>
      </c>
      <c r="E85" s="688" t="s">
        <v>1780</v>
      </c>
      <c r="F85" s="691">
        <v>31</v>
      </c>
      <c r="G85" s="691">
        <v>589</v>
      </c>
      <c r="H85" s="691">
        <v>0.83783783783783783</v>
      </c>
      <c r="I85" s="691">
        <v>19</v>
      </c>
      <c r="J85" s="691">
        <v>37</v>
      </c>
      <c r="K85" s="691">
        <v>703</v>
      </c>
      <c r="L85" s="691">
        <v>1</v>
      </c>
      <c r="M85" s="691">
        <v>19</v>
      </c>
      <c r="N85" s="691">
        <v>40</v>
      </c>
      <c r="O85" s="691">
        <v>760</v>
      </c>
      <c r="P85" s="704">
        <v>1.0810810810810811</v>
      </c>
      <c r="Q85" s="692">
        <v>19</v>
      </c>
    </row>
    <row r="86" spans="1:17" ht="14.4" customHeight="1" x14ac:dyDescent="0.3">
      <c r="A86" s="687" t="s">
        <v>1661</v>
      </c>
      <c r="B86" s="688" t="s">
        <v>1662</v>
      </c>
      <c r="C86" s="688" t="s">
        <v>1436</v>
      </c>
      <c r="D86" s="688" t="s">
        <v>1781</v>
      </c>
      <c r="E86" s="688" t="s">
        <v>1782</v>
      </c>
      <c r="F86" s="691">
        <v>35</v>
      </c>
      <c r="G86" s="691">
        <v>700</v>
      </c>
      <c r="H86" s="691">
        <v>1.2962962962962963</v>
      </c>
      <c r="I86" s="691">
        <v>20</v>
      </c>
      <c r="J86" s="691">
        <v>27</v>
      </c>
      <c r="K86" s="691">
        <v>540</v>
      </c>
      <c r="L86" s="691">
        <v>1</v>
      </c>
      <c r="M86" s="691">
        <v>20</v>
      </c>
      <c r="N86" s="691">
        <v>44</v>
      </c>
      <c r="O86" s="691">
        <v>880</v>
      </c>
      <c r="P86" s="704">
        <v>1.6296296296296295</v>
      </c>
      <c r="Q86" s="692">
        <v>20</v>
      </c>
    </row>
    <row r="87" spans="1:17" ht="14.4" customHeight="1" x14ac:dyDescent="0.3">
      <c r="A87" s="687" t="s">
        <v>1661</v>
      </c>
      <c r="B87" s="688" t="s">
        <v>1662</v>
      </c>
      <c r="C87" s="688" t="s">
        <v>1436</v>
      </c>
      <c r="D87" s="688" t="s">
        <v>1783</v>
      </c>
      <c r="E87" s="688" t="s">
        <v>1784</v>
      </c>
      <c r="F87" s="691"/>
      <c r="G87" s="691"/>
      <c r="H87" s="691"/>
      <c r="I87" s="691"/>
      <c r="J87" s="691"/>
      <c r="K87" s="691"/>
      <c r="L87" s="691"/>
      <c r="M87" s="691"/>
      <c r="N87" s="691">
        <v>1</v>
      </c>
      <c r="O87" s="691">
        <v>186</v>
      </c>
      <c r="P87" s="704"/>
      <c r="Q87" s="692">
        <v>186</v>
      </c>
    </row>
    <row r="88" spans="1:17" ht="14.4" customHeight="1" x14ac:dyDescent="0.3">
      <c r="A88" s="687" t="s">
        <v>1661</v>
      </c>
      <c r="B88" s="688" t="s">
        <v>1662</v>
      </c>
      <c r="C88" s="688" t="s">
        <v>1436</v>
      </c>
      <c r="D88" s="688" t="s">
        <v>1785</v>
      </c>
      <c r="E88" s="688" t="s">
        <v>1786</v>
      </c>
      <c r="F88" s="691">
        <v>1</v>
      </c>
      <c r="G88" s="691">
        <v>162</v>
      </c>
      <c r="H88" s="691"/>
      <c r="I88" s="691">
        <v>162</v>
      </c>
      <c r="J88" s="691"/>
      <c r="K88" s="691"/>
      <c r="L88" s="691"/>
      <c r="M88" s="691"/>
      <c r="N88" s="691"/>
      <c r="O88" s="691"/>
      <c r="P88" s="704"/>
      <c r="Q88" s="692"/>
    </row>
    <row r="89" spans="1:17" ht="14.4" customHeight="1" x14ac:dyDescent="0.3">
      <c r="A89" s="687" t="s">
        <v>1661</v>
      </c>
      <c r="B89" s="688" t="s">
        <v>1662</v>
      </c>
      <c r="C89" s="688" t="s">
        <v>1436</v>
      </c>
      <c r="D89" s="688" t="s">
        <v>1787</v>
      </c>
      <c r="E89" s="688" t="s">
        <v>1788</v>
      </c>
      <c r="F89" s="691"/>
      <c r="G89" s="691"/>
      <c r="H89" s="691"/>
      <c r="I89" s="691"/>
      <c r="J89" s="691">
        <v>4</v>
      </c>
      <c r="K89" s="691">
        <v>2612</v>
      </c>
      <c r="L89" s="691">
        <v>1</v>
      </c>
      <c r="M89" s="691">
        <v>653</v>
      </c>
      <c r="N89" s="691">
        <v>7</v>
      </c>
      <c r="O89" s="691">
        <v>4571</v>
      </c>
      <c r="P89" s="704">
        <v>1.75</v>
      </c>
      <c r="Q89" s="692">
        <v>653</v>
      </c>
    </row>
    <row r="90" spans="1:17" ht="14.4" customHeight="1" x14ac:dyDescent="0.3">
      <c r="A90" s="687" t="s">
        <v>1661</v>
      </c>
      <c r="B90" s="688" t="s">
        <v>1662</v>
      </c>
      <c r="C90" s="688" t="s">
        <v>1436</v>
      </c>
      <c r="D90" s="688" t="s">
        <v>1789</v>
      </c>
      <c r="E90" s="688" t="s">
        <v>1790</v>
      </c>
      <c r="F90" s="691">
        <v>9</v>
      </c>
      <c r="G90" s="691">
        <v>702</v>
      </c>
      <c r="H90" s="691">
        <v>1</v>
      </c>
      <c r="I90" s="691">
        <v>78</v>
      </c>
      <c r="J90" s="691">
        <v>9</v>
      </c>
      <c r="K90" s="691">
        <v>702</v>
      </c>
      <c r="L90" s="691">
        <v>1</v>
      </c>
      <c r="M90" s="691">
        <v>78</v>
      </c>
      <c r="N90" s="691">
        <v>2</v>
      </c>
      <c r="O90" s="691">
        <v>156</v>
      </c>
      <c r="P90" s="704">
        <v>0.22222222222222221</v>
      </c>
      <c r="Q90" s="692">
        <v>78</v>
      </c>
    </row>
    <row r="91" spans="1:17" ht="14.4" customHeight="1" x14ac:dyDescent="0.3">
      <c r="A91" s="687" t="s">
        <v>1661</v>
      </c>
      <c r="B91" s="688" t="s">
        <v>1662</v>
      </c>
      <c r="C91" s="688" t="s">
        <v>1436</v>
      </c>
      <c r="D91" s="688" t="s">
        <v>1791</v>
      </c>
      <c r="E91" s="688" t="s">
        <v>1792</v>
      </c>
      <c r="F91" s="691">
        <v>3</v>
      </c>
      <c r="G91" s="691">
        <v>63</v>
      </c>
      <c r="H91" s="691">
        <v>3</v>
      </c>
      <c r="I91" s="691">
        <v>21</v>
      </c>
      <c r="J91" s="691">
        <v>1</v>
      </c>
      <c r="K91" s="691">
        <v>21</v>
      </c>
      <c r="L91" s="691">
        <v>1</v>
      </c>
      <c r="M91" s="691">
        <v>21</v>
      </c>
      <c r="N91" s="691">
        <v>2</v>
      </c>
      <c r="O91" s="691">
        <v>42</v>
      </c>
      <c r="P91" s="704">
        <v>2</v>
      </c>
      <c r="Q91" s="692">
        <v>21</v>
      </c>
    </row>
    <row r="92" spans="1:17" ht="14.4" customHeight="1" x14ac:dyDescent="0.3">
      <c r="A92" s="687" t="s">
        <v>1661</v>
      </c>
      <c r="B92" s="688" t="s">
        <v>1662</v>
      </c>
      <c r="C92" s="688" t="s">
        <v>1436</v>
      </c>
      <c r="D92" s="688" t="s">
        <v>1793</v>
      </c>
      <c r="E92" s="688" t="s">
        <v>1794</v>
      </c>
      <c r="F92" s="691"/>
      <c r="G92" s="691"/>
      <c r="H92" s="691"/>
      <c r="I92" s="691"/>
      <c r="J92" s="691">
        <v>6</v>
      </c>
      <c r="K92" s="691">
        <v>6558</v>
      </c>
      <c r="L92" s="691">
        <v>1</v>
      </c>
      <c r="M92" s="691">
        <v>1093</v>
      </c>
      <c r="N92" s="691">
        <v>6</v>
      </c>
      <c r="O92" s="691">
        <v>6558</v>
      </c>
      <c r="P92" s="704">
        <v>1</v>
      </c>
      <c r="Q92" s="692">
        <v>1093</v>
      </c>
    </row>
    <row r="93" spans="1:17" ht="14.4" customHeight="1" x14ac:dyDescent="0.3">
      <c r="A93" s="687" t="s">
        <v>1661</v>
      </c>
      <c r="B93" s="688" t="s">
        <v>1662</v>
      </c>
      <c r="C93" s="688" t="s">
        <v>1436</v>
      </c>
      <c r="D93" s="688" t="s">
        <v>1795</v>
      </c>
      <c r="E93" s="688" t="s">
        <v>1796</v>
      </c>
      <c r="F93" s="691">
        <v>2</v>
      </c>
      <c r="G93" s="691">
        <v>44</v>
      </c>
      <c r="H93" s="691"/>
      <c r="I93" s="691">
        <v>22</v>
      </c>
      <c r="J93" s="691"/>
      <c r="K93" s="691"/>
      <c r="L93" s="691"/>
      <c r="M93" s="691"/>
      <c r="N93" s="691">
        <v>1</v>
      </c>
      <c r="O93" s="691">
        <v>22</v>
      </c>
      <c r="P93" s="704"/>
      <c r="Q93" s="692">
        <v>22</v>
      </c>
    </row>
    <row r="94" spans="1:17" ht="14.4" customHeight="1" x14ac:dyDescent="0.3">
      <c r="A94" s="687" t="s">
        <v>1661</v>
      </c>
      <c r="B94" s="688" t="s">
        <v>1662</v>
      </c>
      <c r="C94" s="688" t="s">
        <v>1436</v>
      </c>
      <c r="D94" s="688" t="s">
        <v>1797</v>
      </c>
      <c r="E94" s="688" t="s">
        <v>1798</v>
      </c>
      <c r="F94" s="691"/>
      <c r="G94" s="691"/>
      <c r="H94" s="691"/>
      <c r="I94" s="691"/>
      <c r="J94" s="691">
        <v>4</v>
      </c>
      <c r="K94" s="691">
        <v>2276</v>
      </c>
      <c r="L94" s="691">
        <v>1</v>
      </c>
      <c r="M94" s="691">
        <v>569</v>
      </c>
      <c r="N94" s="691">
        <v>2</v>
      </c>
      <c r="O94" s="691">
        <v>1138</v>
      </c>
      <c r="P94" s="704">
        <v>0.5</v>
      </c>
      <c r="Q94" s="692">
        <v>569</v>
      </c>
    </row>
    <row r="95" spans="1:17" ht="14.4" customHeight="1" x14ac:dyDescent="0.3">
      <c r="A95" s="687" t="s">
        <v>1661</v>
      </c>
      <c r="B95" s="688" t="s">
        <v>1662</v>
      </c>
      <c r="C95" s="688" t="s">
        <v>1436</v>
      </c>
      <c r="D95" s="688" t="s">
        <v>1799</v>
      </c>
      <c r="E95" s="688" t="s">
        <v>1800</v>
      </c>
      <c r="F95" s="691"/>
      <c r="G95" s="691"/>
      <c r="H95" s="691"/>
      <c r="I95" s="691"/>
      <c r="J95" s="691"/>
      <c r="K95" s="691"/>
      <c r="L95" s="691"/>
      <c r="M95" s="691"/>
      <c r="N95" s="691">
        <v>3</v>
      </c>
      <c r="O95" s="691">
        <v>1485</v>
      </c>
      <c r="P95" s="704"/>
      <c r="Q95" s="692">
        <v>495</v>
      </c>
    </row>
    <row r="96" spans="1:17" ht="14.4" customHeight="1" x14ac:dyDescent="0.3">
      <c r="A96" s="687" t="s">
        <v>1661</v>
      </c>
      <c r="B96" s="688" t="s">
        <v>1662</v>
      </c>
      <c r="C96" s="688" t="s">
        <v>1436</v>
      </c>
      <c r="D96" s="688" t="s">
        <v>1801</v>
      </c>
      <c r="E96" s="688" t="s">
        <v>1802</v>
      </c>
      <c r="F96" s="691">
        <v>18</v>
      </c>
      <c r="G96" s="691">
        <v>10296</v>
      </c>
      <c r="H96" s="691">
        <v>1.3678756476683938</v>
      </c>
      <c r="I96" s="691">
        <v>572</v>
      </c>
      <c r="J96" s="691">
        <v>13</v>
      </c>
      <c r="K96" s="691">
        <v>7527</v>
      </c>
      <c r="L96" s="691">
        <v>1</v>
      </c>
      <c r="M96" s="691">
        <v>579</v>
      </c>
      <c r="N96" s="691">
        <v>8</v>
      </c>
      <c r="O96" s="691">
        <v>4632</v>
      </c>
      <c r="P96" s="704">
        <v>0.61538461538461542</v>
      </c>
      <c r="Q96" s="692">
        <v>579</v>
      </c>
    </row>
    <row r="97" spans="1:17" ht="14.4" customHeight="1" x14ac:dyDescent="0.3">
      <c r="A97" s="687" t="s">
        <v>1661</v>
      </c>
      <c r="B97" s="688" t="s">
        <v>1662</v>
      </c>
      <c r="C97" s="688" t="s">
        <v>1436</v>
      </c>
      <c r="D97" s="688" t="s">
        <v>1803</v>
      </c>
      <c r="E97" s="688" t="s">
        <v>1804</v>
      </c>
      <c r="F97" s="691">
        <v>18</v>
      </c>
      <c r="G97" s="691">
        <v>18144</v>
      </c>
      <c r="H97" s="691">
        <v>1.3805067336224606</v>
      </c>
      <c r="I97" s="691">
        <v>1008</v>
      </c>
      <c r="J97" s="691">
        <v>13</v>
      </c>
      <c r="K97" s="691">
        <v>13143</v>
      </c>
      <c r="L97" s="691">
        <v>1</v>
      </c>
      <c r="M97" s="691">
        <v>1011</v>
      </c>
      <c r="N97" s="691">
        <v>8</v>
      </c>
      <c r="O97" s="691">
        <v>8096</v>
      </c>
      <c r="P97" s="704">
        <v>0.61599330442060407</v>
      </c>
      <c r="Q97" s="692">
        <v>1012</v>
      </c>
    </row>
    <row r="98" spans="1:17" ht="14.4" customHeight="1" x14ac:dyDescent="0.3">
      <c r="A98" s="687" t="s">
        <v>1661</v>
      </c>
      <c r="B98" s="688" t="s">
        <v>1662</v>
      </c>
      <c r="C98" s="688" t="s">
        <v>1436</v>
      </c>
      <c r="D98" s="688" t="s">
        <v>1805</v>
      </c>
      <c r="E98" s="688" t="s">
        <v>1806</v>
      </c>
      <c r="F98" s="691"/>
      <c r="G98" s="691"/>
      <c r="H98" s="691"/>
      <c r="I98" s="691"/>
      <c r="J98" s="691">
        <v>2</v>
      </c>
      <c r="K98" s="691">
        <v>3376</v>
      </c>
      <c r="L98" s="691">
        <v>1</v>
      </c>
      <c r="M98" s="691">
        <v>1688</v>
      </c>
      <c r="N98" s="691"/>
      <c r="O98" s="691"/>
      <c r="P98" s="704"/>
      <c r="Q98" s="692"/>
    </row>
    <row r="99" spans="1:17" ht="14.4" customHeight="1" x14ac:dyDescent="0.3">
      <c r="A99" s="687" t="s">
        <v>1661</v>
      </c>
      <c r="B99" s="688" t="s">
        <v>1662</v>
      </c>
      <c r="C99" s="688" t="s">
        <v>1436</v>
      </c>
      <c r="D99" s="688" t="s">
        <v>1807</v>
      </c>
      <c r="E99" s="688" t="s">
        <v>1808</v>
      </c>
      <c r="F99" s="691"/>
      <c r="G99" s="691"/>
      <c r="H99" s="691"/>
      <c r="I99" s="691"/>
      <c r="J99" s="691"/>
      <c r="K99" s="691"/>
      <c r="L99" s="691"/>
      <c r="M99" s="691"/>
      <c r="N99" s="691">
        <v>2</v>
      </c>
      <c r="O99" s="691">
        <v>254</v>
      </c>
      <c r="P99" s="704"/>
      <c r="Q99" s="692">
        <v>127</v>
      </c>
    </row>
    <row r="100" spans="1:17" ht="14.4" customHeight="1" x14ac:dyDescent="0.3">
      <c r="A100" s="687" t="s">
        <v>1661</v>
      </c>
      <c r="B100" s="688" t="s">
        <v>1662</v>
      </c>
      <c r="C100" s="688" t="s">
        <v>1436</v>
      </c>
      <c r="D100" s="688" t="s">
        <v>1809</v>
      </c>
      <c r="E100" s="688" t="s">
        <v>1810</v>
      </c>
      <c r="F100" s="691">
        <v>1</v>
      </c>
      <c r="G100" s="691">
        <v>264</v>
      </c>
      <c r="H100" s="691"/>
      <c r="I100" s="691">
        <v>264</v>
      </c>
      <c r="J100" s="691"/>
      <c r="K100" s="691"/>
      <c r="L100" s="691"/>
      <c r="M100" s="691"/>
      <c r="N100" s="691"/>
      <c r="O100" s="691"/>
      <c r="P100" s="704"/>
      <c r="Q100" s="692"/>
    </row>
    <row r="101" spans="1:17" ht="14.4" customHeight="1" x14ac:dyDescent="0.3">
      <c r="A101" s="687" t="s">
        <v>1661</v>
      </c>
      <c r="B101" s="688" t="s">
        <v>1662</v>
      </c>
      <c r="C101" s="688" t="s">
        <v>1436</v>
      </c>
      <c r="D101" s="688" t="s">
        <v>1811</v>
      </c>
      <c r="E101" s="688" t="s">
        <v>1812</v>
      </c>
      <c r="F101" s="691">
        <v>1</v>
      </c>
      <c r="G101" s="691">
        <v>23</v>
      </c>
      <c r="H101" s="691">
        <v>0.33333333333333331</v>
      </c>
      <c r="I101" s="691">
        <v>23</v>
      </c>
      <c r="J101" s="691">
        <v>3</v>
      </c>
      <c r="K101" s="691">
        <v>69</v>
      </c>
      <c r="L101" s="691">
        <v>1</v>
      </c>
      <c r="M101" s="691">
        <v>23</v>
      </c>
      <c r="N101" s="691">
        <v>2</v>
      </c>
      <c r="O101" s="691">
        <v>46</v>
      </c>
      <c r="P101" s="704">
        <v>0.66666666666666663</v>
      </c>
      <c r="Q101" s="692">
        <v>23</v>
      </c>
    </row>
    <row r="102" spans="1:17" ht="14.4" customHeight="1" x14ac:dyDescent="0.3">
      <c r="A102" s="687" t="s">
        <v>1661</v>
      </c>
      <c r="B102" s="688" t="s">
        <v>1662</v>
      </c>
      <c r="C102" s="688" t="s">
        <v>1436</v>
      </c>
      <c r="D102" s="688" t="s">
        <v>1813</v>
      </c>
      <c r="E102" s="688" t="s">
        <v>1814</v>
      </c>
      <c r="F102" s="691">
        <v>1</v>
      </c>
      <c r="G102" s="691">
        <v>371</v>
      </c>
      <c r="H102" s="691">
        <v>0.3315460232350313</v>
      </c>
      <c r="I102" s="691">
        <v>371</v>
      </c>
      <c r="J102" s="691">
        <v>3</v>
      </c>
      <c r="K102" s="691">
        <v>1119</v>
      </c>
      <c r="L102" s="691">
        <v>1</v>
      </c>
      <c r="M102" s="691">
        <v>373</v>
      </c>
      <c r="N102" s="691">
        <v>1</v>
      </c>
      <c r="O102" s="691">
        <v>374</v>
      </c>
      <c r="P102" s="704">
        <v>0.33422698838248438</v>
      </c>
      <c r="Q102" s="692">
        <v>374</v>
      </c>
    </row>
    <row r="103" spans="1:17" ht="14.4" customHeight="1" x14ac:dyDescent="0.3">
      <c r="A103" s="687" t="s">
        <v>1661</v>
      </c>
      <c r="B103" s="688" t="s">
        <v>1662</v>
      </c>
      <c r="C103" s="688" t="s">
        <v>1436</v>
      </c>
      <c r="D103" s="688" t="s">
        <v>1815</v>
      </c>
      <c r="E103" s="688" t="s">
        <v>1816</v>
      </c>
      <c r="F103" s="691">
        <v>2</v>
      </c>
      <c r="G103" s="691">
        <v>90</v>
      </c>
      <c r="H103" s="691">
        <v>1</v>
      </c>
      <c r="I103" s="691">
        <v>45</v>
      </c>
      <c r="J103" s="691">
        <v>2</v>
      </c>
      <c r="K103" s="691">
        <v>90</v>
      </c>
      <c r="L103" s="691">
        <v>1</v>
      </c>
      <c r="M103" s="691">
        <v>45</v>
      </c>
      <c r="N103" s="691">
        <v>9</v>
      </c>
      <c r="O103" s="691">
        <v>405</v>
      </c>
      <c r="P103" s="704">
        <v>4.5</v>
      </c>
      <c r="Q103" s="692">
        <v>45</v>
      </c>
    </row>
    <row r="104" spans="1:17" ht="14.4" customHeight="1" x14ac:dyDescent="0.3">
      <c r="A104" s="687" t="s">
        <v>1661</v>
      </c>
      <c r="B104" s="688" t="s">
        <v>1662</v>
      </c>
      <c r="C104" s="688" t="s">
        <v>1436</v>
      </c>
      <c r="D104" s="688" t="s">
        <v>1817</v>
      </c>
      <c r="E104" s="688" t="s">
        <v>1710</v>
      </c>
      <c r="F104" s="691"/>
      <c r="G104" s="691"/>
      <c r="H104" s="691"/>
      <c r="I104" s="691"/>
      <c r="J104" s="691">
        <v>2</v>
      </c>
      <c r="K104" s="691">
        <v>374</v>
      </c>
      <c r="L104" s="691">
        <v>1</v>
      </c>
      <c r="M104" s="691">
        <v>187</v>
      </c>
      <c r="N104" s="691">
        <v>3</v>
      </c>
      <c r="O104" s="691">
        <v>561</v>
      </c>
      <c r="P104" s="704">
        <v>1.5</v>
      </c>
      <c r="Q104" s="692">
        <v>187</v>
      </c>
    </row>
    <row r="105" spans="1:17" ht="14.4" customHeight="1" x14ac:dyDescent="0.3">
      <c r="A105" s="687" t="s">
        <v>1661</v>
      </c>
      <c r="B105" s="688" t="s">
        <v>1662</v>
      </c>
      <c r="C105" s="688" t="s">
        <v>1436</v>
      </c>
      <c r="D105" s="688" t="s">
        <v>1818</v>
      </c>
      <c r="E105" s="688" t="s">
        <v>1819</v>
      </c>
      <c r="F105" s="691">
        <v>14</v>
      </c>
      <c r="G105" s="691">
        <v>644</v>
      </c>
      <c r="H105" s="691"/>
      <c r="I105" s="691">
        <v>46</v>
      </c>
      <c r="J105" s="691"/>
      <c r="K105" s="691"/>
      <c r="L105" s="691"/>
      <c r="M105" s="691"/>
      <c r="N105" s="691"/>
      <c r="O105" s="691"/>
      <c r="P105" s="704"/>
      <c r="Q105" s="692"/>
    </row>
    <row r="106" spans="1:17" ht="14.4" customHeight="1" x14ac:dyDescent="0.3">
      <c r="A106" s="687" t="s">
        <v>1661</v>
      </c>
      <c r="B106" s="688" t="s">
        <v>1662</v>
      </c>
      <c r="C106" s="688" t="s">
        <v>1436</v>
      </c>
      <c r="D106" s="688" t="s">
        <v>1820</v>
      </c>
      <c r="E106" s="688" t="s">
        <v>1821</v>
      </c>
      <c r="F106" s="691"/>
      <c r="G106" s="691"/>
      <c r="H106" s="691"/>
      <c r="I106" s="691"/>
      <c r="J106" s="691">
        <v>1</v>
      </c>
      <c r="K106" s="691">
        <v>295</v>
      </c>
      <c r="L106" s="691">
        <v>1</v>
      </c>
      <c r="M106" s="691">
        <v>295</v>
      </c>
      <c r="N106" s="691">
        <v>2</v>
      </c>
      <c r="O106" s="691">
        <v>590</v>
      </c>
      <c r="P106" s="704">
        <v>2</v>
      </c>
      <c r="Q106" s="692">
        <v>295</v>
      </c>
    </row>
    <row r="107" spans="1:17" ht="14.4" customHeight="1" x14ac:dyDescent="0.3">
      <c r="A107" s="687" t="s">
        <v>1661</v>
      </c>
      <c r="B107" s="688" t="s">
        <v>1662</v>
      </c>
      <c r="C107" s="688" t="s">
        <v>1436</v>
      </c>
      <c r="D107" s="688" t="s">
        <v>1822</v>
      </c>
      <c r="E107" s="688" t="s">
        <v>1823</v>
      </c>
      <c r="F107" s="691"/>
      <c r="G107" s="691"/>
      <c r="H107" s="691"/>
      <c r="I107" s="691"/>
      <c r="J107" s="691"/>
      <c r="K107" s="691"/>
      <c r="L107" s="691"/>
      <c r="M107" s="691"/>
      <c r="N107" s="691">
        <v>1</v>
      </c>
      <c r="O107" s="691">
        <v>31</v>
      </c>
      <c r="P107" s="704"/>
      <c r="Q107" s="692">
        <v>31</v>
      </c>
    </row>
    <row r="108" spans="1:17" ht="14.4" customHeight="1" x14ac:dyDescent="0.3">
      <c r="A108" s="687" t="s">
        <v>1661</v>
      </c>
      <c r="B108" s="688" t="s">
        <v>1662</v>
      </c>
      <c r="C108" s="688" t="s">
        <v>1436</v>
      </c>
      <c r="D108" s="688" t="s">
        <v>1824</v>
      </c>
      <c r="E108" s="688" t="s">
        <v>1825</v>
      </c>
      <c r="F108" s="691"/>
      <c r="G108" s="691"/>
      <c r="H108" s="691"/>
      <c r="I108" s="691"/>
      <c r="J108" s="691">
        <v>1</v>
      </c>
      <c r="K108" s="691">
        <v>560</v>
      </c>
      <c r="L108" s="691">
        <v>1</v>
      </c>
      <c r="M108" s="691">
        <v>560</v>
      </c>
      <c r="N108" s="691"/>
      <c r="O108" s="691"/>
      <c r="P108" s="704"/>
      <c r="Q108" s="692"/>
    </row>
    <row r="109" spans="1:17" ht="14.4" customHeight="1" x14ac:dyDescent="0.3">
      <c r="A109" s="687" t="s">
        <v>1661</v>
      </c>
      <c r="B109" s="688" t="s">
        <v>1662</v>
      </c>
      <c r="C109" s="688" t="s">
        <v>1436</v>
      </c>
      <c r="D109" s="688" t="s">
        <v>1826</v>
      </c>
      <c r="E109" s="688" t="s">
        <v>1827</v>
      </c>
      <c r="F109" s="691">
        <v>1</v>
      </c>
      <c r="G109" s="691">
        <v>292</v>
      </c>
      <c r="H109" s="691"/>
      <c r="I109" s="691">
        <v>292</v>
      </c>
      <c r="J109" s="691"/>
      <c r="K109" s="691"/>
      <c r="L109" s="691"/>
      <c r="M109" s="691"/>
      <c r="N109" s="691">
        <v>1</v>
      </c>
      <c r="O109" s="691">
        <v>295</v>
      </c>
      <c r="P109" s="704"/>
      <c r="Q109" s="692">
        <v>295</v>
      </c>
    </row>
    <row r="110" spans="1:17" ht="14.4" customHeight="1" x14ac:dyDescent="0.3">
      <c r="A110" s="687" t="s">
        <v>1661</v>
      </c>
      <c r="B110" s="688" t="s">
        <v>1662</v>
      </c>
      <c r="C110" s="688" t="s">
        <v>1436</v>
      </c>
      <c r="D110" s="688" t="s">
        <v>1828</v>
      </c>
      <c r="E110" s="688" t="s">
        <v>1829</v>
      </c>
      <c r="F110" s="691"/>
      <c r="G110" s="691"/>
      <c r="H110" s="691"/>
      <c r="I110" s="691"/>
      <c r="J110" s="691"/>
      <c r="K110" s="691"/>
      <c r="L110" s="691"/>
      <c r="M110" s="691"/>
      <c r="N110" s="691">
        <v>1</v>
      </c>
      <c r="O110" s="691">
        <v>407</v>
      </c>
      <c r="P110" s="704"/>
      <c r="Q110" s="692">
        <v>407</v>
      </c>
    </row>
    <row r="111" spans="1:17" ht="14.4" customHeight="1" x14ac:dyDescent="0.3">
      <c r="A111" s="687" t="s">
        <v>1661</v>
      </c>
      <c r="B111" s="688" t="s">
        <v>1662</v>
      </c>
      <c r="C111" s="688" t="s">
        <v>1436</v>
      </c>
      <c r="D111" s="688" t="s">
        <v>1830</v>
      </c>
      <c r="E111" s="688" t="s">
        <v>1831</v>
      </c>
      <c r="F111" s="691"/>
      <c r="G111" s="691"/>
      <c r="H111" s="691"/>
      <c r="I111" s="691"/>
      <c r="J111" s="691">
        <v>52</v>
      </c>
      <c r="K111" s="691">
        <v>1924</v>
      </c>
      <c r="L111" s="691">
        <v>1</v>
      </c>
      <c r="M111" s="691">
        <v>37</v>
      </c>
      <c r="N111" s="691">
        <v>50</v>
      </c>
      <c r="O111" s="691">
        <v>1850</v>
      </c>
      <c r="P111" s="704">
        <v>0.96153846153846156</v>
      </c>
      <c r="Q111" s="692">
        <v>37</v>
      </c>
    </row>
    <row r="112" spans="1:17" ht="14.4" customHeight="1" x14ac:dyDescent="0.3">
      <c r="A112" s="687" t="s">
        <v>1661</v>
      </c>
      <c r="B112" s="688" t="s">
        <v>1662</v>
      </c>
      <c r="C112" s="688" t="s">
        <v>1436</v>
      </c>
      <c r="D112" s="688" t="s">
        <v>1832</v>
      </c>
      <c r="E112" s="688" t="s">
        <v>1833</v>
      </c>
      <c r="F112" s="691"/>
      <c r="G112" s="691"/>
      <c r="H112" s="691"/>
      <c r="I112" s="691"/>
      <c r="J112" s="691"/>
      <c r="K112" s="691"/>
      <c r="L112" s="691"/>
      <c r="M112" s="691"/>
      <c r="N112" s="691">
        <v>4</v>
      </c>
      <c r="O112" s="691">
        <v>692</v>
      </c>
      <c r="P112" s="704"/>
      <c r="Q112" s="692">
        <v>173</v>
      </c>
    </row>
    <row r="113" spans="1:17" ht="14.4" customHeight="1" x14ac:dyDescent="0.3">
      <c r="A113" s="687" t="s">
        <v>1661</v>
      </c>
      <c r="B113" s="688" t="s">
        <v>1662</v>
      </c>
      <c r="C113" s="688" t="s">
        <v>1436</v>
      </c>
      <c r="D113" s="688" t="s">
        <v>1834</v>
      </c>
      <c r="E113" s="688" t="s">
        <v>1835</v>
      </c>
      <c r="F113" s="691"/>
      <c r="G113" s="691"/>
      <c r="H113" s="691"/>
      <c r="I113" s="691"/>
      <c r="J113" s="691"/>
      <c r="K113" s="691"/>
      <c r="L113" s="691"/>
      <c r="M113" s="691"/>
      <c r="N113" s="691">
        <v>4</v>
      </c>
      <c r="O113" s="691">
        <v>3340</v>
      </c>
      <c r="P113" s="704"/>
      <c r="Q113" s="692">
        <v>835</v>
      </c>
    </row>
    <row r="114" spans="1:17" ht="14.4" customHeight="1" x14ac:dyDescent="0.3">
      <c r="A114" s="687" t="s">
        <v>1661</v>
      </c>
      <c r="B114" s="688" t="s">
        <v>1662</v>
      </c>
      <c r="C114" s="688" t="s">
        <v>1436</v>
      </c>
      <c r="D114" s="688" t="s">
        <v>1836</v>
      </c>
      <c r="E114" s="688" t="s">
        <v>1837</v>
      </c>
      <c r="F114" s="691"/>
      <c r="G114" s="691"/>
      <c r="H114" s="691"/>
      <c r="I114" s="691"/>
      <c r="J114" s="691"/>
      <c r="K114" s="691"/>
      <c r="L114" s="691"/>
      <c r="M114" s="691"/>
      <c r="N114" s="691">
        <v>159</v>
      </c>
      <c r="O114" s="691">
        <v>14787</v>
      </c>
      <c r="P114" s="704"/>
      <c r="Q114" s="692">
        <v>93</v>
      </c>
    </row>
    <row r="115" spans="1:17" ht="14.4" customHeight="1" x14ac:dyDescent="0.3">
      <c r="A115" s="687" t="s">
        <v>1661</v>
      </c>
      <c r="B115" s="688" t="s">
        <v>1662</v>
      </c>
      <c r="C115" s="688" t="s">
        <v>1436</v>
      </c>
      <c r="D115" s="688" t="s">
        <v>1838</v>
      </c>
      <c r="E115" s="688" t="s">
        <v>1839</v>
      </c>
      <c r="F115" s="691"/>
      <c r="G115" s="691"/>
      <c r="H115" s="691"/>
      <c r="I115" s="691"/>
      <c r="J115" s="691"/>
      <c r="K115" s="691"/>
      <c r="L115" s="691"/>
      <c r="M115" s="691"/>
      <c r="N115" s="691">
        <v>1</v>
      </c>
      <c r="O115" s="691">
        <v>93</v>
      </c>
      <c r="P115" s="704"/>
      <c r="Q115" s="692">
        <v>93</v>
      </c>
    </row>
    <row r="116" spans="1:17" ht="14.4" customHeight="1" x14ac:dyDescent="0.3">
      <c r="A116" s="687" t="s">
        <v>1661</v>
      </c>
      <c r="B116" s="688" t="s">
        <v>1840</v>
      </c>
      <c r="C116" s="688" t="s">
        <v>1436</v>
      </c>
      <c r="D116" s="688" t="s">
        <v>1841</v>
      </c>
      <c r="E116" s="688" t="s">
        <v>1842</v>
      </c>
      <c r="F116" s="691">
        <v>81</v>
      </c>
      <c r="G116" s="691">
        <v>83997</v>
      </c>
      <c r="H116" s="691">
        <v>1.3715587342020181</v>
      </c>
      <c r="I116" s="691">
        <v>1037</v>
      </c>
      <c r="J116" s="691">
        <v>59</v>
      </c>
      <c r="K116" s="691">
        <v>61242</v>
      </c>
      <c r="L116" s="691">
        <v>1</v>
      </c>
      <c r="M116" s="691">
        <v>1038</v>
      </c>
      <c r="N116" s="691">
        <v>148</v>
      </c>
      <c r="O116" s="691">
        <v>153624</v>
      </c>
      <c r="P116" s="704">
        <v>2.5084745762711864</v>
      </c>
      <c r="Q116" s="692">
        <v>1038</v>
      </c>
    </row>
    <row r="117" spans="1:17" ht="14.4" customHeight="1" x14ac:dyDescent="0.3">
      <c r="A117" s="687" t="s">
        <v>1843</v>
      </c>
      <c r="B117" s="688" t="s">
        <v>1844</v>
      </c>
      <c r="C117" s="688" t="s">
        <v>1429</v>
      </c>
      <c r="D117" s="688" t="s">
        <v>1845</v>
      </c>
      <c r="E117" s="688" t="s">
        <v>1846</v>
      </c>
      <c r="F117" s="691">
        <v>0.01</v>
      </c>
      <c r="G117" s="691">
        <v>49.43</v>
      </c>
      <c r="H117" s="691"/>
      <c r="I117" s="691">
        <v>4943</v>
      </c>
      <c r="J117" s="691"/>
      <c r="K117" s="691"/>
      <c r="L117" s="691"/>
      <c r="M117" s="691"/>
      <c r="N117" s="691">
        <v>0.02</v>
      </c>
      <c r="O117" s="691">
        <v>98.87</v>
      </c>
      <c r="P117" s="704"/>
      <c r="Q117" s="692">
        <v>4943.5</v>
      </c>
    </row>
    <row r="118" spans="1:17" ht="14.4" customHeight="1" x14ac:dyDescent="0.3">
      <c r="A118" s="687" t="s">
        <v>1843</v>
      </c>
      <c r="B118" s="688" t="s">
        <v>1844</v>
      </c>
      <c r="C118" s="688" t="s">
        <v>1429</v>
      </c>
      <c r="D118" s="688" t="s">
        <v>1847</v>
      </c>
      <c r="E118" s="688" t="s">
        <v>1848</v>
      </c>
      <c r="F118" s="691">
        <v>0.02</v>
      </c>
      <c r="G118" s="691">
        <v>88.54</v>
      </c>
      <c r="H118" s="691"/>
      <c r="I118" s="691">
        <v>4427</v>
      </c>
      <c r="J118" s="691"/>
      <c r="K118" s="691"/>
      <c r="L118" s="691"/>
      <c r="M118" s="691"/>
      <c r="N118" s="691">
        <v>0.05</v>
      </c>
      <c r="O118" s="691">
        <v>227.38</v>
      </c>
      <c r="P118" s="704"/>
      <c r="Q118" s="692">
        <v>4547.5999999999995</v>
      </c>
    </row>
    <row r="119" spans="1:17" ht="14.4" customHeight="1" x14ac:dyDescent="0.3">
      <c r="A119" s="687" t="s">
        <v>1843</v>
      </c>
      <c r="B119" s="688" t="s">
        <v>1844</v>
      </c>
      <c r="C119" s="688" t="s">
        <v>1429</v>
      </c>
      <c r="D119" s="688" t="s">
        <v>1849</v>
      </c>
      <c r="E119" s="688" t="s">
        <v>1848</v>
      </c>
      <c r="F119" s="691">
        <v>0.08</v>
      </c>
      <c r="G119" s="691">
        <v>708.32</v>
      </c>
      <c r="H119" s="691">
        <v>1.0666666666666669</v>
      </c>
      <c r="I119" s="691">
        <v>8854</v>
      </c>
      <c r="J119" s="691">
        <v>7.9999999999999988E-2</v>
      </c>
      <c r="K119" s="691">
        <v>664.05</v>
      </c>
      <c r="L119" s="691">
        <v>1</v>
      </c>
      <c r="M119" s="691">
        <v>8300.625</v>
      </c>
      <c r="N119" s="691">
        <v>0.06</v>
      </c>
      <c r="O119" s="691">
        <v>545.71</v>
      </c>
      <c r="P119" s="704">
        <v>0.82179052782170026</v>
      </c>
      <c r="Q119" s="692">
        <v>9095.1666666666679</v>
      </c>
    </row>
    <row r="120" spans="1:17" ht="14.4" customHeight="1" x14ac:dyDescent="0.3">
      <c r="A120" s="687" t="s">
        <v>1843</v>
      </c>
      <c r="B120" s="688" t="s">
        <v>1844</v>
      </c>
      <c r="C120" s="688" t="s">
        <v>1429</v>
      </c>
      <c r="D120" s="688" t="s">
        <v>1850</v>
      </c>
      <c r="E120" s="688" t="s">
        <v>1851</v>
      </c>
      <c r="F120" s="691">
        <v>0.2</v>
      </c>
      <c r="G120" s="691">
        <v>389.86</v>
      </c>
      <c r="H120" s="691"/>
      <c r="I120" s="691">
        <v>1949.3</v>
      </c>
      <c r="J120" s="691"/>
      <c r="K120" s="691"/>
      <c r="L120" s="691"/>
      <c r="M120" s="691"/>
      <c r="N120" s="691"/>
      <c r="O120" s="691"/>
      <c r="P120" s="704"/>
      <c r="Q120" s="692"/>
    </row>
    <row r="121" spans="1:17" ht="14.4" customHeight="1" x14ac:dyDescent="0.3">
      <c r="A121" s="687" t="s">
        <v>1843</v>
      </c>
      <c r="B121" s="688" t="s">
        <v>1844</v>
      </c>
      <c r="C121" s="688" t="s">
        <v>1429</v>
      </c>
      <c r="D121" s="688" t="s">
        <v>1852</v>
      </c>
      <c r="E121" s="688" t="s">
        <v>1848</v>
      </c>
      <c r="F121" s="691">
        <v>0.15</v>
      </c>
      <c r="G121" s="691">
        <v>265.62</v>
      </c>
      <c r="H121" s="691"/>
      <c r="I121" s="691">
        <v>1770.8000000000002</v>
      </c>
      <c r="J121" s="691"/>
      <c r="K121" s="691"/>
      <c r="L121" s="691"/>
      <c r="M121" s="691"/>
      <c r="N121" s="691"/>
      <c r="O121" s="691"/>
      <c r="P121" s="704"/>
      <c r="Q121" s="692"/>
    </row>
    <row r="122" spans="1:17" ht="14.4" customHeight="1" x14ac:dyDescent="0.3">
      <c r="A122" s="687" t="s">
        <v>1843</v>
      </c>
      <c r="B122" s="688" t="s">
        <v>1844</v>
      </c>
      <c r="C122" s="688" t="s">
        <v>1436</v>
      </c>
      <c r="D122" s="688" t="s">
        <v>1853</v>
      </c>
      <c r="E122" s="688" t="s">
        <v>1854</v>
      </c>
      <c r="F122" s="691"/>
      <c r="G122" s="691"/>
      <c r="H122" s="691"/>
      <c r="I122" s="691"/>
      <c r="J122" s="691"/>
      <c r="K122" s="691"/>
      <c r="L122" s="691"/>
      <c r="M122" s="691"/>
      <c r="N122" s="691">
        <v>1</v>
      </c>
      <c r="O122" s="691">
        <v>187</v>
      </c>
      <c r="P122" s="704"/>
      <c r="Q122" s="692">
        <v>187</v>
      </c>
    </row>
    <row r="123" spans="1:17" ht="14.4" customHeight="1" x14ac:dyDescent="0.3">
      <c r="A123" s="687" t="s">
        <v>1843</v>
      </c>
      <c r="B123" s="688" t="s">
        <v>1844</v>
      </c>
      <c r="C123" s="688" t="s">
        <v>1436</v>
      </c>
      <c r="D123" s="688" t="s">
        <v>1855</v>
      </c>
      <c r="E123" s="688" t="s">
        <v>1856</v>
      </c>
      <c r="F123" s="691">
        <v>5</v>
      </c>
      <c r="G123" s="691">
        <v>1095</v>
      </c>
      <c r="H123" s="691">
        <v>2.4551569506726456</v>
      </c>
      <c r="I123" s="691">
        <v>219</v>
      </c>
      <c r="J123" s="691">
        <v>2</v>
      </c>
      <c r="K123" s="691">
        <v>446</v>
      </c>
      <c r="L123" s="691">
        <v>1</v>
      </c>
      <c r="M123" s="691">
        <v>223</v>
      </c>
      <c r="N123" s="691">
        <v>8</v>
      </c>
      <c r="O123" s="691">
        <v>1784</v>
      </c>
      <c r="P123" s="704">
        <v>4</v>
      </c>
      <c r="Q123" s="692">
        <v>223</v>
      </c>
    </row>
    <row r="124" spans="1:17" ht="14.4" customHeight="1" x14ac:dyDescent="0.3">
      <c r="A124" s="687" t="s">
        <v>1843</v>
      </c>
      <c r="B124" s="688" t="s">
        <v>1844</v>
      </c>
      <c r="C124" s="688" t="s">
        <v>1436</v>
      </c>
      <c r="D124" s="688" t="s">
        <v>1857</v>
      </c>
      <c r="E124" s="688" t="s">
        <v>1858</v>
      </c>
      <c r="F124" s="691">
        <v>12</v>
      </c>
      <c r="G124" s="691">
        <v>2652</v>
      </c>
      <c r="H124" s="691">
        <v>1.6838095238095239</v>
      </c>
      <c r="I124" s="691">
        <v>221</v>
      </c>
      <c r="J124" s="691">
        <v>7</v>
      </c>
      <c r="K124" s="691">
        <v>1575</v>
      </c>
      <c r="L124" s="691">
        <v>1</v>
      </c>
      <c r="M124" s="691">
        <v>225</v>
      </c>
      <c r="N124" s="691">
        <v>9</v>
      </c>
      <c r="O124" s="691">
        <v>2025</v>
      </c>
      <c r="P124" s="704">
        <v>1.2857142857142858</v>
      </c>
      <c r="Q124" s="692">
        <v>225</v>
      </c>
    </row>
    <row r="125" spans="1:17" ht="14.4" customHeight="1" x14ac:dyDescent="0.3">
      <c r="A125" s="687" t="s">
        <v>1843</v>
      </c>
      <c r="B125" s="688" t="s">
        <v>1844</v>
      </c>
      <c r="C125" s="688" t="s">
        <v>1436</v>
      </c>
      <c r="D125" s="688" t="s">
        <v>1859</v>
      </c>
      <c r="E125" s="688" t="s">
        <v>1860</v>
      </c>
      <c r="F125" s="691"/>
      <c r="G125" s="691"/>
      <c r="H125" s="691"/>
      <c r="I125" s="691"/>
      <c r="J125" s="691">
        <v>2</v>
      </c>
      <c r="K125" s="691">
        <v>920</v>
      </c>
      <c r="L125" s="691">
        <v>1</v>
      </c>
      <c r="M125" s="691">
        <v>460</v>
      </c>
      <c r="N125" s="691"/>
      <c r="O125" s="691"/>
      <c r="P125" s="704"/>
      <c r="Q125" s="692"/>
    </row>
    <row r="126" spans="1:17" ht="14.4" customHeight="1" x14ac:dyDescent="0.3">
      <c r="A126" s="687" t="s">
        <v>1843</v>
      </c>
      <c r="B126" s="688" t="s">
        <v>1844</v>
      </c>
      <c r="C126" s="688" t="s">
        <v>1436</v>
      </c>
      <c r="D126" s="688" t="s">
        <v>1861</v>
      </c>
      <c r="E126" s="688" t="s">
        <v>1862</v>
      </c>
      <c r="F126" s="691">
        <v>1</v>
      </c>
      <c r="G126" s="691">
        <v>5076</v>
      </c>
      <c r="H126" s="691">
        <v>0.49214659685863876</v>
      </c>
      <c r="I126" s="691">
        <v>5076</v>
      </c>
      <c r="J126" s="691">
        <v>2</v>
      </c>
      <c r="K126" s="691">
        <v>10314</v>
      </c>
      <c r="L126" s="691">
        <v>1</v>
      </c>
      <c r="M126" s="691">
        <v>5157</v>
      </c>
      <c r="N126" s="691">
        <v>4</v>
      </c>
      <c r="O126" s="691">
        <v>20628</v>
      </c>
      <c r="P126" s="704">
        <v>2</v>
      </c>
      <c r="Q126" s="692">
        <v>5157</v>
      </c>
    </row>
    <row r="127" spans="1:17" ht="14.4" customHeight="1" x14ac:dyDescent="0.3">
      <c r="A127" s="687" t="s">
        <v>1843</v>
      </c>
      <c r="B127" s="688" t="s">
        <v>1844</v>
      </c>
      <c r="C127" s="688" t="s">
        <v>1436</v>
      </c>
      <c r="D127" s="688" t="s">
        <v>1863</v>
      </c>
      <c r="E127" s="688" t="s">
        <v>1864</v>
      </c>
      <c r="F127" s="691"/>
      <c r="G127" s="691"/>
      <c r="H127" s="691"/>
      <c r="I127" s="691"/>
      <c r="J127" s="691">
        <v>1</v>
      </c>
      <c r="K127" s="691">
        <v>5620</v>
      </c>
      <c r="L127" s="691">
        <v>1</v>
      </c>
      <c r="M127" s="691">
        <v>5620</v>
      </c>
      <c r="N127" s="691"/>
      <c r="O127" s="691"/>
      <c r="P127" s="704"/>
      <c r="Q127" s="692"/>
    </row>
    <row r="128" spans="1:17" ht="14.4" customHeight="1" x14ac:dyDescent="0.3">
      <c r="A128" s="687" t="s">
        <v>1843</v>
      </c>
      <c r="B128" s="688" t="s">
        <v>1844</v>
      </c>
      <c r="C128" s="688" t="s">
        <v>1436</v>
      </c>
      <c r="D128" s="688" t="s">
        <v>1865</v>
      </c>
      <c r="E128" s="688" t="s">
        <v>1866</v>
      </c>
      <c r="F128" s="691">
        <v>44</v>
      </c>
      <c r="G128" s="691">
        <v>7700</v>
      </c>
      <c r="H128" s="691">
        <v>0.64929589341428451</v>
      </c>
      <c r="I128" s="691">
        <v>175</v>
      </c>
      <c r="J128" s="691">
        <v>67</v>
      </c>
      <c r="K128" s="691">
        <v>11859</v>
      </c>
      <c r="L128" s="691">
        <v>1</v>
      </c>
      <c r="M128" s="691">
        <v>177</v>
      </c>
      <c r="N128" s="691">
        <v>61</v>
      </c>
      <c r="O128" s="691">
        <v>10797</v>
      </c>
      <c r="P128" s="704">
        <v>0.91044776119402981</v>
      </c>
      <c r="Q128" s="692">
        <v>177</v>
      </c>
    </row>
    <row r="129" spans="1:17" ht="14.4" customHeight="1" x14ac:dyDescent="0.3">
      <c r="A129" s="687" t="s">
        <v>1843</v>
      </c>
      <c r="B129" s="688" t="s">
        <v>1844</v>
      </c>
      <c r="C129" s="688" t="s">
        <v>1436</v>
      </c>
      <c r="D129" s="688" t="s">
        <v>1867</v>
      </c>
      <c r="E129" s="688" t="s">
        <v>1868</v>
      </c>
      <c r="F129" s="691">
        <v>1</v>
      </c>
      <c r="G129" s="691">
        <v>2696</v>
      </c>
      <c r="H129" s="691">
        <v>0.32846003898635479</v>
      </c>
      <c r="I129" s="691">
        <v>2696</v>
      </c>
      <c r="J129" s="691">
        <v>3</v>
      </c>
      <c r="K129" s="691">
        <v>8208</v>
      </c>
      <c r="L129" s="691">
        <v>1</v>
      </c>
      <c r="M129" s="691">
        <v>2736</v>
      </c>
      <c r="N129" s="691">
        <v>2</v>
      </c>
      <c r="O129" s="691">
        <v>5474</v>
      </c>
      <c r="P129" s="704">
        <v>0.66691033138401556</v>
      </c>
      <c r="Q129" s="692">
        <v>2737</v>
      </c>
    </row>
    <row r="130" spans="1:17" ht="14.4" customHeight="1" x14ac:dyDescent="0.3">
      <c r="A130" s="687" t="s">
        <v>1843</v>
      </c>
      <c r="B130" s="688" t="s">
        <v>1844</v>
      </c>
      <c r="C130" s="688" t="s">
        <v>1436</v>
      </c>
      <c r="D130" s="688" t="s">
        <v>1869</v>
      </c>
      <c r="E130" s="688" t="s">
        <v>1870</v>
      </c>
      <c r="F130" s="691"/>
      <c r="G130" s="691"/>
      <c r="H130" s="691"/>
      <c r="I130" s="691"/>
      <c r="J130" s="691">
        <v>2</v>
      </c>
      <c r="K130" s="691">
        <v>10538</v>
      </c>
      <c r="L130" s="691">
        <v>1</v>
      </c>
      <c r="M130" s="691">
        <v>5269</v>
      </c>
      <c r="N130" s="691"/>
      <c r="O130" s="691"/>
      <c r="P130" s="704"/>
      <c r="Q130" s="692"/>
    </row>
    <row r="131" spans="1:17" ht="14.4" customHeight="1" x14ac:dyDescent="0.3">
      <c r="A131" s="687" t="s">
        <v>1843</v>
      </c>
      <c r="B131" s="688" t="s">
        <v>1844</v>
      </c>
      <c r="C131" s="688" t="s">
        <v>1436</v>
      </c>
      <c r="D131" s="688" t="s">
        <v>1871</v>
      </c>
      <c r="E131" s="688" t="s">
        <v>1872</v>
      </c>
      <c r="F131" s="691">
        <v>5</v>
      </c>
      <c r="G131" s="691">
        <v>3310</v>
      </c>
      <c r="H131" s="691">
        <v>4.9109792284866467</v>
      </c>
      <c r="I131" s="691">
        <v>662</v>
      </c>
      <c r="J131" s="691">
        <v>1</v>
      </c>
      <c r="K131" s="691">
        <v>674</v>
      </c>
      <c r="L131" s="691">
        <v>1</v>
      </c>
      <c r="M131" s="691">
        <v>674</v>
      </c>
      <c r="N131" s="691">
        <v>2</v>
      </c>
      <c r="O131" s="691">
        <v>1350</v>
      </c>
      <c r="P131" s="704">
        <v>2.0029673590504453</v>
      </c>
      <c r="Q131" s="692">
        <v>675</v>
      </c>
    </row>
    <row r="132" spans="1:17" ht="14.4" customHeight="1" x14ac:dyDescent="0.3">
      <c r="A132" s="687" t="s">
        <v>1843</v>
      </c>
      <c r="B132" s="688" t="s">
        <v>1844</v>
      </c>
      <c r="C132" s="688" t="s">
        <v>1436</v>
      </c>
      <c r="D132" s="688" t="s">
        <v>1873</v>
      </c>
      <c r="E132" s="688" t="s">
        <v>1874</v>
      </c>
      <c r="F132" s="691"/>
      <c r="G132" s="691"/>
      <c r="H132" s="691"/>
      <c r="I132" s="691"/>
      <c r="J132" s="691">
        <v>2</v>
      </c>
      <c r="K132" s="691">
        <v>1136</v>
      </c>
      <c r="L132" s="691">
        <v>1</v>
      </c>
      <c r="M132" s="691">
        <v>568</v>
      </c>
      <c r="N132" s="691"/>
      <c r="O132" s="691"/>
      <c r="P132" s="704"/>
      <c r="Q132" s="692"/>
    </row>
    <row r="133" spans="1:17" ht="14.4" customHeight="1" x14ac:dyDescent="0.3">
      <c r="A133" s="687" t="s">
        <v>1843</v>
      </c>
      <c r="B133" s="688" t="s">
        <v>1844</v>
      </c>
      <c r="C133" s="688" t="s">
        <v>1436</v>
      </c>
      <c r="D133" s="688" t="s">
        <v>1875</v>
      </c>
      <c r="E133" s="688" t="s">
        <v>1876</v>
      </c>
      <c r="F133" s="691">
        <v>3</v>
      </c>
      <c r="G133" s="691">
        <v>2751</v>
      </c>
      <c r="H133" s="691">
        <v>2.9485530546623795</v>
      </c>
      <c r="I133" s="691">
        <v>917</v>
      </c>
      <c r="J133" s="691">
        <v>1</v>
      </c>
      <c r="K133" s="691">
        <v>933</v>
      </c>
      <c r="L133" s="691">
        <v>1</v>
      </c>
      <c r="M133" s="691">
        <v>933</v>
      </c>
      <c r="N133" s="691">
        <v>1</v>
      </c>
      <c r="O133" s="691">
        <v>934</v>
      </c>
      <c r="P133" s="704">
        <v>1.0010718113612005</v>
      </c>
      <c r="Q133" s="692">
        <v>934</v>
      </c>
    </row>
    <row r="134" spans="1:17" ht="14.4" customHeight="1" x14ac:dyDescent="0.3">
      <c r="A134" s="687" t="s">
        <v>1877</v>
      </c>
      <c r="B134" s="688" t="s">
        <v>1878</v>
      </c>
      <c r="C134" s="688" t="s">
        <v>1436</v>
      </c>
      <c r="D134" s="688" t="s">
        <v>1879</v>
      </c>
      <c r="E134" s="688" t="s">
        <v>1880</v>
      </c>
      <c r="F134" s="691">
        <v>3</v>
      </c>
      <c r="G134" s="691">
        <v>618</v>
      </c>
      <c r="H134" s="691">
        <v>2.9289099526066349</v>
      </c>
      <c r="I134" s="691">
        <v>206</v>
      </c>
      <c r="J134" s="691">
        <v>1</v>
      </c>
      <c r="K134" s="691">
        <v>211</v>
      </c>
      <c r="L134" s="691">
        <v>1</v>
      </c>
      <c r="M134" s="691">
        <v>211</v>
      </c>
      <c r="N134" s="691">
        <v>3</v>
      </c>
      <c r="O134" s="691">
        <v>633</v>
      </c>
      <c r="P134" s="704">
        <v>3</v>
      </c>
      <c r="Q134" s="692">
        <v>211</v>
      </c>
    </row>
    <row r="135" spans="1:17" ht="14.4" customHeight="1" x14ac:dyDescent="0.3">
      <c r="A135" s="687" t="s">
        <v>1877</v>
      </c>
      <c r="B135" s="688" t="s">
        <v>1878</v>
      </c>
      <c r="C135" s="688" t="s">
        <v>1436</v>
      </c>
      <c r="D135" s="688" t="s">
        <v>1881</v>
      </c>
      <c r="E135" s="688" t="s">
        <v>1882</v>
      </c>
      <c r="F135" s="691">
        <v>6</v>
      </c>
      <c r="G135" s="691">
        <v>1770</v>
      </c>
      <c r="H135" s="691">
        <v>0.8400569530137636</v>
      </c>
      <c r="I135" s="691">
        <v>295</v>
      </c>
      <c r="J135" s="691">
        <v>7</v>
      </c>
      <c r="K135" s="691">
        <v>2107</v>
      </c>
      <c r="L135" s="691">
        <v>1</v>
      </c>
      <c r="M135" s="691">
        <v>301</v>
      </c>
      <c r="N135" s="691">
        <v>13</v>
      </c>
      <c r="O135" s="691">
        <v>3913</v>
      </c>
      <c r="P135" s="704">
        <v>1.8571428571428572</v>
      </c>
      <c r="Q135" s="692">
        <v>301</v>
      </c>
    </row>
    <row r="136" spans="1:17" ht="14.4" customHeight="1" x14ac:dyDescent="0.3">
      <c r="A136" s="687" t="s">
        <v>1877</v>
      </c>
      <c r="B136" s="688" t="s">
        <v>1878</v>
      </c>
      <c r="C136" s="688" t="s">
        <v>1436</v>
      </c>
      <c r="D136" s="688" t="s">
        <v>1883</v>
      </c>
      <c r="E136" s="688" t="s">
        <v>1884</v>
      </c>
      <c r="F136" s="691">
        <v>4</v>
      </c>
      <c r="G136" s="691">
        <v>540</v>
      </c>
      <c r="H136" s="691">
        <v>3.9416058394160585</v>
      </c>
      <c r="I136" s="691">
        <v>135</v>
      </c>
      <c r="J136" s="691">
        <v>1</v>
      </c>
      <c r="K136" s="691">
        <v>137</v>
      </c>
      <c r="L136" s="691">
        <v>1</v>
      </c>
      <c r="M136" s="691">
        <v>137</v>
      </c>
      <c r="N136" s="691">
        <v>7</v>
      </c>
      <c r="O136" s="691">
        <v>959</v>
      </c>
      <c r="P136" s="704">
        <v>7</v>
      </c>
      <c r="Q136" s="692">
        <v>137</v>
      </c>
    </row>
    <row r="137" spans="1:17" ht="14.4" customHeight="1" x14ac:dyDescent="0.3">
      <c r="A137" s="687" t="s">
        <v>1877</v>
      </c>
      <c r="B137" s="688" t="s">
        <v>1878</v>
      </c>
      <c r="C137" s="688" t="s">
        <v>1436</v>
      </c>
      <c r="D137" s="688" t="s">
        <v>1885</v>
      </c>
      <c r="E137" s="688" t="s">
        <v>1886</v>
      </c>
      <c r="F137" s="691">
        <v>2</v>
      </c>
      <c r="G137" s="691">
        <v>570</v>
      </c>
      <c r="H137" s="691"/>
      <c r="I137" s="691">
        <v>285</v>
      </c>
      <c r="J137" s="691"/>
      <c r="K137" s="691"/>
      <c r="L137" s="691"/>
      <c r="M137" s="691"/>
      <c r="N137" s="691">
        <v>2</v>
      </c>
      <c r="O137" s="691">
        <v>596</v>
      </c>
      <c r="P137" s="704"/>
      <c r="Q137" s="692">
        <v>298</v>
      </c>
    </row>
    <row r="138" spans="1:17" ht="14.4" customHeight="1" x14ac:dyDescent="0.3">
      <c r="A138" s="687" t="s">
        <v>1877</v>
      </c>
      <c r="B138" s="688" t="s">
        <v>1878</v>
      </c>
      <c r="C138" s="688" t="s">
        <v>1436</v>
      </c>
      <c r="D138" s="688" t="s">
        <v>1887</v>
      </c>
      <c r="E138" s="688" t="s">
        <v>1888</v>
      </c>
      <c r="F138" s="691">
        <v>4</v>
      </c>
      <c r="G138" s="691">
        <v>644</v>
      </c>
      <c r="H138" s="691"/>
      <c r="I138" s="691">
        <v>161</v>
      </c>
      <c r="J138" s="691"/>
      <c r="K138" s="691"/>
      <c r="L138" s="691"/>
      <c r="M138" s="691"/>
      <c r="N138" s="691">
        <v>5</v>
      </c>
      <c r="O138" s="691">
        <v>865</v>
      </c>
      <c r="P138" s="704"/>
      <c r="Q138" s="692">
        <v>173</v>
      </c>
    </row>
    <row r="139" spans="1:17" ht="14.4" customHeight="1" x14ac:dyDescent="0.3">
      <c r="A139" s="687" t="s">
        <v>1877</v>
      </c>
      <c r="B139" s="688" t="s">
        <v>1878</v>
      </c>
      <c r="C139" s="688" t="s">
        <v>1436</v>
      </c>
      <c r="D139" s="688" t="s">
        <v>1889</v>
      </c>
      <c r="E139" s="688" t="s">
        <v>1890</v>
      </c>
      <c r="F139" s="691"/>
      <c r="G139" s="691"/>
      <c r="H139" s="691"/>
      <c r="I139" s="691"/>
      <c r="J139" s="691"/>
      <c r="K139" s="691"/>
      <c r="L139" s="691"/>
      <c r="M139" s="691"/>
      <c r="N139" s="691">
        <v>2</v>
      </c>
      <c r="O139" s="691">
        <v>694</v>
      </c>
      <c r="P139" s="704"/>
      <c r="Q139" s="692">
        <v>347</v>
      </c>
    </row>
    <row r="140" spans="1:17" ht="14.4" customHeight="1" x14ac:dyDescent="0.3">
      <c r="A140" s="687" t="s">
        <v>1877</v>
      </c>
      <c r="B140" s="688" t="s">
        <v>1878</v>
      </c>
      <c r="C140" s="688" t="s">
        <v>1436</v>
      </c>
      <c r="D140" s="688" t="s">
        <v>1891</v>
      </c>
      <c r="E140" s="688" t="s">
        <v>1892</v>
      </c>
      <c r="F140" s="691"/>
      <c r="G140" s="691"/>
      <c r="H140" s="691"/>
      <c r="I140" s="691"/>
      <c r="J140" s="691">
        <v>1</v>
      </c>
      <c r="K140" s="691">
        <v>142</v>
      </c>
      <c r="L140" s="691">
        <v>1</v>
      </c>
      <c r="M140" s="691">
        <v>142</v>
      </c>
      <c r="N140" s="691"/>
      <c r="O140" s="691"/>
      <c r="P140" s="704"/>
      <c r="Q140" s="692"/>
    </row>
    <row r="141" spans="1:17" ht="14.4" customHeight="1" x14ac:dyDescent="0.3">
      <c r="A141" s="687" t="s">
        <v>1877</v>
      </c>
      <c r="B141" s="688" t="s">
        <v>1878</v>
      </c>
      <c r="C141" s="688" t="s">
        <v>1436</v>
      </c>
      <c r="D141" s="688" t="s">
        <v>1893</v>
      </c>
      <c r="E141" s="688" t="s">
        <v>1892</v>
      </c>
      <c r="F141" s="691">
        <v>4</v>
      </c>
      <c r="G141" s="691">
        <v>312</v>
      </c>
      <c r="H141" s="691">
        <v>4</v>
      </c>
      <c r="I141" s="691">
        <v>78</v>
      </c>
      <c r="J141" s="691">
        <v>1</v>
      </c>
      <c r="K141" s="691">
        <v>78</v>
      </c>
      <c r="L141" s="691">
        <v>1</v>
      </c>
      <c r="M141" s="691">
        <v>78</v>
      </c>
      <c r="N141" s="691">
        <v>7</v>
      </c>
      <c r="O141" s="691">
        <v>546</v>
      </c>
      <c r="P141" s="704">
        <v>7</v>
      </c>
      <c r="Q141" s="692">
        <v>78</v>
      </c>
    </row>
    <row r="142" spans="1:17" ht="14.4" customHeight="1" x14ac:dyDescent="0.3">
      <c r="A142" s="687" t="s">
        <v>1877</v>
      </c>
      <c r="B142" s="688" t="s">
        <v>1878</v>
      </c>
      <c r="C142" s="688" t="s">
        <v>1436</v>
      </c>
      <c r="D142" s="688" t="s">
        <v>1894</v>
      </c>
      <c r="E142" s="688" t="s">
        <v>1895</v>
      </c>
      <c r="F142" s="691"/>
      <c r="G142" s="691"/>
      <c r="H142" s="691"/>
      <c r="I142" s="691"/>
      <c r="J142" s="691">
        <v>1</v>
      </c>
      <c r="K142" s="691">
        <v>313</v>
      </c>
      <c r="L142" s="691">
        <v>1</v>
      </c>
      <c r="M142" s="691">
        <v>313</v>
      </c>
      <c r="N142" s="691"/>
      <c r="O142" s="691"/>
      <c r="P142" s="704"/>
      <c r="Q142" s="692"/>
    </row>
    <row r="143" spans="1:17" ht="14.4" customHeight="1" x14ac:dyDescent="0.3">
      <c r="A143" s="687" t="s">
        <v>1877</v>
      </c>
      <c r="B143" s="688" t="s">
        <v>1878</v>
      </c>
      <c r="C143" s="688" t="s">
        <v>1436</v>
      </c>
      <c r="D143" s="688" t="s">
        <v>1896</v>
      </c>
      <c r="E143" s="688" t="s">
        <v>1897</v>
      </c>
      <c r="F143" s="691">
        <v>331</v>
      </c>
      <c r="G143" s="691">
        <v>161197</v>
      </c>
      <c r="H143" s="691">
        <v>0.93311220709456333</v>
      </c>
      <c r="I143" s="691">
        <v>487</v>
      </c>
      <c r="J143" s="691">
        <v>354</v>
      </c>
      <c r="K143" s="691">
        <v>172752</v>
      </c>
      <c r="L143" s="691">
        <v>1</v>
      </c>
      <c r="M143" s="691">
        <v>488</v>
      </c>
      <c r="N143" s="691">
        <v>380</v>
      </c>
      <c r="O143" s="691">
        <v>124640</v>
      </c>
      <c r="P143" s="704">
        <v>0.72149671204964339</v>
      </c>
      <c r="Q143" s="692">
        <v>328</v>
      </c>
    </row>
    <row r="144" spans="1:17" ht="14.4" customHeight="1" x14ac:dyDescent="0.3">
      <c r="A144" s="687" t="s">
        <v>1877</v>
      </c>
      <c r="B144" s="688" t="s">
        <v>1878</v>
      </c>
      <c r="C144" s="688" t="s">
        <v>1436</v>
      </c>
      <c r="D144" s="688" t="s">
        <v>1898</v>
      </c>
      <c r="E144" s="688" t="s">
        <v>1899</v>
      </c>
      <c r="F144" s="691">
        <v>4</v>
      </c>
      <c r="G144" s="691">
        <v>644</v>
      </c>
      <c r="H144" s="691">
        <v>1.9754601226993864</v>
      </c>
      <c r="I144" s="691">
        <v>161</v>
      </c>
      <c r="J144" s="691">
        <v>2</v>
      </c>
      <c r="K144" s="691">
        <v>326</v>
      </c>
      <c r="L144" s="691">
        <v>1</v>
      </c>
      <c r="M144" s="691">
        <v>163</v>
      </c>
      <c r="N144" s="691">
        <v>7</v>
      </c>
      <c r="O144" s="691">
        <v>1141</v>
      </c>
      <c r="P144" s="704">
        <v>3.5</v>
      </c>
      <c r="Q144" s="692">
        <v>163</v>
      </c>
    </row>
    <row r="145" spans="1:17" ht="14.4" customHeight="1" x14ac:dyDescent="0.3">
      <c r="A145" s="687" t="s">
        <v>1877</v>
      </c>
      <c r="B145" s="688" t="s">
        <v>1878</v>
      </c>
      <c r="C145" s="688" t="s">
        <v>1436</v>
      </c>
      <c r="D145" s="688" t="s">
        <v>1900</v>
      </c>
      <c r="E145" s="688" t="s">
        <v>1880</v>
      </c>
      <c r="F145" s="691">
        <v>10</v>
      </c>
      <c r="G145" s="691">
        <v>710</v>
      </c>
      <c r="H145" s="691">
        <v>0.65740740740740744</v>
      </c>
      <c r="I145" s="691">
        <v>71</v>
      </c>
      <c r="J145" s="691">
        <v>15</v>
      </c>
      <c r="K145" s="691">
        <v>1080</v>
      </c>
      <c r="L145" s="691">
        <v>1</v>
      </c>
      <c r="M145" s="691">
        <v>72</v>
      </c>
      <c r="N145" s="691">
        <v>19</v>
      </c>
      <c r="O145" s="691">
        <v>1368</v>
      </c>
      <c r="P145" s="704">
        <v>1.2666666666666666</v>
      </c>
      <c r="Q145" s="692">
        <v>72</v>
      </c>
    </row>
    <row r="146" spans="1:17" ht="14.4" customHeight="1" x14ac:dyDescent="0.3">
      <c r="A146" s="687" t="s">
        <v>1877</v>
      </c>
      <c r="B146" s="688" t="s">
        <v>1878</v>
      </c>
      <c r="C146" s="688" t="s">
        <v>1436</v>
      </c>
      <c r="D146" s="688" t="s">
        <v>1901</v>
      </c>
      <c r="E146" s="688" t="s">
        <v>1902</v>
      </c>
      <c r="F146" s="691">
        <v>64</v>
      </c>
      <c r="G146" s="691">
        <v>7040</v>
      </c>
      <c r="H146" s="691">
        <v>1.2108703130374956</v>
      </c>
      <c r="I146" s="691">
        <v>110</v>
      </c>
      <c r="J146" s="691">
        <v>51</v>
      </c>
      <c r="K146" s="691">
        <v>5814</v>
      </c>
      <c r="L146" s="691">
        <v>1</v>
      </c>
      <c r="M146" s="691">
        <v>114</v>
      </c>
      <c r="N146" s="691">
        <v>80</v>
      </c>
      <c r="O146" s="691">
        <v>9120</v>
      </c>
      <c r="P146" s="704">
        <v>1.5686274509803921</v>
      </c>
      <c r="Q146" s="692">
        <v>114</v>
      </c>
    </row>
    <row r="147" spans="1:17" ht="14.4" customHeight="1" x14ac:dyDescent="0.3">
      <c r="A147" s="687" t="s">
        <v>1877</v>
      </c>
      <c r="B147" s="688" t="s">
        <v>1878</v>
      </c>
      <c r="C147" s="688" t="s">
        <v>1436</v>
      </c>
      <c r="D147" s="688" t="s">
        <v>1903</v>
      </c>
      <c r="E147" s="688" t="s">
        <v>1904</v>
      </c>
      <c r="F147" s="691">
        <v>152</v>
      </c>
      <c r="G147" s="691">
        <v>22192</v>
      </c>
      <c r="H147" s="691">
        <v>0.97977924944812367</v>
      </c>
      <c r="I147" s="691">
        <v>146</v>
      </c>
      <c r="J147" s="691">
        <v>151</v>
      </c>
      <c r="K147" s="691">
        <v>22650</v>
      </c>
      <c r="L147" s="691">
        <v>1</v>
      </c>
      <c r="M147" s="691">
        <v>150</v>
      </c>
      <c r="N147" s="691">
        <v>177</v>
      </c>
      <c r="O147" s="691">
        <v>26550</v>
      </c>
      <c r="P147" s="704">
        <v>1.1721854304635762</v>
      </c>
      <c r="Q147" s="692">
        <v>150</v>
      </c>
    </row>
    <row r="148" spans="1:17" ht="14.4" customHeight="1" x14ac:dyDescent="0.3">
      <c r="A148" s="687" t="s">
        <v>1877</v>
      </c>
      <c r="B148" s="688" t="s">
        <v>1878</v>
      </c>
      <c r="C148" s="688" t="s">
        <v>1436</v>
      </c>
      <c r="D148" s="688" t="s">
        <v>1905</v>
      </c>
      <c r="E148" s="688" t="s">
        <v>1906</v>
      </c>
      <c r="F148" s="691">
        <v>1</v>
      </c>
      <c r="G148" s="691">
        <v>294</v>
      </c>
      <c r="H148" s="691"/>
      <c r="I148" s="691">
        <v>294</v>
      </c>
      <c r="J148" s="691"/>
      <c r="K148" s="691"/>
      <c r="L148" s="691"/>
      <c r="M148" s="691"/>
      <c r="N148" s="691"/>
      <c r="O148" s="691"/>
      <c r="P148" s="704"/>
      <c r="Q148" s="692"/>
    </row>
    <row r="149" spans="1:17" ht="14.4" customHeight="1" x14ac:dyDescent="0.3">
      <c r="A149" s="687" t="s">
        <v>1907</v>
      </c>
      <c r="B149" s="688" t="s">
        <v>1908</v>
      </c>
      <c r="C149" s="688" t="s">
        <v>1436</v>
      </c>
      <c r="D149" s="688" t="s">
        <v>1909</v>
      </c>
      <c r="E149" s="688" t="s">
        <v>1910</v>
      </c>
      <c r="F149" s="691"/>
      <c r="G149" s="691"/>
      <c r="H149" s="691"/>
      <c r="I149" s="691"/>
      <c r="J149" s="691">
        <v>4</v>
      </c>
      <c r="K149" s="691">
        <v>232</v>
      </c>
      <c r="L149" s="691">
        <v>1</v>
      </c>
      <c r="M149" s="691">
        <v>58</v>
      </c>
      <c r="N149" s="691"/>
      <c r="O149" s="691"/>
      <c r="P149" s="704"/>
      <c r="Q149" s="692"/>
    </row>
    <row r="150" spans="1:17" ht="14.4" customHeight="1" x14ac:dyDescent="0.3">
      <c r="A150" s="687" t="s">
        <v>1907</v>
      </c>
      <c r="B150" s="688" t="s">
        <v>1908</v>
      </c>
      <c r="C150" s="688" t="s">
        <v>1436</v>
      </c>
      <c r="D150" s="688" t="s">
        <v>1911</v>
      </c>
      <c r="E150" s="688" t="s">
        <v>1912</v>
      </c>
      <c r="F150" s="691">
        <v>10</v>
      </c>
      <c r="G150" s="691">
        <v>1230</v>
      </c>
      <c r="H150" s="691">
        <v>1.5648854961832062</v>
      </c>
      <c r="I150" s="691">
        <v>123</v>
      </c>
      <c r="J150" s="691">
        <v>6</v>
      </c>
      <c r="K150" s="691">
        <v>786</v>
      </c>
      <c r="L150" s="691">
        <v>1</v>
      </c>
      <c r="M150" s="691">
        <v>131</v>
      </c>
      <c r="N150" s="691">
        <v>2</v>
      </c>
      <c r="O150" s="691">
        <v>262</v>
      </c>
      <c r="P150" s="704">
        <v>0.33333333333333331</v>
      </c>
      <c r="Q150" s="692">
        <v>131</v>
      </c>
    </row>
    <row r="151" spans="1:17" ht="14.4" customHeight="1" x14ac:dyDescent="0.3">
      <c r="A151" s="687" t="s">
        <v>1907</v>
      </c>
      <c r="B151" s="688" t="s">
        <v>1908</v>
      </c>
      <c r="C151" s="688" t="s">
        <v>1436</v>
      </c>
      <c r="D151" s="688" t="s">
        <v>1913</v>
      </c>
      <c r="E151" s="688" t="s">
        <v>1914</v>
      </c>
      <c r="F151" s="691"/>
      <c r="G151" s="691"/>
      <c r="H151" s="691"/>
      <c r="I151" s="691"/>
      <c r="J151" s="691">
        <v>1</v>
      </c>
      <c r="K151" s="691">
        <v>407</v>
      </c>
      <c r="L151" s="691">
        <v>1</v>
      </c>
      <c r="M151" s="691">
        <v>407</v>
      </c>
      <c r="N151" s="691"/>
      <c r="O151" s="691"/>
      <c r="P151" s="704"/>
      <c r="Q151" s="692"/>
    </row>
    <row r="152" spans="1:17" ht="14.4" customHeight="1" x14ac:dyDescent="0.3">
      <c r="A152" s="687" t="s">
        <v>1907</v>
      </c>
      <c r="B152" s="688" t="s">
        <v>1908</v>
      </c>
      <c r="C152" s="688" t="s">
        <v>1436</v>
      </c>
      <c r="D152" s="688" t="s">
        <v>1915</v>
      </c>
      <c r="E152" s="688" t="s">
        <v>1916</v>
      </c>
      <c r="F152" s="691">
        <v>1</v>
      </c>
      <c r="G152" s="691">
        <v>172</v>
      </c>
      <c r="H152" s="691"/>
      <c r="I152" s="691">
        <v>172</v>
      </c>
      <c r="J152" s="691"/>
      <c r="K152" s="691"/>
      <c r="L152" s="691"/>
      <c r="M152" s="691"/>
      <c r="N152" s="691"/>
      <c r="O152" s="691"/>
      <c r="P152" s="704"/>
      <c r="Q152" s="692"/>
    </row>
    <row r="153" spans="1:17" ht="14.4" customHeight="1" x14ac:dyDescent="0.3">
      <c r="A153" s="687" t="s">
        <v>1907</v>
      </c>
      <c r="B153" s="688" t="s">
        <v>1908</v>
      </c>
      <c r="C153" s="688" t="s">
        <v>1436</v>
      </c>
      <c r="D153" s="688" t="s">
        <v>1917</v>
      </c>
      <c r="E153" s="688" t="s">
        <v>1918</v>
      </c>
      <c r="F153" s="691">
        <v>1</v>
      </c>
      <c r="G153" s="691">
        <v>533</v>
      </c>
      <c r="H153" s="691"/>
      <c r="I153" s="691">
        <v>533</v>
      </c>
      <c r="J153" s="691"/>
      <c r="K153" s="691"/>
      <c r="L153" s="691"/>
      <c r="M153" s="691"/>
      <c r="N153" s="691"/>
      <c r="O153" s="691"/>
      <c r="P153" s="704"/>
      <c r="Q153" s="692"/>
    </row>
    <row r="154" spans="1:17" ht="14.4" customHeight="1" x14ac:dyDescent="0.3">
      <c r="A154" s="687" t="s">
        <v>1907</v>
      </c>
      <c r="B154" s="688" t="s">
        <v>1908</v>
      </c>
      <c r="C154" s="688" t="s">
        <v>1436</v>
      </c>
      <c r="D154" s="688" t="s">
        <v>1919</v>
      </c>
      <c r="E154" s="688" t="s">
        <v>1920</v>
      </c>
      <c r="F154" s="691">
        <v>8</v>
      </c>
      <c r="G154" s="691">
        <v>2728</v>
      </c>
      <c r="H154" s="691">
        <v>0.71060171919770776</v>
      </c>
      <c r="I154" s="691">
        <v>341</v>
      </c>
      <c r="J154" s="691">
        <v>11</v>
      </c>
      <c r="K154" s="691">
        <v>3839</v>
      </c>
      <c r="L154" s="691">
        <v>1</v>
      </c>
      <c r="M154" s="691">
        <v>349</v>
      </c>
      <c r="N154" s="691"/>
      <c r="O154" s="691"/>
      <c r="P154" s="704"/>
      <c r="Q154" s="692"/>
    </row>
    <row r="155" spans="1:17" ht="14.4" customHeight="1" x14ac:dyDescent="0.3">
      <c r="A155" s="687" t="s">
        <v>1907</v>
      </c>
      <c r="B155" s="688" t="s">
        <v>1908</v>
      </c>
      <c r="C155" s="688" t="s">
        <v>1436</v>
      </c>
      <c r="D155" s="688" t="s">
        <v>1921</v>
      </c>
      <c r="E155" s="688" t="s">
        <v>1922</v>
      </c>
      <c r="F155" s="691"/>
      <c r="G155" s="691"/>
      <c r="H155" s="691"/>
      <c r="I155" s="691"/>
      <c r="J155" s="691">
        <v>1</v>
      </c>
      <c r="K155" s="691">
        <v>117</v>
      </c>
      <c r="L155" s="691">
        <v>1</v>
      </c>
      <c r="M155" s="691">
        <v>117</v>
      </c>
      <c r="N155" s="691"/>
      <c r="O155" s="691"/>
      <c r="P155" s="704"/>
      <c r="Q155" s="692"/>
    </row>
    <row r="156" spans="1:17" ht="14.4" customHeight="1" x14ac:dyDescent="0.3">
      <c r="A156" s="687" t="s">
        <v>1907</v>
      </c>
      <c r="B156" s="688" t="s">
        <v>1908</v>
      </c>
      <c r="C156" s="688" t="s">
        <v>1436</v>
      </c>
      <c r="D156" s="688" t="s">
        <v>1923</v>
      </c>
      <c r="E156" s="688" t="s">
        <v>1924</v>
      </c>
      <c r="F156" s="691"/>
      <c r="G156" s="691"/>
      <c r="H156" s="691"/>
      <c r="I156" s="691"/>
      <c r="J156" s="691">
        <v>1</v>
      </c>
      <c r="K156" s="691">
        <v>38</v>
      </c>
      <c r="L156" s="691">
        <v>1</v>
      </c>
      <c r="M156" s="691">
        <v>38</v>
      </c>
      <c r="N156" s="691"/>
      <c r="O156" s="691"/>
      <c r="P156" s="704"/>
      <c r="Q156" s="692"/>
    </row>
    <row r="157" spans="1:17" ht="14.4" customHeight="1" x14ac:dyDescent="0.3">
      <c r="A157" s="687" t="s">
        <v>1907</v>
      </c>
      <c r="B157" s="688" t="s">
        <v>1908</v>
      </c>
      <c r="C157" s="688" t="s">
        <v>1436</v>
      </c>
      <c r="D157" s="688" t="s">
        <v>1925</v>
      </c>
      <c r="E157" s="688" t="s">
        <v>1926</v>
      </c>
      <c r="F157" s="691">
        <v>3</v>
      </c>
      <c r="G157" s="691">
        <v>855</v>
      </c>
      <c r="H157" s="691">
        <v>0.9375</v>
      </c>
      <c r="I157" s="691">
        <v>285</v>
      </c>
      <c r="J157" s="691">
        <v>3</v>
      </c>
      <c r="K157" s="691">
        <v>912</v>
      </c>
      <c r="L157" s="691">
        <v>1</v>
      </c>
      <c r="M157" s="691">
        <v>304</v>
      </c>
      <c r="N157" s="691"/>
      <c r="O157" s="691"/>
      <c r="P157" s="704"/>
      <c r="Q157" s="692"/>
    </row>
    <row r="158" spans="1:17" ht="14.4" customHeight="1" x14ac:dyDescent="0.3">
      <c r="A158" s="687" t="s">
        <v>1907</v>
      </c>
      <c r="B158" s="688" t="s">
        <v>1908</v>
      </c>
      <c r="C158" s="688" t="s">
        <v>1436</v>
      </c>
      <c r="D158" s="688" t="s">
        <v>1927</v>
      </c>
      <c r="E158" s="688" t="s">
        <v>1928</v>
      </c>
      <c r="F158" s="691">
        <v>3</v>
      </c>
      <c r="G158" s="691">
        <v>1386</v>
      </c>
      <c r="H158" s="691">
        <v>1.402834008097166</v>
      </c>
      <c r="I158" s="691">
        <v>462</v>
      </c>
      <c r="J158" s="691">
        <v>2</v>
      </c>
      <c r="K158" s="691">
        <v>988</v>
      </c>
      <c r="L158" s="691">
        <v>1</v>
      </c>
      <c r="M158" s="691">
        <v>494</v>
      </c>
      <c r="N158" s="691"/>
      <c r="O158" s="691"/>
      <c r="P158" s="704"/>
      <c r="Q158" s="692"/>
    </row>
    <row r="159" spans="1:17" ht="14.4" customHeight="1" x14ac:dyDescent="0.3">
      <c r="A159" s="687" t="s">
        <v>1907</v>
      </c>
      <c r="B159" s="688" t="s">
        <v>1908</v>
      </c>
      <c r="C159" s="688" t="s">
        <v>1436</v>
      </c>
      <c r="D159" s="688" t="s">
        <v>1929</v>
      </c>
      <c r="E159" s="688" t="s">
        <v>1930</v>
      </c>
      <c r="F159" s="691">
        <v>7</v>
      </c>
      <c r="G159" s="691">
        <v>2492</v>
      </c>
      <c r="H159" s="691">
        <v>1.347027027027027</v>
      </c>
      <c r="I159" s="691">
        <v>356</v>
      </c>
      <c r="J159" s="691">
        <v>5</v>
      </c>
      <c r="K159" s="691">
        <v>1850</v>
      </c>
      <c r="L159" s="691">
        <v>1</v>
      </c>
      <c r="M159" s="691">
        <v>370</v>
      </c>
      <c r="N159" s="691">
        <v>2</v>
      </c>
      <c r="O159" s="691">
        <v>740</v>
      </c>
      <c r="P159" s="704">
        <v>0.4</v>
      </c>
      <c r="Q159" s="692">
        <v>370</v>
      </c>
    </row>
    <row r="160" spans="1:17" ht="14.4" customHeight="1" x14ac:dyDescent="0.3">
      <c r="A160" s="687" t="s">
        <v>1907</v>
      </c>
      <c r="B160" s="688" t="s">
        <v>1908</v>
      </c>
      <c r="C160" s="688" t="s">
        <v>1436</v>
      </c>
      <c r="D160" s="688" t="s">
        <v>1931</v>
      </c>
      <c r="E160" s="688" t="s">
        <v>1932</v>
      </c>
      <c r="F160" s="691"/>
      <c r="G160" s="691"/>
      <c r="H160" s="691"/>
      <c r="I160" s="691"/>
      <c r="J160" s="691">
        <v>1</v>
      </c>
      <c r="K160" s="691">
        <v>495</v>
      </c>
      <c r="L160" s="691">
        <v>1</v>
      </c>
      <c r="M160" s="691">
        <v>495</v>
      </c>
      <c r="N160" s="691"/>
      <c r="O160" s="691"/>
      <c r="P160" s="704"/>
      <c r="Q160" s="692"/>
    </row>
    <row r="161" spans="1:17" ht="14.4" customHeight="1" x14ac:dyDescent="0.3">
      <c r="A161" s="687" t="s">
        <v>1907</v>
      </c>
      <c r="B161" s="688" t="s">
        <v>1908</v>
      </c>
      <c r="C161" s="688" t="s">
        <v>1436</v>
      </c>
      <c r="D161" s="688" t="s">
        <v>1933</v>
      </c>
      <c r="E161" s="688" t="s">
        <v>1934</v>
      </c>
      <c r="F161" s="691">
        <v>1</v>
      </c>
      <c r="G161" s="691">
        <v>437</v>
      </c>
      <c r="H161" s="691"/>
      <c r="I161" s="691">
        <v>437</v>
      </c>
      <c r="J161" s="691"/>
      <c r="K161" s="691"/>
      <c r="L161" s="691"/>
      <c r="M161" s="691"/>
      <c r="N161" s="691"/>
      <c r="O161" s="691"/>
      <c r="P161" s="704"/>
      <c r="Q161" s="692"/>
    </row>
    <row r="162" spans="1:17" ht="14.4" customHeight="1" x14ac:dyDescent="0.3">
      <c r="A162" s="687" t="s">
        <v>1907</v>
      </c>
      <c r="B162" s="688" t="s">
        <v>1908</v>
      </c>
      <c r="C162" s="688" t="s">
        <v>1436</v>
      </c>
      <c r="D162" s="688" t="s">
        <v>1935</v>
      </c>
      <c r="E162" s="688" t="s">
        <v>1936</v>
      </c>
      <c r="F162" s="691">
        <v>2</v>
      </c>
      <c r="G162" s="691">
        <v>108</v>
      </c>
      <c r="H162" s="691"/>
      <c r="I162" s="691">
        <v>54</v>
      </c>
      <c r="J162" s="691"/>
      <c r="K162" s="691"/>
      <c r="L162" s="691"/>
      <c r="M162" s="691"/>
      <c r="N162" s="691"/>
      <c r="O162" s="691"/>
      <c r="P162" s="704"/>
      <c r="Q162" s="692"/>
    </row>
    <row r="163" spans="1:17" ht="14.4" customHeight="1" x14ac:dyDescent="0.3">
      <c r="A163" s="687" t="s">
        <v>1907</v>
      </c>
      <c r="B163" s="688" t="s">
        <v>1908</v>
      </c>
      <c r="C163" s="688" t="s">
        <v>1436</v>
      </c>
      <c r="D163" s="688" t="s">
        <v>1937</v>
      </c>
      <c r="E163" s="688" t="s">
        <v>1938</v>
      </c>
      <c r="F163" s="691">
        <v>23</v>
      </c>
      <c r="G163" s="691">
        <v>3887</v>
      </c>
      <c r="H163" s="691">
        <v>0.45329446064139944</v>
      </c>
      <c r="I163" s="691">
        <v>169</v>
      </c>
      <c r="J163" s="691">
        <v>49</v>
      </c>
      <c r="K163" s="691">
        <v>8575</v>
      </c>
      <c r="L163" s="691">
        <v>1</v>
      </c>
      <c r="M163" s="691">
        <v>175</v>
      </c>
      <c r="N163" s="691">
        <v>14</v>
      </c>
      <c r="O163" s="691">
        <v>2464</v>
      </c>
      <c r="P163" s="704">
        <v>0.28734693877551021</v>
      </c>
      <c r="Q163" s="692">
        <v>176</v>
      </c>
    </row>
    <row r="164" spans="1:17" ht="14.4" customHeight="1" x14ac:dyDescent="0.3">
      <c r="A164" s="687" t="s">
        <v>1907</v>
      </c>
      <c r="B164" s="688" t="s">
        <v>1908</v>
      </c>
      <c r="C164" s="688" t="s">
        <v>1436</v>
      </c>
      <c r="D164" s="688" t="s">
        <v>1939</v>
      </c>
      <c r="E164" s="688" t="s">
        <v>1940</v>
      </c>
      <c r="F164" s="691"/>
      <c r="G164" s="691"/>
      <c r="H164" s="691"/>
      <c r="I164" s="691"/>
      <c r="J164" s="691">
        <v>1</v>
      </c>
      <c r="K164" s="691">
        <v>242</v>
      </c>
      <c r="L164" s="691">
        <v>1</v>
      </c>
      <c r="M164" s="691">
        <v>242</v>
      </c>
      <c r="N164" s="691"/>
      <c r="O164" s="691"/>
      <c r="P164" s="704"/>
      <c r="Q164" s="692"/>
    </row>
    <row r="165" spans="1:17" ht="14.4" customHeight="1" x14ac:dyDescent="0.3">
      <c r="A165" s="687" t="s">
        <v>1907</v>
      </c>
      <c r="B165" s="688" t="s">
        <v>1908</v>
      </c>
      <c r="C165" s="688" t="s">
        <v>1436</v>
      </c>
      <c r="D165" s="688" t="s">
        <v>1941</v>
      </c>
      <c r="E165" s="688" t="s">
        <v>1942</v>
      </c>
      <c r="F165" s="691"/>
      <c r="G165" s="691"/>
      <c r="H165" s="691"/>
      <c r="I165" s="691"/>
      <c r="J165" s="691">
        <v>1</v>
      </c>
      <c r="K165" s="691">
        <v>423</v>
      </c>
      <c r="L165" s="691">
        <v>1</v>
      </c>
      <c r="M165" s="691">
        <v>423</v>
      </c>
      <c r="N165" s="691">
        <v>1</v>
      </c>
      <c r="O165" s="691">
        <v>424</v>
      </c>
      <c r="P165" s="704">
        <v>1.0023640661938533</v>
      </c>
      <c r="Q165" s="692">
        <v>424</v>
      </c>
    </row>
    <row r="166" spans="1:17" ht="14.4" customHeight="1" x14ac:dyDescent="0.3">
      <c r="A166" s="687" t="s">
        <v>1943</v>
      </c>
      <c r="B166" s="688" t="s">
        <v>1944</v>
      </c>
      <c r="C166" s="688" t="s">
        <v>1436</v>
      </c>
      <c r="D166" s="688" t="s">
        <v>1945</v>
      </c>
      <c r="E166" s="688" t="s">
        <v>1946</v>
      </c>
      <c r="F166" s="691">
        <v>41</v>
      </c>
      <c r="G166" s="691">
        <v>6601</v>
      </c>
      <c r="H166" s="691">
        <v>1.5262427745664739</v>
      </c>
      <c r="I166" s="691">
        <v>161</v>
      </c>
      <c r="J166" s="691">
        <v>25</v>
      </c>
      <c r="K166" s="691">
        <v>4325</v>
      </c>
      <c r="L166" s="691">
        <v>1</v>
      </c>
      <c r="M166" s="691">
        <v>173</v>
      </c>
      <c r="N166" s="691">
        <v>27</v>
      </c>
      <c r="O166" s="691">
        <v>4671</v>
      </c>
      <c r="P166" s="704">
        <v>1.08</v>
      </c>
      <c r="Q166" s="692">
        <v>173</v>
      </c>
    </row>
    <row r="167" spans="1:17" ht="14.4" customHeight="1" x14ac:dyDescent="0.3">
      <c r="A167" s="687" t="s">
        <v>1943</v>
      </c>
      <c r="B167" s="688" t="s">
        <v>1944</v>
      </c>
      <c r="C167" s="688" t="s">
        <v>1436</v>
      </c>
      <c r="D167" s="688" t="s">
        <v>1947</v>
      </c>
      <c r="E167" s="688" t="s">
        <v>1948</v>
      </c>
      <c r="F167" s="691">
        <v>7</v>
      </c>
      <c r="G167" s="691">
        <v>8183</v>
      </c>
      <c r="H167" s="691">
        <v>2.3253765274225633</v>
      </c>
      <c r="I167" s="691">
        <v>1169</v>
      </c>
      <c r="J167" s="691">
        <v>3</v>
      </c>
      <c r="K167" s="691">
        <v>3519</v>
      </c>
      <c r="L167" s="691">
        <v>1</v>
      </c>
      <c r="M167" s="691">
        <v>1173</v>
      </c>
      <c r="N167" s="691">
        <v>11</v>
      </c>
      <c r="O167" s="691">
        <v>11770</v>
      </c>
      <c r="P167" s="704">
        <v>3.3447001989201479</v>
      </c>
      <c r="Q167" s="692">
        <v>1070</v>
      </c>
    </row>
    <row r="168" spans="1:17" ht="14.4" customHeight="1" x14ac:dyDescent="0.3">
      <c r="A168" s="687" t="s">
        <v>1943</v>
      </c>
      <c r="B168" s="688" t="s">
        <v>1944</v>
      </c>
      <c r="C168" s="688" t="s">
        <v>1436</v>
      </c>
      <c r="D168" s="688" t="s">
        <v>1949</v>
      </c>
      <c r="E168" s="688" t="s">
        <v>1950</v>
      </c>
      <c r="F168" s="691">
        <v>351</v>
      </c>
      <c r="G168" s="691">
        <v>14040</v>
      </c>
      <c r="H168" s="691">
        <v>0.71639963261557305</v>
      </c>
      <c r="I168" s="691">
        <v>40</v>
      </c>
      <c r="J168" s="691">
        <v>478</v>
      </c>
      <c r="K168" s="691">
        <v>19598</v>
      </c>
      <c r="L168" s="691">
        <v>1</v>
      </c>
      <c r="M168" s="691">
        <v>41</v>
      </c>
      <c r="N168" s="691">
        <v>659</v>
      </c>
      <c r="O168" s="691">
        <v>30314</v>
      </c>
      <c r="P168" s="704">
        <v>1.5467904888253903</v>
      </c>
      <c r="Q168" s="692">
        <v>46</v>
      </c>
    </row>
    <row r="169" spans="1:17" ht="14.4" customHeight="1" x14ac:dyDescent="0.3">
      <c r="A169" s="687" t="s">
        <v>1943</v>
      </c>
      <c r="B169" s="688" t="s">
        <v>1944</v>
      </c>
      <c r="C169" s="688" t="s">
        <v>1436</v>
      </c>
      <c r="D169" s="688" t="s">
        <v>1889</v>
      </c>
      <c r="E169" s="688" t="s">
        <v>1890</v>
      </c>
      <c r="F169" s="691">
        <v>1</v>
      </c>
      <c r="G169" s="691">
        <v>383</v>
      </c>
      <c r="H169" s="691">
        <v>0.49869791666666669</v>
      </c>
      <c r="I169" s="691">
        <v>383</v>
      </c>
      <c r="J169" s="691">
        <v>2</v>
      </c>
      <c r="K169" s="691">
        <v>768</v>
      </c>
      <c r="L169" s="691">
        <v>1</v>
      </c>
      <c r="M169" s="691">
        <v>384</v>
      </c>
      <c r="N169" s="691"/>
      <c r="O169" s="691"/>
      <c r="P169" s="704"/>
      <c r="Q169" s="692"/>
    </row>
    <row r="170" spans="1:17" ht="14.4" customHeight="1" x14ac:dyDescent="0.3">
      <c r="A170" s="687" t="s">
        <v>1943</v>
      </c>
      <c r="B170" s="688" t="s">
        <v>1944</v>
      </c>
      <c r="C170" s="688" t="s">
        <v>1436</v>
      </c>
      <c r="D170" s="688" t="s">
        <v>1951</v>
      </c>
      <c r="E170" s="688" t="s">
        <v>1952</v>
      </c>
      <c r="F170" s="691">
        <v>2</v>
      </c>
      <c r="G170" s="691">
        <v>74</v>
      </c>
      <c r="H170" s="691"/>
      <c r="I170" s="691">
        <v>37</v>
      </c>
      <c r="J170" s="691"/>
      <c r="K170" s="691"/>
      <c r="L170" s="691"/>
      <c r="M170" s="691"/>
      <c r="N170" s="691"/>
      <c r="O170" s="691"/>
      <c r="P170" s="704"/>
      <c r="Q170" s="692"/>
    </row>
    <row r="171" spans="1:17" ht="14.4" customHeight="1" x14ac:dyDescent="0.3">
      <c r="A171" s="687" t="s">
        <v>1943</v>
      </c>
      <c r="B171" s="688" t="s">
        <v>1944</v>
      </c>
      <c r="C171" s="688" t="s">
        <v>1436</v>
      </c>
      <c r="D171" s="688" t="s">
        <v>1953</v>
      </c>
      <c r="E171" s="688" t="s">
        <v>1954</v>
      </c>
      <c r="F171" s="691">
        <v>3</v>
      </c>
      <c r="G171" s="691">
        <v>1335</v>
      </c>
      <c r="H171" s="691"/>
      <c r="I171" s="691">
        <v>445</v>
      </c>
      <c r="J171" s="691"/>
      <c r="K171" s="691"/>
      <c r="L171" s="691"/>
      <c r="M171" s="691"/>
      <c r="N171" s="691">
        <v>4</v>
      </c>
      <c r="O171" s="691">
        <v>1508</v>
      </c>
      <c r="P171" s="704"/>
      <c r="Q171" s="692">
        <v>377</v>
      </c>
    </row>
    <row r="172" spans="1:17" ht="14.4" customHeight="1" x14ac:dyDescent="0.3">
      <c r="A172" s="687" t="s">
        <v>1943</v>
      </c>
      <c r="B172" s="688" t="s">
        <v>1944</v>
      </c>
      <c r="C172" s="688" t="s">
        <v>1436</v>
      </c>
      <c r="D172" s="688" t="s">
        <v>1955</v>
      </c>
      <c r="E172" s="688" t="s">
        <v>1956</v>
      </c>
      <c r="F172" s="691">
        <v>2</v>
      </c>
      <c r="G172" s="691">
        <v>982</v>
      </c>
      <c r="H172" s="691">
        <v>0.39918699186991868</v>
      </c>
      <c r="I172" s="691">
        <v>491</v>
      </c>
      <c r="J172" s="691">
        <v>5</v>
      </c>
      <c r="K172" s="691">
        <v>2460</v>
      </c>
      <c r="L172" s="691">
        <v>1</v>
      </c>
      <c r="M172" s="691">
        <v>492</v>
      </c>
      <c r="N172" s="691">
        <v>1</v>
      </c>
      <c r="O172" s="691">
        <v>524</v>
      </c>
      <c r="P172" s="704">
        <v>0.21300813008130082</v>
      </c>
      <c r="Q172" s="692">
        <v>524</v>
      </c>
    </row>
    <row r="173" spans="1:17" ht="14.4" customHeight="1" x14ac:dyDescent="0.3">
      <c r="A173" s="687" t="s">
        <v>1943</v>
      </c>
      <c r="B173" s="688" t="s">
        <v>1944</v>
      </c>
      <c r="C173" s="688" t="s">
        <v>1436</v>
      </c>
      <c r="D173" s="688" t="s">
        <v>1957</v>
      </c>
      <c r="E173" s="688" t="s">
        <v>1958</v>
      </c>
      <c r="F173" s="691">
        <v>1</v>
      </c>
      <c r="G173" s="691">
        <v>31</v>
      </c>
      <c r="H173" s="691">
        <v>1</v>
      </c>
      <c r="I173" s="691">
        <v>31</v>
      </c>
      <c r="J173" s="691">
        <v>1</v>
      </c>
      <c r="K173" s="691">
        <v>31</v>
      </c>
      <c r="L173" s="691">
        <v>1</v>
      </c>
      <c r="M173" s="691">
        <v>31</v>
      </c>
      <c r="N173" s="691">
        <v>4</v>
      </c>
      <c r="O173" s="691">
        <v>228</v>
      </c>
      <c r="P173" s="704">
        <v>7.354838709677419</v>
      </c>
      <c r="Q173" s="692">
        <v>57</v>
      </c>
    </row>
    <row r="174" spans="1:17" ht="14.4" customHeight="1" x14ac:dyDescent="0.3">
      <c r="A174" s="687" t="s">
        <v>1943</v>
      </c>
      <c r="B174" s="688" t="s">
        <v>1944</v>
      </c>
      <c r="C174" s="688" t="s">
        <v>1436</v>
      </c>
      <c r="D174" s="688" t="s">
        <v>1959</v>
      </c>
      <c r="E174" s="688" t="s">
        <v>1960</v>
      </c>
      <c r="F174" s="691"/>
      <c r="G174" s="691"/>
      <c r="H174" s="691"/>
      <c r="I174" s="691"/>
      <c r="J174" s="691">
        <v>4</v>
      </c>
      <c r="K174" s="691">
        <v>944</v>
      </c>
      <c r="L174" s="691">
        <v>1</v>
      </c>
      <c r="M174" s="691">
        <v>236</v>
      </c>
      <c r="N174" s="691"/>
      <c r="O174" s="691"/>
      <c r="P174" s="704"/>
      <c r="Q174" s="692"/>
    </row>
    <row r="175" spans="1:17" ht="14.4" customHeight="1" x14ac:dyDescent="0.3">
      <c r="A175" s="687" t="s">
        <v>1943</v>
      </c>
      <c r="B175" s="688" t="s">
        <v>1944</v>
      </c>
      <c r="C175" s="688" t="s">
        <v>1436</v>
      </c>
      <c r="D175" s="688" t="s">
        <v>1961</v>
      </c>
      <c r="E175" s="688" t="s">
        <v>1962</v>
      </c>
      <c r="F175" s="691">
        <v>270</v>
      </c>
      <c r="G175" s="691">
        <v>31320</v>
      </c>
      <c r="H175" s="691">
        <v>0.67770204479065244</v>
      </c>
      <c r="I175" s="691">
        <v>116</v>
      </c>
      <c r="J175" s="691">
        <v>395</v>
      </c>
      <c r="K175" s="691">
        <v>46215</v>
      </c>
      <c r="L175" s="691">
        <v>1</v>
      </c>
      <c r="M175" s="691">
        <v>117</v>
      </c>
      <c r="N175" s="691">
        <v>328</v>
      </c>
      <c r="O175" s="691">
        <v>44608</v>
      </c>
      <c r="P175" s="704">
        <v>0.96522773991128419</v>
      </c>
      <c r="Q175" s="692">
        <v>136</v>
      </c>
    </row>
    <row r="176" spans="1:17" ht="14.4" customHeight="1" x14ac:dyDescent="0.3">
      <c r="A176" s="687" t="s">
        <v>1943</v>
      </c>
      <c r="B176" s="688" t="s">
        <v>1944</v>
      </c>
      <c r="C176" s="688" t="s">
        <v>1436</v>
      </c>
      <c r="D176" s="688" t="s">
        <v>1963</v>
      </c>
      <c r="E176" s="688" t="s">
        <v>1964</v>
      </c>
      <c r="F176" s="691">
        <v>22</v>
      </c>
      <c r="G176" s="691">
        <v>1870</v>
      </c>
      <c r="H176" s="691">
        <v>2.0549450549450547</v>
      </c>
      <c r="I176" s="691">
        <v>85</v>
      </c>
      <c r="J176" s="691">
        <v>10</v>
      </c>
      <c r="K176" s="691">
        <v>910</v>
      </c>
      <c r="L176" s="691">
        <v>1</v>
      </c>
      <c r="M176" s="691">
        <v>91</v>
      </c>
      <c r="N176" s="691">
        <v>14</v>
      </c>
      <c r="O176" s="691">
        <v>1274</v>
      </c>
      <c r="P176" s="704">
        <v>1.4</v>
      </c>
      <c r="Q176" s="692">
        <v>91</v>
      </c>
    </row>
    <row r="177" spans="1:17" ht="14.4" customHeight="1" x14ac:dyDescent="0.3">
      <c r="A177" s="687" t="s">
        <v>1943</v>
      </c>
      <c r="B177" s="688" t="s">
        <v>1944</v>
      </c>
      <c r="C177" s="688" t="s">
        <v>1436</v>
      </c>
      <c r="D177" s="688" t="s">
        <v>1965</v>
      </c>
      <c r="E177" s="688" t="s">
        <v>1966</v>
      </c>
      <c r="F177" s="691">
        <v>1</v>
      </c>
      <c r="G177" s="691">
        <v>98</v>
      </c>
      <c r="H177" s="691">
        <v>0.10998877665544332</v>
      </c>
      <c r="I177" s="691">
        <v>98</v>
      </c>
      <c r="J177" s="691">
        <v>9</v>
      </c>
      <c r="K177" s="691">
        <v>891</v>
      </c>
      <c r="L177" s="691">
        <v>1</v>
      </c>
      <c r="M177" s="691">
        <v>99</v>
      </c>
      <c r="N177" s="691"/>
      <c r="O177" s="691"/>
      <c r="P177" s="704"/>
      <c r="Q177" s="692"/>
    </row>
    <row r="178" spans="1:17" ht="14.4" customHeight="1" x14ac:dyDescent="0.3">
      <c r="A178" s="687" t="s">
        <v>1943</v>
      </c>
      <c r="B178" s="688" t="s">
        <v>1944</v>
      </c>
      <c r="C178" s="688" t="s">
        <v>1436</v>
      </c>
      <c r="D178" s="688" t="s">
        <v>1967</v>
      </c>
      <c r="E178" s="688" t="s">
        <v>1968</v>
      </c>
      <c r="F178" s="691">
        <v>2</v>
      </c>
      <c r="G178" s="691">
        <v>42</v>
      </c>
      <c r="H178" s="691">
        <v>0.18181818181818182</v>
      </c>
      <c r="I178" s="691">
        <v>21</v>
      </c>
      <c r="J178" s="691">
        <v>11</v>
      </c>
      <c r="K178" s="691">
        <v>231</v>
      </c>
      <c r="L178" s="691">
        <v>1</v>
      </c>
      <c r="M178" s="691">
        <v>21</v>
      </c>
      <c r="N178" s="691"/>
      <c r="O178" s="691"/>
      <c r="P178" s="704"/>
      <c r="Q178" s="692"/>
    </row>
    <row r="179" spans="1:17" ht="14.4" customHeight="1" x14ac:dyDescent="0.3">
      <c r="A179" s="687" t="s">
        <v>1943</v>
      </c>
      <c r="B179" s="688" t="s">
        <v>1944</v>
      </c>
      <c r="C179" s="688" t="s">
        <v>1436</v>
      </c>
      <c r="D179" s="688" t="s">
        <v>1896</v>
      </c>
      <c r="E179" s="688" t="s">
        <v>1897</v>
      </c>
      <c r="F179" s="691">
        <v>45</v>
      </c>
      <c r="G179" s="691">
        <v>21915</v>
      </c>
      <c r="H179" s="691">
        <v>3.7423155737704916</v>
      </c>
      <c r="I179" s="691">
        <v>487</v>
      </c>
      <c r="J179" s="691">
        <v>12</v>
      </c>
      <c r="K179" s="691">
        <v>5856</v>
      </c>
      <c r="L179" s="691">
        <v>1</v>
      </c>
      <c r="M179" s="691">
        <v>488</v>
      </c>
      <c r="N179" s="691"/>
      <c r="O179" s="691"/>
      <c r="P179" s="704"/>
      <c r="Q179" s="692"/>
    </row>
    <row r="180" spans="1:17" ht="14.4" customHeight="1" x14ac:dyDescent="0.3">
      <c r="A180" s="687" t="s">
        <v>1943</v>
      </c>
      <c r="B180" s="688" t="s">
        <v>1944</v>
      </c>
      <c r="C180" s="688" t="s">
        <v>1436</v>
      </c>
      <c r="D180" s="688" t="s">
        <v>1969</v>
      </c>
      <c r="E180" s="688" t="s">
        <v>1970</v>
      </c>
      <c r="F180" s="691">
        <v>17</v>
      </c>
      <c r="G180" s="691">
        <v>697</v>
      </c>
      <c r="H180" s="691">
        <v>0.73913043478260865</v>
      </c>
      <c r="I180" s="691">
        <v>41</v>
      </c>
      <c r="J180" s="691">
        <v>23</v>
      </c>
      <c r="K180" s="691">
        <v>943</v>
      </c>
      <c r="L180" s="691">
        <v>1</v>
      </c>
      <c r="M180" s="691">
        <v>41</v>
      </c>
      <c r="N180" s="691">
        <v>9</v>
      </c>
      <c r="O180" s="691">
        <v>459</v>
      </c>
      <c r="P180" s="704">
        <v>0.48674443266171791</v>
      </c>
      <c r="Q180" s="692">
        <v>51</v>
      </c>
    </row>
    <row r="181" spans="1:17" ht="14.4" customHeight="1" x14ac:dyDescent="0.3">
      <c r="A181" s="687" t="s">
        <v>1943</v>
      </c>
      <c r="B181" s="688" t="s">
        <v>1944</v>
      </c>
      <c r="C181" s="688" t="s">
        <v>1436</v>
      </c>
      <c r="D181" s="688" t="s">
        <v>1971</v>
      </c>
      <c r="E181" s="688" t="s">
        <v>1972</v>
      </c>
      <c r="F181" s="691">
        <v>1</v>
      </c>
      <c r="G181" s="691">
        <v>608</v>
      </c>
      <c r="H181" s="691">
        <v>0.19804560260586318</v>
      </c>
      <c r="I181" s="691">
        <v>608</v>
      </c>
      <c r="J181" s="691">
        <v>5</v>
      </c>
      <c r="K181" s="691">
        <v>3070</v>
      </c>
      <c r="L181" s="691">
        <v>1</v>
      </c>
      <c r="M181" s="691">
        <v>614</v>
      </c>
      <c r="N181" s="691">
        <v>1</v>
      </c>
      <c r="O181" s="691">
        <v>612</v>
      </c>
      <c r="P181" s="704">
        <v>0.19934853420195439</v>
      </c>
      <c r="Q181" s="692">
        <v>612</v>
      </c>
    </row>
    <row r="182" spans="1:17" ht="14.4" customHeight="1" x14ac:dyDescent="0.3">
      <c r="A182" s="687" t="s">
        <v>1943</v>
      </c>
      <c r="B182" s="688" t="s">
        <v>1944</v>
      </c>
      <c r="C182" s="688" t="s">
        <v>1436</v>
      </c>
      <c r="D182" s="688" t="s">
        <v>1973</v>
      </c>
      <c r="E182" s="688" t="s">
        <v>1974</v>
      </c>
      <c r="F182" s="691"/>
      <c r="G182" s="691"/>
      <c r="H182" s="691"/>
      <c r="I182" s="691"/>
      <c r="J182" s="691">
        <v>4</v>
      </c>
      <c r="K182" s="691">
        <v>996</v>
      </c>
      <c r="L182" s="691">
        <v>1</v>
      </c>
      <c r="M182" s="691">
        <v>249</v>
      </c>
      <c r="N182" s="691"/>
      <c r="O182" s="691"/>
      <c r="P182" s="704"/>
      <c r="Q182" s="692"/>
    </row>
    <row r="183" spans="1:17" ht="14.4" customHeight="1" x14ac:dyDescent="0.3">
      <c r="A183" s="687" t="s">
        <v>1943</v>
      </c>
      <c r="B183" s="688" t="s">
        <v>1944</v>
      </c>
      <c r="C183" s="688" t="s">
        <v>1436</v>
      </c>
      <c r="D183" s="688" t="s">
        <v>1975</v>
      </c>
      <c r="E183" s="688" t="s">
        <v>1976</v>
      </c>
      <c r="F183" s="691">
        <v>35</v>
      </c>
      <c r="G183" s="691">
        <v>945</v>
      </c>
      <c r="H183" s="691">
        <v>0.74468085106382975</v>
      </c>
      <c r="I183" s="691">
        <v>27</v>
      </c>
      <c r="J183" s="691">
        <v>47</v>
      </c>
      <c r="K183" s="691">
        <v>1269</v>
      </c>
      <c r="L183" s="691">
        <v>1</v>
      </c>
      <c r="M183" s="691">
        <v>27</v>
      </c>
      <c r="N183" s="691">
        <v>86</v>
      </c>
      <c r="O183" s="691">
        <v>4042</v>
      </c>
      <c r="P183" s="704">
        <v>3.1851851851851851</v>
      </c>
      <c r="Q183" s="692">
        <v>47</v>
      </c>
    </row>
    <row r="184" spans="1:17" ht="14.4" customHeight="1" x14ac:dyDescent="0.3">
      <c r="A184" s="687" t="s">
        <v>1977</v>
      </c>
      <c r="B184" s="688" t="s">
        <v>1840</v>
      </c>
      <c r="C184" s="688" t="s">
        <v>1436</v>
      </c>
      <c r="D184" s="688" t="s">
        <v>1978</v>
      </c>
      <c r="E184" s="688" t="s">
        <v>1979</v>
      </c>
      <c r="F184" s="691">
        <v>1</v>
      </c>
      <c r="G184" s="691">
        <v>167</v>
      </c>
      <c r="H184" s="691"/>
      <c r="I184" s="691">
        <v>167</v>
      </c>
      <c r="J184" s="691"/>
      <c r="K184" s="691"/>
      <c r="L184" s="691"/>
      <c r="M184" s="691"/>
      <c r="N184" s="691"/>
      <c r="O184" s="691"/>
      <c r="P184" s="704"/>
      <c r="Q184" s="692"/>
    </row>
    <row r="185" spans="1:17" ht="14.4" customHeight="1" x14ac:dyDescent="0.3">
      <c r="A185" s="687" t="s">
        <v>1977</v>
      </c>
      <c r="B185" s="688" t="s">
        <v>1840</v>
      </c>
      <c r="C185" s="688" t="s">
        <v>1436</v>
      </c>
      <c r="D185" s="688" t="s">
        <v>1980</v>
      </c>
      <c r="E185" s="688" t="s">
        <v>1981</v>
      </c>
      <c r="F185" s="691">
        <v>1</v>
      </c>
      <c r="G185" s="691">
        <v>173</v>
      </c>
      <c r="H185" s="691"/>
      <c r="I185" s="691">
        <v>173</v>
      </c>
      <c r="J185" s="691"/>
      <c r="K185" s="691"/>
      <c r="L185" s="691"/>
      <c r="M185" s="691"/>
      <c r="N185" s="691"/>
      <c r="O185" s="691"/>
      <c r="P185" s="704"/>
      <c r="Q185" s="692"/>
    </row>
    <row r="186" spans="1:17" ht="14.4" customHeight="1" x14ac:dyDescent="0.3">
      <c r="A186" s="687" t="s">
        <v>1977</v>
      </c>
      <c r="B186" s="688" t="s">
        <v>1840</v>
      </c>
      <c r="C186" s="688" t="s">
        <v>1436</v>
      </c>
      <c r="D186" s="688" t="s">
        <v>1982</v>
      </c>
      <c r="E186" s="688" t="s">
        <v>1983</v>
      </c>
      <c r="F186" s="691">
        <v>2</v>
      </c>
      <c r="G186" s="691">
        <v>1094</v>
      </c>
      <c r="H186" s="691"/>
      <c r="I186" s="691">
        <v>547</v>
      </c>
      <c r="J186" s="691"/>
      <c r="K186" s="691"/>
      <c r="L186" s="691"/>
      <c r="M186" s="691"/>
      <c r="N186" s="691"/>
      <c r="O186" s="691"/>
      <c r="P186" s="704"/>
      <c r="Q186" s="692"/>
    </row>
    <row r="187" spans="1:17" ht="14.4" customHeight="1" x14ac:dyDescent="0.3">
      <c r="A187" s="687" t="s">
        <v>1977</v>
      </c>
      <c r="B187" s="688" t="s">
        <v>1840</v>
      </c>
      <c r="C187" s="688" t="s">
        <v>1436</v>
      </c>
      <c r="D187" s="688" t="s">
        <v>1984</v>
      </c>
      <c r="E187" s="688" t="s">
        <v>1985</v>
      </c>
      <c r="F187" s="691">
        <v>3</v>
      </c>
      <c r="G187" s="691">
        <v>1956</v>
      </c>
      <c r="H187" s="691"/>
      <c r="I187" s="691">
        <v>652</v>
      </c>
      <c r="J187" s="691"/>
      <c r="K187" s="691"/>
      <c r="L187" s="691"/>
      <c r="M187" s="691"/>
      <c r="N187" s="691">
        <v>1</v>
      </c>
      <c r="O187" s="691">
        <v>654</v>
      </c>
      <c r="P187" s="704"/>
      <c r="Q187" s="692">
        <v>654</v>
      </c>
    </row>
    <row r="188" spans="1:17" ht="14.4" customHeight="1" x14ac:dyDescent="0.3">
      <c r="A188" s="687" t="s">
        <v>1977</v>
      </c>
      <c r="B188" s="688" t="s">
        <v>1840</v>
      </c>
      <c r="C188" s="688" t="s">
        <v>1436</v>
      </c>
      <c r="D188" s="688" t="s">
        <v>1986</v>
      </c>
      <c r="E188" s="688" t="s">
        <v>1987</v>
      </c>
      <c r="F188" s="691">
        <v>3</v>
      </c>
      <c r="G188" s="691">
        <v>1956</v>
      </c>
      <c r="H188" s="691"/>
      <c r="I188" s="691">
        <v>652</v>
      </c>
      <c r="J188" s="691"/>
      <c r="K188" s="691"/>
      <c r="L188" s="691"/>
      <c r="M188" s="691"/>
      <c r="N188" s="691">
        <v>1</v>
      </c>
      <c r="O188" s="691">
        <v>654</v>
      </c>
      <c r="P188" s="704"/>
      <c r="Q188" s="692">
        <v>654</v>
      </c>
    </row>
    <row r="189" spans="1:17" ht="14.4" customHeight="1" x14ac:dyDescent="0.3">
      <c r="A189" s="687" t="s">
        <v>1977</v>
      </c>
      <c r="B189" s="688" t="s">
        <v>1840</v>
      </c>
      <c r="C189" s="688" t="s">
        <v>1436</v>
      </c>
      <c r="D189" s="688" t="s">
        <v>1988</v>
      </c>
      <c r="E189" s="688" t="s">
        <v>1989</v>
      </c>
      <c r="F189" s="691">
        <v>1</v>
      </c>
      <c r="G189" s="691">
        <v>347</v>
      </c>
      <c r="H189" s="691"/>
      <c r="I189" s="691">
        <v>347</v>
      </c>
      <c r="J189" s="691"/>
      <c r="K189" s="691"/>
      <c r="L189" s="691"/>
      <c r="M189" s="691"/>
      <c r="N189" s="691"/>
      <c r="O189" s="691"/>
      <c r="P189" s="704"/>
      <c r="Q189" s="692"/>
    </row>
    <row r="190" spans="1:17" ht="14.4" customHeight="1" x14ac:dyDescent="0.3">
      <c r="A190" s="687" t="s">
        <v>1977</v>
      </c>
      <c r="B190" s="688" t="s">
        <v>1840</v>
      </c>
      <c r="C190" s="688" t="s">
        <v>1436</v>
      </c>
      <c r="D190" s="688" t="s">
        <v>1990</v>
      </c>
      <c r="E190" s="688" t="s">
        <v>1991</v>
      </c>
      <c r="F190" s="691">
        <v>10</v>
      </c>
      <c r="G190" s="691">
        <v>3110</v>
      </c>
      <c r="H190" s="691"/>
      <c r="I190" s="691">
        <v>311</v>
      </c>
      <c r="J190" s="691"/>
      <c r="K190" s="691"/>
      <c r="L190" s="691"/>
      <c r="M190" s="691"/>
      <c r="N190" s="691">
        <v>1</v>
      </c>
      <c r="O190" s="691">
        <v>312</v>
      </c>
      <c r="P190" s="704"/>
      <c r="Q190" s="692">
        <v>312</v>
      </c>
    </row>
    <row r="191" spans="1:17" ht="14.4" customHeight="1" x14ac:dyDescent="0.3">
      <c r="A191" s="687" t="s">
        <v>1977</v>
      </c>
      <c r="B191" s="688" t="s">
        <v>1840</v>
      </c>
      <c r="C191" s="688" t="s">
        <v>1436</v>
      </c>
      <c r="D191" s="688" t="s">
        <v>1992</v>
      </c>
      <c r="E191" s="688" t="s">
        <v>1993</v>
      </c>
      <c r="F191" s="691"/>
      <c r="G191" s="691"/>
      <c r="H191" s="691"/>
      <c r="I191" s="691"/>
      <c r="J191" s="691">
        <v>2</v>
      </c>
      <c r="K191" s="691">
        <v>46</v>
      </c>
      <c r="L191" s="691">
        <v>1</v>
      </c>
      <c r="M191" s="691">
        <v>23</v>
      </c>
      <c r="N191" s="691"/>
      <c r="O191" s="691"/>
      <c r="P191" s="704"/>
      <c r="Q191" s="692"/>
    </row>
    <row r="192" spans="1:17" ht="14.4" customHeight="1" x14ac:dyDescent="0.3">
      <c r="A192" s="687" t="s">
        <v>1977</v>
      </c>
      <c r="B192" s="688" t="s">
        <v>1840</v>
      </c>
      <c r="C192" s="688" t="s">
        <v>1436</v>
      </c>
      <c r="D192" s="688" t="s">
        <v>1645</v>
      </c>
      <c r="E192" s="688" t="s">
        <v>1646</v>
      </c>
      <c r="F192" s="691">
        <v>5</v>
      </c>
      <c r="G192" s="691">
        <v>1745</v>
      </c>
      <c r="H192" s="691"/>
      <c r="I192" s="691">
        <v>349</v>
      </c>
      <c r="J192" s="691"/>
      <c r="K192" s="691"/>
      <c r="L192" s="691"/>
      <c r="M192" s="691"/>
      <c r="N192" s="691"/>
      <c r="O192" s="691"/>
      <c r="P192" s="704"/>
      <c r="Q192" s="692"/>
    </row>
    <row r="193" spans="1:17" ht="14.4" customHeight="1" x14ac:dyDescent="0.3">
      <c r="A193" s="687" t="s">
        <v>1977</v>
      </c>
      <c r="B193" s="688" t="s">
        <v>1840</v>
      </c>
      <c r="C193" s="688" t="s">
        <v>1436</v>
      </c>
      <c r="D193" s="688" t="s">
        <v>1621</v>
      </c>
      <c r="E193" s="688" t="s">
        <v>1622</v>
      </c>
      <c r="F193" s="691"/>
      <c r="G193" s="691"/>
      <c r="H193" s="691"/>
      <c r="I193" s="691"/>
      <c r="J193" s="691">
        <v>2</v>
      </c>
      <c r="K193" s="691">
        <v>2566</v>
      </c>
      <c r="L193" s="691">
        <v>1</v>
      </c>
      <c r="M193" s="691">
        <v>1283</v>
      </c>
      <c r="N193" s="691"/>
      <c r="O193" s="691"/>
      <c r="P193" s="704"/>
      <c r="Q193" s="692"/>
    </row>
    <row r="194" spans="1:17" ht="14.4" customHeight="1" x14ac:dyDescent="0.3">
      <c r="A194" s="687" t="s">
        <v>1977</v>
      </c>
      <c r="B194" s="688" t="s">
        <v>1840</v>
      </c>
      <c r="C194" s="688" t="s">
        <v>1436</v>
      </c>
      <c r="D194" s="688" t="s">
        <v>1994</v>
      </c>
      <c r="E194" s="688" t="s">
        <v>1995</v>
      </c>
      <c r="F194" s="691">
        <v>1</v>
      </c>
      <c r="G194" s="691">
        <v>39</v>
      </c>
      <c r="H194" s="691"/>
      <c r="I194" s="691">
        <v>39</v>
      </c>
      <c r="J194" s="691"/>
      <c r="K194" s="691"/>
      <c r="L194" s="691"/>
      <c r="M194" s="691"/>
      <c r="N194" s="691"/>
      <c r="O194" s="691"/>
      <c r="P194" s="704"/>
      <c r="Q194" s="692"/>
    </row>
    <row r="195" spans="1:17" ht="14.4" customHeight="1" x14ac:dyDescent="0.3">
      <c r="A195" s="687" t="s">
        <v>1977</v>
      </c>
      <c r="B195" s="688" t="s">
        <v>1840</v>
      </c>
      <c r="C195" s="688" t="s">
        <v>1436</v>
      </c>
      <c r="D195" s="688" t="s">
        <v>1996</v>
      </c>
      <c r="E195" s="688" t="s">
        <v>1997</v>
      </c>
      <c r="F195" s="691"/>
      <c r="G195" s="691"/>
      <c r="H195" s="691"/>
      <c r="I195" s="691"/>
      <c r="J195" s="691">
        <v>1</v>
      </c>
      <c r="K195" s="691">
        <v>5022</v>
      </c>
      <c r="L195" s="691">
        <v>1</v>
      </c>
      <c r="M195" s="691">
        <v>5022</v>
      </c>
      <c r="N195" s="691"/>
      <c r="O195" s="691"/>
      <c r="P195" s="704"/>
      <c r="Q195" s="692"/>
    </row>
    <row r="196" spans="1:17" ht="14.4" customHeight="1" x14ac:dyDescent="0.3">
      <c r="A196" s="687" t="s">
        <v>1977</v>
      </c>
      <c r="B196" s="688" t="s">
        <v>1840</v>
      </c>
      <c r="C196" s="688" t="s">
        <v>1436</v>
      </c>
      <c r="D196" s="688" t="s">
        <v>1769</v>
      </c>
      <c r="E196" s="688" t="s">
        <v>1770</v>
      </c>
      <c r="F196" s="691">
        <v>1</v>
      </c>
      <c r="G196" s="691">
        <v>170</v>
      </c>
      <c r="H196" s="691"/>
      <c r="I196" s="691">
        <v>170</v>
      </c>
      <c r="J196" s="691"/>
      <c r="K196" s="691"/>
      <c r="L196" s="691"/>
      <c r="M196" s="691"/>
      <c r="N196" s="691"/>
      <c r="O196" s="691"/>
      <c r="P196" s="704"/>
      <c r="Q196" s="692"/>
    </row>
    <row r="197" spans="1:17" ht="14.4" customHeight="1" x14ac:dyDescent="0.3">
      <c r="A197" s="687" t="s">
        <v>1977</v>
      </c>
      <c r="B197" s="688" t="s">
        <v>1840</v>
      </c>
      <c r="C197" s="688" t="s">
        <v>1436</v>
      </c>
      <c r="D197" s="688" t="s">
        <v>1998</v>
      </c>
      <c r="E197" s="688" t="s">
        <v>1999</v>
      </c>
      <c r="F197" s="691">
        <v>3</v>
      </c>
      <c r="G197" s="691">
        <v>2064</v>
      </c>
      <c r="H197" s="691"/>
      <c r="I197" s="691">
        <v>688</v>
      </c>
      <c r="J197" s="691"/>
      <c r="K197" s="691"/>
      <c r="L197" s="691"/>
      <c r="M197" s="691"/>
      <c r="N197" s="691">
        <v>1</v>
      </c>
      <c r="O197" s="691">
        <v>690</v>
      </c>
      <c r="P197" s="704"/>
      <c r="Q197" s="692">
        <v>690</v>
      </c>
    </row>
    <row r="198" spans="1:17" ht="14.4" customHeight="1" x14ac:dyDescent="0.3">
      <c r="A198" s="687" t="s">
        <v>1977</v>
      </c>
      <c r="B198" s="688" t="s">
        <v>1840</v>
      </c>
      <c r="C198" s="688" t="s">
        <v>1436</v>
      </c>
      <c r="D198" s="688" t="s">
        <v>2000</v>
      </c>
      <c r="E198" s="688" t="s">
        <v>2001</v>
      </c>
      <c r="F198" s="691">
        <v>1</v>
      </c>
      <c r="G198" s="691">
        <v>348</v>
      </c>
      <c r="H198" s="691"/>
      <c r="I198" s="691">
        <v>348</v>
      </c>
      <c r="J198" s="691"/>
      <c r="K198" s="691"/>
      <c r="L198" s="691"/>
      <c r="M198" s="691"/>
      <c r="N198" s="691"/>
      <c r="O198" s="691"/>
      <c r="P198" s="704"/>
      <c r="Q198" s="692"/>
    </row>
    <row r="199" spans="1:17" ht="14.4" customHeight="1" x14ac:dyDescent="0.3">
      <c r="A199" s="687" t="s">
        <v>1977</v>
      </c>
      <c r="B199" s="688" t="s">
        <v>1840</v>
      </c>
      <c r="C199" s="688" t="s">
        <v>1436</v>
      </c>
      <c r="D199" s="688" t="s">
        <v>2002</v>
      </c>
      <c r="E199" s="688" t="s">
        <v>2003</v>
      </c>
      <c r="F199" s="691">
        <v>1</v>
      </c>
      <c r="G199" s="691">
        <v>173</v>
      </c>
      <c r="H199" s="691"/>
      <c r="I199" s="691">
        <v>173</v>
      </c>
      <c r="J199" s="691"/>
      <c r="K199" s="691"/>
      <c r="L199" s="691"/>
      <c r="M199" s="691"/>
      <c r="N199" s="691"/>
      <c r="O199" s="691"/>
      <c r="P199" s="704"/>
      <c r="Q199" s="692"/>
    </row>
    <row r="200" spans="1:17" ht="14.4" customHeight="1" x14ac:dyDescent="0.3">
      <c r="A200" s="687" t="s">
        <v>1977</v>
      </c>
      <c r="B200" s="688" t="s">
        <v>1840</v>
      </c>
      <c r="C200" s="688" t="s">
        <v>1436</v>
      </c>
      <c r="D200" s="688" t="s">
        <v>2004</v>
      </c>
      <c r="E200" s="688" t="s">
        <v>2005</v>
      </c>
      <c r="F200" s="691">
        <v>3</v>
      </c>
      <c r="G200" s="691">
        <v>1956</v>
      </c>
      <c r="H200" s="691"/>
      <c r="I200" s="691">
        <v>652</v>
      </c>
      <c r="J200" s="691"/>
      <c r="K200" s="691"/>
      <c r="L200" s="691"/>
      <c r="M200" s="691"/>
      <c r="N200" s="691">
        <v>1</v>
      </c>
      <c r="O200" s="691">
        <v>654</v>
      </c>
      <c r="P200" s="704"/>
      <c r="Q200" s="692">
        <v>654</v>
      </c>
    </row>
    <row r="201" spans="1:17" ht="14.4" customHeight="1" x14ac:dyDescent="0.3">
      <c r="A201" s="687" t="s">
        <v>1977</v>
      </c>
      <c r="B201" s="688" t="s">
        <v>1840</v>
      </c>
      <c r="C201" s="688" t="s">
        <v>1436</v>
      </c>
      <c r="D201" s="688" t="s">
        <v>2006</v>
      </c>
      <c r="E201" s="688" t="s">
        <v>2007</v>
      </c>
      <c r="F201" s="691">
        <v>3</v>
      </c>
      <c r="G201" s="691">
        <v>1956</v>
      </c>
      <c r="H201" s="691"/>
      <c r="I201" s="691">
        <v>652</v>
      </c>
      <c r="J201" s="691"/>
      <c r="K201" s="691"/>
      <c r="L201" s="691"/>
      <c r="M201" s="691"/>
      <c r="N201" s="691">
        <v>1</v>
      </c>
      <c r="O201" s="691">
        <v>654</v>
      </c>
      <c r="P201" s="704"/>
      <c r="Q201" s="692">
        <v>654</v>
      </c>
    </row>
    <row r="202" spans="1:17" ht="14.4" customHeight="1" x14ac:dyDescent="0.3">
      <c r="A202" s="687" t="s">
        <v>1977</v>
      </c>
      <c r="B202" s="688" t="s">
        <v>1840</v>
      </c>
      <c r="C202" s="688" t="s">
        <v>1436</v>
      </c>
      <c r="D202" s="688" t="s">
        <v>2008</v>
      </c>
      <c r="E202" s="688" t="s">
        <v>2009</v>
      </c>
      <c r="F202" s="691"/>
      <c r="G202" s="691"/>
      <c r="H202" s="691"/>
      <c r="I202" s="691"/>
      <c r="J202" s="691">
        <v>8</v>
      </c>
      <c r="K202" s="691">
        <v>3480</v>
      </c>
      <c r="L202" s="691">
        <v>1</v>
      </c>
      <c r="M202" s="691">
        <v>435</v>
      </c>
      <c r="N202" s="691"/>
      <c r="O202" s="691"/>
      <c r="P202" s="704"/>
      <c r="Q202" s="692"/>
    </row>
    <row r="203" spans="1:17" ht="14.4" customHeight="1" x14ac:dyDescent="0.3">
      <c r="A203" s="687" t="s">
        <v>1977</v>
      </c>
      <c r="B203" s="688" t="s">
        <v>1840</v>
      </c>
      <c r="C203" s="688" t="s">
        <v>1436</v>
      </c>
      <c r="D203" s="688" t="s">
        <v>2010</v>
      </c>
      <c r="E203" s="688" t="s">
        <v>2011</v>
      </c>
      <c r="F203" s="691">
        <v>1</v>
      </c>
      <c r="G203" s="691">
        <v>475</v>
      </c>
      <c r="H203" s="691"/>
      <c r="I203" s="691">
        <v>475</v>
      </c>
      <c r="J203" s="691"/>
      <c r="K203" s="691"/>
      <c r="L203" s="691"/>
      <c r="M203" s="691"/>
      <c r="N203" s="691"/>
      <c r="O203" s="691"/>
      <c r="P203" s="704"/>
      <c r="Q203" s="692"/>
    </row>
    <row r="204" spans="1:17" ht="14.4" customHeight="1" x14ac:dyDescent="0.3">
      <c r="A204" s="687" t="s">
        <v>1977</v>
      </c>
      <c r="B204" s="688" t="s">
        <v>1840</v>
      </c>
      <c r="C204" s="688" t="s">
        <v>1436</v>
      </c>
      <c r="D204" s="688" t="s">
        <v>1803</v>
      </c>
      <c r="E204" s="688" t="s">
        <v>1804</v>
      </c>
      <c r="F204" s="691"/>
      <c r="G204" s="691"/>
      <c r="H204" s="691"/>
      <c r="I204" s="691"/>
      <c r="J204" s="691">
        <v>8</v>
      </c>
      <c r="K204" s="691">
        <v>8088</v>
      </c>
      <c r="L204" s="691">
        <v>1</v>
      </c>
      <c r="M204" s="691">
        <v>1011</v>
      </c>
      <c r="N204" s="691"/>
      <c r="O204" s="691"/>
      <c r="P204" s="704"/>
      <c r="Q204" s="692"/>
    </row>
    <row r="205" spans="1:17" ht="14.4" customHeight="1" x14ac:dyDescent="0.3">
      <c r="A205" s="687" t="s">
        <v>1977</v>
      </c>
      <c r="B205" s="688" t="s">
        <v>1840</v>
      </c>
      <c r="C205" s="688" t="s">
        <v>1436</v>
      </c>
      <c r="D205" s="688" t="s">
        <v>2012</v>
      </c>
      <c r="E205" s="688" t="s">
        <v>2013</v>
      </c>
      <c r="F205" s="691">
        <v>1</v>
      </c>
      <c r="G205" s="691">
        <v>167</v>
      </c>
      <c r="H205" s="691"/>
      <c r="I205" s="691">
        <v>167</v>
      </c>
      <c r="J205" s="691"/>
      <c r="K205" s="691"/>
      <c r="L205" s="691"/>
      <c r="M205" s="691"/>
      <c r="N205" s="691"/>
      <c r="O205" s="691"/>
      <c r="P205" s="704"/>
      <c r="Q205" s="692"/>
    </row>
    <row r="206" spans="1:17" ht="14.4" customHeight="1" x14ac:dyDescent="0.3">
      <c r="A206" s="687" t="s">
        <v>1977</v>
      </c>
      <c r="B206" s="688" t="s">
        <v>1840</v>
      </c>
      <c r="C206" s="688" t="s">
        <v>1436</v>
      </c>
      <c r="D206" s="688" t="s">
        <v>2014</v>
      </c>
      <c r="E206" s="688" t="s">
        <v>2015</v>
      </c>
      <c r="F206" s="691">
        <v>3</v>
      </c>
      <c r="G206" s="691">
        <v>4191</v>
      </c>
      <c r="H206" s="691"/>
      <c r="I206" s="691">
        <v>1397</v>
      </c>
      <c r="J206" s="691"/>
      <c r="K206" s="691"/>
      <c r="L206" s="691"/>
      <c r="M206" s="691"/>
      <c r="N206" s="691">
        <v>1</v>
      </c>
      <c r="O206" s="691">
        <v>1399</v>
      </c>
      <c r="P206" s="704"/>
      <c r="Q206" s="692">
        <v>1399</v>
      </c>
    </row>
    <row r="207" spans="1:17" ht="14.4" customHeight="1" x14ac:dyDescent="0.3">
      <c r="A207" s="687" t="s">
        <v>1977</v>
      </c>
      <c r="B207" s="688" t="s">
        <v>1840</v>
      </c>
      <c r="C207" s="688" t="s">
        <v>1436</v>
      </c>
      <c r="D207" s="688" t="s">
        <v>2016</v>
      </c>
      <c r="E207" s="688" t="s">
        <v>2017</v>
      </c>
      <c r="F207" s="691"/>
      <c r="G207" s="691"/>
      <c r="H207" s="691"/>
      <c r="I207" s="691"/>
      <c r="J207" s="691">
        <v>1</v>
      </c>
      <c r="K207" s="691">
        <v>1022</v>
      </c>
      <c r="L207" s="691">
        <v>1</v>
      </c>
      <c r="M207" s="691">
        <v>1022</v>
      </c>
      <c r="N207" s="691">
        <v>1</v>
      </c>
      <c r="O207" s="691">
        <v>1022</v>
      </c>
      <c r="P207" s="704">
        <v>1</v>
      </c>
      <c r="Q207" s="692">
        <v>1022</v>
      </c>
    </row>
    <row r="208" spans="1:17" ht="14.4" customHeight="1" thickBot="1" x14ac:dyDescent="0.35">
      <c r="A208" s="693" t="s">
        <v>1977</v>
      </c>
      <c r="B208" s="694" t="s">
        <v>1840</v>
      </c>
      <c r="C208" s="694" t="s">
        <v>1436</v>
      </c>
      <c r="D208" s="694" t="s">
        <v>2018</v>
      </c>
      <c r="E208" s="694" t="s">
        <v>2019</v>
      </c>
      <c r="F208" s="697"/>
      <c r="G208" s="697"/>
      <c r="H208" s="697"/>
      <c r="I208" s="697"/>
      <c r="J208" s="697">
        <v>1</v>
      </c>
      <c r="K208" s="697">
        <v>190</v>
      </c>
      <c r="L208" s="697">
        <v>1</v>
      </c>
      <c r="M208" s="697">
        <v>190</v>
      </c>
      <c r="N208" s="697"/>
      <c r="O208" s="697"/>
      <c r="P208" s="705"/>
      <c r="Q208" s="69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8" bestFit="1" customWidth="1"/>
    <col min="2" max="2" width="15.6640625" style="178" bestFit="1" customWidth="1"/>
    <col min="3" max="3" width="8.33203125" style="186" hidden="1" customWidth="1" outlineLevel="1"/>
    <col min="4" max="4" width="8.33203125" style="186" customWidth="1" collapsed="1"/>
    <col min="5" max="5" width="8.33203125" style="186" customWidth="1"/>
    <col min="6" max="6" width="6.109375" style="187" customWidth="1"/>
    <col min="7" max="7" width="8.33203125" style="186" hidden="1" customWidth="1" outlineLevel="1"/>
    <col min="8" max="8" width="8.33203125" style="186" customWidth="1" collapsed="1"/>
    <col min="9" max="9" width="8.33203125" style="186" customWidth="1"/>
    <col min="10" max="10" width="6.109375" style="187" customWidth="1"/>
    <col min="11" max="11" width="8.33203125" style="186" hidden="1" customWidth="1" outlineLevel="1"/>
    <col min="12" max="12" width="8.33203125" style="186" customWidth="1" collapsed="1"/>
    <col min="13" max="14" width="8.33203125" style="186" customWidth="1"/>
    <col min="15" max="16384" width="8.88671875" style="178"/>
  </cols>
  <sheetData>
    <row r="1" spans="1:14" ht="18.600000000000001" customHeight="1" thickBot="1" x14ac:dyDescent="0.4">
      <c r="A1" s="634" t="s">
        <v>173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</row>
    <row r="2" spans="1:14" ht="14.4" customHeight="1" thickBot="1" x14ac:dyDescent="0.35">
      <c r="A2" s="360" t="s">
        <v>344</v>
      </c>
      <c r="B2" s="179"/>
      <c r="C2" s="179"/>
      <c r="D2" s="179"/>
      <c r="E2" s="179"/>
      <c r="F2" s="179"/>
      <c r="G2" s="430"/>
      <c r="H2" s="430"/>
      <c r="I2" s="430"/>
      <c r="J2" s="179"/>
      <c r="K2" s="430"/>
      <c r="L2" s="430"/>
      <c r="M2" s="430"/>
      <c r="N2" s="179"/>
    </row>
    <row r="3" spans="1:14" ht="14.4" customHeight="1" thickBot="1" x14ac:dyDescent="0.35">
      <c r="A3" s="180"/>
      <c r="B3" s="181" t="s">
        <v>151</v>
      </c>
      <c r="C3" s="182">
        <f>SUBTOTAL(9,C6:C1048576)</f>
        <v>2127</v>
      </c>
      <c r="D3" s="183">
        <f>SUBTOTAL(9,D6:D1048576)</f>
        <v>2010</v>
      </c>
      <c r="E3" s="183">
        <f>SUBTOTAL(9,E6:E1048576)</f>
        <v>2364</v>
      </c>
      <c r="F3" s="184">
        <f>IF(OR(E3=0,D3=0),"",E3/D3)</f>
        <v>1.1761194029850746</v>
      </c>
      <c r="G3" s="431">
        <f>SUBTOTAL(9,G6:G1048576)</f>
        <v>7539.3003999999983</v>
      </c>
      <c r="H3" s="432">
        <f>SUBTOTAL(9,H6:H1048576)</f>
        <v>7246.5201000000006</v>
      </c>
      <c r="I3" s="432">
        <f>SUBTOTAL(9,I6:I1048576)</f>
        <v>11149.906500000001</v>
      </c>
      <c r="J3" s="184">
        <f>IF(OR(I3=0,H3=0),"",I3/H3)</f>
        <v>1.5386566719107009</v>
      </c>
      <c r="K3" s="431">
        <f>SUBTOTAL(9,K6:K1048576)</f>
        <v>1623.54</v>
      </c>
      <c r="L3" s="432">
        <f>SUBTOTAL(9,L6:L1048576)</f>
        <v>1643.3600000000001</v>
      </c>
      <c r="M3" s="432">
        <f>SUBTOTAL(9,M6:M1048576)</f>
        <v>2728.96</v>
      </c>
      <c r="N3" s="185">
        <f>IF(OR(M3=0,E3=0),"",M3*1000/E3)</f>
        <v>1154.3824027072758</v>
      </c>
    </row>
    <row r="4" spans="1:14" ht="14.4" customHeight="1" x14ac:dyDescent="0.3">
      <c r="A4" s="636" t="s">
        <v>83</v>
      </c>
      <c r="B4" s="637" t="s">
        <v>11</v>
      </c>
      <c r="C4" s="638" t="s">
        <v>84</v>
      </c>
      <c r="D4" s="638"/>
      <c r="E4" s="638"/>
      <c r="F4" s="639"/>
      <c r="G4" s="640" t="s">
        <v>343</v>
      </c>
      <c r="H4" s="638"/>
      <c r="I4" s="638"/>
      <c r="J4" s="639"/>
      <c r="K4" s="640" t="s">
        <v>85</v>
      </c>
      <c r="L4" s="638"/>
      <c r="M4" s="638"/>
      <c r="N4" s="641"/>
    </row>
    <row r="5" spans="1:14" ht="14.4" customHeight="1" thickBot="1" x14ac:dyDescent="0.35">
      <c r="A5" s="926"/>
      <c r="B5" s="927"/>
      <c r="C5" s="934">
        <v>2015</v>
      </c>
      <c r="D5" s="934">
        <v>2016</v>
      </c>
      <c r="E5" s="934">
        <v>2017</v>
      </c>
      <c r="F5" s="935" t="s">
        <v>2</v>
      </c>
      <c r="G5" s="945">
        <v>2015</v>
      </c>
      <c r="H5" s="934">
        <v>2016</v>
      </c>
      <c r="I5" s="934">
        <v>2017</v>
      </c>
      <c r="J5" s="935" t="s">
        <v>2</v>
      </c>
      <c r="K5" s="945">
        <v>2015</v>
      </c>
      <c r="L5" s="934">
        <v>2016</v>
      </c>
      <c r="M5" s="934">
        <v>2017</v>
      </c>
      <c r="N5" s="946" t="s">
        <v>86</v>
      </c>
    </row>
    <row r="6" spans="1:14" ht="14.4" customHeight="1" x14ac:dyDescent="0.3">
      <c r="A6" s="928" t="s">
        <v>1503</v>
      </c>
      <c r="B6" s="931" t="s">
        <v>2021</v>
      </c>
      <c r="C6" s="936">
        <v>1411</v>
      </c>
      <c r="D6" s="937">
        <v>1399</v>
      </c>
      <c r="E6" s="937">
        <v>1371</v>
      </c>
      <c r="F6" s="942"/>
      <c r="G6" s="936">
        <v>1217.1873999999996</v>
      </c>
      <c r="H6" s="937">
        <v>1194.8859000000002</v>
      </c>
      <c r="I6" s="937">
        <v>1170.9710999999998</v>
      </c>
      <c r="J6" s="942"/>
      <c r="K6" s="936">
        <v>84.66</v>
      </c>
      <c r="L6" s="937">
        <v>83.94</v>
      </c>
      <c r="M6" s="937">
        <v>82.26</v>
      </c>
      <c r="N6" s="947">
        <v>60</v>
      </c>
    </row>
    <row r="7" spans="1:14" ht="14.4" customHeight="1" x14ac:dyDescent="0.3">
      <c r="A7" s="929" t="s">
        <v>1487</v>
      </c>
      <c r="B7" s="932" t="s">
        <v>2021</v>
      </c>
      <c r="C7" s="938">
        <v>98</v>
      </c>
      <c r="D7" s="939">
        <v>107</v>
      </c>
      <c r="E7" s="939">
        <v>145</v>
      </c>
      <c r="F7" s="943"/>
      <c r="G7" s="938">
        <v>15.611400000000001</v>
      </c>
      <c r="H7" s="939">
        <v>17.045099999999998</v>
      </c>
      <c r="I7" s="939">
        <v>23.228999999999996</v>
      </c>
      <c r="J7" s="943"/>
      <c r="K7" s="938">
        <v>5.88</v>
      </c>
      <c r="L7" s="939">
        <v>6.42</v>
      </c>
      <c r="M7" s="939">
        <v>8.6999999999999993</v>
      </c>
      <c r="N7" s="948">
        <v>60</v>
      </c>
    </row>
    <row r="8" spans="1:14" ht="14.4" customHeight="1" x14ac:dyDescent="0.3">
      <c r="A8" s="929" t="s">
        <v>1523</v>
      </c>
      <c r="B8" s="932" t="s">
        <v>2022</v>
      </c>
      <c r="C8" s="938">
        <v>55</v>
      </c>
      <c r="D8" s="939">
        <v>24</v>
      </c>
      <c r="E8" s="939">
        <v>54</v>
      </c>
      <c r="F8" s="943"/>
      <c r="G8" s="938">
        <v>1433.7674999999999</v>
      </c>
      <c r="H8" s="939">
        <v>625.64400000000001</v>
      </c>
      <c r="I8" s="939">
        <v>1407.6990000000001</v>
      </c>
      <c r="J8" s="943"/>
      <c r="K8" s="938">
        <v>440</v>
      </c>
      <c r="L8" s="939">
        <v>192</v>
      </c>
      <c r="M8" s="939">
        <v>432</v>
      </c>
      <c r="N8" s="948">
        <v>8000</v>
      </c>
    </row>
    <row r="9" spans="1:14" ht="14.4" customHeight="1" x14ac:dyDescent="0.3">
      <c r="A9" s="929" t="s">
        <v>1531</v>
      </c>
      <c r="B9" s="932" t="s">
        <v>2022</v>
      </c>
      <c r="C9" s="938">
        <v>91</v>
      </c>
      <c r="D9" s="939">
        <v>133</v>
      </c>
      <c r="E9" s="939">
        <v>166</v>
      </c>
      <c r="F9" s="943"/>
      <c r="G9" s="938">
        <v>2025.7964999999999</v>
      </c>
      <c r="H9" s="939">
        <v>2960.7795000000001</v>
      </c>
      <c r="I9" s="939">
        <v>3695.4090000000001</v>
      </c>
      <c r="J9" s="943"/>
      <c r="K9" s="938">
        <v>546</v>
      </c>
      <c r="L9" s="939">
        <v>798</v>
      </c>
      <c r="M9" s="939">
        <v>996</v>
      </c>
      <c r="N9" s="948">
        <v>6000</v>
      </c>
    </row>
    <row r="10" spans="1:14" ht="14.4" customHeight="1" x14ac:dyDescent="0.3">
      <c r="A10" s="929" t="s">
        <v>1525</v>
      </c>
      <c r="B10" s="932" t="s">
        <v>2022</v>
      </c>
      <c r="C10" s="938">
        <v>25</v>
      </c>
      <c r="D10" s="939">
        <v>72</v>
      </c>
      <c r="E10" s="939">
        <v>194</v>
      </c>
      <c r="F10" s="943"/>
      <c r="G10" s="938">
        <v>307.62</v>
      </c>
      <c r="H10" s="939">
        <v>885.94560000000024</v>
      </c>
      <c r="I10" s="939">
        <v>2387.1311999999998</v>
      </c>
      <c r="J10" s="943"/>
      <c r="K10" s="938">
        <v>100</v>
      </c>
      <c r="L10" s="939">
        <v>288</v>
      </c>
      <c r="M10" s="939">
        <v>776</v>
      </c>
      <c r="N10" s="948">
        <v>4000</v>
      </c>
    </row>
    <row r="11" spans="1:14" ht="14.4" customHeight="1" thickBot="1" x14ac:dyDescent="0.35">
      <c r="A11" s="930" t="s">
        <v>1529</v>
      </c>
      <c r="B11" s="933" t="s">
        <v>2022</v>
      </c>
      <c r="C11" s="940">
        <v>447</v>
      </c>
      <c r="D11" s="941">
        <v>275</v>
      </c>
      <c r="E11" s="941">
        <v>434</v>
      </c>
      <c r="F11" s="944"/>
      <c r="G11" s="940">
        <v>2539.3175999999989</v>
      </c>
      <c r="H11" s="941">
        <v>1562.2200000000003</v>
      </c>
      <c r="I11" s="941">
        <v>2465.4672</v>
      </c>
      <c r="J11" s="944"/>
      <c r="K11" s="940">
        <v>447</v>
      </c>
      <c r="L11" s="941">
        <v>275</v>
      </c>
      <c r="M11" s="941">
        <v>434</v>
      </c>
      <c r="N11" s="94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7"/>
    <col min="2" max="13" width="8.88671875" style="237" customWidth="1"/>
    <col min="14" max="16384" width="8.88671875" style="237"/>
  </cols>
  <sheetData>
    <row r="1" spans="1:13" ht="18.600000000000001" customHeight="1" thickBot="1" x14ac:dyDescent="0.4">
      <c r="A1" s="504" t="s">
        <v>121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3" ht="14.4" customHeight="1" x14ac:dyDescent="0.3">
      <c r="A2" s="360" t="s">
        <v>344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14.4" customHeight="1" x14ac:dyDescent="0.3">
      <c r="A3" s="310"/>
      <c r="B3" s="311" t="s">
        <v>96</v>
      </c>
      <c r="C3" s="312" t="s">
        <v>97</v>
      </c>
      <c r="D3" s="312" t="s">
        <v>98</v>
      </c>
      <c r="E3" s="311" t="s">
        <v>99</v>
      </c>
      <c r="F3" s="312" t="s">
        <v>100</v>
      </c>
      <c r="G3" s="312" t="s">
        <v>101</v>
      </c>
      <c r="H3" s="312" t="s">
        <v>102</v>
      </c>
      <c r="I3" s="312" t="s">
        <v>103</v>
      </c>
      <c r="J3" s="312" t="s">
        <v>104</v>
      </c>
      <c r="K3" s="312" t="s">
        <v>105</v>
      </c>
      <c r="L3" s="312" t="s">
        <v>106</v>
      </c>
      <c r="M3" s="312" t="s">
        <v>107</v>
      </c>
    </row>
    <row r="4" spans="1:13" ht="14.4" customHeight="1" x14ac:dyDescent="0.3">
      <c r="A4" s="310" t="s">
        <v>95</v>
      </c>
      <c r="B4" s="313">
        <f>(B10+B8)/B6</f>
        <v>0.7380861207066528</v>
      </c>
      <c r="C4" s="313">
        <f t="shared" ref="C4:M4" si="0">(C10+C8)/C6</f>
        <v>1.2978810991585963</v>
      </c>
      <c r="D4" s="313">
        <f t="shared" si="0"/>
        <v>7.0024778518944933E-3</v>
      </c>
      <c r="E4" s="313">
        <f t="shared" si="0"/>
        <v>7.0024778518944933E-3</v>
      </c>
      <c r="F4" s="313">
        <f t="shared" si="0"/>
        <v>7.0024778518944933E-3</v>
      </c>
      <c r="G4" s="313">
        <f t="shared" si="0"/>
        <v>7.0024778518944933E-3</v>
      </c>
      <c r="H4" s="313">
        <f t="shared" si="0"/>
        <v>7.0024778518944933E-3</v>
      </c>
      <c r="I4" s="313">
        <f t="shared" si="0"/>
        <v>7.0024778518944933E-3</v>
      </c>
      <c r="J4" s="313">
        <f t="shared" si="0"/>
        <v>7.0024778518944933E-3</v>
      </c>
      <c r="K4" s="313">
        <f t="shared" si="0"/>
        <v>7.0024778518944933E-3</v>
      </c>
      <c r="L4" s="313">
        <f t="shared" si="0"/>
        <v>7.0024778518944933E-3</v>
      </c>
      <c r="M4" s="313">
        <f t="shared" si="0"/>
        <v>7.0024778518944933E-3</v>
      </c>
    </row>
    <row r="5" spans="1:13" ht="14.4" customHeight="1" x14ac:dyDescent="0.3">
      <c r="A5" s="314" t="s">
        <v>46</v>
      </c>
      <c r="B5" s="313">
        <f>IF(ISERROR(VLOOKUP($A5,'Man Tab'!$A:$Q,COLUMN()+2,0)),0,VLOOKUP($A5,'Man Tab'!$A:$Q,COLUMN()+2,0))</f>
        <v>6407.2753400000001</v>
      </c>
      <c r="C5" s="313">
        <f>IF(ISERROR(VLOOKUP($A5,'Man Tab'!$A:$Q,COLUMN()+2,0)),0,VLOOKUP($A5,'Man Tab'!$A:$Q,COLUMN()+2,0))</f>
        <v>5211.1833999999999</v>
      </c>
      <c r="D5" s="313">
        <f>IF(ISERROR(VLOOKUP($A5,'Man Tab'!$A:$Q,COLUMN()+2,0)),0,VLOOKUP($A5,'Man Tab'!$A:$Q,COLUMN()+2,0))</f>
        <v>0</v>
      </c>
      <c r="E5" s="313">
        <f>IF(ISERROR(VLOOKUP($A5,'Man Tab'!$A:$Q,COLUMN()+2,0)),0,VLOOKUP($A5,'Man Tab'!$A:$Q,COLUMN()+2,0))</f>
        <v>0</v>
      </c>
      <c r="F5" s="313">
        <f>IF(ISERROR(VLOOKUP($A5,'Man Tab'!$A:$Q,COLUMN()+2,0)),0,VLOOKUP($A5,'Man Tab'!$A:$Q,COLUMN()+2,0))</f>
        <v>0</v>
      </c>
      <c r="G5" s="313">
        <f>IF(ISERROR(VLOOKUP($A5,'Man Tab'!$A:$Q,COLUMN()+2,0)),0,VLOOKUP($A5,'Man Tab'!$A:$Q,COLUMN()+2,0))</f>
        <v>0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91</v>
      </c>
      <c r="B6" s="315">
        <f>B5</f>
        <v>6407.2753400000001</v>
      </c>
      <c r="C6" s="315">
        <f t="shared" ref="C6:M6" si="1">C5+B6</f>
        <v>11618.45874</v>
      </c>
      <c r="D6" s="315">
        <f t="shared" si="1"/>
        <v>11618.45874</v>
      </c>
      <c r="E6" s="315">
        <f t="shared" si="1"/>
        <v>11618.45874</v>
      </c>
      <c r="F6" s="315">
        <f t="shared" si="1"/>
        <v>11618.45874</v>
      </c>
      <c r="G6" s="315">
        <f t="shared" si="1"/>
        <v>11618.45874</v>
      </c>
      <c r="H6" s="315">
        <f t="shared" si="1"/>
        <v>11618.45874</v>
      </c>
      <c r="I6" s="315">
        <f t="shared" si="1"/>
        <v>11618.45874</v>
      </c>
      <c r="J6" s="315">
        <f t="shared" si="1"/>
        <v>11618.45874</v>
      </c>
      <c r="K6" s="315">
        <f t="shared" si="1"/>
        <v>11618.45874</v>
      </c>
      <c r="L6" s="315">
        <f t="shared" si="1"/>
        <v>11618.45874</v>
      </c>
      <c r="M6" s="315">
        <f t="shared" si="1"/>
        <v>11618.45874</v>
      </c>
    </row>
    <row r="7" spans="1:13" ht="14.4" customHeight="1" x14ac:dyDescent="0.3">
      <c r="A7" s="314" t="s">
        <v>119</v>
      </c>
      <c r="B7" s="314">
        <v>156.25200000000001</v>
      </c>
      <c r="C7" s="314">
        <v>499.93400000000003</v>
      </c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92</v>
      </c>
      <c r="B8" s="315">
        <f>B7*30</f>
        <v>4687.5600000000004</v>
      </c>
      <c r="C8" s="315">
        <f t="shared" ref="C8:M8" si="2">C7*30</f>
        <v>14998.02</v>
      </c>
      <c r="D8" s="315">
        <f t="shared" si="2"/>
        <v>0</v>
      </c>
      <c r="E8" s="315">
        <f t="shared" si="2"/>
        <v>0</v>
      </c>
      <c r="F8" s="315">
        <f t="shared" si="2"/>
        <v>0</v>
      </c>
      <c r="G8" s="315">
        <f t="shared" si="2"/>
        <v>0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120</v>
      </c>
      <c r="B9" s="314">
        <v>41561</v>
      </c>
      <c r="C9" s="314">
        <v>39797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93</v>
      </c>
      <c r="B10" s="315">
        <f>B9/1000</f>
        <v>41.561</v>
      </c>
      <c r="C10" s="315">
        <f t="shared" ref="C10:M10" si="3">C9/1000+B10</f>
        <v>81.358000000000004</v>
      </c>
      <c r="D10" s="315">
        <f t="shared" si="3"/>
        <v>81.358000000000004</v>
      </c>
      <c r="E10" s="315">
        <f t="shared" si="3"/>
        <v>81.358000000000004</v>
      </c>
      <c r="F10" s="315">
        <f t="shared" si="3"/>
        <v>81.358000000000004</v>
      </c>
      <c r="G10" s="315">
        <f t="shared" si="3"/>
        <v>81.358000000000004</v>
      </c>
      <c r="H10" s="315">
        <f t="shared" si="3"/>
        <v>81.358000000000004</v>
      </c>
      <c r="I10" s="315">
        <f t="shared" si="3"/>
        <v>81.358000000000004</v>
      </c>
      <c r="J10" s="315">
        <f t="shared" si="3"/>
        <v>81.358000000000004</v>
      </c>
      <c r="K10" s="315">
        <f t="shared" si="3"/>
        <v>81.358000000000004</v>
      </c>
      <c r="L10" s="315">
        <f t="shared" si="3"/>
        <v>81.358000000000004</v>
      </c>
      <c r="M10" s="315">
        <f t="shared" si="3"/>
        <v>81.358000000000004</v>
      </c>
    </row>
    <row r="11" spans="1:13" ht="14.4" customHeight="1" x14ac:dyDescent="0.3">
      <c r="A11" s="310"/>
      <c r="B11" s="310" t="s">
        <v>109</v>
      </c>
      <c r="C11" s="310">
        <f ca="1">IF(MONTH(TODAY())=1,12,MONTH(TODAY())-1)</f>
        <v>2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0.88343319880922855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0.88343319880922855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7" bestFit="1" customWidth="1"/>
    <col min="2" max="2" width="12.77734375" style="237" bestFit="1" customWidth="1"/>
    <col min="3" max="3" width="13.6640625" style="237" bestFit="1" customWidth="1"/>
    <col min="4" max="15" width="7.77734375" style="237" bestFit="1" customWidth="1"/>
    <col min="16" max="16" width="8.88671875" style="237" customWidth="1"/>
    <col min="17" max="17" width="6.6640625" style="237" bestFit="1" customWidth="1"/>
    <col min="18" max="16384" width="8.88671875" style="237"/>
  </cols>
  <sheetData>
    <row r="1" spans="1:17" s="316" customFormat="1" ht="18.600000000000001" customHeight="1" thickBot="1" x14ac:dyDescent="0.4">
      <c r="A1" s="516" t="s">
        <v>346</v>
      </c>
      <c r="B1" s="516"/>
      <c r="C1" s="516"/>
      <c r="D1" s="516"/>
      <c r="E1" s="516"/>
      <c r="F1" s="516"/>
      <c r="G1" s="516"/>
      <c r="H1" s="504"/>
      <c r="I1" s="504"/>
      <c r="J1" s="504"/>
      <c r="K1" s="504"/>
      <c r="L1" s="504"/>
      <c r="M1" s="504"/>
      <c r="N1" s="504"/>
      <c r="O1" s="504"/>
      <c r="P1" s="504"/>
      <c r="Q1" s="504"/>
    </row>
    <row r="2" spans="1:17" s="316" customFormat="1" ht="14.4" customHeight="1" thickBot="1" x14ac:dyDescent="0.3">
      <c r="A2" s="360" t="s">
        <v>344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3"/>
      <c r="B3" s="517" t="s">
        <v>22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246"/>
      <c r="Q3" s="248"/>
    </row>
    <row r="4" spans="1:17" ht="14.4" customHeight="1" x14ac:dyDescent="0.3">
      <c r="A4" s="94"/>
      <c r="B4" s="24">
        <v>2017</v>
      </c>
      <c r="C4" s="247" t="s">
        <v>23</v>
      </c>
      <c r="D4" s="457" t="s">
        <v>298</v>
      </c>
      <c r="E4" s="457" t="s">
        <v>299</v>
      </c>
      <c r="F4" s="457" t="s">
        <v>300</v>
      </c>
      <c r="G4" s="457" t="s">
        <v>301</v>
      </c>
      <c r="H4" s="457" t="s">
        <v>302</v>
      </c>
      <c r="I4" s="457" t="s">
        <v>303</v>
      </c>
      <c r="J4" s="457" t="s">
        <v>304</v>
      </c>
      <c r="K4" s="457" t="s">
        <v>305</v>
      </c>
      <c r="L4" s="457" t="s">
        <v>306</v>
      </c>
      <c r="M4" s="457" t="s">
        <v>307</v>
      </c>
      <c r="N4" s="457" t="s">
        <v>308</v>
      </c>
      <c r="O4" s="457" t="s">
        <v>309</v>
      </c>
      <c r="P4" s="519" t="s">
        <v>3</v>
      </c>
      <c r="Q4" s="520"/>
    </row>
    <row r="5" spans="1:17" ht="14.4" customHeight="1" thickBot="1" x14ac:dyDescent="0.35">
      <c r="A5" s="95"/>
      <c r="B5" s="25" t="s">
        <v>24</v>
      </c>
      <c r="C5" s="26" t="s">
        <v>24</v>
      </c>
      <c r="D5" s="26" t="s">
        <v>25</v>
      </c>
      <c r="E5" s="26" t="s">
        <v>25</v>
      </c>
      <c r="F5" s="26" t="s">
        <v>25</v>
      </c>
      <c r="G5" s="26" t="s">
        <v>25</v>
      </c>
      <c r="H5" s="26" t="s">
        <v>25</v>
      </c>
      <c r="I5" s="26" t="s">
        <v>25</v>
      </c>
      <c r="J5" s="26" t="s">
        <v>25</v>
      </c>
      <c r="K5" s="26" t="s">
        <v>25</v>
      </c>
      <c r="L5" s="26" t="s">
        <v>25</v>
      </c>
      <c r="M5" s="26" t="s">
        <v>25</v>
      </c>
      <c r="N5" s="26" t="s">
        <v>25</v>
      </c>
      <c r="O5" s="26" t="s">
        <v>25</v>
      </c>
      <c r="P5" s="26" t="s">
        <v>25</v>
      </c>
      <c r="Q5" s="27" t="s">
        <v>26</v>
      </c>
    </row>
    <row r="6" spans="1:17" ht="14.4" customHeight="1" x14ac:dyDescent="0.3">
      <c r="A6" s="18" t="s">
        <v>27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4" t="s">
        <v>345</v>
      </c>
    </row>
    <row r="7" spans="1:17" ht="14.4" customHeight="1" x14ac:dyDescent="0.3">
      <c r="A7" s="19" t="s">
        <v>28</v>
      </c>
      <c r="B7" s="55">
        <v>7660</v>
      </c>
      <c r="C7" s="56">
        <v>638.33333333333303</v>
      </c>
      <c r="D7" s="56">
        <v>1180.50551</v>
      </c>
      <c r="E7" s="56">
        <v>220.45574999999999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1400.96126</v>
      </c>
      <c r="Q7" s="175">
        <v>1.097358689295</v>
      </c>
    </row>
    <row r="8" spans="1:17" ht="14.4" customHeight="1" x14ac:dyDescent="0.3">
      <c r="A8" s="19" t="s">
        <v>29</v>
      </c>
      <c r="B8" s="55">
        <v>317.34691681326598</v>
      </c>
      <c r="C8" s="56">
        <v>26.445576401105001</v>
      </c>
      <c r="D8" s="56">
        <v>49.731000000000002</v>
      </c>
      <c r="E8" s="56">
        <v>23.456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73.186999999999998</v>
      </c>
      <c r="Q8" s="175">
        <v>1.3837285845080001</v>
      </c>
    </row>
    <row r="9" spans="1:17" ht="14.4" customHeight="1" x14ac:dyDescent="0.3">
      <c r="A9" s="19" t="s">
        <v>30</v>
      </c>
      <c r="B9" s="55">
        <v>4817.1207226820197</v>
      </c>
      <c r="C9" s="56">
        <v>401.42672689016803</v>
      </c>
      <c r="D9" s="56">
        <v>401.29834</v>
      </c>
      <c r="E9" s="56">
        <v>340.60694999999998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741.90529000000004</v>
      </c>
      <c r="Q9" s="175">
        <v>0.92408556817700005</v>
      </c>
    </row>
    <row r="10" spans="1:17" ht="14.4" customHeight="1" x14ac:dyDescent="0.3">
      <c r="A10" s="19" t="s">
        <v>31</v>
      </c>
      <c r="B10" s="55">
        <v>324.68440046185202</v>
      </c>
      <c r="C10" s="56">
        <v>27.057033371820999</v>
      </c>
      <c r="D10" s="56">
        <v>26.024239999999999</v>
      </c>
      <c r="E10" s="56">
        <v>24.360880000000002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50.385120000000001</v>
      </c>
      <c r="Q10" s="175">
        <v>0.93109099041999999</v>
      </c>
    </row>
    <row r="11" spans="1:17" ht="14.4" customHeight="1" x14ac:dyDescent="0.3">
      <c r="A11" s="19" t="s">
        <v>32</v>
      </c>
      <c r="B11" s="55">
        <v>814.75140618234298</v>
      </c>
      <c r="C11" s="56">
        <v>67.895950515194997</v>
      </c>
      <c r="D11" s="56">
        <v>73.75582</v>
      </c>
      <c r="E11" s="56">
        <v>62.550730000000001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136.30654999999999</v>
      </c>
      <c r="Q11" s="175">
        <v>1.003789982802</v>
      </c>
    </row>
    <row r="12" spans="1:17" ht="14.4" customHeight="1" x14ac:dyDescent="0.3">
      <c r="A12" s="19" t="s">
        <v>33</v>
      </c>
      <c r="B12" s="55">
        <v>245.273662751572</v>
      </c>
      <c r="C12" s="56">
        <v>20.439471895964001</v>
      </c>
      <c r="D12" s="56">
        <v>53.771709999999999</v>
      </c>
      <c r="E12" s="56">
        <v>39.307699999999997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93.079409999999996</v>
      </c>
      <c r="Q12" s="175">
        <v>2.2769524201440001</v>
      </c>
    </row>
    <row r="13" spans="1:17" ht="14.4" customHeight="1" x14ac:dyDescent="0.3">
      <c r="A13" s="19" t="s">
        <v>34</v>
      </c>
      <c r="B13" s="55">
        <v>504</v>
      </c>
      <c r="C13" s="56">
        <v>42</v>
      </c>
      <c r="D13" s="56">
        <v>37.196840000000002</v>
      </c>
      <c r="E13" s="56">
        <v>45.82253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83.019369999999995</v>
      </c>
      <c r="Q13" s="175">
        <v>0.98832583333299995</v>
      </c>
    </row>
    <row r="14" spans="1:17" ht="14.4" customHeight="1" x14ac:dyDescent="0.3">
      <c r="A14" s="19" t="s">
        <v>35</v>
      </c>
      <c r="B14" s="55">
        <v>918.48901825886298</v>
      </c>
      <c r="C14" s="56">
        <v>76.540751521570996</v>
      </c>
      <c r="D14" s="56">
        <v>121.548</v>
      </c>
      <c r="E14" s="56">
        <v>95.847999999999999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217.39599999999999</v>
      </c>
      <c r="Q14" s="175">
        <v>1.420132384895</v>
      </c>
    </row>
    <row r="15" spans="1:17" ht="14.4" customHeight="1" x14ac:dyDescent="0.3">
      <c r="A15" s="19" t="s">
        <v>36</v>
      </c>
      <c r="B15" s="55">
        <v>150</v>
      </c>
      <c r="C15" s="56">
        <v>12.5</v>
      </c>
      <c r="D15" s="56">
        <v>0</v>
      </c>
      <c r="E15" s="56">
        <v>35.053229999999999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35.053229999999999</v>
      </c>
      <c r="Q15" s="175">
        <v>1.4021292000000001</v>
      </c>
    </row>
    <row r="16" spans="1:17" ht="14.4" customHeight="1" x14ac:dyDescent="0.3">
      <c r="A16" s="19" t="s">
        <v>37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5" t="s">
        <v>345</v>
      </c>
    </row>
    <row r="17" spans="1:17" ht="14.4" customHeight="1" x14ac:dyDescent="0.3">
      <c r="A17" s="19" t="s">
        <v>38</v>
      </c>
      <c r="B17" s="55">
        <v>1779.4619554352601</v>
      </c>
      <c r="C17" s="56">
        <v>148.28849628627199</v>
      </c>
      <c r="D17" s="56">
        <v>55.141330000000004</v>
      </c>
      <c r="E17" s="56">
        <v>72.40146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127.54279</v>
      </c>
      <c r="Q17" s="175">
        <v>0.43004950887600002</v>
      </c>
    </row>
    <row r="18" spans="1:17" ht="14.4" customHeight="1" x14ac:dyDescent="0.3">
      <c r="A18" s="19" t="s">
        <v>39</v>
      </c>
      <c r="B18" s="55">
        <v>0</v>
      </c>
      <c r="C18" s="56">
        <v>0</v>
      </c>
      <c r="D18" s="56">
        <v>5.5019999999999998</v>
      </c>
      <c r="E18" s="56">
        <v>2.794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8.2959999999999994</v>
      </c>
      <c r="Q18" s="175" t="s">
        <v>345</v>
      </c>
    </row>
    <row r="19" spans="1:17" ht="14.4" customHeight="1" x14ac:dyDescent="0.3">
      <c r="A19" s="19" t="s">
        <v>40</v>
      </c>
      <c r="B19" s="55">
        <v>2197.2092117899201</v>
      </c>
      <c r="C19" s="56">
        <v>183.10076764915999</v>
      </c>
      <c r="D19" s="56">
        <v>166.55778000000001</v>
      </c>
      <c r="E19" s="56">
        <v>179.64219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346.19997000000001</v>
      </c>
      <c r="Q19" s="175">
        <v>0.94538099005499998</v>
      </c>
    </row>
    <row r="20" spans="1:17" ht="14.4" customHeight="1" x14ac:dyDescent="0.3">
      <c r="A20" s="19" t="s">
        <v>41</v>
      </c>
      <c r="B20" s="55">
        <v>49825</v>
      </c>
      <c r="C20" s="56">
        <v>4152.0833333333303</v>
      </c>
      <c r="D20" s="56">
        <v>3941.9002599999999</v>
      </c>
      <c r="E20" s="56">
        <v>3810.5251400000002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7752.4254000000001</v>
      </c>
      <c r="Q20" s="175">
        <v>0.93355850275899999</v>
      </c>
    </row>
    <row r="21" spans="1:17" ht="14.4" customHeight="1" x14ac:dyDescent="0.3">
      <c r="A21" s="20" t="s">
        <v>42</v>
      </c>
      <c r="B21" s="55">
        <v>2878</v>
      </c>
      <c r="C21" s="56">
        <v>239.833333333334</v>
      </c>
      <c r="D21" s="56">
        <v>251.56200000000001</v>
      </c>
      <c r="E21" s="56">
        <v>244.83500000000001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496.39699999999999</v>
      </c>
      <c r="Q21" s="175">
        <v>1.0348790826959999</v>
      </c>
    </row>
    <row r="22" spans="1:17" ht="14.4" customHeight="1" x14ac:dyDescent="0.3">
      <c r="A22" s="19" t="s">
        <v>43</v>
      </c>
      <c r="B22" s="55">
        <v>0</v>
      </c>
      <c r="C22" s="56">
        <v>0</v>
      </c>
      <c r="D22" s="56">
        <v>32.158999999999999</v>
      </c>
      <c r="E22" s="56">
        <v>6.4499899999999997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38.608989999999999</v>
      </c>
      <c r="Q22" s="175" t="s">
        <v>345</v>
      </c>
    </row>
    <row r="23" spans="1:17" ht="14.4" customHeight="1" x14ac:dyDescent="0.3">
      <c r="A23" s="20" t="s">
        <v>44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5" t="s">
        <v>345</v>
      </c>
    </row>
    <row r="24" spans="1:17" ht="14.4" customHeight="1" x14ac:dyDescent="0.3">
      <c r="A24" s="20" t="s">
        <v>45</v>
      </c>
      <c r="B24" s="55">
        <v>0</v>
      </c>
      <c r="C24" s="56">
        <v>-1.8189894035458601E-12</v>
      </c>
      <c r="D24" s="56">
        <v>10.621510000001001</v>
      </c>
      <c r="E24" s="56">
        <v>7.0738500000000002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17.695360000002001</v>
      </c>
      <c r="Q24" s="175" t="s">
        <v>345</v>
      </c>
    </row>
    <row r="25" spans="1:17" ht="14.4" customHeight="1" x14ac:dyDescent="0.3">
      <c r="A25" s="21" t="s">
        <v>46</v>
      </c>
      <c r="B25" s="58">
        <v>72431.337294375102</v>
      </c>
      <c r="C25" s="59">
        <v>6035.94477453126</v>
      </c>
      <c r="D25" s="59">
        <v>6407.2753400000001</v>
      </c>
      <c r="E25" s="59">
        <v>5211.1833999999999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11618.45874</v>
      </c>
      <c r="Q25" s="176">
        <v>0.96243911881199995</v>
      </c>
    </row>
    <row r="26" spans="1:17" ht="14.4" customHeight="1" x14ac:dyDescent="0.3">
      <c r="A26" s="19" t="s">
        <v>47</v>
      </c>
      <c r="B26" s="55">
        <v>0</v>
      </c>
      <c r="C26" s="56">
        <v>0</v>
      </c>
      <c r="D26" s="56">
        <v>638.69331999999997</v>
      </c>
      <c r="E26" s="56">
        <v>625.38738000000001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1264.0807</v>
      </c>
      <c r="Q26" s="175" t="s">
        <v>345</v>
      </c>
    </row>
    <row r="27" spans="1:17" ht="14.4" customHeight="1" x14ac:dyDescent="0.3">
      <c r="A27" s="22" t="s">
        <v>48</v>
      </c>
      <c r="B27" s="58">
        <v>72431.337294375102</v>
      </c>
      <c r="C27" s="59">
        <v>6035.94477453126</v>
      </c>
      <c r="D27" s="59">
        <v>7045.9686600000005</v>
      </c>
      <c r="E27" s="59">
        <v>5836.57078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12882.53944</v>
      </c>
      <c r="Q27" s="176">
        <v>1.067151864473</v>
      </c>
    </row>
    <row r="28" spans="1:17" ht="14.4" customHeight="1" x14ac:dyDescent="0.3">
      <c r="A28" s="20" t="s">
        <v>49</v>
      </c>
      <c r="B28" s="55">
        <v>41</v>
      </c>
      <c r="C28" s="56">
        <v>3.4166666666659999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75">
        <v>0</v>
      </c>
    </row>
    <row r="29" spans="1:17" ht="14.4" customHeight="1" x14ac:dyDescent="0.3">
      <c r="A29" s="20" t="s">
        <v>50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5" t="s">
        <v>345</v>
      </c>
    </row>
    <row r="30" spans="1:17" ht="14.4" customHeight="1" x14ac:dyDescent="0.3">
      <c r="A30" s="20" t="s">
        <v>51</v>
      </c>
      <c r="B30" s="55">
        <v>154.24791534897</v>
      </c>
      <c r="C30" s="56">
        <v>12.853992945747001</v>
      </c>
      <c r="D30" s="56">
        <v>16.489979999999999</v>
      </c>
      <c r="E30" s="56">
        <v>16.851120000000002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33.341099999999997</v>
      </c>
      <c r="Q30" s="175">
        <v>1.2969160688320001</v>
      </c>
    </row>
    <row r="31" spans="1:17" ht="14.4" customHeight="1" thickBot="1" x14ac:dyDescent="0.35">
      <c r="A31" s="23" t="s">
        <v>52</v>
      </c>
      <c r="B31" s="61">
        <v>0</v>
      </c>
      <c r="C31" s="62">
        <v>0</v>
      </c>
      <c r="D31" s="62">
        <v>32.158999999999999</v>
      </c>
      <c r="E31" s="62">
        <v>3.161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35.32</v>
      </c>
      <c r="Q31" s="177" t="s">
        <v>345</v>
      </c>
    </row>
    <row r="32" spans="1:17" ht="14.4" customHeight="1" x14ac:dyDescent="0.3"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</row>
    <row r="33" spans="1:17" ht="14.4" customHeight="1" x14ac:dyDescent="0.3">
      <c r="A33" s="212" t="s">
        <v>193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</row>
    <row r="34" spans="1:17" ht="14.4" customHeight="1" x14ac:dyDescent="0.3">
      <c r="A34" s="243" t="s">
        <v>310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</row>
    <row r="35" spans="1:17" ht="14.4" customHeight="1" x14ac:dyDescent="0.3">
      <c r="A35" s="244" t="s">
        <v>53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7" customWidth="1"/>
    <col min="2" max="11" width="10" style="237" customWidth="1"/>
    <col min="12" max="16384" width="8.88671875" style="237"/>
  </cols>
  <sheetData>
    <row r="1" spans="1:11" s="64" customFormat="1" ht="18.600000000000001" customHeight="1" thickBot="1" x14ac:dyDescent="0.4">
      <c r="A1" s="516" t="s">
        <v>54</v>
      </c>
      <c r="B1" s="516"/>
      <c r="C1" s="516"/>
      <c r="D1" s="516"/>
      <c r="E1" s="516"/>
      <c r="F1" s="516"/>
      <c r="G1" s="516"/>
      <c r="H1" s="521"/>
      <c r="I1" s="521"/>
      <c r="J1" s="521"/>
      <c r="K1" s="521"/>
    </row>
    <row r="2" spans="1:11" s="64" customFormat="1" ht="14.4" customHeight="1" thickBot="1" x14ac:dyDescent="0.35">
      <c r="A2" s="360" t="s">
        <v>344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3"/>
      <c r="B3" s="517" t="s">
        <v>55</v>
      </c>
      <c r="C3" s="518"/>
      <c r="D3" s="518"/>
      <c r="E3" s="518"/>
      <c r="F3" s="524" t="s">
        <v>56</v>
      </c>
      <c r="G3" s="518"/>
      <c r="H3" s="518"/>
      <c r="I3" s="518"/>
      <c r="J3" s="518"/>
      <c r="K3" s="525"/>
    </row>
    <row r="4" spans="1:11" ht="14.4" customHeight="1" x14ac:dyDescent="0.3">
      <c r="A4" s="94"/>
      <c r="B4" s="522"/>
      <c r="C4" s="523"/>
      <c r="D4" s="523"/>
      <c r="E4" s="523"/>
      <c r="F4" s="526" t="s">
        <v>311</v>
      </c>
      <c r="G4" s="528" t="s">
        <v>57</v>
      </c>
      <c r="H4" s="249" t="s">
        <v>175</v>
      </c>
      <c r="I4" s="526" t="s">
        <v>58</v>
      </c>
      <c r="J4" s="528" t="s">
        <v>321</v>
      </c>
      <c r="K4" s="529" t="s">
        <v>312</v>
      </c>
    </row>
    <row r="5" spans="1:11" ht="42" thickBot="1" x14ac:dyDescent="0.35">
      <c r="A5" s="95"/>
      <c r="B5" s="28" t="s">
        <v>314</v>
      </c>
      <c r="C5" s="29" t="s">
        <v>315</v>
      </c>
      <c r="D5" s="30" t="s">
        <v>316</v>
      </c>
      <c r="E5" s="30" t="s">
        <v>317</v>
      </c>
      <c r="F5" s="527"/>
      <c r="G5" s="527"/>
      <c r="H5" s="29" t="s">
        <v>313</v>
      </c>
      <c r="I5" s="527"/>
      <c r="J5" s="527"/>
      <c r="K5" s="530"/>
    </row>
    <row r="6" spans="1:11" ht="14.4" customHeight="1" thickBot="1" x14ac:dyDescent="0.35">
      <c r="A6" s="660" t="s">
        <v>347</v>
      </c>
      <c r="B6" s="642">
        <v>67893.119146232406</v>
      </c>
      <c r="C6" s="642">
        <v>71417.368839999996</v>
      </c>
      <c r="D6" s="643">
        <v>3524.2496937676301</v>
      </c>
      <c r="E6" s="644">
        <v>1.051908790435</v>
      </c>
      <c r="F6" s="642">
        <v>72431.337294375102</v>
      </c>
      <c r="G6" s="643">
        <v>12071.8895490625</v>
      </c>
      <c r="H6" s="645">
        <v>5211.1833999999999</v>
      </c>
      <c r="I6" s="642">
        <v>11618.45874</v>
      </c>
      <c r="J6" s="643">
        <v>-453.43080906251498</v>
      </c>
      <c r="K6" s="646">
        <v>0.16040651980199999</v>
      </c>
    </row>
    <row r="7" spans="1:11" ht="14.4" customHeight="1" thickBot="1" x14ac:dyDescent="0.35">
      <c r="A7" s="661" t="s">
        <v>348</v>
      </c>
      <c r="B7" s="642">
        <v>15916.5799225672</v>
      </c>
      <c r="C7" s="642">
        <v>15652.932280000001</v>
      </c>
      <c r="D7" s="643">
        <v>-263.647642567199</v>
      </c>
      <c r="E7" s="644">
        <v>0.98343565993100002</v>
      </c>
      <c r="F7" s="642">
        <v>15751.6661271499</v>
      </c>
      <c r="G7" s="643">
        <v>2625.27768785832</v>
      </c>
      <c r="H7" s="645">
        <v>890.62175000000002</v>
      </c>
      <c r="I7" s="642">
        <v>2834.4531000000002</v>
      </c>
      <c r="J7" s="643">
        <v>209.17541214168199</v>
      </c>
      <c r="K7" s="646">
        <v>0.17994624042400001</v>
      </c>
    </row>
    <row r="8" spans="1:11" ht="14.4" customHeight="1" thickBot="1" x14ac:dyDescent="0.35">
      <c r="A8" s="662" t="s">
        <v>349</v>
      </c>
      <c r="B8" s="642">
        <v>14830.746453588299</v>
      </c>
      <c r="C8" s="642">
        <v>14573.69974</v>
      </c>
      <c r="D8" s="643">
        <v>-257.04671358829501</v>
      </c>
      <c r="E8" s="644">
        <v>0.98266798543099998</v>
      </c>
      <c r="F8" s="642">
        <v>14683.177108891001</v>
      </c>
      <c r="G8" s="643">
        <v>2447.19618481517</v>
      </c>
      <c r="H8" s="645">
        <v>759.72051999999996</v>
      </c>
      <c r="I8" s="642">
        <v>2582.00387</v>
      </c>
      <c r="J8" s="643">
        <v>134.807685184826</v>
      </c>
      <c r="K8" s="646">
        <v>0.175847764475</v>
      </c>
    </row>
    <row r="9" spans="1:11" ht="14.4" customHeight="1" thickBot="1" x14ac:dyDescent="0.35">
      <c r="A9" s="663" t="s">
        <v>350</v>
      </c>
      <c r="B9" s="647">
        <v>0</v>
      </c>
      <c r="C9" s="647">
        <v>4.0629999999999999E-2</v>
      </c>
      <c r="D9" s="648">
        <v>4.0629999999999999E-2</v>
      </c>
      <c r="E9" s="649" t="s">
        <v>345</v>
      </c>
      <c r="F9" s="647">
        <v>0</v>
      </c>
      <c r="G9" s="648">
        <v>0</v>
      </c>
      <c r="H9" s="650">
        <v>-1.0200000000000001E-3</v>
      </c>
      <c r="I9" s="647">
        <v>-1.1299999999999999E-3</v>
      </c>
      <c r="J9" s="648">
        <v>-1.1299999999999999E-3</v>
      </c>
      <c r="K9" s="651" t="s">
        <v>345</v>
      </c>
    </row>
    <row r="10" spans="1:11" ht="14.4" customHeight="1" thickBot="1" x14ac:dyDescent="0.35">
      <c r="A10" s="664" t="s">
        <v>351</v>
      </c>
      <c r="B10" s="642">
        <v>0</v>
      </c>
      <c r="C10" s="642">
        <v>4.0629999999999999E-2</v>
      </c>
      <c r="D10" s="643">
        <v>4.0629999999999999E-2</v>
      </c>
      <c r="E10" s="652" t="s">
        <v>345</v>
      </c>
      <c r="F10" s="642">
        <v>0</v>
      </c>
      <c r="G10" s="643">
        <v>0</v>
      </c>
      <c r="H10" s="645">
        <v>-1.0200000000000001E-3</v>
      </c>
      <c r="I10" s="642">
        <v>-1.1299999999999999E-3</v>
      </c>
      <c r="J10" s="643">
        <v>-1.1299999999999999E-3</v>
      </c>
      <c r="K10" s="653" t="s">
        <v>345</v>
      </c>
    </row>
    <row r="11" spans="1:11" ht="14.4" customHeight="1" thickBot="1" x14ac:dyDescent="0.35">
      <c r="A11" s="663" t="s">
        <v>352</v>
      </c>
      <c r="B11" s="647">
        <v>7718.1817008940998</v>
      </c>
      <c r="C11" s="647">
        <v>7597.7264100000002</v>
      </c>
      <c r="D11" s="648">
        <v>-120.455290894097</v>
      </c>
      <c r="E11" s="654">
        <v>0.98439330718499995</v>
      </c>
      <c r="F11" s="647">
        <v>7660</v>
      </c>
      <c r="G11" s="648">
        <v>1276.6666666666699</v>
      </c>
      <c r="H11" s="650">
        <v>220.45574999999999</v>
      </c>
      <c r="I11" s="647">
        <v>1400.96126</v>
      </c>
      <c r="J11" s="648">
        <v>124.294593333333</v>
      </c>
      <c r="K11" s="655">
        <v>0.182893114882</v>
      </c>
    </row>
    <row r="12" spans="1:11" ht="14.4" customHeight="1" thickBot="1" x14ac:dyDescent="0.35">
      <c r="A12" s="664" t="s">
        <v>353</v>
      </c>
      <c r="B12" s="642">
        <v>1979.97903215056</v>
      </c>
      <c r="C12" s="642">
        <v>2069.1677800000002</v>
      </c>
      <c r="D12" s="643">
        <v>89.188747849443999</v>
      </c>
      <c r="E12" s="644">
        <v>1.0450452991670001</v>
      </c>
      <c r="F12" s="642">
        <v>2110</v>
      </c>
      <c r="G12" s="643">
        <v>351.66666666666703</v>
      </c>
      <c r="H12" s="645">
        <v>161.44390000000001</v>
      </c>
      <c r="I12" s="642">
        <v>330.20074</v>
      </c>
      <c r="J12" s="643">
        <v>-21.465926666666</v>
      </c>
      <c r="K12" s="646">
        <v>0.15649324170600001</v>
      </c>
    </row>
    <row r="13" spans="1:11" ht="14.4" customHeight="1" thickBot="1" x14ac:dyDescent="0.35">
      <c r="A13" s="664" t="s">
        <v>354</v>
      </c>
      <c r="B13" s="642">
        <v>125.00001128493599</v>
      </c>
      <c r="C13" s="642">
        <v>63.283000000000001</v>
      </c>
      <c r="D13" s="643">
        <v>-61.717011284934998</v>
      </c>
      <c r="E13" s="644">
        <v>0.50626395429399995</v>
      </c>
      <c r="F13" s="642">
        <v>70</v>
      </c>
      <c r="G13" s="643">
        <v>11.666666666666</v>
      </c>
      <c r="H13" s="645">
        <v>5.1589999999999998</v>
      </c>
      <c r="I13" s="642">
        <v>10.593</v>
      </c>
      <c r="J13" s="643">
        <v>-1.073666666666</v>
      </c>
      <c r="K13" s="646">
        <v>0.15132857142799999</v>
      </c>
    </row>
    <row r="14" spans="1:11" ht="14.4" customHeight="1" thickBot="1" x14ac:dyDescent="0.35">
      <c r="A14" s="664" t="s">
        <v>355</v>
      </c>
      <c r="B14" s="642">
        <v>27.000022560405998</v>
      </c>
      <c r="C14" s="642">
        <v>171.30408</v>
      </c>
      <c r="D14" s="643">
        <v>144.304057439594</v>
      </c>
      <c r="E14" s="644">
        <v>6.3445902542020001</v>
      </c>
      <c r="F14" s="642">
        <v>160</v>
      </c>
      <c r="G14" s="643">
        <v>26.666666666666</v>
      </c>
      <c r="H14" s="645">
        <v>14.96612</v>
      </c>
      <c r="I14" s="642">
        <v>29.353339999999999</v>
      </c>
      <c r="J14" s="643">
        <v>2.6866733333330002</v>
      </c>
      <c r="K14" s="646">
        <v>0.18345837500000001</v>
      </c>
    </row>
    <row r="15" spans="1:11" ht="14.4" customHeight="1" thickBot="1" x14ac:dyDescent="0.35">
      <c r="A15" s="664" t="s">
        <v>356</v>
      </c>
      <c r="B15" s="642">
        <v>98.203018580404006</v>
      </c>
      <c r="C15" s="642">
        <v>70.193070000000006</v>
      </c>
      <c r="D15" s="643">
        <v>-28.009948580404</v>
      </c>
      <c r="E15" s="644">
        <v>0.71477507529399997</v>
      </c>
      <c r="F15" s="642">
        <v>80</v>
      </c>
      <c r="G15" s="643">
        <v>13.333333333333</v>
      </c>
      <c r="H15" s="645">
        <v>4.3331400000000002</v>
      </c>
      <c r="I15" s="642">
        <v>17.84188</v>
      </c>
      <c r="J15" s="643">
        <v>4.5085466666659997</v>
      </c>
      <c r="K15" s="646">
        <v>0.22302350000000001</v>
      </c>
    </row>
    <row r="16" spans="1:11" ht="14.4" customHeight="1" thickBot="1" x14ac:dyDescent="0.35">
      <c r="A16" s="664" t="s">
        <v>357</v>
      </c>
      <c r="B16" s="642">
        <v>30.000002708383999</v>
      </c>
      <c r="C16" s="642">
        <v>29.309809999999999</v>
      </c>
      <c r="D16" s="643">
        <v>-0.69019270838400004</v>
      </c>
      <c r="E16" s="644">
        <v>0.97699357846400003</v>
      </c>
      <c r="F16" s="642">
        <v>30</v>
      </c>
      <c r="G16" s="643">
        <v>5</v>
      </c>
      <c r="H16" s="645">
        <v>5.8916000000000004</v>
      </c>
      <c r="I16" s="642">
        <v>6.44116</v>
      </c>
      <c r="J16" s="643">
        <v>1.44116</v>
      </c>
      <c r="K16" s="646">
        <v>0.21470533333299999</v>
      </c>
    </row>
    <row r="17" spans="1:11" ht="14.4" customHeight="1" thickBot="1" x14ac:dyDescent="0.35">
      <c r="A17" s="664" t="s">
        <v>358</v>
      </c>
      <c r="B17" s="642">
        <v>130.00001173633299</v>
      </c>
      <c r="C17" s="642">
        <v>92.456389999999999</v>
      </c>
      <c r="D17" s="643">
        <v>-37.543621736332</v>
      </c>
      <c r="E17" s="644">
        <v>0.711202935792</v>
      </c>
      <c r="F17" s="642">
        <v>100</v>
      </c>
      <c r="G17" s="643">
        <v>16.666666666666</v>
      </c>
      <c r="H17" s="645">
        <v>7.2079700000000004</v>
      </c>
      <c r="I17" s="642">
        <v>15.620039999999999</v>
      </c>
      <c r="J17" s="643">
        <v>-1.046626666666</v>
      </c>
      <c r="K17" s="646">
        <v>0.15620039999999999</v>
      </c>
    </row>
    <row r="18" spans="1:11" ht="14.4" customHeight="1" thickBot="1" x14ac:dyDescent="0.35">
      <c r="A18" s="664" t="s">
        <v>359</v>
      </c>
      <c r="B18" s="642">
        <v>12.999573435041</v>
      </c>
      <c r="C18" s="642">
        <v>10.350580000000001</v>
      </c>
      <c r="D18" s="643">
        <v>-2.648993435041</v>
      </c>
      <c r="E18" s="644">
        <v>0.79622458780799998</v>
      </c>
      <c r="F18" s="642">
        <v>10</v>
      </c>
      <c r="G18" s="643">
        <v>1.6666666666659999</v>
      </c>
      <c r="H18" s="645">
        <v>0.54918999999999996</v>
      </c>
      <c r="I18" s="642">
        <v>0.87507999999999997</v>
      </c>
      <c r="J18" s="643">
        <v>-0.79158666666599997</v>
      </c>
      <c r="K18" s="646">
        <v>8.7508000000000002E-2</v>
      </c>
    </row>
    <row r="19" spans="1:11" ht="14.4" customHeight="1" thickBot="1" x14ac:dyDescent="0.35">
      <c r="A19" s="664" t="s">
        <v>360</v>
      </c>
      <c r="B19" s="642">
        <v>5000</v>
      </c>
      <c r="C19" s="642">
        <v>4803.4582300000002</v>
      </c>
      <c r="D19" s="643">
        <v>-196.541769999997</v>
      </c>
      <c r="E19" s="644">
        <v>0.96069164600000001</v>
      </c>
      <c r="F19" s="642">
        <v>4800</v>
      </c>
      <c r="G19" s="643">
        <v>800</v>
      </c>
      <c r="H19" s="645">
        <v>0</v>
      </c>
      <c r="I19" s="642">
        <v>934.27144999999996</v>
      </c>
      <c r="J19" s="643">
        <v>134.27144999999999</v>
      </c>
      <c r="K19" s="646">
        <v>0.194639885416</v>
      </c>
    </row>
    <row r="20" spans="1:11" ht="14.4" customHeight="1" thickBot="1" x14ac:dyDescent="0.35">
      <c r="A20" s="664" t="s">
        <v>361</v>
      </c>
      <c r="B20" s="642">
        <v>315.00002843803799</v>
      </c>
      <c r="C20" s="642">
        <v>288.20346999999998</v>
      </c>
      <c r="D20" s="643">
        <v>-26.796558438038002</v>
      </c>
      <c r="E20" s="644">
        <v>0.91493156819400001</v>
      </c>
      <c r="F20" s="642">
        <v>300</v>
      </c>
      <c r="G20" s="643">
        <v>50</v>
      </c>
      <c r="H20" s="645">
        <v>20.90483</v>
      </c>
      <c r="I20" s="642">
        <v>55.764569999999999</v>
      </c>
      <c r="J20" s="643">
        <v>5.76457</v>
      </c>
      <c r="K20" s="646">
        <v>0.18588189999999999</v>
      </c>
    </row>
    <row r="21" spans="1:11" ht="14.4" customHeight="1" thickBot="1" x14ac:dyDescent="0.35">
      <c r="A21" s="663" t="s">
        <v>362</v>
      </c>
      <c r="B21" s="647">
        <v>314.01570877864401</v>
      </c>
      <c r="C21" s="647">
        <v>293.59199999999998</v>
      </c>
      <c r="D21" s="648">
        <v>-20.423708778643999</v>
      </c>
      <c r="E21" s="654">
        <v>0.93495959530700001</v>
      </c>
      <c r="F21" s="647">
        <v>317.34691681326598</v>
      </c>
      <c r="G21" s="648">
        <v>52.891152802211003</v>
      </c>
      <c r="H21" s="650">
        <v>23.456</v>
      </c>
      <c r="I21" s="647">
        <v>73.186999999999998</v>
      </c>
      <c r="J21" s="648">
        <v>20.295847197789001</v>
      </c>
      <c r="K21" s="655">
        <v>0.230621430751</v>
      </c>
    </row>
    <row r="22" spans="1:11" ht="14.4" customHeight="1" thickBot="1" x14ac:dyDescent="0.35">
      <c r="A22" s="664" t="s">
        <v>363</v>
      </c>
      <c r="B22" s="642">
        <v>302.46518458488401</v>
      </c>
      <c r="C22" s="642">
        <v>276.24</v>
      </c>
      <c r="D22" s="643">
        <v>-26.225184584882999</v>
      </c>
      <c r="E22" s="644">
        <v>0.91329519587200003</v>
      </c>
      <c r="F22" s="642">
        <v>298.860365013082</v>
      </c>
      <c r="G22" s="643">
        <v>49.810060835512999</v>
      </c>
      <c r="H22" s="645">
        <v>21.98</v>
      </c>
      <c r="I22" s="642">
        <v>70.234999999999999</v>
      </c>
      <c r="J22" s="643">
        <v>20.424939164485998</v>
      </c>
      <c r="K22" s="646">
        <v>0.23500941651099999</v>
      </c>
    </row>
    <row r="23" spans="1:11" ht="14.4" customHeight="1" thickBot="1" x14ac:dyDescent="0.35">
      <c r="A23" s="664" t="s">
        <v>364</v>
      </c>
      <c r="B23" s="642">
        <v>11.550524193759999</v>
      </c>
      <c r="C23" s="642">
        <v>17.352</v>
      </c>
      <c r="D23" s="643">
        <v>5.8014758062389999</v>
      </c>
      <c r="E23" s="644">
        <v>1.5022694822260001</v>
      </c>
      <c r="F23" s="642">
        <v>18.486551800183001</v>
      </c>
      <c r="G23" s="643">
        <v>3.081091966697</v>
      </c>
      <c r="H23" s="645">
        <v>1.476</v>
      </c>
      <c r="I23" s="642">
        <v>2.952</v>
      </c>
      <c r="J23" s="643">
        <v>-0.12909196669699999</v>
      </c>
      <c r="K23" s="646">
        <v>0.15968364635499999</v>
      </c>
    </row>
    <row r="24" spans="1:11" ht="14.4" customHeight="1" thickBot="1" x14ac:dyDescent="0.35">
      <c r="A24" s="663" t="s">
        <v>365</v>
      </c>
      <c r="B24" s="647">
        <v>4812.2083351891697</v>
      </c>
      <c r="C24" s="647">
        <v>4635.6786000000002</v>
      </c>
      <c r="D24" s="648">
        <v>-176.529735189169</v>
      </c>
      <c r="E24" s="654">
        <v>0.96331627334199998</v>
      </c>
      <c r="F24" s="647">
        <v>4817.1207226820197</v>
      </c>
      <c r="G24" s="648">
        <v>802.85345378033605</v>
      </c>
      <c r="H24" s="650">
        <v>340.60694999999998</v>
      </c>
      <c r="I24" s="647">
        <v>741.90529000000004</v>
      </c>
      <c r="J24" s="648">
        <v>-60.948163780336003</v>
      </c>
      <c r="K24" s="655">
        <v>0.154014261362</v>
      </c>
    </row>
    <row r="25" spans="1:11" ht="14.4" customHeight="1" thickBot="1" x14ac:dyDescent="0.35">
      <c r="A25" s="664" t="s">
        <v>366</v>
      </c>
      <c r="B25" s="642">
        <v>707.86102641381206</v>
      </c>
      <c r="C25" s="642">
        <v>677.15760000000103</v>
      </c>
      <c r="D25" s="643">
        <v>-30.703426413810998</v>
      </c>
      <c r="E25" s="644">
        <v>0.95662506442899997</v>
      </c>
      <c r="F25" s="642">
        <v>700</v>
      </c>
      <c r="G25" s="643">
        <v>116.666666666667</v>
      </c>
      <c r="H25" s="645">
        <v>41.57367</v>
      </c>
      <c r="I25" s="642">
        <v>64.187820000000002</v>
      </c>
      <c r="J25" s="643">
        <v>-52.478846666666001</v>
      </c>
      <c r="K25" s="646">
        <v>9.1696885714000004E-2</v>
      </c>
    </row>
    <row r="26" spans="1:11" ht="14.4" customHeight="1" thickBot="1" x14ac:dyDescent="0.35">
      <c r="A26" s="664" t="s">
        <v>367</v>
      </c>
      <c r="B26" s="642">
        <v>2.0000001805580001</v>
      </c>
      <c r="C26" s="642">
        <v>0.12451</v>
      </c>
      <c r="D26" s="643">
        <v>-1.875490180558</v>
      </c>
      <c r="E26" s="644">
        <v>6.2254994378999999E-2</v>
      </c>
      <c r="F26" s="642">
        <v>0.120722682017</v>
      </c>
      <c r="G26" s="643">
        <v>2.0120447002E-2</v>
      </c>
      <c r="H26" s="645">
        <v>0</v>
      </c>
      <c r="I26" s="642">
        <v>0</v>
      </c>
      <c r="J26" s="643">
        <v>-2.0120447002E-2</v>
      </c>
      <c r="K26" s="646">
        <v>0</v>
      </c>
    </row>
    <row r="27" spans="1:11" ht="14.4" customHeight="1" thickBot="1" x14ac:dyDescent="0.35">
      <c r="A27" s="664" t="s">
        <v>368</v>
      </c>
      <c r="B27" s="642">
        <v>165.000014896115</v>
      </c>
      <c r="C27" s="642">
        <v>225.80352999999999</v>
      </c>
      <c r="D27" s="643">
        <v>60.803515103884997</v>
      </c>
      <c r="E27" s="644">
        <v>1.3685061188759999</v>
      </c>
      <c r="F27" s="642">
        <v>235</v>
      </c>
      <c r="G27" s="643">
        <v>39.166666666666003</v>
      </c>
      <c r="H27" s="645">
        <v>17.975269999999998</v>
      </c>
      <c r="I27" s="642">
        <v>40.430050000000001</v>
      </c>
      <c r="J27" s="643">
        <v>1.263383333333</v>
      </c>
      <c r="K27" s="646">
        <v>0.17204276595699999</v>
      </c>
    </row>
    <row r="28" spans="1:11" ht="14.4" customHeight="1" thickBot="1" x14ac:dyDescent="0.35">
      <c r="A28" s="664" t="s">
        <v>369</v>
      </c>
      <c r="B28" s="642">
        <v>3356.76561128407</v>
      </c>
      <c r="C28" s="642">
        <v>3136.4930800000002</v>
      </c>
      <c r="D28" s="643">
        <v>-220.27253128407301</v>
      </c>
      <c r="E28" s="644">
        <v>0.93437953172999999</v>
      </c>
      <c r="F28" s="642">
        <v>3255</v>
      </c>
      <c r="G28" s="643">
        <v>542.5</v>
      </c>
      <c r="H28" s="645">
        <v>256.34154000000001</v>
      </c>
      <c r="I28" s="642">
        <v>537.46546000000001</v>
      </c>
      <c r="J28" s="643">
        <v>-5.0345399999999998</v>
      </c>
      <c r="K28" s="646">
        <v>0.16511995698900001</v>
      </c>
    </row>
    <row r="29" spans="1:11" ht="14.4" customHeight="1" thickBot="1" x14ac:dyDescent="0.35">
      <c r="A29" s="664" t="s">
        <v>370</v>
      </c>
      <c r="B29" s="642">
        <v>35.000003159781997</v>
      </c>
      <c r="C29" s="642">
        <v>39.521479999999997</v>
      </c>
      <c r="D29" s="643">
        <v>4.5214768402179999</v>
      </c>
      <c r="E29" s="644">
        <v>1.1291850409140001</v>
      </c>
      <c r="F29" s="642">
        <v>45</v>
      </c>
      <c r="G29" s="643">
        <v>7.5</v>
      </c>
      <c r="H29" s="645">
        <v>2.5928200000000001</v>
      </c>
      <c r="I29" s="642">
        <v>5.1856600000000004</v>
      </c>
      <c r="J29" s="643">
        <v>-2.3143400000000001</v>
      </c>
      <c r="K29" s="646">
        <v>0.115236888888</v>
      </c>
    </row>
    <row r="30" spans="1:11" ht="14.4" customHeight="1" thickBot="1" x14ac:dyDescent="0.35">
      <c r="A30" s="664" t="s">
        <v>371</v>
      </c>
      <c r="B30" s="642">
        <v>7.0000006319560004</v>
      </c>
      <c r="C30" s="642">
        <v>5.3840700000000004</v>
      </c>
      <c r="D30" s="643">
        <v>-1.6159306319560001</v>
      </c>
      <c r="E30" s="644">
        <v>0.76915278770399997</v>
      </c>
      <c r="F30" s="642">
        <v>7</v>
      </c>
      <c r="G30" s="643">
        <v>1.1666666666659999</v>
      </c>
      <c r="H30" s="645">
        <v>0</v>
      </c>
      <c r="I30" s="642">
        <v>0</v>
      </c>
      <c r="J30" s="643">
        <v>-1.1666666666659999</v>
      </c>
      <c r="K30" s="646">
        <v>0</v>
      </c>
    </row>
    <row r="31" spans="1:11" ht="14.4" customHeight="1" thickBot="1" x14ac:dyDescent="0.35">
      <c r="A31" s="664" t="s">
        <v>372</v>
      </c>
      <c r="B31" s="642">
        <v>9.5816308650239996</v>
      </c>
      <c r="C31" s="642">
        <v>9.7072500000000002</v>
      </c>
      <c r="D31" s="643">
        <v>0.12561913497499999</v>
      </c>
      <c r="E31" s="644">
        <v>1.013110412699</v>
      </c>
      <c r="F31" s="642">
        <v>10</v>
      </c>
      <c r="G31" s="643">
        <v>1.6666666666659999</v>
      </c>
      <c r="H31" s="645">
        <v>0.34300000000000003</v>
      </c>
      <c r="I31" s="642">
        <v>1.2490000000000001</v>
      </c>
      <c r="J31" s="643">
        <v>-0.417666666666</v>
      </c>
      <c r="K31" s="646">
        <v>0.1249</v>
      </c>
    </row>
    <row r="32" spans="1:11" ht="14.4" customHeight="1" thickBot="1" x14ac:dyDescent="0.35">
      <c r="A32" s="664" t="s">
        <v>373</v>
      </c>
      <c r="B32" s="642">
        <v>145.00001309052499</v>
      </c>
      <c r="C32" s="642">
        <v>190.92587</v>
      </c>
      <c r="D32" s="643">
        <v>45.925856909474</v>
      </c>
      <c r="E32" s="644">
        <v>1.3167300190569999</v>
      </c>
      <c r="F32" s="642">
        <v>200</v>
      </c>
      <c r="G32" s="643">
        <v>33.333333333333002</v>
      </c>
      <c r="H32" s="645">
        <v>11.685280000000001</v>
      </c>
      <c r="I32" s="642">
        <v>26.899640000000002</v>
      </c>
      <c r="J32" s="643">
        <v>-6.4336933333330002</v>
      </c>
      <c r="K32" s="646">
        <v>0.13449820000000001</v>
      </c>
    </row>
    <row r="33" spans="1:11" ht="14.4" customHeight="1" thickBot="1" x14ac:dyDescent="0.35">
      <c r="A33" s="664" t="s">
        <v>374</v>
      </c>
      <c r="B33" s="642">
        <v>84.000007583476005</v>
      </c>
      <c r="C33" s="642">
        <v>109.142</v>
      </c>
      <c r="D33" s="643">
        <v>25.141992416522999</v>
      </c>
      <c r="E33" s="644">
        <v>1.299309406508</v>
      </c>
      <c r="F33" s="642">
        <v>85</v>
      </c>
      <c r="G33" s="643">
        <v>14.166666666666</v>
      </c>
      <c r="H33" s="645">
        <v>5.9290000000000003</v>
      </c>
      <c r="I33" s="642">
        <v>12.221</v>
      </c>
      <c r="J33" s="643">
        <v>-1.9456666666660001</v>
      </c>
      <c r="K33" s="646">
        <v>0.143776470588</v>
      </c>
    </row>
    <row r="34" spans="1:11" ht="14.4" customHeight="1" thickBot="1" x14ac:dyDescent="0.35">
      <c r="A34" s="664" t="s">
        <v>375</v>
      </c>
      <c r="B34" s="642">
        <v>300.000027083845</v>
      </c>
      <c r="C34" s="642">
        <v>241.41920999999999</v>
      </c>
      <c r="D34" s="643">
        <v>-58.580817083844998</v>
      </c>
      <c r="E34" s="644">
        <v>0.80473062734900003</v>
      </c>
      <c r="F34" s="642">
        <v>280</v>
      </c>
      <c r="G34" s="643">
        <v>46.666666666666003</v>
      </c>
      <c r="H34" s="645">
        <v>4.1663699999999997</v>
      </c>
      <c r="I34" s="642">
        <v>54.266660000000002</v>
      </c>
      <c r="J34" s="643">
        <v>7.5999933333329999</v>
      </c>
      <c r="K34" s="646">
        <v>0.1938095</v>
      </c>
    </row>
    <row r="35" spans="1:11" ht="14.4" customHeight="1" thickBot="1" x14ac:dyDescent="0.35">
      <c r="A35" s="663" t="s">
        <v>376</v>
      </c>
      <c r="B35" s="647">
        <v>293.67424206094199</v>
      </c>
      <c r="C35" s="647">
        <v>275.60462999999999</v>
      </c>
      <c r="D35" s="648">
        <v>-18.069612060941001</v>
      </c>
      <c r="E35" s="654">
        <v>0.93847055862200002</v>
      </c>
      <c r="F35" s="647">
        <v>324.68440046185202</v>
      </c>
      <c r="G35" s="648">
        <v>54.114066743641999</v>
      </c>
      <c r="H35" s="650">
        <v>24.360880000000002</v>
      </c>
      <c r="I35" s="647">
        <v>50.385120000000001</v>
      </c>
      <c r="J35" s="648">
        <v>-3.7289467436420001</v>
      </c>
      <c r="K35" s="655">
        <v>0.155181831736</v>
      </c>
    </row>
    <row r="36" spans="1:11" ht="14.4" customHeight="1" thickBot="1" x14ac:dyDescent="0.35">
      <c r="A36" s="664" t="s">
        <v>377</v>
      </c>
      <c r="B36" s="642">
        <v>89.738950642150002</v>
      </c>
      <c r="C36" s="642">
        <v>94.652370000000005</v>
      </c>
      <c r="D36" s="643">
        <v>4.9134193578490004</v>
      </c>
      <c r="E36" s="644">
        <v>1.0547523602919999</v>
      </c>
      <c r="F36" s="642">
        <v>117.71156819231101</v>
      </c>
      <c r="G36" s="643">
        <v>19.618594698717999</v>
      </c>
      <c r="H36" s="645">
        <v>9.3415199999999992</v>
      </c>
      <c r="I36" s="642">
        <v>18.117760000000001</v>
      </c>
      <c r="J36" s="643">
        <v>-1.5008346987179999</v>
      </c>
      <c r="K36" s="646">
        <v>0.15391656298699999</v>
      </c>
    </row>
    <row r="37" spans="1:11" ht="14.4" customHeight="1" thickBot="1" x14ac:dyDescent="0.35">
      <c r="A37" s="664" t="s">
        <v>378</v>
      </c>
      <c r="B37" s="642">
        <v>14.70256815546</v>
      </c>
      <c r="C37" s="642">
        <v>26.296720000000001</v>
      </c>
      <c r="D37" s="643">
        <v>11.594151844539001</v>
      </c>
      <c r="E37" s="644">
        <v>1.788580044108</v>
      </c>
      <c r="F37" s="642">
        <v>7.5428376577599998</v>
      </c>
      <c r="G37" s="643">
        <v>1.2571396096259999</v>
      </c>
      <c r="H37" s="645">
        <v>2.3986100000000001</v>
      </c>
      <c r="I37" s="642">
        <v>5.1164699999999996</v>
      </c>
      <c r="J37" s="643">
        <v>3.8593303903730001</v>
      </c>
      <c r="K37" s="646">
        <v>0.67832163863799999</v>
      </c>
    </row>
    <row r="38" spans="1:11" ht="14.4" customHeight="1" thickBot="1" x14ac:dyDescent="0.35">
      <c r="A38" s="664" t="s">
        <v>379</v>
      </c>
      <c r="B38" s="642">
        <v>189.23272326333</v>
      </c>
      <c r="C38" s="642">
        <v>154.65554</v>
      </c>
      <c r="D38" s="643">
        <v>-34.577183263329999</v>
      </c>
      <c r="E38" s="644">
        <v>0.817276934628</v>
      </c>
      <c r="F38" s="642">
        <v>199.42999461178101</v>
      </c>
      <c r="G38" s="643">
        <v>33.238332435296002</v>
      </c>
      <c r="H38" s="645">
        <v>12.620749999999999</v>
      </c>
      <c r="I38" s="642">
        <v>27.15089</v>
      </c>
      <c r="J38" s="643">
        <v>-6.0874424352960004</v>
      </c>
      <c r="K38" s="646">
        <v>0.13614245967700001</v>
      </c>
    </row>
    <row r="39" spans="1:11" ht="14.4" customHeight="1" thickBot="1" x14ac:dyDescent="0.35">
      <c r="A39" s="663" t="s">
        <v>380</v>
      </c>
      <c r="B39" s="647">
        <v>867.17670131139698</v>
      </c>
      <c r="C39" s="647">
        <v>875.94615000000101</v>
      </c>
      <c r="D39" s="648">
        <v>8.7694486886029992</v>
      </c>
      <c r="E39" s="654">
        <v>1.010112643334</v>
      </c>
      <c r="F39" s="647">
        <v>814.75140618234298</v>
      </c>
      <c r="G39" s="648">
        <v>135.79190103038999</v>
      </c>
      <c r="H39" s="650">
        <v>62.550730000000001</v>
      </c>
      <c r="I39" s="647">
        <v>136.30654999999999</v>
      </c>
      <c r="J39" s="648">
        <v>0.51464896960899997</v>
      </c>
      <c r="K39" s="655">
        <v>0.16729833046699999</v>
      </c>
    </row>
    <row r="40" spans="1:11" ht="14.4" customHeight="1" thickBot="1" x14ac:dyDescent="0.35">
      <c r="A40" s="664" t="s">
        <v>381</v>
      </c>
      <c r="B40" s="642">
        <v>24.488634471798001</v>
      </c>
      <c r="C40" s="642">
        <v>53.140610000000002</v>
      </c>
      <c r="D40" s="643">
        <v>28.651975528201</v>
      </c>
      <c r="E40" s="644">
        <v>2.1700111560400002</v>
      </c>
      <c r="F40" s="642">
        <v>0</v>
      </c>
      <c r="G40" s="643">
        <v>0</v>
      </c>
      <c r="H40" s="645">
        <v>0</v>
      </c>
      <c r="I40" s="642">
        <v>0</v>
      </c>
      <c r="J40" s="643">
        <v>0</v>
      </c>
      <c r="K40" s="653" t="s">
        <v>345</v>
      </c>
    </row>
    <row r="41" spans="1:11" ht="14.4" customHeight="1" thickBot="1" x14ac:dyDescent="0.35">
      <c r="A41" s="664" t="s">
        <v>382</v>
      </c>
      <c r="B41" s="642">
        <v>20.814601511618001</v>
      </c>
      <c r="C41" s="642">
        <v>22.811319999999998</v>
      </c>
      <c r="D41" s="643">
        <v>1.9967184883810001</v>
      </c>
      <c r="E41" s="644">
        <v>1.0959287396040001</v>
      </c>
      <c r="F41" s="642">
        <v>24</v>
      </c>
      <c r="G41" s="643">
        <v>4</v>
      </c>
      <c r="H41" s="645">
        <v>1.6958200000000001</v>
      </c>
      <c r="I41" s="642">
        <v>3.0629499999999998</v>
      </c>
      <c r="J41" s="643">
        <v>-0.93705000000000005</v>
      </c>
      <c r="K41" s="646">
        <v>0.12762291666600001</v>
      </c>
    </row>
    <row r="42" spans="1:11" ht="14.4" customHeight="1" thickBot="1" x14ac:dyDescent="0.35">
      <c r="A42" s="664" t="s">
        <v>383</v>
      </c>
      <c r="B42" s="642">
        <v>522.94176561862196</v>
      </c>
      <c r="C42" s="642">
        <v>479.47944000000001</v>
      </c>
      <c r="D42" s="643">
        <v>-43.462325618621001</v>
      </c>
      <c r="E42" s="644">
        <v>0.916888784801</v>
      </c>
      <c r="F42" s="642">
        <v>462.581623118582</v>
      </c>
      <c r="G42" s="643">
        <v>77.096937186429997</v>
      </c>
      <c r="H42" s="645">
        <v>33.621830000000003</v>
      </c>
      <c r="I42" s="642">
        <v>74.245819999999995</v>
      </c>
      <c r="J42" s="643">
        <v>-2.8511171864299998</v>
      </c>
      <c r="K42" s="646">
        <v>0.16050317671299999</v>
      </c>
    </row>
    <row r="43" spans="1:11" ht="14.4" customHeight="1" thickBot="1" x14ac:dyDescent="0.35">
      <c r="A43" s="664" t="s">
        <v>384</v>
      </c>
      <c r="B43" s="642">
        <v>71.920741599017006</v>
      </c>
      <c r="C43" s="642">
        <v>72.773250000000004</v>
      </c>
      <c r="D43" s="643">
        <v>0.85250840098199998</v>
      </c>
      <c r="E43" s="644">
        <v>1.011853442859</v>
      </c>
      <c r="F43" s="642">
        <v>75</v>
      </c>
      <c r="G43" s="643">
        <v>12.5</v>
      </c>
      <c r="H43" s="645">
        <v>6.0020300000000004</v>
      </c>
      <c r="I43" s="642">
        <v>12.037940000000001</v>
      </c>
      <c r="J43" s="643">
        <v>-0.46205999999899999</v>
      </c>
      <c r="K43" s="646">
        <v>0.160505866666</v>
      </c>
    </row>
    <row r="44" spans="1:11" ht="14.4" customHeight="1" thickBot="1" x14ac:dyDescent="0.35">
      <c r="A44" s="664" t="s">
        <v>385</v>
      </c>
      <c r="B44" s="642">
        <v>7.9866137102010004</v>
      </c>
      <c r="C44" s="642">
        <v>3.9954399999999999</v>
      </c>
      <c r="D44" s="643">
        <v>-3.9911737102010001</v>
      </c>
      <c r="E44" s="644">
        <v>0.50026709003000003</v>
      </c>
      <c r="F44" s="642">
        <v>9.0044806784889992</v>
      </c>
      <c r="G44" s="643">
        <v>1.5007467797480001</v>
      </c>
      <c r="H44" s="645">
        <v>2.2190300000000001</v>
      </c>
      <c r="I44" s="642">
        <v>3.6489600000000002</v>
      </c>
      <c r="J44" s="643">
        <v>2.1482132202509998</v>
      </c>
      <c r="K44" s="646">
        <v>0.405238250854</v>
      </c>
    </row>
    <row r="45" spans="1:11" ht="14.4" customHeight="1" thickBot="1" x14ac:dyDescent="0.35">
      <c r="A45" s="664" t="s">
        <v>386</v>
      </c>
      <c r="B45" s="642">
        <v>0</v>
      </c>
      <c r="C45" s="642">
        <v>5.2745899999999999</v>
      </c>
      <c r="D45" s="643">
        <v>5.2745899999999999</v>
      </c>
      <c r="E45" s="652" t="s">
        <v>345</v>
      </c>
      <c r="F45" s="642">
        <v>0</v>
      </c>
      <c r="G45" s="643">
        <v>0</v>
      </c>
      <c r="H45" s="645">
        <v>0.37280000000000002</v>
      </c>
      <c r="I45" s="642">
        <v>0.37280000000000002</v>
      </c>
      <c r="J45" s="643">
        <v>0.37280000000000002</v>
      </c>
      <c r="K45" s="653" t="s">
        <v>345</v>
      </c>
    </row>
    <row r="46" spans="1:11" ht="14.4" customHeight="1" thickBot="1" x14ac:dyDescent="0.35">
      <c r="A46" s="664" t="s">
        <v>387</v>
      </c>
      <c r="B46" s="642">
        <v>0</v>
      </c>
      <c r="C46" s="642">
        <v>1.7363500000000001</v>
      </c>
      <c r="D46" s="643">
        <v>1.7363500000000001</v>
      </c>
      <c r="E46" s="652" t="s">
        <v>388</v>
      </c>
      <c r="F46" s="642">
        <v>0</v>
      </c>
      <c r="G46" s="643">
        <v>0</v>
      </c>
      <c r="H46" s="645">
        <v>2.2989999999999999</v>
      </c>
      <c r="I46" s="642">
        <v>4.5979999999999999</v>
      </c>
      <c r="J46" s="643">
        <v>4.5979999999999999</v>
      </c>
      <c r="K46" s="653" t="s">
        <v>388</v>
      </c>
    </row>
    <row r="47" spans="1:11" ht="14.4" customHeight="1" thickBot="1" x14ac:dyDescent="0.35">
      <c r="A47" s="664" t="s">
        <v>389</v>
      </c>
      <c r="B47" s="642">
        <v>4.9932434567869999</v>
      </c>
      <c r="C47" s="642">
        <v>4.7190000000000003</v>
      </c>
      <c r="D47" s="643">
        <v>-0.27424345678700002</v>
      </c>
      <c r="E47" s="644">
        <v>0.94507709084000002</v>
      </c>
      <c r="F47" s="642">
        <v>5</v>
      </c>
      <c r="G47" s="643">
        <v>0.83333333333299997</v>
      </c>
      <c r="H47" s="645">
        <v>0</v>
      </c>
      <c r="I47" s="642">
        <v>0</v>
      </c>
      <c r="J47" s="643">
        <v>-0.83333333333299997</v>
      </c>
      <c r="K47" s="646">
        <v>0</v>
      </c>
    </row>
    <row r="48" spans="1:11" ht="14.4" customHeight="1" thickBot="1" x14ac:dyDescent="0.35">
      <c r="A48" s="664" t="s">
        <v>390</v>
      </c>
      <c r="B48" s="642">
        <v>46.860268338032</v>
      </c>
      <c r="C48" s="642">
        <v>45.694159999999997</v>
      </c>
      <c r="D48" s="643">
        <v>-1.1661083380320001</v>
      </c>
      <c r="E48" s="644">
        <v>0.97511520143999997</v>
      </c>
      <c r="F48" s="642">
        <v>64.165302385271005</v>
      </c>
      <c r="G48" s="643">
        <v>10.694217064211999</v>
      </c>
      <c r="H48" s="645">
        <v>6.2161799999999996</v>
      </c>
      <c r="I48" s="642">
        <v>15.13189</v>
      </c>
      <c r="J48" s="643">
        <v>4.437672935788</v>
      </c>
      <c r="K48" s="646">
        <v>0.235826676373</v>
      </c>
    </row>
    <row r="49" spans="1:11" ht="14.4" customHeight="1" thickBot="1" x14ac:dyDescent="0.35">
      <c r="A49" s="664" t="s">
        <v>391</v>
      </c>
      <c r="B49" s="642">
        <v>0</v>
      </c>
      <c r="C49" s="642">
        <v>0.68899999999999995</v>
      </c>
      <c r="D49" s="643">
        <v>0.68899999999999995</v>
      </c>
      <c r="E49" s="652" t="s">
        <v>345</v>
      </c>
      <c r="F49" s="642">
        <v>0</v>
      </c>
      <c r="G49" s="643">
        <v>0</v>
      </c>
      <c r="H49" s="645">
        <v>0</v>
      </c>
      <c r="I49" s="642">
        <v>0</v>
      </c>
      <c r="J49" s="643">
        <v>0</v>
      </c>
      <c r="K49" s="653" t="s">
        <v>345</v>
      </c>
    </row>
    <row r="50" spans="1:11" ht="14.4" customHeight="1" thickBot="1" x14ac:dyDescent="0.35">
      <c r="A50" s="664" t="s">
        <v>392</v>
      </c>
      <c r="B50" s="642">
        <v>0</v>
      </c>
      <c r="C50" s="642">
        <v>2.9830100000000002</v>
      </c>
      <c r="D50" s="643">
        <v>2.9830100000000002</v>
      </c>
      <c r="E50" s="652" t="s">
        <v>388</v>
      </c>
      <c r="F50" s="642">
        <v>0</v>
      </c>
      <c r="G50" s="643">
        <v>0</v>
      </c>
      <c r="H50" s="645">
        <v>0</v>
      </c>
      <c r="I50" s="642">
        <v>1.452</v>
      </c>
      <c r="J50" s="643">
        <v>1.452</v>
      </c>
      <c r="K50" s="653" t="s">
        <v>345</v>
      </c>
    </row>
    <row r="51" spans="1:11" ht="14.4" customHeight="1" thickBot="1" x14ac:dyDescent="0.35">
      <c r="A51" s="664" t="s">
        <v>393</v>
      </c>
      <c r="B51" s="642">
        <v>0</v>
      </c>
      <c r="C51" s="642">
        <v>4.1718400000000004</v>
      </c>
      <c r="D51" s="643">
        <v>4.1718400000000004</v>
      </c>
      <c r="E51" s="652" t="s">
        <v>388</v>
      </c>
      <c r="F51" s="642">
        <v>0</v>
      </c>
      <c r="G51" s="643">
        <v>0</v>
      </c>
      <c r="H51" s="645">
        <v>0</v>
      </c>
      <c r="I51" s="642">
        <v>0</v>
      </c>
      <c r="J51" s="643">
        <v>0</v>
      </c>
      <c r="K51" s="653" t="s">
        <v>345</v>
      </c>
    </row>
    <row r="52" spans="1:11" ht="14.4" customHeight="1" thickBot="1" x14ac:dyDescent="0.35">
      <c r="A52" s="664" t="s">
        <v>394</v>
      </c>
      <c r="B52" s="642">
        <v>0</v>
      </c>
      <c r="C52" s="642">
        <v>2.6825999999999999</v>
      </c>
      <c r="D52" s="643">
        <v>2.6825999999999999</v>
      </c>
      <c r="E52" s="652" t="s">
        <v>388</v>
      </c>
      <c r="F52" s="642">
        <v>0</v>
      </c>
      <c r="G52" s="643">
        <v>0</v>
      </c>
      <c r="H52" s="645">
        <v>0</v>
      </c>
      <c r="I52" s="642">
        <v>0</v>
      </c>
      <c r="J52" s="643">
        <v>0</v>
      </c>
      <c r="K52" s="653" t="s">
        <v>345</v>
      </c>
    </row>
    <row r="53" spans="1:11" ht="14.4" customHeight="1" thickBot="1" x14ac:dyDescent="0.35">
      <c r="A53" s="664" t="s">
        <v>395</v>
      </c>
      <c r="B53" s="642">
        <v>167.17083260531999</v>
      </c>
      <c r="C53" s="642">
        <v>175.79553999999999</v>
      </c>
      <c r="D53" s="643">
        <v>8.6247073946799997</v>
      </c>
      <c r="E53" s="644">
        <v>1.0515921782540001</v>
      </c>
      <c r="F53" s="642">
        <v>175</v>
      </c>
      <c r="G53" s="643">
        <v>29.166666666666</v>
      </c>
      <c r="H53" s="645">
        <v>10.124040000000001</v>
      </c>
      <c r="I53" s="642">
        <v>21.75619</v>
      </c>
      <c r="J53" s="643">
        <v>-7.4104766666659998</v>
      </c>
      <c r="K53" s="646">
        <v>0.124321085714</v>
      </c>
    </row>
    <row r="54" spans="1:11" ht="14.4" customHeight="1" thickBot="1" x14ac:dyDescent="0.35">
      <c r="A54" s="663" t="s">
        <v>396</v>
      </c>
      <c r="B54" s="647">
        <v>373.321581508073</v>
      </c>
      <c r="C54" s="647">
        <v>257.34807999999998</v>
      </c>
      <c r="D54" s="648">
        <v>-115.973501508073</v>
      </c>
      <c r="E54" s="654">
        <v>0.68934691361900002</v>
      </c>
      <c r="F54" s="647">
        <v>245.273662751572</v>
      </c>
      <c r="G54" s="648">
        <v>40.878943791928002</v>
      </c>
      <c r="H54" s="650">
        <v>39.307699999999997</v>
      </c>
      <c r="I54" s="647">
        <v>93.079409999999996</v>
      </c>
      <c r="J54" s="648">
        <v>52.200466208070999</v>
      </c>
      <c r="K54" s="655">
        <v>0.37949207002399998</v>
      </c>
    </row>
    <row r="55" spans="1:11" ht="14.4" customHeight="1" thickBot="1" x14ac:dyDescent="0.35">
      <c r="A55" s="664" t="s">
        <v>397</v>
      </c>
      <c r="B55" s="642">
        <v>0</v>
      </c>
      <c r="C55" s="642">
        <v>9.1959999999989996</v>
      </c>
      <c r="D55" s="643">
        <v>9.1959999999989996</v>
      </c>
      <c r="E55" s="652" t="s">
        <v>388</v>
      </c>
      <c r="F55" s="642">
        <v>0</v>
      </c>
      <c r="G55" s="643">
        <v>0</v>
      </c>
      <c r="H55" s="645">
        <v>0</v>
      </c>
      <c r="I55" s="642">
        <v>0</v>
      </c>
      <c r="J55" s="643">
        <v>0</v>
      </c>
      <c r="K55" s="653" t="s">
        <v>345</v>
      </c>
    </row>
    <row r="56" spans="1:11" ht="14.4" customHeight="1" thickBot="1" x14ac:dyDescent="0.35">
      <c r="A56" s="664" t="s">
        <v>398</v>
      </c>
      <c r="B56" s="642">
        <v>0.328626770545</v>
      </c>
      <c r="C56" s="642">
        <v>3.3679999999999999</v>
      </c>
      <c r="D56" s="643">
        <v>3.0393732294540001</v>
      </c>
      <c r="E56" s="644">
        <v>10.24870857114</v>
      </c>
      <c r="F56" s="642">
        <v>4.391665946312</v>
      </c>
      <c r="G56" s="643">
        <v>0.73194432438500001</v>
      </c>
      <c r="H56" s="645">
        <v>0</v>
      </c>
      <c r="I56" s="642">
        <v>0</v>
      </c>
      <c r="J56" s="643">
        <v>-0.73194432438500001</v>
      </c>
      <c r="K56" s="646">
        <v>0</v>
      </c>
    </row>
    <row r="57" spans="1:11" ht="14.4" customHeight="1" thickBot="1" x14ac:dyDescent="0.35">
      <c r="A57" s="664" t="s">
        <v>399</v>
      </c>
      <c r="B57" s="642">
        <v>365.85681527725302</v>
      </c>
      <c r="C57" s="642">
        <v>222.26857000000001</v>
      </c>
      <c r="D57" s="643">
        <v>-143.58824527725301</v>
      </c>
      <c r="E57" s="644">
        <v>0.60752884931600004</v>
      </c>
      <c r="F57" s="642">
        <v>224.09225595374599</v>
      </c>
      <c r="G57" s="643">
        <v>37.348709325624</v>
      </c>
      <c r="H57" s="645">
        <v>37.943989999999999</v>
      </c>
      <c r="I57" s="642">
        <v>82.961280000000002</v>
      </c>
      <c r="J57" s="643">
        <v>45.612570674375</v>
      </c>
      <c r="K57" s="646">
        <v>0.370210383428</v>
      </c>
    </row>
    <row r="58" spans="1:11" ht="14.4" customHeight="1" thickBot="1" x14ac:dyDescent="0.35">
      <c r="A58" s="664" t="s">
        <v>400</v>
      </c>
      <c r="B58" s="642">
        <v>0</v>
      </c>
      <c r="C58" s="642">
        <v>7.4335999999990001</v>
      </c>
      <c r="D58" s="643">
        <v>7.4335999999990001</v>
      </c>
      <c r="E58" s="652" t="s">
        <v>345</v>
      </c>
      <c r="F58" s="642">
        <v>0</v>
      </c>
      <c r="G58" s="643">
        <v>0</v>
      </c>
      <c r="H58" s="645">
        <v>0</v>
      </c>
      <c r="I58" s="642">
        <v>0</v>
      </c>
      <c r="J58" s="643">
        <v>0</v>
      </c>
      <c r="K58" s="653" t="s">
        <v>345</v>
      </c>
    </row>
    <row r="59" spans="1:11" ht="14.4" customHeight="1" thickBot="1" x14ac:dyDescent="0.35">
      <c r="A59" s="664" t="s">
        <v>401</v>
      </c>
      <c r="B59" s="642">
        <v>7.1361394602740003</v>
      </c>
      <c r="C59" s="642">
        <v>15.081910000000001</v>
      </c>
      <c r="D59" s="643">
        <v>7.9457705397250002</v>
      </c>
      <c r="E59" s="644">
        <v>2.1134550528270002</v>
      </c>
      <c r="F59" s="642">
        <v>16.789740851512001</v>
      </c>
      <c r="G59" s="643">
        <v>2.7982901419180002</v>
      </c>
      <c r="H59" s="645">
        <v>1.36371</v>
      </c>
      <c r="I59" s="642">
        <v>10.118130000000001</v>
      </c>
      <c r="J59" s="643">
        <v>7.319839858081</v>
      </c>
      <c r="K59" s="646">
        <v>0.60263765173499995</v>
      </c>
    </row>
    <row r="60" spans="1:11" ht="14.4" customHeight="1" thickBot="1" x14ac:dyDescent="0.35">
      <c r="A60" s="663" t="s">
        <v>402</v>
      </c>
      <c r="B60" s="647">
        <v>452.16818384597599</v>
      </c>
      <c r="C60" s="647">
        <v>584.54543999999999</v>
      </c>
      <c r="D60" s="648">
        <v>132.377256154024</v>
      </c>
      <c r="E60" s="654">
        <v>1.2927611027999999</v>
      </c>
      <c r="F60" s="647">
        <v>504</v>
      </c>
      <c r="G60" s="648">
        <v>84</v>
      </c>
      <c r="H60" s="650">
        <v>45.82253</v>
      </c>
      <c r="I60" s="647">
        <v>83.019369999999995</v>
      </c>
      <c r="J60" s="648">
        <v>-0.98063</v>
      </c>
      <c r="K60" s="655">
        <v>0.16472097222199999</v>
      </c>
    </row>
    <row r="61" spans="1:11" ht="14.4" customHeight="1" thickBot="1" x14ac:dyDescent="0.35">
      <c r="A61" s="664" t="s">
        <v>403</v>
      </c>
      <c r="B61" s="642">
        <v>0</v>
      </c>
      <c r="C61" s="642">
        <v>38.923000000000002</v>
      </c>
      <c r="D61" s="643">
        <v>38.923000000000002</v>
      </c>
      <c r="E61" s="652" t="s">
        <v>345</v>
      </c>
      <c r="F61" s="642">
        <v>18</v>
      </c>
      <c r="G61" s="643">
        <v>3</v>
      </c>
      <c r="H61" s="645">
        <v>0</v>
      </c>
      <c r="I61" s="642">
        <v>0</v>
      </c>
      <c r="J61" s="643">
        <v>-3</v>
      </c>
      <c r="K61" s="646">
        <v>0</v>
      </c>
    </row>
    <row r="62" spans="1:11" ht="14.4" customHeight="1" thickBot="1" x14ac:dyDescent="0.35">
      <c r="A62" s="664" t="s">
        <v>404</v>
      </c>
      <c r="B62" s="642">
        <v>0</v>
      </c>
      <c r="C62" s="642">
        <v>29.239450000000001</v>
      </c>
      <c r="D62" s="643">
        <v>29.239450000000001</v>
      </c>
      <c r="E62" s="652" t="s">
        <v>345</v>
      </c>
      <c r="F62" s="642">
        <v>36</v>
      </c>
      <c r="G62" s="643">
        <v>6</v>
      </c>
      <c r="H62" s="645">
        <v>0.98136000000000001</v>
      </c>
      <c r="I62" s="642">
        <v>3.23319</v>
      </c>
      <c r="J62" s="643">
        <v>-2.76681</v>
      </c>
      <c r="K62" s="646">
        <v>8.9810833332999995E-2</v>
      </c>
    </row>
    <row r="63" spans="1:11" ht="14.4" customHeight="1" thickBot="1" x14ac:dyDescent="0.35">
      <c r="A63" s="664" t="s">
        <v>405</v>
      </c>
      <c r="B63" s="642">
        <v>0</v>
      </c>
      <c r="C63" s="642">
        <v>35.915999999999997</v>
      </c>
      <c r="D63" s="643">
        <v>35.915999999999997</v>
      </c>
      <c r="E63" s="652" t="s">
        <v>388</v>
      </c>
      <c r="F63" s="642">
        <v>0</v>
      </c>
      <c r="G63" s="643">
        <v>0</v>
      </c>
      <c r="H63" s="645">
        <v>0</v>
      </c>
      <c r="I63" s="642">
        <v>0</v>
      </c>
      <c r="J63" s="643">
        <v>0</v>
      </c>
      <c r="K63" s="653" t="s">
        <v>345</v>
      </c>
    </row>
    <row r="64" spans="1:11" ht="14.4" customHeight="1" thickBot="1" x14ac:dyDescent="0.35">
      <c r="A64" s="664" t="s">
        <v>406</v>
      </c>
      <c r="B64" s="642">
        <v>0</v>
      </c>
      <c r="C64" s="642">
        <v>13.802490000000001</v>
      </c>
      <c r="D64" s="643">
        <v>13.802490000000001</v>
      </c>
      <c r="E64" s="652" t="s">
        <v>345</v>
      </c>
      <c r="F64" s="642">
        <v>0</v>
      </c>
      <c r="G64" s="643">
        <v>0</v>
      </c>
      <c r="H64" s="645">
        <v>0</v>
      </c>
      <c r="I64" s="642">
        <v>0.90020999999999995</v>
      </c>
      <c r="J64" s="643">
        <v>0.90020999999999995</v>
      </c>
      <c r="K64" s="653" t="s">
        <v>345</v>
      </c>
    </row>
    <row r="65" spans="1:11" ht="14.4" customHeight="1" thickBot="1" x14ac:dyDescent="0.35">
      <c r="A65" s="664" t="s">
        <v>407</v>
      </c>
      <c r="B65" s="642">
        <v>76.201055811116007</v>
      </c>
      <c r="C65" s="642">
        <v>83.102119999999999</v>
      </c>
      <c r="D65" s="643">
        <v>6.9010641888829998</v>
      </c>
      <c r="E65" s="644">
        <v>1.0905638920009999</v>
      </c>
      <c r="F65" s="642">
        <v>80</v>
      </c>
      <c r="G65" s="643">
        <v>13.333333333333</v>
      </c>
      <c r="H65" s="645">
        <v>4.4268400000000003</v>
      </c>
      <c r="I65" s="642">
        <v>14.37349</v>
      </c>
      <c r="J65" s="643">
        <v>1.040156666666</v>
      </c>
      <c r="K65" s="646">
        <v>0.179668625</v>
      </c>
    </row>
    <row r="66" spans="1:11" ht="14.4" customHeight="1" thickBot="1" x14ac:dyDescent="0.35">
      <c r="A66" s="664" t="s">
        <v>408</v>
      </c>
      <c r="B66" s="642">
        <v>228.21025698049201</v>
      </c>
      <c r="C66" s="642">
        <v>235.13235</v>
      </c>
      <c r="D66" s="643">
        <v>6.9220930195079999</v>
      </c>
      <c r="E66" s="644">
        <v>1.030332085468</v>
      </c>
      <c r="F66" s="642">
        <v>225</v>
      </c>
      <c r="G66" s="643">
        <v>37.5</v>
      </c>
      <c r="H66" s="645">
        <v>29.067889999999998</v>
      </c>
      <c r="I66" s="642">
        <v>36.842649999999999</v>
      </c>
      <c r="J66" s="643">
        <v>-0.65734999999900001</v>
      </c>
      <c r="K66" s="646">
        <v>0.16374511111100001</v>
      </c>
    </row>
    <row r="67" spans="1:11" ht="14.4" customHeight="1" thickBot="1" x14ac:dyDescent="0.35">
      <c r="A67" s="664" t="s">
        <v>409</v>
      </c>
      <c r="B67" s="642">
        <v>147.756871054367</v>
      </c>
      <c r="C67" s="642">
        <v>148.43002999999999</v>
      </c>
      <c r="D67" s="643">
        <v>0.67315894563199996</v>
      </c>
      <c r="E67" s="644">
        <v>1.004555855445</v>
      </c>
      <c r="F67" s="642">
        <v>145</v>
      </c>
      <c r="G67" s="643">
        <v>24.166666666666</v>
      </c>
      <c r="H67" s="645">
        <v>11.346439999999999</v>
      </c>
      <c r="I67" s="642">
        <v>27.669830000000001</v>
      </c>
      <c r="J67" s="643">
        <v>3.5031633333330001</v>
      </c>
      <c r="K67" s="646">
        <v>0.190826413793</v>
      </c>
    </row>
    <row r="68" spans="1:11" ht="14.4" customHeight="1" thickBot="1" x14ac:dyDescent="0.35">
      <c r="A68" s="663" t="s">
        <v>410</v>
      </c>
      <c r="B68" s="647">
        <v>0</v>
      </c>
      <c r="C68" s="647">
        <v>53.217799999999997</v>
      </c>
      <c r="D68" s="648">
        <v>53.217799999999997</v>
      </c>
      <c r="E68" s="649" t="s">
        <v>345</v>
      </c>
      <c r="F68" s="647">
        <v>0</v>
      </c>
      <c r="G68" s="648">
        <v>0</v>
      </c>
      <c r="H68" s="650">
        <v>3.161</v>
      </c>
      <c r="I68" s="647">
        <v>3.161</v>
      </c>
      <c r="J68" s="648">
        <v>3.161</v>
      </c>
      <c r="K68" s="651" t="s">
        <v>345</v>
      </c>
    </row>
    <row r="69" spans="1:11" ht="14.4" customHeight="1" thickBot="1" x14ac:dyDescent="0.35">
      <c r="A69" s="664" t="s">
        <v>411</v>
      </c>
      <c r="B69" s="642">
        <v>0</v>
      </c>
      <c r="C69" s="642">
        <v>53.217799999999997</v>
      </c>
      <c r="D69" s="643">
        <v>53.217799999999997</v>
      </c>
      <c r="E69" s="652" t="s">
        <v>345</v>
      </c>
      <c r="F69" s="642">
        <v>0</v>
      </c>
      <c r="G69" s="643">
        <v>0</v>
      </c>
      <c r="H69" s="645">
        <v>3.161</v>
      </c>
      <c r="I69" s="642">
        <v>3.161</v>
      </c>
      <c r="J69" s="643">
        <v>3.161</v>
      </c>
      <c r="K69" s="653" t="s">
        <v>345</v>
      </c>
    </row>
    <row r="70" spans="1:11" ht="14.4" customHeight="1" thickBot="1" x14ac:dyDescent="0.35">
      <c r="A70" s="662" t="s">
        <v>35</v>
      </c>
      <c r="B70" s="642">
        <v>925.83345453418599</v>
      </c>
      <c r="C70" s="642">
        <v>912.43400000000099</v>
      </c>
      <c r="D70" s="643">
        <v>-13.399454534185001</v>
      </c>
      <c r="E70" s="644">
        <v>0.98552714371100003</v>
      </c>
      <c r="F70" s="642">
        <v>918.48901825886298</v>
      </c>
      <c r="G70" s="643">
        <v>153.08150304314401</v>
      </c>
      <c r="H70" s="645">
        <v>95.847999999999999</v>
      </c>
      <c r="I70" s="642">
        <v>217.39599999999999</v>
      </c>
      <c r="J70" s="643">
        <v>64.314496956856004</v>
      </c>
      <c r="K70" s="646">
        <v>0.236688730815</v>
      </c>
    </row>
    <row r="71" spans="1:11" ht="14.4" customHeight="1" thickBot="1" x14ac:dyDescent="0.35">
      <c r="A71" s="663" t="s">
        <v>412</v>
      </c>
      <c r="B71" s="647">
        <v>925.83345453418599</v>
      </c>
      <c r="C71" s="647">
        <v>912.43400000000099</v>
      </c>
      <c r="D71" s="648">
        <v>-13.399454534185001</v>
      </c>
      <c r="E71" s="654">
        <v>0.98552714371100003</v>
      </c>
      <c r="F71" s="647">
        <v>918.48901825886298</v>
      </c>
      <c r="G71" s="648">
        <v>153.08150304314401</v>
      </c>
      <c r="H71" s="650">
        <v>95.847999999999999</v>
      </c>
      <c r="I71" s="647">
        <v>217.39599999999999</v>
      </c>
      <c r="J71" s="648">
        <v>64.314496956856004</v>
      </c>
      <c r="K71" s="655">
        <v>0.236688730815</v>
      </c>
    </row>
    <row r="72" spans="1:11" ht="14.4" customHeight="1" thickBot="1" x14ac:dyDescent="0.35">
      <c r="A72" s="664" t="s">
        <v>413</v>
      </c>
      <c r="B72" s="642">
        <v>277.309548879305</v>
      </c>
      <c r="C72" s="642">
        <v>248.16800000000001</v>
      </c>
      <c r="D72" s="643">
        <v>-29.141548879304999</v>
      </c>
      <c r="E72" s="644">
        <v>0.89491328734499997</v>
      </c>
      <c r="F72" s="642">
        <v>255.12099999999899</v>
      </c>
      <c r="G72" s="643">
        <v>42.520166666666</v>
      </c>
      <c r="H72" s="645">
        <v>19.023</v>
      </c>
      <c r="I72" s="642">
        <v>38.628</v>
      </c>
      <c r="J72" s="643">
        <v>-3.8921666666660002</v>
      </c>
      <c r="K72" s="646">
        <v>0.15141050717099999</v>
      </c>
    </row>
    <row r="73" spans="1:11" ht="14.4" customHeight="1" thickBot="1" x14ac:dyDescent="0.35">
      <c r="A73" s="664" t="s">
        <v>414</v>
      </c>
      <c r="B73" s="642">
        <v>68.842428629005994</v>
      </c>
      <c r="C73" s="642">
        <v>71.634</v>
      </c>
      <c r="D73" s="643">
        <v>2.7915713709930001</v>
      </c>
      <c r="E73" s="644">
        <v>1.0405501581879999</v>
      </c>
      <c r="F73" s="642">
        <v>77.368018258866002</v>
      </c>
      <c r="G73" s="643">
        <v>12.894669709811</v>
      </c>
      <c r="H73" s="645">
        <v>5.9189999999999996</v>
      </c>
      <c r="I73" s="642">
        <v>13.538</v>
      </c>
      <c r="J73" s="643">
        <v>0.64333029018800003</v>
      </c>
      <c r="K73" s="646">
        <v>0.174981863367</v>
      </c>
    </row>
    <row r="74" spans="1:11" ht="14.4" customHeight="1" thickBot="1" x14ac:dyDescent="0.35">
      <c r="A74" s="664" t="s">
        <v>415</v>
      </c>
      <c r="B74" s="642">
        <v>579.68147702587396</v>
      </c>
      <c r="C74" s="642">
        <v>592.63199999999995</v>
      </c>
      <c r="D74" s="643">
        <v>12.950522974126001</v>
      </c>
      <c r="E74" s="644">
        <v>1.0223407569280001</v>
      </c>
      <c r="F74" s="642">
        <v>585.99999999999795</v>
      </c>
      <c r="G74" s="643">
        <v>97.666666666666003</v>
      </c>
      <c r="H74" s="645">
        <v>70.906000000000006</v>
      </c>
      <c r="I74" s="642">
        <v>165.23</v>
      </c>
      <c r="J74" s="643">
        <v>67.563333333333006</v>
      </c>
      <c r="K74" s="646">
        <v>0.28196245733699998</v>
      </c>
    </row>
    <row r="75" spans="1:11" ht="14.4" customHeight="1" thickBot="1" x14ac:dyDescent="0.35">
      <c r="A75" s="662" t="s">
        <v>36</v>
      </c>
      <c r="B75" s="642">
        <v>160.00001444471701</v>
      </c>
      <c r="C75" s="642">
        <v>166.79854</v>
      </c>
      <c r="D75" s="643">
        <v>6.7985255552819996</v>
      </c>
      <c r="E75" s="644">
        <v>1.042490780884</v>
      </c>
      <c r="F75" s="642">
        <v>150</v>
      </c>
      <c r="G75" s="643">
        <v>25</v>
      </c>
      <c r="H75" s="645">
        <v>35.053229999999999</v>
      </c>
      <c r="I75" s="642">
        <v>35.053229999999999</v>
      </c>
      <c r="J75" s="643">
        <v>10.053229999999999</v>
      </c>
      <c r="K75" s="646">
        <v>0.23368820000000001</v>
      </c>
    </row>
    <row r="76" spans="1:11" ht="14.4" customHeight="1" thickBot="1" x14ac:dyDescent="0.35">
      <c r="A76" s="663" t="s">
        <v>416</v>
      </c>
      <c r="B76" s="647">
        <v>160.00001444471701</v>
      </c>
      <c r="C76" s="647">
        <v>166.79854</v>
      </c>
      <c r="D76" s="648">
        <v>6.7985255552819996</v>
      </c>
      <c r="E76" s="654">
        <v>1.042490780884</v>
      </c>
      <c r="F76" s="647">
        <v>150</v>
      </c>
      <c r="G76" s="648">
        <v>25</v>
      </c>
      <c r="H76" s="650">
        <v>35.053229999999999</v>
      </c>
      <c r="I76" s="647">
        <v>35.053229999999999</v>
      </c>
      <c r="J76" s="648">
        <v>10.053229999999999</v>
      </c>
      <c r="K76" s="655">
        <v>0.23368820000000001</v>
      </c>
    </row>
    <row r="77" spans="1:11" ht="14.4" customHeight="1" thickBot="1" x14ac:dyDescent="0.35">
      <c r="A77" s="664" t="s">
        <v>417</v>
      </c>
      <c r="B77" s="642">
        <v>160.00001444471701</v>
      </c>
      <c r="C77" s="642">
        <v>166.79854</v>
      </c>
      <c r="D77" s="643">
        <v>6.7985255552819996</v>
      </c>
      <c r="E77" s="644">
        <v>1.042490780884</v>
      </c>
      <c r="F77" s="642">
        <v>150</v>
      </c>
      <c r="G77" s="643">
        <v>25</v>
      </c>
      <c r="H77" s="645">
        <v>35.053229999999999</v>
      </c>
      <c r="I77" s="642">
        <v>35.053229999999999</v>
      </c>
      <c r="J77" s="643">
        <v>10.053229999999999</v>
      </c>
      <c r="K77" s="646">
        <v>0.23368820000000001</v>
      </c>
    </row>
    <row r="78" spans="1:11" ht="14.4" customHeight="1" thickBot="1" x14ac:dyDescent="0.35">
      <c r="A78" s="665" t="s">
        <v>418</v>
      </c>
      <c r="B78" s="647">
        <v>2892.6969835301302</v>
      </c>
      <c r="C78" s="647">
        <v>3213.5118200000002</v>
      </c>
      <c r="D78" s="648">
        <v>320.81483646987198</v>
      </c>
      <c r="E78" s="654">
        <v>1.110905095935</v>
      </c>
      <c r="F78" s="647">
        <v>3976.6711672251799</v>
      </c>
      <c r="G78" s="648">
        <v>662.77852787086294</v>
      </c>
      <c r="H78" s="650">
        <v>254.83765</v>
      </c>
      <c r="I78" s="647">
        <v>482.03876000000002</v>
      </c>
      <c r="J78" s="648">
        <v>-180.73976787086301</v>
      </c>
      <c r="K78" s="655">
        <v>0.121216650743</v>
      </c>
    </row>
    <row r="79" spans="1:11" ht="14.4" customHeight="1" thickBot="1" x14ac:dyDescent="0.35">
      <c r="A79" s="662" t="s">
        <v>38</v>
      </c>
      <c r="B79" s="642">
        <v>706.461813989235</v>
      </c>
      <c r="C79" s="642">
        <v>824.73942</v>
      </c>
      <c r="D79" s="643">
        <v>118.277606010765</v>
      </c>
      <c r="E79" s="644">
        <v>1.1674225041870001</v>
      </c>
      <c r="F79" s="642">
        <v>1779.4619554352601</v>
      </c>
      <c r="G79" s="643">
        <v>296.57699257254302</v>
      </c>
      <c r="H79" s="645">
        <v>72.40146</v>
      </c>
      <c r="I79" s="642">
        <v>127.54279</v>
      </c>
      <c r="J79" s="643">
        <v>-169.03420257254299</v>
      </c>
      <c r="K79" s="646">
        <v>7.1674918145999994E-2</v>
      </c>
    </row>
    <row r="80" spans="1:11" ht="14.4" customHeight="1" thickBot="1" x14ac:dyDescent="0.35">
      <c r="A80" s="666" t="s">
        <v>419</v>
      </c>
      <c r="B80" s="642">
        <v>706.461813989235</v>
      </c>
      <c r="C80" s="642">
        <v>824.73942</v>
      </c>
      <c r="D80" s="643">
        <v>118.277606010765</v>
      </c>
      <c r="E80" s="644">
        <v>1.1674225041870001</v>
      </c>
      <c r="F80" s="642">
        <v>1779.4619554352601</v>
      </c>
      <c r="G80" s="643">
        <v>296.57699257254302</v>
      </c>
      <c r="H80" s="645">
        <v>72.40146</v>
      </c>
      <c r="I80" s="642">
        <v>127.54279</v>
      </c>
      <c r="J80" s="643">
        <v>-169.03420257254299</v>
      </c>
      <c r="K80" s="646">
        <v>7.1674918145999994E-2</v>
      </c>
    </row>
    <row r="81" spans="1:11" ht="14.4" customHeight="1" thickBot="1" x14ac:dyDescent="0.35">
      <c r="A81" s="664" t="s">
        <v>420</v>
      </c>
      <c r="B81" s="642">
        <v>466.17534985731498</v>
      </c>
      <c r="C81" s="642">
        <v>624.38832000000002</v>
      </c>
      <c r="D81" s="643">
        <v>158.21297014268501</v>
      </c>
      <c r="E81" s="644">
        <v>1.339385105177</v>
      </c>
      <c r="F81" s="642">
        <v>643.31689410824401</v>
      </c>
      <c r="G81" s="643">
        <v>107.219482351374</v>
      </c>
      <c r="H81" s="645">
        <v>63.509149999999998</v>
      </c>
      <c r="I81" s="642">
        <v>99.985590000000002</v>
      </c>
      <c r="J81" s="643">
        <v>-7.233892351373</v>
      </c>
      <c r="K81" s="646">
        <v>0.15542198707300001</v>
      </c>
    </row>
    <row r="82" spans="1:11" ht="14.4" customHeight="1" thickBot="1" x14ac:dyDescent="0.35">
      <c r="A82" s="664" t="s">
        <v>421</v>
      </c>
      <c r="B82" s="642">
        <v>96.022053474914003</v>
      </c>
      <c r="C82" s="642">
        <v>38.38008</v>
      </c>
      <c r="D82" s="643">
        <v>-57.641973474914003</v>
      </c>
      <c r="E82" s="644">
        <v>0.39970067928199998</v>
      </c>
      <c r="F82" s="642">
        <v>34.939282857016998</v>
      </c>
      <c r="G82" s="643">
        <v>5.8232138095019996</v>
      </c>
      <c r="H82" s="645">
        <v>0.41049000000000002</v>
      </c>
      <c r="I82" s="642">
        <v>15.53912</v>
      </c>
      <c r="J82" s="643">
        <v>9.7159061904969999</v>
      </c>
      <c r="K82" s="646">
        <v>0.44474639229399998</v>
      </c>
    </row>
    <row r="83" spans="1:11" ht="14.4" customHeight="1" thickBot="1" x14ac:dyDescent="0.35">
      <c r="A83" s="664" t="s">
        <v>422</v>
      </c>
      <c r="B83" s="642">
        <v>49.295563715653998</v>
      </c>
      <c r="C83" s="642">
        <v>83.652159999999995</v>
      </c>
      <c r="D83" s="643">
        <v>34.356596284345002</v>
      </c>
      <c r="E83" s="644">
        <v>1.6969510782449999</v>
      </c>
      <c r="F83" s="642">
        <v>1023.20577847</v>
      </c>
      <c r="G83" s="643">
        <v>170.53429641166599</v>
      </c>
      <c r="H83" s="645">
        <v>5.2998000000000003</v>
      </c>
      <c r="I83" s="642">
        <v>5.2998000000000003</v>
      </c>
      <c r="J83" s="643">
        <v>-165.23449641166599</v>
      </c>
      <c r="K83" s="646">
        <v>5.1796032729999998E-3</v>
      </c>
    </row>
    <row r="84" spans="1:11" ht="14.4" customHeight="1" thickBot="1" x14ac:dyDescent="0.35">
      <c r="A84" s="664" t="s">
        <v>423</v>
      </c>
      <c r="B84" s="642">
        <v>93.001059138816998</v>
      </c>
      <c r="C84" s="642">
        <v>78.318860000000001</v>
      </c>
      <c r="D84" s="643">
        <v>-14.682199138816999</v>
      </c>
      <c r="E84" s="644">
        <v>0.84212868891199999</v>
      </c>
      <c r="F84" s="642">
        <v>77.999999999999005</v>
      </c>
      <c r="G84" s="643">
        <v>12.999999999999</v>
      </c>
      <c r="H84" s="645">
        <v>3.1820200000000001</v>
      </c>
      <c r="I84" s="642">
        <v>6.71828</v>
      </c>
      <c r="J84" s="643">
        <v>-6.2817199999989999</v>
      </c>
      <c r="K84" s="646">
        <v>8.6131794871000006E-2</v>
      </c>
    </row>
    <row r="85" spans="1:11" ht="14.4" customHeight="1" thickBot="1" x14ac:dyDescent="0.35">
      <c r="A85" s="664" t="s">
        <v>424</v>
      </c>
      <c r="B85" s="642">
        <v>1.967787802533</v>
      </c>
      <c r="C85" s="642">
        <v>0</v>
      </c>
      <c r="D85" s="643">
        <v>-1.967787802533</v>
      </c>
      <c r="E85" s="644">
        <v>0</v>
      </c>
      <c r="F85" s="642">
        <v>0</v>
      </c>
      <c r="G85" s="643">
        <v>0</v>
      </c>
      <c r="H85" s="645">
        <v>0</v>
      </c>
      <c r="I85" s="642">
        <v>0</v>
      </c>
      <c r="J85" s="643">
        <v>0</v>
      </c>
      <c r="K85" s="646">
        <v>2</v>
      </c>
    </row>
    <row r="86" spans="1:11" ht="14.4" customHeight="1" thickBot="1" x14ac:dyDescent="0.35">
      <c r="A86" s="667" t="s">
        <v>39</v>
      </c>
      <c r="B86" s="647">
        <v>0</v>
      </c>
      <c r="C86" s="647">
        <v>115.43899999999999</v>
      </c>
      <c r="D86" s="648">
        <v>115.43899999999999</v>
      </c>
      <c r="E86" s="649" t="s">
        <v>345</v>
      </c>
      <c r="F86" s="647">
        <v>0</v>
      </c>
      <c r="G86" s="648">
        <v>0</v>
      </c>
      <c r="H86" s="650">
        <v>2.794</v>
      </c>
      <c r="I86" s="647">
        <v>8.2959999999999994</v>
      </c>
      <c r="J86" s="648">
        <v>8.2959999999999994</v>
      </c>
      <c r="K86" s="651" t="s">
        <v>345</v>
      </c>
    </row>
    <row r="87" spans="1:11" ht="14.4" customHeight="1" thickBot="1" x14ac:dyDescent="0.35">
      <c r="A87" s="663" t="s">
        <v>425</v>
      </c>
      <c r="B87" s="647">
        <v>0</v>
      </c>
      <c r="C87" s="647">
        <v>91.724000000000004</v>
      </c>
      <c r="D87" s="648">
        <v>91.724000000000004</v>
      </c>
      <c r="E87" s="649" t="s">
        <v>345</v>
      </c>
      <c r="F87" s="647">
        <v>0</v>
      </c>
      <c r="G87" s="648">
        <v>0</v>
      </c>
      <c r="H87" s="650">
        <v>2.794</v>
      </c>
      <c r="I87" s="647">
        <v>8.2959999999999994</v>
      </c>
      <c r="J87" s="648">
        <v>8.2959999999999994</v>
      </c>
      <c r="K87" s="651" t="s">
        <v>345</v>
      </c>
    </row>
    <row r="88" spans="1:11" ht="14.4" customHeight="1" thickBot="1" x14ac:dyDescent="0.35">
      <c r="A88" s="664" t="s">
        <v>426</v>
      </c>
      <c r="B88" s="642">
        <v>0</v>
      </c>
      <c r="C88" s="642">
        <v>86.603999999999999</v>
      </c>
      <c r="D88" s="643">
        <v>86.603999999999999</v>
      </c>
      <c r="E88" s="652" t="s">
        <v>345</v>
      </c>
      <c r="F88" s="642">
        <v>0</v>
      </c>
      <c r="G88" s="643">
        <v>0</v>
      </c>
      <c r="H88" s="645">
        <v>1.1339999999999999</v>
      </c>
      <c r="I88" s="642">
        <v>4.976</v>
      </c>
      <c r="J88" s="643">
        <v>4.976</v>
      </c>
      <c r="K88" s="653" t="s">
        <v>345</v>
      </c>
    </row>
    <row r="89" spans="1:11" ht="14.4" customHeight="1" thickBot="1" x14ac:dyDescent="0.35">
      <c r="A89" s="664" t="s">
        <v>427</v>
      </c>
      <c r="B89" s="642">
        <v>0</v>
      </c>
      <c r="C89" s="642">
        <v>5.12</v>
      </c>
      <c r="D89" s="643">
        <v>5.12</v>
      </c>
      <c r="E89" s="652" t="s">
        <v>388</v>
      </c>
      <c r="F89" s="642">
        <v>0</v>
      </c>
      <c r="G89" s="643">
        <v>0</v>
      </c>
      <c r="H89" s="645">
        <v>1.66</v>
      </c>
      <c r="I89" s="642">
        <v>3.32</v>
      </c>
      <c r="J89" s="643">
        <v>3.32</v>
      </c>
      <c r="K89" s="653" t="s">
        <v>345</v>
      </c>
    </row>
    <row r="90" spans="1:11" ht="14.4" customHeight="1" thickBot="1" x14ac:dyDescent="0.35">
      <c r="A90" s="663" t="s">
        <v>428</v>
      </c>
      <c r="B90" s="647">
        <v>0</v>
      </c>
      <c r="C90" s="647">
        <v>23.715</v>
      </c>
      <c r="D90" s="648">
        <v>23.715</v>
      </c>
      <c r="E90" s="649" t="s">
        <v>388</v>
      </c>
      <c r="F90" s="647">
        <v>0</v>
      </c>
      <c r="G90" s="648">
        <v>0</v>
      </c>
      <c r="H90" s="650">
        <v>0</v>
      </c>
      <c r="I90" s="647">
        <v>0</v>
      </c>
      <c r="J90" s="648">
        <v>0</v>
      </c>
      <c r="K90" s="651" t="s">
        <v>345</v>
      </c>
    </row>
    <row r="91" spans="1:11" ht="14.4" customHeight="1" thickBot="1" x14ac:dyDescent="0.35">
      <c r="A91" s="664" t="s">
        <v>429</v>
      </c>
      <c r="B91" s="642">
        <v>0</v>
      </c>
      <c r="C91" s="642">
        <v>23.715</v>
      </c>
      <c r="D91" s="643">
        <v>23.715</v>
      </c>
      <c r="E91" s="652" t="s">
        <v>388</v>
      </c>
      <c r="F91" s="642">
        <v>0</v>
      </c>
      <c r="G91" s="643">
        <v>0</v>
      </c>
      <c r="H91" s="645">
        <v>0</v>
      </c>
      <c r="I91" s="642">
        <v>0</v>
      </c>
      <c r="J91" s="643">
        <v>0</v>
      </c>
      <c r="K91" s="653" t="s">
        <v>345</v>
      </c>
    </row>
    <row r="92" spans="1:11" ht="14.4" customHeight="1" thickBot="1" x14ac:dyDescent="0.35">
      <c r="A92" s="662" t="s">
        <v>40</v>
      </c>
      <c r="B92" s="642">
        <v>2186.2351695409002</v>
      </c>
      <c r="C92" s="642">
        <v>2273.3334</v>
      </c>
      <c r="D92" s="643">
        <v>87.098230459106006</v>
      </c>
      <c r="E92" s="644">
        <v>1.039839369374</v>
      </c>
      <c r="F92" s="642">
        <v>2197.2092117899201</v>
      </c>
      <c r="G92" s="643">
        <v>366.20153529831998</v>
      </c>
      <c r="H92" s="645">
        <v>179.64219</v>
      </c>
      <c r="I92" s="642">
        <v>346.19997000000001</v>
      </c>
      <c r="J92" s="643">
        <v>-20.001565298319001</v>
      </c>
      <c r="K92" s="646">
        <v>0.15756349834200001</v>
      </c>
    </row>
    <row r="93" spans="1:11" ht="14.4" customHeight="1" thickBot="1" x14ac:dyDescent="0.35">
      <c r="A93" s="663" t="s">
        <v>430</v>
      </c>
      <c r="B93" s="647">
        <v>1.9125733208619999</v>
      </c>
      <c r="C93" s="647">
        <v>0.40967999999999999</v>
      </c>
      <c r="D93" s="648">
        <v>-1.5028933208619999</v>
      </c>
      <c r="E93" s="654">
        <v>0.21420355263300001</v>
      </c>
      <c r="F93" s="647">
        <v>0.45462523583600001</v>
      </c>
      <c r="G93" s="648">
        <v>7.5770872638999995E-2</v>
      </c>
      <c r="H93" s="650">
        <v>0</v>
      </c>
      <c r="I93" s="647">
        <v>0</v>
      </c>
      <c r="J93" s="648">
        <v>-7.5770872638999995E-2</v>
      </c>
      <c r="K93" s="655">
        <v>0</v>
      </c>
    </row>
    <row r="94" spans="1:11" ht="14.4" customHeight="1" thickBot="1" x14ac:dyDescent="0.35">
      <c r="A94" s="664" t="s">
        <v>431</v>
      </c>
      <c r="B94" s="642">
        <v>1.9125733208619999</v>
      </c>
      <c r="C94" s="642">
        <v>0.40967999999999999</v>
      </c>
      <c r="D94" s="643">
        <v>-1.5028933208619999</v>
      </c>
      <c r="E94" s="644">
        <v>0.21420355263300001</v>
      </c>
      <c r="F94" s="642">
        <v>0.45462523583600001</v>
      </c>
      <c r="G94" s="643">
        <v>7.5770872638999995E-2</v>
      </c>
      <c r="H94" s="645">
        <v>0</v>
      </c>
      <c r="I94" s="642">
        <v>0</v>
      </c>
      <c r="J94" s="643">
        <v>-7.5770872638999995E-2</v>
      </c>
      <c r="K94" s="646">
        <v>0</v>
      </c>
    </row>
    <row r="95" spans="1:11" ht="14.4" customHeight="1" thickBot="1" x14ac:dyDescent="0.35">
      <c r="A95" s="663" t="s">
        <v>432</v>
      </c>
      <c r="B95" s="647">
        <v>28.627799549561001</v>
      </c>
      <c r="C95" s="647">
        <v>46.295589999999997</v>
      </c>
      <c r="D95" s="648">
        <v>17.667790450438002</v>
      </c>
      <c r="E95" s="654">
        <v>1.6171550286230001</v>
      </c>
      <c r="F95" s="647">
        <v>48.967963329017003</v>
      </c>
      <c r="G95" s="648">
        <v>8.1613272215020007</v>
      </c>
      <c r="H95" s="650">
        <v>3.78091</v>
      </c>
      <c r="I95" s="647">
        <v>5.45329</v>
      </c>
      <c r="J95" s="648">
        <v>-2.7080372215019999</v>
      </c>
      <c r="K95" s="655">
        <v>0.111364443796</v>
      </c>
    </row>
    <row r="96" spans="1:11" ht="14.4" customHeight="1" thickBot="1" x14ac:dyDescent="0.35">
      <c r="A96" s="664" t="s">
        <v>433</v>
      </c>
      <c r="B96" s="642">
        <v>9.1531969115620004</v>
      </c>
      <c r="C96" s="642">
        <v>17.452999999999999</v>
      </c>
      <c r="D96" s="643">
        <v>8.2998030884370007</v>
      </c>
      <c r="E96" s="644">
        <v>1.90676549064</v>
      </c>
      <c r="F96" s="642">
        <v>15.672915836472001</v>
      </c>
      <c r="G96" s="643">
        <v>2.6121526394119998</v>
      </c>
      <c r="H96" s="645">
        <v>1.3279000000000001</v>
      </c>
      <c r="I96" s="642">
        <v>2.6373000000000002</v>
      </c>
      <c r="J96" s="643">
        <v>2.5147360587000001E-2</v>
      </c>
      <c r="K96" s="646">
        <v>0.16827117732999999</v>
      </c>
    </row>
    <row r="97" spans="1:11" ht="14.4" customHeight="1" thickBot="1" x14ac:dyDescent="0.35">
      <c r="A97" s="664" t="s">
        <v>434</v>
      </c>
      <c r="B97" s="642">
        <v>19.474602637998998</v>
      </c>
      <c r="C97" s="642">
        <v>28.842590000000001</v>
      </c>
      <c r="D97" s="643">
        <v>9.3679873619999992</v>
      </c>
      <c r="E97" s="644">
        <v>1.4810361236180001</v>
      </c>
      <c r="F97" s="642">
        <v>33.295047492545002</v>
      </c>
      <c r="G97" s="643">
        <v>5.54917458209</v>
      </c>
      <c r="H97" s="645">
        <v>2.4530099999999999</v>
      </c>
      <c r="I97" s="642">
        <v>2.8159900000000002</v>
      </c>
      <c r="J97" s="643">
        <v>-2.7331845820899998</v>
      </c>
      <c r="K97" s="646">
        <v>8.4576842865999993E-2</v>
      </c>
    </row>
    <row r="98" spans="1:11" ht="14.4" customHeight="1" thickBot="1" x14ac:dyDescent="0.35">
      <c r="A98" s="663" t="s">
        <v>435</v>
      </c>
      <c r="B98" s="647">
        <v>107.600604492887</v>
      </c>
      <c r="C98" s="647">
        <v>94.261110000000002</v>
      </c>
      <c r="D98" s="648">
        <v>-13.339494492887001</v>
      </c>
      <c r="E98" s="654">
        <v>0.876027699326</v>
      </c>
      <c r="F98" s="647">
        <v>106</v>
      </c>
      <c r="G98" s="648">
        <v>17.666666666666</v>
      </c>
      <c r="H98" s="650">
        <v>0.88427</v>
      </c>
      <c r="I98" s="647">
        <v>60.987290000000002</v>
      </c>
      <c r="J98" s="648">
        <v>43.320623333333003</v>
      </c>
      <c r="K98" s="655">
        <v>0.57535179245199997</v>
      </c>
    </row>
    <row r="99" spans="1:11" ht="14.4" customHeight="1" thickBot="1" x14ac:dyDescent="0.35">
      <c r="A99" s="664" t="s">
        <v>436</v>
      </c>
      <c r="B99" s="642">
        <v>14.999976126967001</v>
      </c>
      <c r="C99" s="642">
        <v>18.36</v>
      </c>
      <c r="D99" s="643">
        <v>3.360023873032</v>
      </c>
      <c r="E99" s="644">
        <v>1.2240019480419999</v>
      </c>
      <c r="F99" s="642">
        <v>22</v>
      </c>
      <c r="G99" s="643">
        <v>3.6666666666659999</v>
      </c>
      <c r="H99" s="645">
        <v>0</v>
      </c>
      <c r="I99" s="642">
        <v>5.4</v>
      </c>
      <c r="J99" s="643">
        <v>1.7333333333330001</v>
      </c>
      <c r="K99" s="646">
        <v>0.245454545454</v>
      </c>
    </row>
    <row r="100" spans="1:11" ht="14.4" customHeight="1" thickBot="1" x14ac:dyDescent="0.35">
      <c r="A100" s="664" t="s">
        <v>437</v>
      </c>
      <c r="B100" s="642">
        <v>92.600628365918993</v>
      </c>
      <c r="C100" s="642">
        <v>75.901110000000003</v>
      </c>
      <c r="D100" s="643">
        <v>-16.699518365919001</v>
      </c>
      <c r="E100" s="644">
        <v>0.81966085262400001</v>
      </c>
      <c r="F100" s="642">
        <v>84</v>
      </c>
      <c r="G100" s="643">
        <v>14</v>
      </c>
      <c r="H100" s="645">
        <v>0.88427</v>
      </c>
      <c r="I100" s="642">
        <v>55.587290000000003</v>
      </c>
      <c r="J100" s="643">
        <v>41.587290000000003</v>
      </c>
      <c r="K100" s="646">
        <v>0.66175345238000005</v>
      </c>
    </row>
    <row r="101" spans="1:11" ht="14.4" customHeight="1" thickBot="1" x14ac:dyDescent="0.35">
      <c r="A101" s="663" t="s">
        <v>438</v>
      </c>
      <c r="B101" s="647">
        <v>3.6262425408209999</v>
      </c>
      <c r="C101" s="647">
        <v>0</v>
      </c>
      <c r="D101" s="648">
        <v>-3.6262425408209999</v>
      </c>
      <c r="E101" s="654">
        <v>0</v>
      </c>
      <c r="F101" s="647">
        <v>0</v>
      </c>
      <c r="G101" s="648">
        <v>0</v>
      </c>
      <c r="H101" s="650">
        <v>0</v>
      </c>
      <c r="I101" s="647">
        <v>0</v>
      </c>
      <c r="J101" s="648">
        <v>0</v>
      </c>
      <c r="K101" s="655">
        <v>2</v>
      </c>
    </row>
    <row r="102" spans="1:11" ht="14.4" customHeight="1" thickBot="1" x14ac:dyDescent="0.35">
      <c r="A102" s="664" t="s">
        <v>439</v>
      </c>
      <c r="B102" s="642">
        <v>3.6262425408209999</v>
      </c>
      <c r="C102" s="642">
        <v>0</v>
      </c>
      <c r="D102" s="643">
        <v>-3.6262425408209999</v>
      </c>
      <c r="E102" s="644">
        <v>0</v>
      </c>
      <c r="F102" s="642">
        <v>0</v>
      </c>
      <c r="G102" s="643">
        <v>0</v>
      </c>
      <c r="H102" s="645">
        <v>0</v>
      </c>
      <c r="I102" s="642">
        <v>0</v>
      </c>
      <c r="J102" s="643">
        <v>0</v>
      </c>
      <c r="K102" s="646">
        <v>2</v>
      </c>
    </row>
    <row r="103" spans="1:11" ht="14.4" customHeight="1" thickBot="1" x14ac:dyDescent="0.35">
      <c r="A103" s="663" t="s">
        <v>440</v>
      </c>
      <c r="B103" s="647">
        <v>940.91985121241305</v>
      </c>
      <c r="C103" s="647">
        <v>937.43306000000098</v>
      </c>
      <c r="D103" s="648">
        <v>-3.4867912124120002</v>
      </c>
      <c r="E103" s="654">
        <v>0.99629427394000003</v>
      </c>
      <c r="F103" s="647">
        <v>1002.54025007302</v>
      </c>
      <c r="G103" s="648">
        <v>167.090041678837</v>
      </c>
      <c r="H103" s="650">
        <v>77.509829999999994</v>
      </c>
      <c r="I103" s="647">
        <v>155.81953999999999</v>
      </c>
      <c r="J103" s="648">
        <v>-11.270501678837</v>
      </c>
      <c r="K103" s="655">
        <v>0.155424722337</v>
      </c>
    </row>
    <row r="104" spans="1:11" ht="14.4" customHeight="1" thickBot="1" x14ac:dyDescent="0.35">
      <c r="A104" s="664" t="s">
        <v>441</v>
      </c>
      <c r="B104" s="642">
        <v>783.69933827571003</v>
      </c>
      <c r="C104" s="642">
        <v>782.98335999999995</v>
      </c>
      <c r="D104" s="643">
        <v>-0.71597827570899997</v>
      </c>
      <c r="E104" s="644">
        <v>0.99908641204500004</v>
      </c>
      <c r="F104" s="642">
        <v>810.00000000000102</v>
      </c>
      <c r="G104" s="643">
        <v>135</v>
      </c>
      <c r="H104" s="645">
        <v>65.282089999999997</v>
      </c>
      <c r="I104" s="642">
        <v>130.56417999999999</v>
      </c>
      <c r="J104" s="643">
        <v>-4.4358199999999997</v>
      </c>
      <c r="K104" s="646">
        <v>0.16119034567900001</v>
      </c>
    </row>
    <row r="105" spans="1:11" ht="14.4" customHeight="1" thickBot="1" x14ac:dyDescent="0.35">
      <c r="A105" s="664" t="s">
        <v>442</v>
      </c>
      <c r="B105" s="642">
        <v>157.22051293670401</v>
      </c>
      <c r="C105" s="642">
        <v>154.44970000000001</v>
      </c>
      <c r="D105" s="643">
        <v>-2.7708129367029999</v>
      </c>
      <c r="E105" s="644">
        <v>0.98237626321799998</v>
      </c>
      <c r="F105" s="642">
        <v>192.54025007302101</v>
      </c>
      <c r="G105" s="643">
        <v>32.090041678836002</v>
      </c>
      <c r="H105" s="645">
        <v>12.227740000000001</v>
      </c>
      <c r="I105" s="642">
        <v>25.25536</v>
      </c>
      <c r="J105" s="643">
        <v>-6.8346816788359996</v>
      </c>
      <c r="K105" s="646">
        <v>0.131169248977</v>
      </c>
    </row>
    <row r="106" spans="1:11" ht="14.4" customHeight="1" thickBot="1" x14ac:dyDescent="0.35">
      <c r="A106" s="663" t="s">
        <v>443</v>
      </c>
      <c r="B106" s="647">
        <v>0</v>
      </c>
      <c r="C106" s="647">
        <v>29.75</v>
      </c>
      <c r="D106" s="648">
        <v>29.75</v>
      </c>
      <c r="E106" s="649" t="s">
        <v>388</v>
      </c>
      <c r="F106" s="647">
        <v>0</v>
      </c>
      <c r="G106" s="648">
        <v>0</v>
      </c>
      <c r="H106" s="650">
        <v>0</v>
      </c>
      <c r="I106" s="647">
        <v>0</v>
      </c>
      <c r="J106" s="648">
        <v>0</v>
      </c>
      <c r="K106" s="651" t="s">
        <v>345</v>
      </c>
    </row>
    <row r="107" spans="1:11" ht="14.4" customHeight="1" thickBot="1" x14ac:dyDescent="0.35">
      <c r="A107" s="664" t="s">
        <v>444</v>
      </c>
      <c r="B107" s="642">
        <v>0</v>
      </c>
      <c r="C107" s="642">
        <v>29.75</v>
      </c>
      <c r="D107" s="643">
        <v>29.75</v>
      </c>
      <c r="E107" s="652" t="s">
        <v>388</v>
      </c>
      <c r="F107" s="642">
        <v>0</v>
      </c>
      <c r="G107" s="643">
        <v>0</v>
      </c>
      <c r="H107" s="645">
        <v>0</v>
      </c>
      <c r="I107" s="642">
        <v>0</v>
      </c>
      <c r="J107" s="643">
        <v>0</v>
      </c>
      <c r="K107" s="653" t="s">
        <v>345</v>
      </c>
    </row>
    <row r="108" spans="1:11" ht="14.4" customHeight="1" thickBot="1" x14ac:dyDescent="0.35">
      <c r="A108" s="663" t="s">
        <v>445</v>
      </c>
      <c r="B108" s="647">
        <v>1103.3333590126399</v>
      </c>
      <c r="C108" s="647">
        <v>1093.6331499999999</v>
      </c>
      <c r="D108" s="648">
        <v>-9.7002090126430005</v>
      </c>
      <c r="E108" s="654">
        <v>0.99120826998099998</v>
      </c>
      <c r="F108" s="647">
        <v>1032.58506183654</v>
      </c>
      <c r="G108" s="648">
        <v>172.09751030608999</v>
      </c>
      <c r="H108" s="650">
        <v>97.467179999999999</v>
      </c>
      <c r="I108" s="647">
        <v>123.93985000000001</v>
      </c>
      <c r="J108" s="648">
        <v>-48.157660306090001</v>
      </c>
      <c r="K108" s="655">
        <v>0.120028707155</v>
      </c>
    </row>
    <row r="109" spans="1:11" ht="14.4" customHeight="1" thickBot="1" x14ac:dyDescent="0.35">
      <c r="A109" s="664" t="s">
        <v>446</v>
      </c>
      <c r="B109" s="642">
        <v>0</v>
      </c>
      <c r="C109" s="642">
        <v>0</v>
      </c>
      <c r="D109" s="643">
        <v>0</v>
      </c>
      <c r="E109" s="652" t="s">
        <v>345</v>
      </c>
      <c r="F109" s="642">
        <v>35.302999999999003</v>
      </c>
      <c r="G109" s="643">
        <v>5.8838333333330004</v>
      </c>
      <c r="H109" s="645">
        <v>0</v>
      </c>
      <c r="I109" s="642">
        <v>0</v>
      </c>
      <c r="J109" s="643">
        <v>-5.8838333333330004</v>
      </c>
      <c r="K109" s="646">
        <v>0</v>
      </c>
    </row>
    <row r="110" spans="1:11" ht="14.4" customHeight="1" thickBot="1" x14ac:dyDescent="0.35">
      <c r="A110" s="664" t="s">
        <v>447</v>
      </c>
      <c r="B110" s="642">
        <v>828.32696041884003</v>
      </c>
      <c r="C110" s="642">
        <v>1004.3595299999999</v>
      </c>
      <c r="D110" s="643">
        <v>176.03256958116199</v>
      </c>
      <c r="E110" s="644">
        <v>1.2125158035320001</v>
      </c>
      <c r="F110" s="642">
        <v>863.64175711514804</v>
      </c>
      <c r="G110" s="643">
        <v>143.940292852525</v>
      </c>
      <c r="H110" s="645">
        <v>80.297280000000001</v>
      </c>
      <c r="I110" s="642">
        <v>103.26778</v>
      </c>
      <c r="J110" s="643">
        <v>-40.672512852524001</v>
      </c>
      <c r="K110" s="646">
        <v>0.119572472207</v>
      </c>
    </row>
    <row r="111" spans="1:11" ht="14.4" customHeight="1" thickBot="1" x14ac:dyDescent="0.35">
      <c r="A111" s="664" t="s">
        <v>448</v>
      </c>
      <c r="B111" s="642">
        <v>1.999996816928</v>
      </c>
      <c r="C111" s="642">
        <v>2.2067999999999999</v>
      </c>
      <c r="D111" s="643">
        <v>0.20680318307100001</v>
      </c>
      <c r="E111" s="644">
        <v>1.1034017561030001</v>
      </c>
      <c r="F111" s="642">
        <v>2</v>
      </c>
      <c r="G111" s="643">
        <v>0.33333333333300003</v>
      </c>
      <c r="H111" s="645">
        <v>0</v>
      </c>
      <c r="I111" s="642">
        <v>0</v>
      </c>
      <c r="J111" s="643">
        <v>-0.33333333333300003</v>
      </c>
      <c r="K111" s="646">
        <v>0</v>
      </c>
    </row>
    <row r="112" spans="1:11" ht="14.4" customHeight="1" thickBot="1" x14ac:dyDescent="0.35">
      <c r="A112" s="664" t="s">
        <v>449</v>
      </c>
      <c r="B112" s="642">
        <v>38.625818272111999</v>
      </c>
      <c r="C112" s="642">
        <v>3.0540400000000001</v>
      </c>
      <c r="D112" s="643">
        <v>-35.571778272111999</v>
      </c>
      <c r="E112" s="644">
        <v>7.9067321718999994E-2</v>
      </c>
      <c r="F112" s="642">
        <v>3.6698650705540001</v>
      </c>
      <c r="G112" s="643">
        <v>0.61164417842499996</v>
      </c>
      <c r="H112" s="645">
        <v>17.169899999999998</v>
      </c>
      <c r="I112" s="642">
        <v>17.169899999999998</v>
      </c>
      <c r="J112" s="643">
        <v>16.558255821574001</v>
      </c>
      <c r="K112" s="646">
        <v>4.6786188783240004</v>
      </c>
    </row>
    <row r="113" spans="1:11" ht="14.4" customHeight="1" thickBot="1" x14ac:dyDescent="0.35">
      <c r="A113" s="664" t="s">
        <v>450</v>
      </c>
      <c r="B113" s="642">
        <v>234.38058350476399</v>
      </c>
      <c r="C113" s="642">
        <v>84.012780000000006</v>
      </c>
      <c r="D113" s="643">
        <v>-150.367803504764</v>
      </c>
      <c r="E113" s="644">
        <v>0.35844598875700001</v>
      </c>
      <c r="F113" s="642">
        <v>127.97043965084001</v>
      </c>
      <c r="G113" s="643">
        <v>21.328406608472999</v>
      </c>
      <c r="H113" s="645">
        <v>0</v>
      </c>
      <c r="I113" s="642">
        <v>3.50217</v>
      </c>
      <c r="J113" s="643">
        <v>-17.826236608473</v>
      </c>
      <c r="K113" s="646">
        <v>2.7367023271000001E-2</v>
      </c>
    </row>
    <row r="114" spans="1:11" ht="14.4" customHeight="1" thickBot="1" x14ac:dyDescent="0.35">
      <c r="A114" s="663" t="s">
        <v>451</v>
      </c>
      <c r="B114" s="647">
        <v>0</v>
      </c>
      <c r="C114" s="647">
        <v>5.5175999999999998</v>
      </c>
      <c r="D114" s="648">
        <v>5.5175999999999998</v>
      </c>
      <c r="E114" s="649" t="s">
        <v>388</v>
      </c>
      <c r="F114" s="647">
        <v>0</v>
      </c>
      <c r="G114" s="648">
        <v>0</v>
      </c>
      <c r="H114" s="650">
        <v>0</v>
      </c>
      <c r="I114" s="647">
        <v>0</v>
      </c>
      <c r="J114" s="648">
        <v>0</v>
      </c>
      <c r="K114" s="651" t="s">
        <v>345</v>
      </c>
    </row>
    <row r="115" spans="1:11" ht="14.4" customHeight="1" thickBot="1" x14ac:dyDescent="0.35">
      <c r="A115" s="664" t="s">
        <v>452</v>
      </c>
      <c r="B115" s="642">
        <v>0</v>
      </c>
      <c r="C115" s="642">
        <v>5.5175999999999998</v>
      </c>
      <c r="D115" s="643">
        <v>5.5175999999999998</v>
      </c>
      <c r="E115" s="652" t="s">
        <v>388</v>
      </c>
      <c r="F115" s="642">
        <v>0</v>
      </c>
      <c r="G115" s="643">
        <v>0</v>
      </c>
      <c r="H115" s="645">
        <v>0</v>
      </c>
      <c r="I115" s="642">
        <v>0</v>
      </c>
      <c r="J115" s="643">
        <v>0</v>
      </c>
      <c r="K115" s="653" t="s">
        <v>345</v>
      </c>
    </row>
    <row r="116" spans="1:11" ht="14.4" customHeight="1" thickBot="1" x14ac:dyDescent="0.35">
      <c r="A116" s="663" t="s">
        <v>453</v>
      </c>
      <c r="B116" s="647">
        <v>0.21473941170499999</v>
      </c>
      <c r="C116" s="647">
        <v>47.883209999999998</v>
      </c>
      <c r="D116" s="648">
        <v>47.668470588293999</v>
      </c>
      <c r="E116" s="654">
        <v>222.98286849049001</v>
      </c>
      <c r="F116" s="647">
        <v>6.661311315501</v>
      </c>
      <c r="G116" s="648">
        <v>1.110218552583</v>
      </c>
      <c r="H116" s="650">
        <v>0</v>
      </c>
      <c r="I116" s="647">
        <v>0</v>
      </c>
      <c r="J116" s="648">
        <v>-1.110218552583</v>
      </c>
      <c r="K116" s="655">
        <v>0</v>
      </c>
    </row>
    <row r="117" spans="1:11" ht="14.4" customHeight="1" thickBot="1" x14ac:dyDescent="0.35">
      <c r="A117" s="664" t="s">
        <v>454</v>
      </c>
      <c r="B117" s="642">
        <v>0</v>
      </c>
      <c r="C117" s="642">
        <v>18.149999999999999</v>
      </c>
      <c r="D117" s="643">
        <v>18.149999999999999</v>
      </c>
      <c r="E117" s="652" t="s">
        <v>388</v>
      </c>
      <c r="F117" s="642">
        <v>0</v>
      </c>
      <c r="G117" s="643">
        <v>0</v>
      </c>
      <c r="H117" s="645">
        <v>0</v>
      </c>
      <c r="I117" s="642">
        <v>0</v>
      </c>
      <c r="J117" s="643">
        <v>0</v>
      </c>
      <c r="K117" s="653" t="s">
        <v>345</v>
      </c>
    </row>
    <row r="118" spans="1:11" ht="14.4" customHeight="1" thickBot="1" x14ac:dyDescent="0.35">
      <c r="A118" s="664" t="s">
        <v>455</v>
      </c>
      <c r="B118" s="642">
        <v>0.21473941170499999</v>
      </c>
      <c r="C118" s="642">
        <v>4.55281</v>
      </c>
      <c r="D118" s="643">
        <v>4.3380705882940003</v>
      </c>
      <c r="E118" s="644">
        <v>21.201557570851001</v>
      </c>
      <c r="F118" s="642">
        <v>6.661311315501</v>
      </c>
      <c r="G118" s="643">
        <v>1.110218552583</v>
      </c>
      <c r="H118" s="645">
        <v>0</v>
      </c>
      <c r="I118" s="642">
        <v>0</v>
      </c>
      <c r="J118" s="643">
        <v>-1.110218552583</v>
      </c>
      <c r="K118" s="646">
        <v>0</v>
      </c>
    </row>
    <row r="119" spans="1:11" ht="14.4" customHeight="1" thickBot="1" x14ac:dyDescent="0.35">
      <c r="A119" s="664" t="s">
        <v>456</v>
      </c>
      <c r="B119" s="642">
        <v>0</v>
      </c>
      <c r="C119" s="642">
        <v>6.4253999999999998</v>
      </c>
      <c r="D119" s="643">
        <v>6.4253999999999998</v>
      </c>
      <c r="E119" s="652" t="s">
        <v>345</v>
      </c>
      <c r="F119" s="642">
        <v>0</v>
      </c>
      <c r="G119" s="643">
        <v>0</v>
      </c>
      <c r="H119" s="645">
        <v>0</v>
      </c>
      <c r="I119" s="642">
        <v>0</v>
      </c>
      <c r="J119" s="643">
        <v>0</v>
      </c>
      <c r="K119" s="646">
        <v>2</v>
      </c>
    </row>
    <row r="120" spans="1:11" ht="14.4" customHeight="1" thickBot="1" x14ac:dyDescent="0.35">
      <c r="A120" s="664" t="s">
        <v>457</v>
      </c>
      <c r="B120" s="642">
        <v>0</v>
      </c>
      <c r="C120" s="642">
        <v>18.754999999999999</v>
      </c>
      <c r="D120" s="643">
        <v>18.754999999999999</v>
      </c>
      <c r="E120" s="652" t="s">
        <v>388</v>
      </c>
      <c r="F120" s="642">
        <v>0</v>
      </c>
      <c r="G120" s="643">
        <v>0</v>
      </c>
      <c r="H120" s="645">
        <v>0</v>
      </c>
      <c r="I120" s="642">
        <v>0</v>
      </c>
      <c r="J120" s="643">
        <v>0</v>
      </c>
      <c r="K120" s="653" t="s">
        <v>345</v>
      </c>
    </row>
    <row r="121" spans="1:11" ht="14.4" customHeight="1" thickBot="1" x14ac:dyDescent="0.35">
      <c r="A121" s="663" t="s">
        <v>458</v>
      </c>
      <c r="B121" s="647">
        <v>0</v>
      </c>
      <c r="C121" s="647">
        <v>18.149999999999999</v>
      </c>
      <c r="D121" s="648">
        <v>18.149999999999999</v>
      </c>
      <c r="E121" s="649" t="s">
        <v>388</v>
      </c>
      <c r="F121" s="647">
        <v>0</v>
      </c>
      <c r="G121" s="648">
        <v>0</v>
      </c>
      <c r="H121" s="650">
        <v>0</v>
      </c>
      <c r="I121" s="647">
        <v>0</v>
      </c>
      <c r="J121" s="648">
        <v>0</v>
      </c>
      <c r="K121" s="651" t="s">
        <v>345</v>
      </c>
    </row>
    <row r="122" spans="1:11" ht="14.4" customHeight="1" thickBot="1" x14ac:dyDescent="0.35">
      <c r="A122" s="664" t="s">
        <v>459</v>
      </c>
      <c r="B122" s="642">
        <v>0</v>
      </c>
      <c r="C122" s="642">
        <v>18.149999999999999</v>
      </c>
      <c r="D122" s="643">
        <v>18.149999999999999</v>
      </c>
      <c r="E122" s="652" t="s">
        <v>388</v>
      </c>
      <c r="F122" s="642">
        <v>0</v>
      </c>
      <c r="G122" s="643">
        <v>0</v>
      </c>
      <c r="H122" s="645">
        <v>0</v>
      </c>
      <c r="I122" s="642">
        <v>0</v>
      </c>
      <c r="J122" s="643">
        <v>0</v>
      </c>
      <c r="K122" s="653" t="s">
        <v>345</v>
      </c>
    </row>
    <row r="123" spans="1:11" ht="14.4" customHeight="1" thickBot="1" x14ac:dyDescent="0.35">
      <c r="A123" s="661" t="s">
        <v>41</v>
      </c>
      <c r="B123" s="642">
        <v>45907.004144460698</v>
      </c>
      <c r="C123" s="642">
        <v>48915.815770000001</v>
      </c>
      <c r="D123" s="643">
        <v>3008.8116255393202</v>
      </c>
      <c r="E123" s="644">
        <v>1.06554145019</v>
      </c>
      <c r="F123" s="642">
        <v>49825</v>
      </c>
      <c r="G123" s="643">
        <v>8304.1666666666697</v>
      </c>
      <c r="H123" s="645">
        <v>3810.5251400000002</v>
      </c>
      <c r="I123" s="642">
        <v>7752.4254000000001</v>
      </c>
      <c r="J123" s="643">
        <v>-551.74126666666996</v>
      </c>
      <c r="K123" s="646">
        <v>0.15559308379299999</v>
      </c>
    </row>
    <row r="124" spans="1:11" ht="14.4" customHeight="1" thickBot="1" x14ac:dyDescent="0.35">
      <c r="A124" s="667" t="s">
        <v>460</v>
      </c>
      <c r="B124" s="647">
        <v>33949.003064898498</v>
      </c>
      <c r="C124" s="647">
        <v>36215.442000000003</v>
      </c>
      <c r="D124" s="648">
        <v>2266.4389351014902</v>
      </c>
      <c r="E124" s="654">
        <v>1.066760102815</v>
      </c>
      <c r="F124" s="647">
        <v>36699</v>
      </c>
      <c r="G124" s="648">
        <v>6116.5</v>
      </c>
      <c r="H124" s="650">
        <v>2805.73</v>
      </c>
      <c r="I124" s="647">
        <v>5707.0659999999998</v>
      </c>
      <c r="J124" s="648">
        <v>-409.43400000000503</v>
      </c>
      <c r="K124" s="655">
        <v>0.155510122891</v>
      </c>
    </row>
    <row r="125" spans="1:11" ht="14.4" customHeight="1" thickBot="1" x14ac:dyDescent="0.35">
      <c r="A125" s="663" t="s">
        <v>461</v>
      </c>
      <c r="B125" s="647">
        <v>33685.003041064701</v>
      </c>
      <c r="C125" s="647">
        <v>35985.260999999999</v>
      </c>
      <c r="D125" s="648">
        <v>2300.2579589352899</v>
      </c>
      <c r="E125" s="654">
        <v>1.068287301507</v>
      </c>
      <c r="F125" s="647">
        <v>36457</v>
      </c>
      <c r="G125" s="648">
        <v>6076.1666666666697</v>
      </c>
      <c r="H125" s="650">
        <v>2788.3020000000001</v>
      </c>
      <c r="I125" s="647">
        <v>5663.2920000000004</v>
      </c>
      <c r="J125" s="648">
        <v>-412.87466666667098</v>
      </c>
      <c r="K125" s="655">
        <v>0.15534169020999999</v>
      </c>
    </row>
    <row r="126" spans="1:11" ht="14.4" customHeight="1" thickBot="1" x14ac:dyDescent="0.35">
      <c r="A126" s="664" t="s">
        <v>462</v>
      </c>
      <c r="B126" s="642">
        <v>33685.003041064701</v>
      </c>
      <c r="C126" s="642">
        <v>35985.260999999999</v>
      </c>
      <c r="D126" s="643">
        <v>2300.2579589352899</v>
      </c>
      <c r="E126" s="644">
        <v>1.068287301507</v>
      </c>
      <c r="F126" s="642">
        <v>36457</v>
      </c>
      <c r="G126" s="643">
        <v>6076.1666666666697</v>
      </c>
      <c r="H126" s="645">
        <v>2788.3020000000001</v>
      </c>
      <c r="I126" s="642">
        <v>5663.2920000000004</v>
      </c>
      <c r="J126" s="643">
        <v>-412.87466666667098</v>
      </c>
      <c r="K126" s="646">
        <v>0.15534169020999999</v>
      </c>
    </row>
    <row r="127" spans="1:11" ht="14.4" customHeight="1" thickBot="1" x14ac:dyDescent="0.35">
      <c r="A127" s="663" t="s">
        <v>463</v>
      </c>
      <c r="B127" s="647">
        <v>168.000015166955</v>
      </c>
      <c r="C127" s="647">
        <v>147.69</v>
      </c>
      <c r="D127" s="648">
        <v>-20.310015166953999</v>
      </c>
      <c r="E127" s="654">
        <v>0.87910706349099998</v>
      </c>
      <c r="F127" s="647">
        <v>140</v>
      </c>
      <c r="G127" s="648">
        <v>23.333333333333002</v>
      </c>
      <c r="H127" s="650">
        <v>15.765000000000001</v>
      </c>
      <c r="I127" s="647">
        <v>34.704999999999998</v>
      </c>
      <c r="J127" s="648">
        <v>11.371666666666</v>
      </c>
      <c r="K127" s="655">
        <v>0.24789285714199999</v>
      </c>
    </row>
    <row r="128" spans="1:11" ht="14.4" customHeight="1" thickBot="1" x14ac:dyDescent="0.35">
      <c r="A128" s="664" t="s">
        <v>464</v>
      </c>
      <c r="B128" s="642">
        <v>168.000015166955</v>
      </c>
      <c r="C128" s="642">
        <v>147.69</v>
      </c>
      <c r="D128" s="643">
        <v>-20.310015166953999</v>
      </c>
      <c r="E128" s="644">
        <v>0.87910706349099998</v>
      </c>
      <c r="F128" s="642">
        <v>140</v>
      </c>
      <c r="G128" s="643">
        <v>23.333333333333002</v>
      </c>
      <c r="H128" s="645">
        <v>15.765000000000001</v>
      </c>
      <c r="I128" s="642">
        <v>34.704999999999998</v>
      </c>
      <c r="J128" s="643">
        <v>11.371666666666</v>
      </c>
      <c r="K128" s="646">
        <v>0.24789285714199999</v>
      </c>
    </row>
    <row r="129" spans="1:11" ht="14.4" customHeight="1" thickBot="1" x14ac:dyDescent="0.35">
      <c r="A129" s="663" t="s">
        <v>465</v>
      </c>
      <c r="B129" s="647">
        <v>96.000008666830993</v>
      </c>
      <c r="C129" s="647">
        <v>82.491</v>
      </c>
      <c r="D129" s="648">
        <v>-13.509008666831001</v>
      </c>
      <c r="E129" s="654">
        <v>0.85928117242400004</v>
      </c>
      <c r="F129" s="647">
        <v>102</v>
      </c>
      <c r="G129" s="648">
        <v>17</v>
      </c>
      <c r="H129" s="650">
        <v>1.663</v>
      </c>
      <c r="I129" s="647">
        <v>9.0690000000000008</v>
      </c>
      <c r="J129" s="648">
        <v>-7.931</v>
      </c>
      <c r="K129" s="655">
        <v>8.8911764704999993E-2</v>
      </c>
    </row>
    <row r="130" spans="1:11" ht="14.4" customHeight="1" thickBot="1" x14ac:dyDescent="0.35">
      <c r="A130" s="664" t="s">
        <v>466</v>
      </c>
      <c r="B130" s="642">
        <v>96.000008666830993</v>
      </c>
      <c r="C130" s="642">
        <v>82.491</v>
      </c>
      <c r="D130" s="643">
        <v>-13.509008666831001</v>
      </c>
      <c r="E130" s="644">
        <v>0.85928117242400004</v>
      </c>
      <c r="F130" s="642">
        <v>102</v>
      </c>
      <c r="G130" s="643">
        <v>17</v>
      </c>
      <c r="H130" s="645">
        <v>1.663</v>
      </c>
      <c r="I130" s="642">
        <v>9.0690000000000008</v>
      </c>
      <c r="J130" s="643">
        <v>-7.931</v>
      </c>
      <c r="K130" s="646">
        <v>8.8911764704999993E-2</v>
      </c>
    </row>
    <row r="131" spans="1:11" ht="14.4" customHeight="1" thickBot="1" x14ac:dyDescent="0.35">
      <c r="A131" s="662" t="s">
        <v>467</v>
      </c>
      <c r="B131" s="642">
        <v>11453.001033971001</v>
      </c>
      <c r="C131" s="642">
        <v>12159.36045</v>
      </c>
      <c r="D131" s="643">
        <v>706.35941602896696</v>
      </c>
      <c r="E131" s="644">
        <v>1.0616746138349999</v>
      </c>
      <c r="F131" s="642">
        <v>12396</v>
      </c>
      <c r="G131" s="643">
        <v>2066</v>
      </c>
      <c r="H131" s="645">
        <v>948.99329999999998</v>
      </c>
      <c r="I131" s="642">
        <v>1931.9108000000001</v>
      </c>
      <c r="J131" s="643">
        <v>-134.08919999999799</v>
      </c>
      <c r="K131" s="646">
        <v>0.15584953210700001</v>
      </c>
    </row>
    <row r="132" spans="1:11" ht="14.4" customHeight="1" thickBot="1" x14ac:dyDescent="0.35">
      <c r="A132" s="663" t="s">
        <v>468</v>
      </c>
      <c r="B132" s="647">
        <v>3032.0002737274199</v>
      </c>
      <c r="C132" s="647">
        <v>3244.3694700000001</v>
      </c>
      <c r="D132" s="648">
        <v>212.369196272577</v>
      </c>
      <c r="E132" s="654">
        <v>1.0700426045839999</v>
      </c>
      <c r="F132" s="647">
        <v>3280.99999999999</v>
      </c>
      <c r="G132" s="648">
        <v>546.83333333333098</v>
      </c>
      <c r="H132" s="650">
        <v>251.19905</v>
      </c>
      <c r="I132" s="647">
        <v>511.38155</v>
      </c>
      <c r="J132" s="648">
        <v>-35.451783333331001</v>
      </c>
      <c r="K132" s="655">
        <v>0.15586149039899999</v>
      </c>
    </row>
    <row r="133" spans="1:11" ht="14.4" customHeight="1" thickBot="1" x14ac:dyDescent="0.35">
      <c r="A133" s="664" t="s">
        <v>469</v>
      </c>
      <c r="B133" s="642">
        <v>3032.0002737274199</v>
      </c>
      <c r="C133" s="642">
        <v>3244.3694700000001</v>
      </c>
      <c r="D133" s="643">
        <v>212.369196272577</v>
      </c>
      <c r="E133" s="644">
        <v>1.0700426045839999</v>
      </c>
      <c r="F133" s="642">
        <v>3280.99999999999</v>
      </c>
      <c r="G133" s="643">
        <v>546.83333333333098</v>
      </c>
      <c r="H133" s="645">
        <v>251.19905</v>
      </c>
      <c r="I133" s="642">
        <v>511.38155</v>
      </c>
      <c r="J133" s="643">
        <v>-35.451783333331001</v>
      </c>
      <c r="K133" s="646">
        <v>0.15586149039899999</v>
      </c>
    </row>
    <row r="134" spans="1:11" ht="14.4" customHeight="1" thickBot="1" x14ac:dyDescent="0.35">
      <c r="A134" s="663" t="s">
        <v>470</v>
      </c>
      <c r="B134" s="647">
        <v>8421.0007602436108</v>
      </c>
      <c r="C134" s="647">
        <v>8914.9909800000005</v>
      </c>
      <c r="D134" s="648">
        <v>493.99021975639198</v>
      </c>
      <c r="E134" s="654">
        <v>1.058661699935</v>
      </c>
      <c r="F134" s="647">
        <v>9115</v>
      </c>
      <c r="G134" s="648">
        <v>1519.1666666666699</v>
      </c>
      <c r="H134" s="650">
        <v>697.79425000000003</v>
      </c>
      <c r="I134" s="647">
        <v>1420.52925</v>
      </c>
      <c r="J134" s="648">
        <v>-98.637416666665999</v>
      </c>
      <c r="K134" s="655">
        <v>0.15584522764600001</v>
      </c>
    </row>
    <row r="135" spans="1:11" ht="14.4" customHeight="1" thickBot="1" x14ac:dyDescent="0.35">
      <c r="A135" s="664" t="s">
        <v>471</v>
      </c>
      <c r="B135" s="642">
        <v>8421.0007602436108</v>
      </c>
      <c r="C135" s="642">
        <v>8914.9909800000005</v>
      </c>
      <c r="D135" s="643">
        <v>493.99021975639198</v>
      </c>
      <c r="E135" s="644">
        <v>1.058661699935</v>
      </c>
      <c r="F135" s="642">
        <v>9115</v>
      </c>
      <c r="G135" s="643">
        <v>1519.1666666666699</v>
      </c>
      <c r="H135" s="645">
        <v>697.79425000000003</v>
      </c>
      <c r="I135" s="642">
        <v>1420.52925</v>
      </c>
      <c r="J135" s="643">
        <v>-98.637416666665999</v>
      </c>
      <c r="K135" s="646">
        <v>0.15584522764600001</v>
      </c>
    </row>
    <row r="136" spans="1:11" ht="14.4" customHeight="1" thickBot="1" x14ac:dyDescent="0.35">
      <c r="A136" s="662" t="s">
        <v>472</v>
      </c>
      <c r="B136" s="642">
        <v>505.00004559114399</v>
      </c>
      <c r="C136" s="642">
        <v>541.01332000000002</v>
      </c>
      <c r="D136" s="643">
        <v>36.013274408855999</v>
      </c>
      <c r="E136" s="644">
        <v>1.0713134082319999</v>
      </c>
      <c r="F136" s="642">
        <v>730.00000000000102</v>
      </c>
      <c r="G136" s="643">
        <v>121.666666666667</v>
      </c>
      <c r="H136" s="645">
        <v>55.801839999999999</v>
      </c>
      <c r="I136" s="642">
        <v>113.4486</v>
      </c>
      <c r="J136" s="643">
        <v>-8.2180666666659992</v>
      </c>
      <c r="K136" s="646">
        <v>0.15540904109500001</v>
      </c>
    </row>
    <row r="137" spans="1:11" ht="14.4" customHeight="1" thickBot="1" x14ac:dyDescent="0.35">
      <c r="A137" s="663" t="s">
        <v>473</v>
      </c>
      <c r="B137" s="647">
        <v>505.00004559114399</v>
      </c>
      <c r="C137" s="647">
        <v>541.01332000000002</v>
      </c>
      <c r="D137" s="648">
        <v>36.013274408855999</v>
      </c>
      <c r="E137" s="654">
        <v>1.0713134082319999</v>
      </c>
      <c r="F137" s="647">
        <v>730.00000000000102</v>
      </c>
      <c r="G137" s="648">
        <v>121.666666666667</v>
      </c>
      <c r="H137" s="650">
        <v>55.801839999999999</v>
      </c>
      <c r="I137" s="647">
        <v>113.4486</v>
      </c>
      <c r="J137" s="648">
        <v>-8.2180666666659992</v>
      </c>
      <c r="K137" s="655">
        <v>0.15540904109500001</v>
      </c>
    </row>
    <row r="138" spans="1:11" ht="14.4" customHeight="1" thickBot="1" x14ac:dyDescent="0.35">
      <c r="A138" s="664" t="s">
        <v>474</v>
      </c>
      <c r="B138" s="642">
        <v>505.00004559114399</v>
      </c>
      <c r="C138" s="642">
        <v>541.01332000000002</v>
      </c>
      <c r="D138" s="643">
        <v>36.013274408855999</v>
      </c>
      <c r="E138" s="644">
        <v>1.0713134082319999</v>
      </c>
      <c r="F138" s="642">
        <v>730.00000000000102</v>
      </c>
      <c r="G138" s="643">
        <v>121.666666666667</v>
      </c>
      <c r="H138" s="645">
        <v>55.801839999999999</v>
      </c>
      <c r="I138" s="642">
        <v>113.4486</v>
      </c>
      <c r="J138" s="643">
        <v>-8.2180666666659992</v>
      </c>
      <c r="K138" s="646">
        <v>0.15540904109500001</v>
      </c>
    </row>
    <row r="139" spans="1:11" ht="14.4" customHeight="1" thickBot="1" x14ac:dyDescent="0.35">
      <c r="A139" s="661" t="s">
        <v>475</v>
      </c>
      <c r="B139" s="642">
        <v>0</v>
      </c>
      <c r="C139" s="642">
        <v>67.992900000000006</v>
      </c>
      <c r="D139" s="643">
        <v>67.992900000000006</v>
      </c>
      <c r="E139" s="652" t="s">
        <v>345</v>
      </c>
      <c r="F139" s="642">
        <v>0</v>
      </c>
      <c r="G139" s="643">
        <v>0</v>
      </c>
      <c r="H139" s="645">
        <v>3.9138700000000002</v>
      </c>
      <c r="I139" s="642">
        <v>14.535489999999999</v>
      </c>
      <c r="J139" s="643">
        <v>14.535489999999999</v>
      </c>
      <c r="K139" s="653" t="s">
        <v>345</v>
      </c>
    </row>
    <row r="140" spans="1:11" ht="14.4" customHeight="1" thickBot="1" x14ac:dyDescent="0.35">
      <c r="A140" s="662" t="s">
        <v>476</v>
      </c>
      <c r="B140" s="642">
        <v>0</v>
      </c>
      <c r="C140" s="642">
        <v>67.992900000000006</v>
      </c>
      <c r="D140" s="643">
        <v>67.992900000000006</v>
      </c>
      <c r="E140" s="652" t="s">
        <v>345</v>
      </c>
      <c r="F140" s="642">
        <v>0</v>
      </c>
      <c r="G140" s="643">
        <v>0</v>
      </c>
      <c r="H140" s="645">
        <v>3.9138700000000002</v>
      </c>
      <c r="I140" s="642">
        <v>14.535489999999999</v>
      </c>
      <c r="J140" s="643">
        <v>14.535489999999999</v>
      </c>
      <c r="K140" s="653" t="s">
        <v>345</v>
      </c>
    </row>
    <row r="141" spans="1:11" ht="14.4" customHeight="1" thickBot="1" x14ac:dyDescent="0.35">
      <c r="A141" s="663" t="s">
        <v>477</v>
      </c>
      <c r="B141" s="647">
        <v>0</v>
      </c>
      <c r="C141" s="647">
        <v>59.8249</v>
      </c>
      <c r="D141" s="648">
        <v>59.8249</v>
      </c>
      <c r="E141" s="649" t="s">
        <v>345</v>
      </c>
      <c r="F141" s="647">
        <v>0</v>
      </c>
      <c r="G141" s="648">
        <v>0</v>
      </c>
      <c r="H141" s="650">
        <v>3.9138700000000002</v>
      </c>
      <c r="I141" s="647">
        <v>11.635490000000001</v>
      </c>
      <c r="J141" s="648">
        <v>11.635490000000001</v>
      </c>
      <c r="K141" s="651" t="s">
        <v>345</v>
      </c>
    </row>
    <row r="142" spans="1:11" ht="14.4" customHeight="1" thickBot="1" x14ac:dyDescent="0.35">
      <c r="A142" s="664" t="s">
        <v>478</v>
      </c>
      <c r="B142" s="642">
        <v>0</v>
      </c>
      <c r="C142" s="642">
        <v>4.0378999999999996</v>
      </c>
      <c r="D142" s="643">
        <v>4.0378999999999996</v>
      </c>
      <c r="E142" s="652" t="s">
        <v>345</v>
      </c>
      <c r="F142" s="642">
        <v>0</v>
      </c>
      <c r="G142" s="643">
        <v>0</v>
      </c>
      <c r="H142" s="645">
        <v>7.1870000000000003E-2</v>
      </c>
      <c r="I142" s="642">
        <v>0.95148999999999995</v>
      </c>
      <c r="J142" s="643">
        <v>0.95148999999999995</v>
      </c>
      <c r="K142" s="653" t="s">
        <v>345</v>
      </c>
    </row>
    <row r="143" spans="1:11" ht="14.4" customHeight="1" thickBot="1" x14ac:dyDescent="0.35">
      <c r="A143" s="664" t="s">
        <v>479</v>
      </c>
      <c r="B143" s="642">
        <v>0</v>
      </c>
      <c r="C143" s="642">
        <v>4.9589999999999996</v>
      </c>
      <c r="D143" s="643">
        <v>4.9589999999999996</v>
      </c>
      <c r="E143" s="652" t="s">
        <v>345</v>
      </c>
      <c r="F143" s="642">
        <v>0</v>
      </c>
      <c r="G143" s="643">
        <v>0</v>
      </c>
      <c r="H143" s="645">
        <v>0</v>
      </c>
      <c r="I143" s="642">
        <v>0</v>
      </c>
      <c r="J143" s="643">
        <v>0</v>
      </c>
      <c r="K143" s="653" t="s">
        <v>345</v>
      </c>
    </row>
    <row r="144" spans="1:11" ht="14.4" customHeight="1" thickBot="1" x14ac:dyDescent="0.35">
      <c r="A144" s="664" t="s">
        <v>480</v>
      </c>
      <c r="B144" s="642">
        <v>0</v>
      </c>
      <c r="C144" s="642">
        <v>49.628</v>
      </c>
      <c r="D144" s="643">
        <v>49.628</v>
      </c>
      <c r="E144" s="652" t="s">
        <v>345</v>
      </c>
      <c r="F144" s="642">
        <v>0</v>
      </c>
      <c r="G144" s="643">
        <v>0</v>
      </c>
      <c r="H144" s="645">
        <v>3.8420000000000001</v>
      </c>
      <c r="I144" s="642">
        <v>10.683999999999999</v>
      </c>
      <c r="J144" s="643">
        <v>10.683999999999999</v>
      </c>
      <c r="K144" s="653" t="s">
        <v>345</v>
      </c>
    </row>
    <row r="145" spans="1:11" ht="14.4" customHeight="1" thickBot="1" x14ac:dyDescent="0.35">
      <c r="A145" s="664" t="s">
        <v>481</v>
      </c>
      <c r="B145" s="642">
        <v>0</v>
      </c>
      <c r="C145" s="642">
        <v>1.2</v>
      </c>
      <c r="D145" s="643">
        <v>1.2</v>
      </c>
      <c r="E145" s="652" t="s">
        <v>388</v>
      </c>
      <c r="F145" s="642">
        <v>0</v>
      </c>
      <c r="G145" s="643">
        <v>0</v>
      </c>
      <c r="H145" s="645">
        <v>0</v>
      </c>
      <c r="I145" s="642">
        <v>0</v>
      </c>
      <c r="J145" s="643">
        <v>0</v>
      </c>
      <c r="K145" s="653" t="s">
        <v>345</v>
      </c>
    </row>
    <row r="146" spans="1:11" ht="14.4" customHeight="1" thickBot="1" x14ac:dyDescent="0.35">
      <c r="A146" s="666" t="s">
        <v>482</v>
      </c>
      <c r="B146" s="642">
        <v>0</v>
      </c>
      <c r="C146" s="642">
        <v>5.3680000000000003</v>
      </c>
      <c r="D146" s="643">
        <v>5.3680000000000003</v>
      </c>
      <c r="E146" s="652" t="s">
        <v>388</v>
      </c>
      <c r="F146" s="642">
        <v>0</v>
      </c>
      <c r="G146" s="643">
        <v>0</v>
      </c>
      <c r="H146" s="645">
        <v>0</v>
      </c>
      <c r="I146" s="642">
        <v>0</v>
      </c>
      <c r="J146" s="643">
        <v>0</v>
      </c>
      <c r="K146" s="653" t="s">
        <v>345</v>
      </c>
    </row>
    <row r="147" spans="1:11" ht="14.4" customHeight="1" thickBot="1" x14ac:dyDescent="0.35">
      <c r="A147" s="664" t="s">
        <v>483</v>
      </c>
      <c r="B147" s="642">
        <v>0</v>
      </c>
      <c r="C147" s="642">
        <v>5.3680000000000003</v>
      </c>
      <c r="D147" s="643">
        <v>5.3680000000000003</v>
      </c>
      <c r="E147" s="652" t="s">
        <v>388</v>
      </c>
      <c r="F147" s="642">
        <v>0</v>
      </c>
      <c r="G147" s="643">
        <v>0</v>
      </c>
      <c r="H147" s="645">
        <v>0</v>
      </c>
      <c r="I147" s="642">
        <v>0</v>
      </c>
      <c r="J147" s="643">
        <v>0</v>
      </c>
      <c r="K147" s="653" t="s">
        <v>345</v>
      </c>
    </row>
    <row r="148" spans="1:11" ht="14.4" customHeight="1" thickBot="1" x14ac:dyDescent="0.35">
      <c r="A148" s="666" t="s">
        <v>484</v>
      </c>
      <c r="B148" s="642">
        <v>0</v>
      </c>
      <c r="C148" s="642">
        <v>1.8</v>
      </c>
      <c r="D148" s="643">
        <v>1.8</v>
      </c>
      <c r="E148" s="652" t="s">
        <v>345</v>
      </c>
      <c r="F148" s="642">
        <v>0</v>
      </c>
      <c r="G148" s="643">
        <v>0</v>
      </c>
      <c r="H148" s="645">
        <v>0</v>
      </c>
      <c r="I148" s="642">
        <v>2.9</v>
      </c>
      <c r="J148" s="643">
        <v>2.9</v>
      </c>
      <c r="K148" s="653" t="s">
        <v>345</v>
      </c>
    </row>
    <row r="149" spans="1:11" ht="14.4" customHeight="1" thickBot="1" x14ac:dyDescent="0.35">
      <c r="A149" s="664" t="s">
        <v>485</v>
      </c>
      <c r="B149" s="642">
        <v>0</v>
      </c>
      <c r="C149" s="642">
        <v>1.8</v>
      </c>
      <c r="D149" s="643">
        <v>1.8</v>
      </c>
      <c r="E149" s="652" t="s">
        <v>345</v>
      </c>
      <c r="F149" s="642">
        <v>0</v>
      </c>
      <c r="G149" s="643">
        <v>0</v>
      </c>
      <c r="H149" s="645">
        <v>0</v>
      </c>
      <c r="I149" s="642">
        <v>2.9</v>
      </c>
      <c r="J149" s="643">
        <v>2.9</v>
      </c>
      <c r="K149" s="653" t="s">
        <v>345</v>
      </c>
    </row>
    <row r="150" spans="1:11" ht="14.4" customHeight="1" thickBot="1" x14ac:dyDescent="0.35">
      <c r="A150" s="666" t="s">
        <v>486</v>
      </c>
      <c r="B150" s="642">
        <v>0</v>
      </c>
      <c r="C150" s="642">
        <v>1</v>
      </c>
      <c r="D150" s="643">
        <v>1</v>
      </c>
      <c r="E150" s="652" t="s">
        <v>388</v>
      </c>
      <c r="F150" s="642">
        <v>0</v>
      </c>
      <c r="G150" s="643">
        <v>0</v>
      </c>
      <c r="H150" s="645">
        <v>0</v>
      </c>
      <c r="I150" s="642">
        <v>0</v>
      </c>
      <c r="J150" s="643">
        <v>0</v>
      </c>
      <c r="K150" s="646">
        <v>2</v>
      </c>
    </row>
    <row r="151" spans="1:11" ht="14.4" customHeight="1" thickBot="1" x14ac:dyDescent="0.35">
      <c r="A151" s="664" t="s">
        <v>487</v>
      </c>
      <c r="B151" s="642">
        <v>0</v>
      </c>
      <c r="C151" s="642">
        <v>1</v>
      </c>
      <c r="D151" s="643">
        <v>1</v>
      </c>
      <c r="E151" s="652" t="s">
        <v>388</v>
      </c>
      <c r="F151" s="642">
        <v>0</v>
      </c>
      <c r="G151" s="643">
        <v>0</v>
      </c>
      <c r="H151" s="645">
        <v>0</v>
      </c>
      <c r="I151" s="642">
        <v>0</v>
      </c>
      <c r="J151" s="643">
        <v>0</v>
      </c>
      <c r="K151" s="646">
        <v>2</v>
      </c>
    </row>
    <row r="152" spans="1:11" ht="14.4" customHeight="1" thickBot="1" x14ac:dyDescent="0.35">
      <c r="A152" s="661" t="s">
        <v>488</v>
      </c>
      <c r="B152" s="642">
        <v>3176.8380956743699</v>
      </c>
      <c r="C152" s="642">
        <v>3567.11607</v>
      </c>
      <c r="D152" s="643">
        <v>390.27797432562699</v>
      </c>
      <c r="E152" s="644">
        <v>1.1228510747389999</v>
      </c>
      <c r="F152" s="642">
        <v>2878</v>
      </c>
      <c r="G152" s="643">
        <v>479.66666666666703</v>
      </c>
      <c r="H152" s="645">
        <v>251.28498999999999</v>
      </c>
      <c r="I152" s="642">
        <v>535.00599</v>
      </c>
      <c r="J152" s="643">
        <v>55.339323333331997</v>
      </c>
      <c r="K152" s="646">
        <v>0.18589506254300001</v>
      </c>
    </row>
    <row r="153" spans="1:11" ht="14.4" customHeight="1" thickBot="1" x14ac:dyDescent="0.35">
      <c r="A153" s="662" t="s">
        <v>489</v>
      </c>
      <c r="B153" s="642">
        <v>3059.0070640252802</v>
      </c>
      <c r="C153" s="642">
        <v>3063.0540000000001</v>
      </c>
      <c r="D153" s="643">
        <v>4.0469359747190001</v>
      </c>
      <c r="E153" s="644">
        <v>1.0013229573810001</v>
      </c>
      <c r="F153" s="642">
        <v>2878</v>
      </c>
      <c r="G153" s="643">
        <v>479.66666666666703</v>
      </c>
      <c r="H153" s="645">
        <v>244.83500000000001</v>
      </c>
      <c r="I153" s="642">
        <v>496.39699999999999</v>
      </c>
      <c r="J153" s="643">
        <v>16.730333333331998</v>
      </c>
      <c r="K153" s="646">
        <v>0.17247984711600001</v>
      </c>
    </row>
    <row r="154" spans="1:11" ht="14.4" customHeight="1" thickBot="1" x14ac:dyDescent="0.35">
      <c r="A154" s="663" t="s">
        <v>490</v>
      </c>
      <c r="B154" s="647">
        <v>3059.0070640252802</v>
      </c>
      <c r="C154" s="647">
        <v>3063.0540000000001</v>
      </c>
      <c r="D154" s="648">
        <v>4.0469359747190001</v>
      </c>
      <c r="E154" s="654">
        <v>1.0013229573810001</v>
      </c>
      <c r="F154" s="647">
        <v>2878</v>
      </c>
      <c r="G154" s="648">
        <v>479.66666666666703</v>
      </c>
      <c r="H154" s="650">
        <v>244.83500000000001</v>
      </c>
      <c r="I154" s="647">
        <v>496.39699999999999</v>
      </c>
      <c r="J154" s="648">
        <v>16.730333333331998</v>
      </c>
      <c r="K154" s="655">
        <v>0.17247984711600001</v>
      </c>
    </row>
    <row r="155" spans="1:11" ht="14.4" customHeight="1" thickBot="1" x14ac:dyDescent="0.35">
      <c r="A155" s="664" t="s">
        <v>491</v>
      </c>
      <c r="B155" s="642">
        <v>113.000260946341</v>
      </c>
      <c r="C155" s="642">
        <v>113.98699999999999</v>
      </c>
      <c r="D155" s="643">
        <v>0.98673905365900005</v>
      </c>
      <c r="E155" s="644">
        <v>1.008732183849</v>
      </c>
      <c r="F155" s="642">
        <v>116</v>
      </c>
      <c r="G155" s="643">
        <v>19.333333333333002</v>
      </c>
      <c r="H155" s="645">
        <v>9.69</v>
      </c>
      <c r="I155" s="642">
        <v>19.353000000000002</v>
      </c>
      <c r="J155" s="643">
        <v>1.9666666666000001E-2</v>
      </c>
      <c r="K155" s="646">
        <v>0.16683620689600001</v>
      </c>
    </row>
    <row r="156" spans="1:11" ht="14.4" customHeight="1" thickBot="1" x14ac:dyDescent="0.35">
      <c r="A156" s="664" t="s">
        <v>492</v>
      </c>
      <c r="B156" s="642">
        <v>2236.0051635045902</v>
      </c>
      <c r="C156" s="642">
        <v>2237.8220000000001</v>
      </c>
      <c r="D156" s="643">
        <v>1.8168364954139999</v>
      </c>
      <c r="E156" s="644">
        <v>1.0008125368059999</v>
      </c>
      <c r="F156" s="642">
        <v>2143</v>
      </c>
      <c r="G156" s="643">
        <v>357.16666666666703</v>
      </c>
      <c r="H156" s="645">
        <v>179.196</v>
      </c>
      <c r="I156" s="642">
        <v>361.822</v>
      </c>
      <c r="J156" s="643">
        <v>4.6553333333319999</v>
      </c>
      <c r="K156" s="646">
        <v>0.168839010732</v>
      </c>
    </row>
    <row r="157" spans="1:11" ht="14.4" customHeight="1" thickBot="1" x14ac:dyDescent="0.35">
      <c r="A157" s="664" t="s">
        <v>493</v>
      </c>
      <c r="B157" s="642">
        <v>61.000140864838002</v>
      </c>
      <c r="C157" s="642">
        <v>61.283999999999999</v>
      </c>
      <c r="D157" s="643">
        <v>0.28385913516099998</v>
      </c>
      <c r="E157" s="644">
        <v>1.0046534176990001</v>
      </c>
      <c r="F157" s="642">
        <v>61</v>
      </c>
      <c r="G157" s="643">
        <v>10.166666666666</v>
      </c>
      <c r="H157" s="645">
        <v>5.1070000000000002</v>
      </c>
      <c r="I157" s="642">
        <v>10.214</v>
      </c>
      <c r="J157" s="643">
        <v>4.7333333333000001E-2</v>
      </c>
      <c r="K157" s="646">
        <v>0.16744262295000001</v>
      </c>
    </row>
    <row r="158" spans="1:11" ht="14.4" customHeight="1" thickBot="1" x14ac:dyDescent="0.35">
      <c r="A158" s="664" t="s">
        <v>494</v>
      </c>
      <c r="B158" s="642">
        <v>3.0000069277780002</v>
      </c>
      <c r="C158" s="642">
        <v>3.3050000000000002</v>
      </c>
      <c r="D158" s="643">
        <v>0.30499307222099997</v>
      </c>
      <c r="E158" s="644">
        <v>1.101664122638</v>
      </c>
      <c r="F158" s="642">
        <v>3</v>
      </c>
      <c r="G158" s="643">
        <v>0.5</v>
      </c>
      <c r="H158" s="645">
        <v>0.27800000000000002</v>
      </c>
      <c r="I158" s="642">
        <v>0.55600000000000005</v>
      </c>
      <c r="J158" s="643">
        <v>5.5999999999000002E-2</v>
      </c>
      <c r="K158" s="646">
        <v>0.18533333333300001</v>
      </c>
    </row>
    <row r="159" spans="1:11" ht="14.4" customHeight="1" thickBot="1" x14ac:dyDescent="0.35">
      <c r="A159" s="664" t="s">
        <v>495</v>
      </c>
      <c r="B159" s="642">
        <v>646.00149178173604</v>
      </c>
      <c r="C159" s="642">
        <v>646.65599999999995</v>
      </c>
      <c r="D159" s="643">
        <v>0.65450821826299999</v>
      </c>
      <c r="E159" s="644">
        <v>1.001013168276</v>
      </c>
      <c r="F159" s="642">
        <v>555.00000000000102</v>
      </c>
      <c r="G159" s="643">
        <v>92.5</v>
      </c>
      <c r="H159" s="645">
        <v>50.564</v>
      </c>
      <c r="I159" s="642">
        <v>104.452</v>
      </c>
      <c r="J159" s="643">
        <v>11.951999999999</v>
      </c>
      <c r="K159" s="646">
        <v>0.18820180180099999</v>
      </c>
    </row>
    <row r="160" spans="1:11" ht="14.4" customHeight="1" thickBot="1" x14ac:dyDescent="0.35">
      <c r="A160" s="662" t="s">
        <v>496</v>
      </c>
      <c r="B160" s="642">
        <v>117.83103164909301</v>
      </c>
      <c r="C160" s="642">
        <v>504.06207000000001</v>
      </c>
      <c r="D160" s="643">
        <v>386.23103835090802</v>
      </c>
      <c r="E160" s="644">
        <v>4.2778380444049997</v>
      </c>
      <c r="F160" s="642">
        <v>0</v>
      </c>
      <c r="G160" s="643">
        <v>0</v>
      </c>
      <c r="H160" s="645">
        <v>6.4499899999999997</v>
      </c>
      <c r="I160" s="642">
        <v>38.608989999999999</v>
      </c>
      <c r="J160" s="643">
        <v>38.608989999999999</v>
      </c>
      <c r="K160" s="653" t="s">
        <v>345</v>
      </c>
    </row>
    <row r="161" spans="1:11" ht="14.4" customHeight="1" thickBot="1" x14ac:dyDescent="0.35">
      <c r="A161" s="663" t="s">
        <v>497</v>
      </c>
      <c r="B161" s="647">
        <v>42</v>
      </c>
      <c r="C161" s="647">
        <v>244.0608</v>
      </c>
      <c r="D161" s="648">
        <v>202.0608</v>
      </c>
      <c r="E161" s="654">
        <v>5.8109714285710004</v>
      </c>
      <c r="F161" s="647">
        <v>0</v>
      </c>
      <c r="G161" s="648">
        <v>0</v>
      </c>
      <c r="H161" s="650">
        <v>0</v>
      </c>
      <c r="I161" s="647">
        <v>32.158999999999999</v>
      </c>
      <c r="J161" s="648">
        <v>32.158999999999999</v>
      </c>
      <c r="K161" s="651" t="s">
        <v>345</v>
      </c>
    </row>
    <row r="162" spans="1:11" ht="14.4" customHeight="1" thickBot="1" x14ac:dyDescent="0.35">
      <c r="A162" s="664" t="s">
        <v>498</v>
      </c>
      <c r="B162" s="642">
        <v>42</v>
      </c>
      <c r="C162" s="642">
        <v>235.85145</v>
      </c>
      <c r="D162" s="643">
        <v>193.85145</v>
      </c>
      <c r="E162" s="644">
        <v>5.6155107142849996</v>
      </c>
      <c r="F162" s="642">
        <v>0</v>
      </c>
      <c r="G162" s="643">
        <v>0</v>
      </c>
      <c r="H162" s="645">
        <v>0</v>
      </c>
      <c r="I162" s="642">
        <v>0</v>
      </c>
      <c r="J162" s="643">
        <v>0</v>
      </c>
      <c r="K162" s="653" t="s">
        <v>345</v>
      </c>
    </row>
    <row r="163" spans="1:11" ht="14.4" customHeight="1" thickBot="1" x14ac:dyDescent="0.35">
      <c r="A163" s="664" t="s">
        <v>499</v>
      </c>
      <c r="B163" s="642">
        <v>0</v>
      </c>
      <c r="C163" s="642">
        <v>3.0863499999999999</v>
      </c>
      <c r="D163" s="643">
        <v>3.0863499999999999</v>
      </c>
      <c r="E163" s="652" t="s">
        <v>345</v>
      </c>
      <c r="F163" s="642">
        <v>0</v>
      </c>
      <c r="G163" s="643">
        <v>0</v>
      </c>
      <c r="H163" s="645">
        <v>0</v>
      </c>
      <c r="I163" s="642">
        <v>0</v>
      </c>
      <c r="J163" s="643">
        <v>0</v>
      </c>
      <c r="K163" s="653" t="s">
        <v>345</v>
      </c>
    </row>
    <row r="164" spans="1:11" ht="14.4" customHeight="1" thickBot="1" x14ac:dyDescent="0.35">
      <c r="A164" s="664" t="s">
        <v>500</v>
      </c>
      <c r="B164" s="642">
        <v>0</v>
      </c>
      <c r="C164" s="642">
        <v>5.1229999999990001</v>
      </c>
      <c r="D164" s="643">
        <v>5.1229999999990001</v>
      </c>
      <c r="E164" s="652" t="s">
        <v>345</v>
      </c>
      <c r="F164" s="642">
        <v>0</v>
      </c>
      <c r="G164" s="643">
        <v>0</v>
      </c>
      <c r="H164" s="645">
        <v>0</v>
      </c>
      <c r="I164" s="642">
        <v>32.158999999999999</v>
      </c>
      <c r="J164" s="643">
        <v>32.158999999999999</v>
      </c>
      <c r="K164" s="653" t="s">
        <v>345</v>
      </c>
    </row>
    <row r="165" spans="1:11" ht="14.4" customHeight="1" thickBot="1" x14ac:dyDescent="0.35">
      <c r="A165" s="663" t="s">
        <v>501</v>
      </c>
      <c r="B165" s="647">
        <v>0</v>
      </c>
      <c r="C165" s="647">
        <v>7.2069999999999999</v>
      </c>
      <c r="D165" s="648">
        <v>7.2069999999999999</v>
      </c>
      <c r="E165" s="649" t="s">
        <v>345</v>
      </c>
      <c r="F165" s="647">
        <v>0</v>
      </c>
      <c r="G165" s="648">
        <v>0</v>
      </c>
      <c r="H165" s="650">
        <v>6.4499899999999997</v>
      </c>
      <c r="I165" s="647">
        <v>6.4499899999999997</v>
      </c>
      <c r="J165" s="648">
        <v>6.4499899999999997</v>
      </c>
      <c r="K165" s="651" t="s">
        <v>345</v>
      </c>
    </row>
    <row r="166" spans="1:11" ht="14.4" customHeight="1" thickBot="1" x14ac:dyDescent="0.35">
      <c r="A166" s="664" t="s">
        <v>502</v>
      </c>
      <c r="B166" s="642">
        <v>0</v>
      </c>
      <c r="C166" s="642">
        <v>3.06</v>
      </c>
      <c r="D166" s="643">
        <v>3.06</v>
      </c>
      <c r="E166" s="652" t="s">
        <v>388</v>
      </c>
      <c r="F166" s="642">
        <v>0</v>
      </c>
      <c r="G166" s="643">
        <v>0</v>
      </c>
      <c r="H166" s="645">
        <v>6.4499899999999997</v>
      </c>
      <c r="I166" s="642">
        <v>6.4499899999999997</v>
      </c>
      <c r="J166" s="643">
        <v>6.4499899999999997</v>
      </c>
      <c r="K166" s="653" t="s">
        <v>345</v>
      </c>
    </row>
    <row r="167" spans="1:11" ht="14.4" customHeight="1" thickBot="1" x14ac:dyDescent="0.35">
      <c r="A167" s="664" t="s">
        <v>503</v>
      </c>
      <c r="B167" s="642">
        <v>0</v>
      </c>
      <c r="C167" s="642">
        <v>4.1470000000000002</v>
      </c>
      <c r="D167" s="643">
        <v>4.1470000000000002</v>
      </c>
      <c r="E167" s="652" t="s">
        <v>345</v>
      </c>
      <c r="F167" s="642">
        <v>0</v>
      </c>
      <c r="G167" s="643">
        <v>0</v>
      </c>
      <c r="H167" s="645">
        <v>0</v>
      </c>
      <c r="I167" s="642">
        <v>0</v>
      </c>
      <c r="J167" s="643">
        <v>0</v>
      </c>
      <c r="K167" s="653" t="s">
        <v>345</v>
      </c>
    </row>
    <row r="168" spans="1:11" ht="14.4" customHeight="1" thickBot="1" x14ac:dyDescent="0.35">
      <c r="A168" s="663" t="s">
        <v>504</v>
      </c>
      <c r="B168" s="647">
        <v>75.831031649091997</v>
      </c>
      <c r="C168" s="647">
        <v>13.0145</v>
      </c>
      <c r="D168" s="648">
        <v>-62.816531649091999</v>
      </c>
      <c r="E168" s="654">
        <v>0.17162498936000001</v>
      </c>
      <c r="F168" s="647">
        <v>0</v>
      </c>
      <c r="G168" s="648">
        <v>0</v>
      </c>
      <c r="H168" s="650">
        <v>0</v>
      </c>
      <c r="I168" s="647">
        <v>0</v>
      </c>
      <c r="J168" s="648">
        <v>0</v>
      </c>
      <c r="K168" s="651" t="s">
        <v>345</v>
      </c>
    </row>
    <row r="169" spans="1:11" ht="14.4" customHeight="1" thickBot="1" x14ac:dyDescent="0.35">
      <c r="A169" s="664" t="s">
        <v>505</v>
      </c>
      <c r="B169" s="642">
        <v>75.831031649091997</v>
      </c>
      <c r="C169" s="642">
        <v>9.0145</v>
      </c>
      <c r="D169" s="643">
        <v>-66.816531649091999</v>
      </c>
      <c r="E169" s="644">
        <v>0.11887613558600001</v>
      </c>
      <c r="F169" s="642">
        <v>0</v>
      </c>
      <c r="G169" s="643">
        <v>0</v>
      </c>
      <c r="H169" s="645">
        <v>0</v>
      </c>
      <c r="I169" s="642">
        <v>0</v>
      </c>
      <c r="J169" s="643">
        <v>0</v>
      </c>
      <c r="K169" s="653" t="s">
        <v>345</v>
      </c>
    </row>
    <row r="170" spans="1:11" ht="14.4" customHeight="1" thickBot="1" x14ac:dyDescent="0.35">
      <c r="A170" s="664" t="s">
        <v>506</v>
      </c>
      <c r="B170" s="642">
        <v>0</v>
      </c>
      <c r="C170" s="642">
        <v>4</v>
      </c>
      <c r="D170" s="643">
        <v>4</v>
      </c>
      <c r="E170" s="652" t="s">
        <v>345</v>
      </c>
      <c r="F170" s="642">
        <v>0</v>
      </c>
      <c r="G170" s="643">
        <v>0</v>
      </c>
      <c r="H170" s="645">
        <v>0</v>
      </c>
      <c r="I170" s="642">
        <v>0</v>
      </c>
      <c r="J170" s="643">
        <v>0</v>
      </c>
      <c r="K170" s="653" t="s">
        <v>345</v>
      </c>
    </row>
    <row r="171" spans="1:11" ht="14.4" customHeight="1" thickBot="1" x14ac:dyDescent="0.35">
      <c r="A171" s="663" t="s">
        <v>507</v>
      </c>
      <c r="B171" s="647">
        <v>0</v>
      </c>
      <c r="C171" s="647">
        <v>130.2021</v>
      </c>
      <c r="D171" s="648">
        <v>130.2021</v>
      </c>
      <c r="E171" s="649" t="s">
        <v>345</v>
      </c>
      <c r="F171" s="647">
        <v>0</v>
      </c>
      <c r="G171" s="648">
        <v>0</v>
      </c>
      <c r="H171" s="650">
        <v>0</v>
      </c>
      <c r="I171" s="647">
        <v>0</v>
      </c>
      <c r="J171" s="648">
        <v>0</v>
      </c>
      <c r="K171" s="651" t="s">
        <v>345</v>
      </c>
    </row>
    <row r="172" spans="1:11" ht="14.4" customHeight="1" thickBot="1" x14ac:dyDescent="0.35">
      <c r="A172" s="664" t="s">
        <v>508</v>
      </c>
      <c r="B172" s="642">
        <v>0</v>
      </c>
      <c r="C172" s="642">
        <v>130.2021</v>
      </c>
      <c r="D172" s="643">
        <v>130.2021</v>
      </c>
      <c r="E172" s="652" t="s">
        <v>345</v>
      </c>
      <c r="F172" s="642">
        <v>0</v>
      </c>
      <c r="G172" s="643">
        <v>0</v>
      </c>
      <c r="H172" s="645">
        <v>0</v>
      </c>
      <c r="I172" s="642">
        <v>0</v>
      </c>
      <c r="J172" s="643">
        <v>0</v>
      </c>
      <c r="K172" s="653" t="s">
        <v>345</v>
      </c>
    </row>
    <row r="173" spans="1:11" ht="14.4" customHeight="1" thickBot="1" x14ac:dyDescent="0.35">
      <c r="A173" s="663" t="s">
        <v>509</v>
      </c>
      <c r="B173" s="647">
        <v>0</v>
      </c>
      <c r="C173" s="647">
        <v>109.57767</v>
      </c>
      <c r="D173" s="648">
        <v>109.57767</v>
      </c>
      <c r="E173" s="649" t="s">
        <v>345</v>
      </c>
      <c r="F173" s="647">
        <v>0</v>
      </c>
      <c r="G173" s="648">
        <v>0</v>
      </c>
      <c r="H173" s="650">
        <v>0</v>
      </c>
      <c r="I173" s="647">
        <v>0</v>
      </c>
      <c r="J173" s="648">
        <v>0</v>
      </c>
      <c r="K173" s="651" t="s">
        <v>345</v>
      </c>
    </row>
    <row r="174" spans="1:11" ht="14.4" customHeight="1" thickBot="1" x14ac:dyDescent="0.35">
      <c r="A174" s="664" t="s">
        <v>510</v>
      </c>
      <c r="B174" s="642">
        <v>0</v>
      </c>
      <c r="C174" s="642">
        <v>87.87867</v>
      </c>
      <c r="D174" s="643">
        <v>87.87867</v>
      </c>
      <c r="E174" s="652" t="s">
        <v>345</v>
      </c>
      <c r="F174" s="642">
        <v>0</v>
      </c>
      <c r="G174" s="643">
        <v>0</v>
      </c>
      <c r="H174" s="645">
        <v>0</v>
      </c>
      <c r="I174" s="642">
        <v>0</v>
      </c>
      <c r="J174" s="643">
        <v>0</v>
      </c>
      <c r="K174" s="653" t="s">
        <v>345</v>
      </c>
    </row>
    <row r="175" spans="1:11" ht="14.4" customHeight="1" thickBot="1" x14ac:dyDescent="0.35">
      <c r="A175" s="664" t="s">
        <v>511</v>
      </c>
      <c r="B175" s="642">
        <v>0</v>
      </c>
      <c r="C175" s="642">
        <v>4.2</v>
      </c>
      <c r="D175" s="643">
        <v>4.2</v>
      </c>
      <c r="E175" s="652" t="s">
        <v>388</v>
      </c>
      <c r="F175" s="642">
        <v>0</v>
      </c>
      <c r="G175" s="643">
        <v>0</v>
      </c>
      <c r="H175" s="645">
        <v>0</v>
      </c>
      <c r="I175" s="642">
        <v>0</v>
      </c>
      <c r="J175" s="643">
        <v>0</v>
      </c>
      <c r="K175" s="646">
        <v>2</v>
      </c>
    </row>
    <row r="176" spans="1:11" ht="14.4" customHeight="1" thickBot="1" x14ac:dyDescent="0.35">
      <c r="A176" s="664" t="s">
        <v>512</v>
      </c>
      <c r="B176" s="642">
        <v>0</v>
      </c>
      <c r="C176" s="642">
        <v>17.498999999999999</v>
      </c>
      <c r="D176" s="643">
        <v>17.498999999999999</v>
      </c>
      <c r="E176" s="652" t="s">
        <v>388</v>
      </c>
      <c r="F176" s="642">
        <v>0</v>
      </c>
      <c r="G176" s="643">
        <v>0</v>
      </c>
      <c r="H176" s="645">
        <v>0</v>
      </c>
      <c r="I176" s="642">
        <v>0</v>
      </c>
      <c r="J176" s="643">
        <v>0</v>
      </c>
      <c r="K176" s="653" t="s">
        <v>345</v>
      </c>
    </row>
    <row r="177" spans="1:11" ht="14.4" customHeight="1" thickBot="1" x14ac:dyDescent="0.35">
      <c r="A177" s="660" t="s">
        <v>513</v>
      </c>
      <c r="B177" s="642">
        <v>78620.302982781097</v>
      </c>
      <c r="C177" s="642">
        <v>86446.428530000005</v>
      </c>
      <c r="D177" s="643">
        <v>7826.1255472189196</v>
      </c>
      <c r="E177" s="644">
        <v>1.0995433145160001</v>
      </c>
      <c r="F177" s="642">
        <v>89134.682737595504</v>
      </c>
      <c r="G177" s="643">
        <v>14855.7804562659</v>
      </c>
      <c r="H177" s="645">
        <v>11833.40069</v>
      </c>
      <c r="I177" s="642">
        <v>19088.104739999999</v>
      </c>
      <c r="J177" s="643">
        <v>4232.3242837340804</v>
      </c>
      <c r="K177" s="646">
        <v>0.21414901757300001</v>
      </c>
    </row>
    <row r="178" spans="1:11" ht="14.4" customHeight="1" thickBot="1" x14ac:dyDescent="0.35">
      <c r="A178" s="661" t="s">
        <v>514</v>
      </c>
      <c r="B178" s="642">
        <v>78462.894146931605</v>
      </c>
      <c r="C178" s="642">
        <v>85969.959730000002</v>
      </c>
      <c r="D178" s="643">
        <v>7507.0655830683399</v>
      </c>
      <c r="E178" s="644">
        <v>1.095676633709</v>
      </c>
      <c r="F178" s="642">
        <v>88994.622556867602</v>
      </c>
      <c r="G178" s="643">
        <v>14832.4370928113</v>
      </c>
      <c r="H178" s="645">
        <v>11827.62169</v>
      </c>
      <c r="I178" s="642">
        <v>19046.820680000001</v>
      </c>
      <c r="J178" s="643">
        <v>4214.3835871887304</v>
      </c>
      <c r="K178" s="646">
        <v>0.214022152493</v>
      </c>
    </row>
    <row r="179" spans="1:11" ht="14.4" customHeight="1" thickBot="1" x14ac:dyDescent="0.35">
      <c r="A179" s="662" t="s">
        <v>515</v>
      </c>
      <c r="B179" s="642">
        <v>78296.894130287095</v>
      </c>
      <c r="C179" s="642">
        <v>85817.595549999998</v>
      </c>
      <c r="D179" s="643">
        <v>7520.7014197129301</v>
      </c>
      <c r="E179" s="644">
        <v>1.0960536366510001</v>
      </c>
      <c r="F179" s="642">
        <v>88840.374641518603</v>
      </c>
      <c r="G179" s="643">
        <v>14806.7291069198</v>
      </c>
      <c r="H179" s="645">
        <v>11810.770570000001</v>
      </c>
      <c r="I179" s="642">
        <v>19013.479579999999</v>
      </c>
      <c r="J179" s="643">
        <v>4206.7504730802202</v>
      </c>
      <c r="K179" s="646">
        <v>0.21401845339700001</v>
      </c>
    </row>
    <row r="180" spans="1:11" ht="14.4" customHeight="1" thickBot="1" x14ac:dyDescent="0.35">
      <c r="A180" s="663" t="s">
        <v>516</v>
      </c>
      <c r="B180" s="647">
        <v>14.886281056014999</v>
      </c>
      <c r="C180" s="647">
        <v>48.284829999999999</v>
      </c>
      <c r="D180" s="648">
        <v>33.398548943983997</v>
      </c>
      <c r="E180" s="654">
        <v>3.243579092609</v>
      </c>
      <c r="F180" s="647">
        <v>41</v>
      </c>
      <c r="G180" s="648">
        <v>6.833333333333</v>
      </c>
      <c r="H180" s="650">
        <v>0</v>
      </c>
      <c r="I180" s="647">
        <v>0</v>
      </c>
      <c r="J180" s="648">
        <v>-6.833333333333</v>
      </c>
      <c r="K180" s="655">
        <v>0</v>
      </c>
    </row>
    <row r="181" spans="1:11" ht="14.4" customHeight="1" thickBot="1" x14ac:dyDescent="0.35">
      <c r="A181" s="664" t="s">
        <v>517</v>
      </c>
      <c r="B181" s="642">
        <v>0.19687601368900001</v>
      </c>
      <c r="C181" s="642">
        <v>0</v>
      </c>
      <c r="D181" s="643">
        <v>-0.19687601368900001</v>
      </c>
      <c r="E181" s="644">
        <v>0</v>
      </c>
      <c r="F181" s="642">
        <v>0</v>
      </c>
      <c r="G181" s="643">
        <v>0</v>
      </c>
      <c r="H181" s="645">
        <v>0</v>
      </c>
      <c r="I181" s="642">
        <v>0</v>
      </c>
      <c r="J181" s="643">
        <v>0</v>
      </c>
      <c r="K181" s="646">
        <v>2</v>
      </c>
    </row>
    <row r="182" spans="1:11" ht="14.4" customHeight="1" thickBot="1" x14ac:dyDescent="0.35">
      <c r="A182" s="664" t="s">
        <v>518</v>
      </c>
      <c r="B182" s="642">
        <v>14.428127646448999</v>
      </c>
      <c r="C182" s="642">
        <v>47.506630000000001</v>
      </c>
      <c r="D182" s="643">
        <v>33.07850235355</v>
      </c>
      <c r="E182" s="644">
        <v>3.2926399851810002</v>
      </c>
      <c r="F182" s="642">
        <v>40</v>
      </c>
      <c r="G182" s="643">
        <v>6.6666666666659999</v>
      </c>
      <c r="H182" s="645">
        <v>0</v>
      </c>
      <c r="I182" s="642">
        <v>0</v>
      </c>
      <c r="J182" s="643">
        <v>-6.6666666666659999</v>
      </c>
      <c r="K182" s="646">
        <v>0</v>
      </c>
    </row>
    <row r="183" spans="1:11" ht="14.4" customHeight="1" thickBot="1" x14ac:dyDescent="0.35">
      <c r="A183" s="664" t="s">
        <v>519</v>
      </c>
      <c r="B183" s="642">
        <v>0.261277395877</v>
      </c>
      <c r="C183" s="642">
        <v>0.7782</v>
      </c>
      <c r="D183" s="643">
        <v>0.51692260412199997</v>
      </c>
      <c r="E183" s="644">
        <v>2.9784436475540002</v>
      </c>
      <c r="F183" s="642">
        <v>1</v>
      </c>
      <c r="G183" s="643">
        <v>0.166666666666</v>
      </c>
      <c r="H183" s="645">
        <v>0</v>
      </c>
      <c r="I183" s="642">
        <v>0</v>
      </c>
      <c r="J183" s="643">
        <v>-0.166666666666</v>
      </c>
      <c r="K183" s="646">
        <v>0</v>
      </c>
    </row>
    <row r="184" spans="1:11" ht="14.4" customHeight="1" thickBot="1" x14ac:dyDescent="0.35">
      <c r="A184" s="663" t="s">
        <v>520</v>
      </c>
      <c r="B184" s="647">
        <v>4.0000004010739998</v>
      </c>
      <c r="C184" s="647">
        <v>445.78987999999998</v>
      </c>
      <c r="D184" s="648">
        <v>441.78987959892498</v>
      </c>
      <c r="E184" s="654">
        <v>111.44745882531301</v>
      </c>
      <c r="F184" s="647">
        <v>7.3746415186350003</v>
      </c>
      <c r="G184" s="648">
        <v>1.2291069197719999</v>
      </c>
      <c r="H184" s="650">
        <v>-9.9242799999999995</v>
      </c>
      <c r="I184" s="647">
        <v>146.73686000000001</v>
      </c>
      <c r="J184" s="648">
        <v>145.50775308022699</v>
      </c>
      <c r="K184" s="655">
        <v>19.89749055994</v>
      </c>
    </row>
    <row r="185" spans="1:11" ht="14.4" customHeight="1" thickBot="1" x14ac:dyDescent="0.35">
      <c r="A185" s="664" t="s">
        <v>521</v>
      </c>
      <c r="B185" s="642">
        <v>4.0000004010739998</v>
      </c>
      <c r="C185" s="642">
        <v>310.59107999999998</v>
      </c>
      <c r="D185" s="643">
        <v>306.59107959892498</v>
      </c>
      <c r="E185" s="644">
        <v>77.647762214362999</v>
      </c>
      <c r="F185" s="642">
        <v>7.3746415186350003</v>
      </c>
      <c r="G185" s="643">
        <v>1.2291069197719999</v>
      </c>
      <c r="H185" s="645">
        <v>-9.9242799999999995</v>
      </c>
      <c r="I185" s="642">
        <v>146.54216</v>
      </c>
      <c r="J185" s="643">
        <v>145.31305308022701</v>
      </c>
      <c r="K185" s="646">
        <v>19.871089276635999</v>
      </c>
    </row>
    <row r="186" spans="1:11" ht="14.4" customHeight="1" thickBot="1" x14ac:dyDescent="0.35">
      <c r="A186" s="664" t="s">
        <v>522</v>
      </c>
      <c r="B186" s="642">
        <v>0</v>
      </c>
      <c r="C186" s="642">
        <v>135.19880000000001</v>
      </c>
      <c r="D186" s="643">
        <v>135.19880000000001</v>
      </c>
      <c r="E186" s="652" t="s">
        <v>345</v>
      </c>
      <c r="F186" s="642">
        <v>0</v>
      </c>
      <c r="G186" s="643">
        <v>0</v>
      </c>
      <c r="H186" s="645">
        <v>0</v>
      </c>
      <c r="I186" s="642">
        <v>0.19470000000000001</v>
      </c>
      <c r="J186" s="643">
        <v>0.19470000000000001</v>
      </c>
      <c r="K186" s="653" t="s">
        <v>345</v>
      </c>
    </row>
    <row r="187" spans="1:11" ht="14.4" customHeight="1" thickBot="1" x14ac:dyDescent="0.35">
      <c r="A187" s="663" t="s">
        <v>523</v>
      </c>
      <c r="B187" s="647">
        <v>0</v>
      </c>
      <c r="C187" s="647">
        <v>10.202</v>
      </c>
      <c r="D187" s="648">
        <v>10.202</v>
      </c>
      <c r="E187" s="649" t="s">
        <v>345</v>
      </c>
      <c r="F187" s="647">
        <v>0</v>
      </c>
      <c r="G187" s="648">
        <v>0</v>
      </c>
      <c r="H187" s="650">
        <v>0</v>
      </c>
      <c r="I187" s="647">
        <v>0</v>
      </c>
      <c r="J187" s="648">
        <v>0</v>
      </c>
      <c r="K187" s="651" t="s">
        <v>345</v>
      </c>
    </row>
    <row r="188" spans="1:11" ht="14.4" customHeight="1" thickBot="1" x14ac:dyDescent="0.35">
      <c r="A188" s="664" t="s">
        <v>524</v>
      </c>
      <c r="B188" s="642">
        <v>0</v>
      </c>
      <c r="C188" s="642">
        <v>10.202</v>
      </c>
      <c r="D188" s="643">
        <v>10.202</v>
      </c>
      <c r="E188" s="652" t="s">
        <v>345</v>
      </c>
      <c r="F188" s="642">
        <v>0</v>
      </c>
      <c r="G188" s="643">
        <v>0</v>
      </c>
      <c r="H188" s="645">
        <v>0</v>
      </c>
      <c r="I188" s="642">
        <v>0</v>
      </c>
      <c r="J188" s="643">
        <v>0</v>
      </c>
      <c r="K188" s="653" t="s">
        <v>345</v>
      </c>
    </row>
    <row r="189" spans="1:11" ht="14.4" customHeight="1" thickBot="1" x14ac:dyDescent="0.35">
      <c r="A189" s="663" t="s">
        <v>525</v>
      </c>
      <c r="B189" s="647">
        <v>78278.007848830006</v>
      </c>
      <c r="C189" s="647">
        <v>80841.314970000007</v>
      </c>
      <c r="D189" s="648">
        <v>2563.3071211700299</v>
      </c>
      <c r="E189" s="654">
        <v>1.032746197707</v>
      </c>
      <c r="F189" s="647">
        <v>88792</v>
      </c>
      <c r="G189" s="648">
        <v>14798.666666666701</v>
      </c>
      <c r="H189" s="650">
        <v>11820.61909</v>
      </c>
      <c r="I189" s="647">
        <v>18865.76024</v>
      </c>
      <c r="J189" s="648">
        <v>4067.0935733333299</v>
      </c>
      <c r="K189" s="655">
        <v>0.21247139652200001</v>
      </c>
    </row>
    <row r="190" spans="1:11" ht="14.4" customHeight="1" thickBot="1" x14ac:dyDescent="0.35">
      <c r="A190" s="664" t="s">
        <v>526</v>
      </c>
      <c r="B190" s="642">
        <v>25886.002595554499</v>
      </c>
      <c r="C190" s="642">
        <v>22883.507679999999</v>
      </c>
      <c r="D190" s="643">
        <v>-3002.49491555447</v>
      </c>
      <c r="E190" s="644">
        <v>0.88401087018000002</v>
      </c>
      <c r="F190" s="642">
        <v>27327</v>
      </c>
      <c r="G190" s="643">
        <v>4554.5</v>
      </c>
      <c r="H190" s="645">
        <v>3182.61679</v>
      </c>
      <c r="I190" s="642">
        <v>7107.5302099999999</v>
      </c>
      <c r="J190" s="643">
        <v>2553.0302099999999</v>
      </c>
      <c r="K190" s="646">
        <v>0.26009185823499997</v>
      </c>
    </row>
    <row r="191" spans="1:11" ht="14.4" customHeight="1" thickBot="1" x14ac:dyDescent="0.35">
      <c r="A191" s="664" t="s">
        <v>527</v>
      </c>
      <c r="B191" s="642">
        <v>52392.0052532755</v>
      </c>
      <c r="C191" s="642">
        <v>55362.561199999996</v>
      </c>
      <c r="D191" s="643">
        <v>2970.5559467244998</v>
      </c>
      <c r="E191" s="644">
        <v>1.056698649581</v>
      </c>
      <c r="F191" s="642">
        <v>56982</v>
      </c>
      <c r="G191" s="643">
        <v>9497</v>
      </c>
      <c r="H191" s="645">
        <v>7629.9186399999999</v>
      </c>
      <c r="I191" s="642">
        <v>9865.0683700000009</v>
      </c>
      <c r="J191" s="643">
        <v>368.06836999999899</v>
      </c>
      <c r="K191" s="646">
        <v>0.173126046295</v>
      </c>
    </row>
    <row r="192" spans="1:11" ht="14.4" customHeight="1" thickBot="1" x14ac:dyDescent="0.35">
      <c r="A192" s="664" t="s">
        <v>528</v>
      </c>
      <c r="B192" s="642">
        <v>0</v>
      </c>
      <c r="C192" s="642">
        <v>1189.3770999999999</v>
      </c>
      <c r="D192" s="643">
        <v>1189.3770999999999</v>
      </c>
      <c r="E192" s="652" t="s">
        <v>388</v>
      </c>
      <c r="F192" s="642">
        <v>1219</v>
      </c>
      <c r="G192" s="643">
        <v>203.166666666667</v>
      </c>
      <c r="H192" s="645">
        <v>326.12470999999999</v>
      </c>
      <c r="I192" s="642">
        <v>621.13270999999997</v>
      </c>
      <c r="J192" s="643">
        <v>417.966043333333</v>
      </c>
      <c r="K192" s="646">
        <v>0.50954283018799995</v>
      </c>
    </row>
    <row r="193" spans="1:11" ht="14.4" customHeight="1" thickBot="1" x14ac:dyDescent="0.35">
      <c r="A193" s="664" t="s">
        <v>529</v>
      </c>
      <c r="B193" s="642">
        <v>0</v>
      </c>
      <c r="C193" s="642">
        <v>1405.8689899999999</v>
      </c>
      <c r="D193" s="643">
        <v>1405.8689899999999</v>
      </c>
      <c r="E193" s="652" t="s">
        <v>388</v>
      </c>
      <c r="F193" s="642">
        <v>3264</v>
      </c>
      <c r="G193" s="643">
        <v>544</v>
      </c>
      <c r="H193" s="645">
        <v>681.95894999999996</v>
      </c>
      <c r="I193" s="642">
        <v>1272.0289499999999</v>
      </c>
      <c r="J193" s="643">
        <v>728.02895000000001</v>
      </c>
      <c r="K193" s="646">
        <v>0.38971475183799997</v>
      </c>
    </row>
    <row r="194" spans="1:11" ht="14.4" customHeight="1" thickBot="1" x14ac:dyDescent="0.35">
      <c r="A194" s="663" t="s">
        <v>530</v>
      </c>
      <c r="B194" s="647">
        <v>0</v>
      </c>
      <c r="C194" s="647">
        <v>4472.0038699999996</v>
      </c>
      <c r="D194" s="648">
        <v>4472.0038699999996</v>
      </c>
      <c r="E194" s="649" t="s">
        <v>345</v>
      </c>
      <c r="F194" s="647">
        <v>0</v>
      </c>
      <c r="G194" s="648">
        <v>0</v>
      </c>
      <c r="H194" s="650">
        <v>7.5759999999999994E-2</v>
      </c>
      <c r="I194" s="647">
        <v>0.98248000000000002</v>
      </c>
      <c r="J194" s="648">
        <v>0.98248000000000002</v>
      </c>
      <c r="K194" s="651" t="s">
        <v>345</v>
      </c>
    </row>
    <row r="195" spans="1:11" ht="14.4" customHeight="1" thickBot="1" x14ac:dyDescent="0.35">
      <c r="A195" s="664" t="s">
        <v>531</v>
      </c>
      <c r="B195" s="642">
        <v>0</v>
      </c>
      <c r="C195" s="642">
        <v>447.44369</v>
      </c>
      <c r="D195" s="643">
        <v>447.44369</v>
      </c>
      <c r="E195" s="652" t="s">
        <v>345</v>
      </c>
      <c r="F195" s="642">
        <v>0</v>
      </c>
      <c r="G195" s="643">
        <v>0</v>
      </c>
      <c r="H195" s="645">
        <v>0</v>
      </c>
      <c r="I195" s="642">
        <v>0</v>
      </c>
      <c r="J195" s="643">
        <v>0</v>
      </c>
      <c r="K195" s="653" t="s">
        <v>345</v>
      </c>
    </row>
    <row r="196" spans="1:11" ht="14.4" customHeight="1" thickBot="1" x14ac:dyDescent="0.35">
      <c r="A196" s="664" t="s">
        <v>532</v>
      </c>
      <c r="B196" s="642">
        <v>0</v>
      </c>
      <c r="C196" s="642">
        <v>4024.5601799999999</v>
      </c>
      <c r="D196" s="643">
        <v>4024.5601799999999</v>
      </c>
      <c r="E196" s="652" t="s">
        <v>345</v>
      </c>
      <c r="F196" s="642">
        <v>0</v>
      </c>
      <c r="G196" s="643">
        <v>0</v>
      </c>
      <c r="H196" s="645">
        <v>7.5759999999999994E-2</v>
      </c>
      <c r="I196" s="642">
        <v>0.98248000000000002</v>
      </c>
      <c r="J196" s="643">
        <v>0.98248000000000002</v>
      </c>
      <c r="K196" s="653" t="s">
        <v>345</v>
      </c>
    </row>
    <row r="197" spans="1:11" ht="14.4" customHeight="1" thickBot="1" x14ac:dyDescent="0.35">
      <c r="A197" s="662" t="s">
        <v>533</v>
      </c>
      <c r="B197" s="642">
        <v>166.000016644597</v>
      </c>
      <c r="C197" s="642">
        <v>152.36418</v>
      </c>
      <c r="D197" s="643">
        <v>-13.635836644596999</v>
      </c>
      <c r="E197" s="644">
        <v>0.91785641399100004</v>
      </c>
      <c r="F197" s="642">
        <v>154.24791534897</v>
      </c>
      <c r="G197" s="643">
        <v>25.707985891494999</v>
      </c>
      <c r="H197" s="645">
        <v>16.851120000000002</v>
      </c>
      <c r="I197" s="642">
        <v>33.341099999999997</v>
      </c>
      <c r="J197" s="643">
        <v>7.6331141085040004</v>
      </c>
      <c r="K197" s="646">
        <v>0.21615267813799999</v>
      </c>
    </row>
    <row r="198" spans="1:11" ht="14.4" customHeight="1" thickBot="1" x14ac:dyDescent="0.35">
      <c r="A198" s="663" t="s">
        <v>534</v>
      </c>
      <c r="B198" s="647">
        <v>166.000016644597</v>
      </c>
      <c r="C198" s="647">
        <v>152.36418</v>
      </c>
      <c r="D198" s="648">
        <v>-13.635836644596999</v>
      </c>
      <c r="E198" s="654">
        <v>0.91785641399100004</v>
      </c>
      <c r="F198" s="647">
        <v>154.24791534897</v>
      </c>
      <c r="G198" s="648">
        <v>25.707985891494999</v>
      </c>
      <c r="H198" s="650">
        <v>16.851120000000002</v>
      </c>
      <c r="I198" s="647">
        <v>33.341099999999997</v>
      </c>
      <c r="J198" s="648">
        <v>7.6331141085040004</v>
      </c>
      <c r="K198" s="655">
        <v>0.21615267813799999</v>
      </c>
    </row>
    <row r="199" spans="1:11" ht="14.4" customHeight="1" thickBot="1" x14ac:dyDescent="0.35">
      <c r="A199" s="664" t="s">
        <v>535</v>
      </c>
      <c r="B199" s="642">
        <v>166.000016644597</v>
      </c>
      <c r="C199" s="642">
        <v>152.36418</v>
      </c>
      <c r="D199" s="643">
        <v>-13.635836644596999</v>
      </c>
      <c r="E199" s="644">
        <v>0.91785641399100004</v>
      </c>
      <c r="F199" s="642">
        <v>154.24791534897</v>
      </c>
      <c r="G199" s="643">
        <v>25.707985891494999</v>
      </c>
      <c r="H199" s="645">
        <v>16.851120000000002</v>
      </c>
      <c r="I199" s="642">
        <v>33.341099999999997</v>
      </c>
      <c r="J199" s="643">
        <v>7.6331141085040004</v>
      </c>
      <c r="K199" s="646">
        <v>0.21615267813799999</v>
      </c>
    </row>
    <row r="200" spans="1:11" ht="14.4" customHeight="1" thickBot="1" x14ac:dyDescent="0.35">
      <c r="A200" s="661" t="s">
        <v>536</v>
      </c>
      <c r="B200" s="642">
        <v>54.6820090736</v>
      </c>
      <c r="C200" s="642">
        <v>245.98472000000001</v>
      </c>
      <c r="D200" s="643">
        <v>191.30271092640001</v>
      </c>
      <c r="E200" s="644">
        <v>4.4984579785439998</v>
      </c>
      <c r="F200" s="642">
        <v>16.233257203949002</v>
      </c>
      <c r="G200" s="643">
        <v>2.7055428673240001</v>
      </c>
      <c r="H200" s="645">
        <v>3.7160000000000002</v>
      </c>
      <c r="I200" s="642">
        <v>37.159059999999997</v>
      </c>
      <c r="J200" s="643">
        <v>34.453517132675003</v>
      </c>
      <c r="K200" s="646">
        <v>2.2890698726159999</v>
      </c>
    </row>
    <row r="201" spans="1:11" ht="14.4" customHeight="1" thickBot="1" x14ac:dyDescent="0.35">
      <c r="A201" s="662" t="s">
        <v>537</v>
      </c>
      <c r="B201" s="642">
        <v>0</v>
      </c>
      <c r="C201" s="642">
        <v>35.649000000000001</v>
      </c>
      <c r="D201" s="643">
        <v>35.649000000000001</v>
      </c>
      <c r="E201" s="652" t="s">
        <v>388</v>
      </c>
      <c r="F201" s="642">
        <v>0</v>
      </c>
      <c r="G201" s="643">
        <v>0</v>
      </c>
      <c r="H201" s="645">
        <v>0</v>
      </c>
      <c r="I201" s="642">
        <v>0</v>
      </c>
      <c r="J201" s="643">
        <v>0</v>
      </c>
      <c r="K201" s="653" t="s">
        <v>345</v>
      </c>
    </row>
    <row r="202" spans="1:11" ht="14.4" customHeight="1" thickBot="1" x14ac:dyDescent="0.35">
      <c r="A202" s="663" t="s">
        <v>538</v>
      </c>
      <c r="B202" s="647">
        <v>0</v>
      </c>
      <c r="C202" s="647">
        <v>35.649000000000001</v>
      </c>
      <c r="D202" s="648">
        <v>35.649000000000001</v>
      </c>
      <c r="E202" s="649" t="s">
        <v>388</v>
      </c>
      <c r="F202" s="647">
        <v>0</v>
      </c>
      <c r="G202" s="648">
        <v>0</v>
      </c>
      <c r="H202" s="650">
        <v>0</v>
      </c>
      <c r="I202" s="647">
        <v>0</v>
      </c>
      <c r="J202" s="648">
        <v>0</v>
      </c>
      <c r="K202" s="651" t="s">
        <v>345</v>
      </c>
    </row>
    <row r="203" spans="1:11" ht="14.4" customHeight="1" thickBot="1" x14ac:dyDescent="0.35">
      <c r="A203" s="664" t="s">
        <v>539</v>
      </c>
      <c r="B203" s="642">
        <v>0</v>
      </c>
      <c r="C203" s="642">
        <v>35.649000000000001</v>
      </c>
      <c r="D203" s="643">
        <v>35.649000000000001</v>
      </c>
      <c r="E203" s="652" t="s">
        <v>388</v>
      </c>
      <c r="F203" s="642">
        <v>0</v>
      </c>
      <c r="G203" s="643">
        <v>0</v>
      </c>
      <c r="H203" s="645">
        <v>0</v>
      </c>
      <c r="I203" s="642">
        <v>0</v>
      </c>
      <c r="J203" s="643">
        <v>0</v>
      </c>
      <c r="K203" s="653" t="s">
        <v>345</v>
      </c>
    </row>
    <row r="204" spans="1:11" ht="14.4" customHeight="1" thickBot="1" x14ac:dyDescent="0.35">
      <c r="A204" s="667" t="s">
        <v>540</v>
      </c>
      <c r="B204" s="647">
        <v>54.6820090736</v>
      </c>
      <c r="C204" s="647">
        <v>210.33572000000001</v>
      </c>
      <c r="D204" s="648">
        <v>155.65371092640001</v>
      </c>
      <c r="E204" s="654">
        <v>3.8465250923180001</v>
      </c>
      <c r="F204" s="647">
        <v>16.233257203949002</v>
      </c>
      <c r="G204" s="648">
        <v>2.7055428673240001</v>
      </c>
      <c r="H204" s="650">
        <v>3.7160000000000002</v>
      </c>
      <c r="I204" s="647">
        <v>37.159059999999997</v>
      </c>
      <c r="J204" s="648">
        <v>34.453517132675003</v>
      </c>
      <c r="K204" s="655">
        <v>2.2890698726159999</v>
      </c>
    </row>
    <row r="205" spans="1:11" ht="14.4" customHeight="1" thickBot="1" x14ac:dyDescent="0.35">
      <c r="A205" s="663" t="s">
        <v>541</v>
      </c>
      <c r="B205" s="647">
        <v>0</v>
      </c>
      <c r="C205" s="647">
        <v>5.37453</v>
      </c>
      <c r="D205" s="648">
        <v>5.37453</v>
      </c>
      <c r="E205" s="649" t="s">
        <v>345</v>
      </c>
      <c r="F205" s="647">
        <v>0</v>
      </c>
      <c r="G205" s="648">
        <v>0</v>
      </c>
      <c r="H205" s="650">
        <v>0</v>
      </c>
      <c r="I205" s="647">
        <v>0</v>
      </c>
      <c r="J205" s="648">
        <v>0</v>
      </c>
      <c r="K205" s="651" t="s">
        <v>345</v>
      </c>
    </row>
    <row r="206" spans="1:11" ht="14.4" customHeight="1" thickBot="1" x14ac:dyDescent="0.35">
      <c r="A206" s="664" t="s">
        <v>542</v>
      </c>
      <c r="B206" s="642">
        <v>0</v>
      </c>
      <c r="C206" s="642">
        <v>5.2999999999999998E-4</v>
      </c>
      <c r="D206" s="643">
        <v>5.2999999999999998E-4</v>
      </c>
      <c r="E206" s="652" t="s">
        <v>345</v>
      </c>
      <c r="F206" s="642">
        <v>0</v>
      </c>
      <c r="G206" s="643">
        <v>0</v>
      </c>
      <c r="H206" s="645">
        <v>0</v>
      </c>
      <c r="I206" s="642">
        <v>0</v>
      </c>
      <c r="J206" s="643">
        <v>0</v>
      </c>
      <c r="K206" s="653" t="s">
        <v>345</v>
      </c>
    </row>
    <row r="207" spans="1:11" ht="14.4" customHeight="1" thickBot="1" x14ac:dyDescent="0.35">
      <c r="A207" s="664" t="s">
        <v>543</v>
      </c>
      <c r="B207" s="642">
        <v>0</v>
      </c>
      <c r="C207" s="642">
        <v>6.0000000000000001E-3</v>
      </c>
      <c r="D207" s="643">
        <v>6.0000000000000001E-3</v>
      </c>
      <c r="E207" s="652" t="s">
        <v>388</v>
      </c>
      <c r="F207" s="642">
        <v>0</v>
      </c>
      <c r="G207" s="643">
        <v>0</v>
      </c>
      <c r="H207" s="645">
        <v>0</v>
      </c>
      <c r="I207" s="642">
        <v>0</v>
      </c>
      <c r="J207" s="643">
        <v>0</v>
      </c>
      <c r="K207" s="653" t="s">
        <v>345</v>
      </c>
    </row>
    <row r="208" spans="1:11" ht="14.4" customHeight="1" thickBot="1" x14ac:dyDescent="0.35">
      <c r="A208" s="664" t="s">
        <v>544</v>
      </c>
      <c r="B208" s="642">
        <v>0</v>
      </c>
      <c r="C208" s="642">
        <v>5.3680000000000003</v>
      </c>
      <c r="D208" s="643">
        <v>5.3680000000000003</v>
      </c>
      <c r="E208" s="652" t="s">
        <v>388</v>
      </c>
      <c r="F208" s="642">
        <v>0</v>
      </c>
      <c r="G208" s="643">
        <v>0</v>
      </c>
      <c r="H208" s="645">
        <v>0</v>
      </c>
      <c r="I208" s="642">
        <v>0</v>
      </c>
      <c r="J208" s="643">
        <v>0</v>
      </c>
      <c r="K208" s="653" t="s">
        <v>345</v>
      </c>
    </row>
    <row r="209" spans="1:11" ht="14.4" customHeight="1" thickBot="1" x14ac:dyDescent="0.35">
      <c r="A209" s="663" t="s">
        <v>545</v>
      </c>
      <c r="B209" s="647">
        <v>54.6820090736</v>
      </c>
      <c r="C209" s="647">
        <v>138.42039</v>
      </c>
      <c r="D209" s="648">
        <v>83.738380926399003</v>
      </c>
      <c r="E209" s="654">
        <v>2.5313698663420001</v>
      </c>
      <c r="F209" s="647">
        <v>16.233257203949002</v>
      </c>
      <c r="G209" s="648">
        <v>2.7055428673240001</v>
      </c>
      <c r="H209" s="650">
        <v>0.55500000000000005</v>
      </c>
      <c r="I209" s="647">
        <v>1.8390599999999999</v>
      </c>
      <c r="J209" s="648">
        <v>-0.86648286732400004</v>
      </c>
      <c r="K209" s="655">
        <v>0.113289648337</v>
      </c>
    </row>
    <row r="210" spans="1:11" ht="14.4" customHeight="1" thickBot="1" x14ac:dyDescent="0.35">
      <c r="A210" s="664" t="s">
        <v>546</v>
      </c>
      <c r="B210" s="642">
        <v>2.8808908742999999E-2</v>
      </c>
      <c r="C210" s="642">
        <v>3.782</v>
      </c>
      <c r="D210" s="643">
        <v>3.7531910912559998</v>
      </c>
      <c r="E210" s="644">
        <v>131.278835782991</v>
      </c>
      <c r="F210" s="642">
        <v>4.1056547287400003</v>
      </c>
      <c r="G210" s="643">
        <v>0.68427578812300005</v>
      </c>
      <c r="H210" s="645">
        <v>0.55500000000000005</v>
      </c>
      <c r="I210" s="642">
        <v>0.80600000000000005</v>
      </c>
      <c r="J210" s="643">
        <v>0.12172421187599999</v>
      </c>
      <c r="K210" s="646">
        <v>0.19631460832700001</v>
      </c>
    </row>
    <row r="211" spans="1:11" ht="14.4" customHeight="1" thickBot="1" x14ac:dyDescent="0.35">
      <c r="A211" s="664" t="s">
        <v>547</v>
      </c>
      <c r="B211" s="642">
        <v>0</v>
      </c>
      <c r="C211" s="642">
        <v>12.25</v>
      </c>
      <c r="D211" s="643">
        <v>12.25</v>
      </c>
      <c r="E211" s="652" t="s">
        <v>388</v>
      </c>
      <c r="F211" s="642">
        <v>12.127602475209001</v>
      </c>
      <c r="G211" s="643">
        <v>2.0212670792009999</v>
      </c>
      <c r="H211" s="645">
        <v>0</v>
      </c>
      <c r="I211" s="642">
        <v>0</v>
      </c>
      <c r="J211" s="643">
        <v>-2.0212670792009999</v>
      </c>
      <c r="K211" s="646">
        <v>0</v>
      </c>
    </row>
    <row r="212" spans="1:11" ht="14.4" customHeight="1" thickBot="1" x14ac:dyDescent="0.35">
      <c r="A212" s="664" t="s">
        <v>548</v>
      </c>
      <c r="B212" s="642">
        <v>54.653200164856003</v>
      </c>
      <c r="C212" s="642">
        <v>122.38839</v>
      </c>
      <c r="D212" s="643">
        <v>67.735189835143004</v>
      </c>
      <c r="E212" s="644">
        <v>2.239363653561</v>
      </c>
      <c r="F212" s="642">
        <v>0</v>
      </c>
      <c r="G212" s="643">
        <v>0</v>
      </c>
      <c r="H212" s="645">
        <v>0</v>
      </c>
      <c r="I212" s="642">
        <v>1.0330600000000001</v>
      </c>
      <c r="J212" s="643">
        <v>1.0330600000000001</v>
      </c>
      <c r="K212" s="653" t="s">
        <v>345</v>
      </c>
    </row>
    <row r="213" spans="1:11" ht="14.4" customHeight="1" thickBot="1" x14ac:dyDescent="0.35">
      <c r="A213" s="663" t="s">
        <v>549</v>
      </c>
      <c r="B213" s="647">
        <v>0</v>
      </c>
      <c r="C213" s="647">
        <v>66.540800000000004</v>
      </c>
      <c r="D213" s="648">
        <v>66.540800000000004</v>
      </c>
      <c r="E213" s="649" t="s">
        <v>345</v>
      </c>
      <c r="F213" s="647">
        <v>0</v>
      </c>
      <c r="G213" s="648">
        <v>0</v>
      </c>
      <c r="H213" s="650">
        <v>3.161</v>
      </c>
      <c r="I213" s="647">
        <v>35.32</v>
      </c>
      <c r="J213" s="648">
        <v>35.32</v>
      </c>
      <c r="K213" s="651" t="s">
        <v>345</v>
      </c>
    </row>
    <row r="214" spans="1:11" ht="14.4" customHeight="1" thickBot="1" x14ac:dyDescent="0.35">
      <c r="A214" s="664" t="s">
        <v>550</v>
      </c>
      <c r="B214" s="642">
        <v>0</v>
      </c>
      <c r="C214" s="642">
        <v>66.540800000000004</v>
      </c>
      <c r="D214" s="643">
        <v>66.540800000000004</v>
      </c>
      <c r="E214" s="652" t="s">
        <v>345</v>
      </c>
      <c r="F214" s="642">
        <v>0</v>
      </c>
      <c r="G214" s="643">
        <v>0</v>
      </c>
      <c r="H214" s="645">
        <v>3.161</v>
      </c>
      <c r="I214" s="642">
        <v>35.32</v>
      </c>
      <c r="J214" s="643">
        <v>35.32</v>
      </c>
      <c r="K214" s="653" t="s">
        <v>345</v>
      </c>
    </row>
    <row r="215" spans="1:11" ht="14.4" customHeight="1" thickBot="1" x14ac:dyDescent="0.35">
      <c r="A215" s="661" t="s">
        <v>551</v>
      </c>
      <c r="B215" s="642">
        <v>102.72682677580799</v>
      </c>
      <c r="C215" s="642">
        <v>230.48408000000001</v>
      </c>
      <c r="D215" s="643">
        <v>127.757253224192</v>
      </c>
      <c r="E215" s="644">
        <v>2.2436600762809999</v>
      </c>
      <c r="F215" s="642">
        <v>123.826923523986</v>
      </c>
      <c r="G215" s="643">
        <v>20.637820587330999</v>
      </c>
      <c r="H215" s="645">
        <v>2.0630000000000002</v>
      </c>
      <c r="I215" s="642">
        <v>4.125</v>
      </c>
      <c r="J215" s="643">
        <v>-16.512820587330999</v>
      </c>
      <c r="K215" s="646">
        <v>3.3312626062999999E-2</v>
      </c>
    </row>
    <row r="216" spans="1:11" ht="14.4" customHeight="1" thickBot="1" x14ac:dyDescent="0.35">
      <c r="A216" s="667" t="s">
        <v>552</v>
      </c>
      <c r="B216" s="647">
        <v>102.72682677580799</v>
      </c>
      <c r="C216" s="647">
        <v>230.48408000000001</v>
      </c>
      <c r="D216" s="648">
        <v>127.757253224192</v>
      </c>
      <c r="E216" s="654">
        <v>2.2436600762809999</v>
      </c>
      <c r="F216" s="647">
        <v>123.826923523986</v>
      </c>
      <c r="G216" s="648">
        <v>20.637820587330999</v>
      </c>
      <c r="H216" s="650">
        <v>2.0630000000000002</v>
      </c>
      <c r="I216" s="647">
        <v>4.125</v>
      </c>
      <c r="J216" s="648">
        <v>-16.512820587330999</v>
      </c>
      <c r="K216" s="655">
        <v>3.3312626062999999E-2</v>
      </c>
    </row>
    <row r="217" spans="1:11" ht="14.4" customHeight="1" thickBot="1" x14ac:dyDescent="0.35">
      <c r="A217" s="663" t="s">
        <v>553</v>
      </c>
      <c r="B217" s="647">
        <v>79.585702606208002</v>
      </c>
      <c r="C217" s="647">
        <v>205.73808</v>
      </c>
      <c r="D217" s="648">
        <v>126.152377393791</v>
      </c>
      <c r="E217" s="654">
        <v>2.5851135726969998</v>
      </c>
      <c r="F217" s="647">
        <v>123.826923523986</v>
      </c>
      <c r="G217" s="648">
        <v>20.637820587330999</v>
      </c>
      <c r="H217" s="650">
        <v>0</v>
      </c>
      <c r="I217" s="647">
        <v>0</v>
      </c>
      <c r="J217" s="648">
        <v>-20.637820587330999</v>
      </c>
      <c r="K217" s="655">
        <v>0</v>
      </c>
    </row>
    <row r="218" spans="1:11" ht="14.4" customHeight="1" thickBot="1" x14ac:dyDescent="0.35">
      <c r="A218" s="664" t="s">
        <v>554</v>
      </c>
      <c r="B218" s="642">
        <v>79.585702606208002</v>
      </c>
      <c r="C218" s="642">
        <v>125.33808000000001</v>
      </c>
      <c r="D218" s="643">
        <v>45.752377393791001</v>
      </c>
      <c r="E218" s="644">
        <v>1.5748818681679999</v>
      </c>
      <c r="F218" s="642">
        <v>111.678806569847</v>
      </c>
      <c r="G218" s="643">
        <v>18.613134428306999</v>
      </c>
      <c r="H218" s="645">
        <v>0</v>
      </c>
      <c r="I218" s="642">
        <v>0</v>
      </c>
      <c r="J218" s="643">
        <v>-18.613134428306999</v>
      </c>
      <c r="K218" s="646">
        <v>0</v>
      </c>
    </row>
    <row r="219" spans="1:11" ht="14.4" customHeight="1" thickBot="1" x14ac:dyDescent="0.35">
      <c r="A219" s="664" t="s">
        <v>555</v>
      </c>
      <c r="B219" s="642">
        <v>0</v>
      </c>
      <c r="C219" s="642">
        <v>80.400000000000006</v>
      </c>
      <c r="D219" s="643">
        <v>80.400000000000006</v>
      </c>
      <c r="E219" s="652" t="s">
        <v>388</v>
      </c>
      <c r="F219" s="642">
        <v>12.148116954139001</v>
      </c>
      <c r="G219" s="643">
        <v>2.0246861590230001</v>
      </c>
      <c r="H219" s="645">
        <v>0</v>
      </c>
      <c r="I219" s="642">
        <v>0</v>
      </c>
      <c r="J219" s="643">
        <v>-2.0246861590230001</v>
      </c>
      <c r="K219" s="646">
        <v>0</v>
      </c>
    </row>
    <row r="220" spans="1:11" ht="14.4" customHeight="1" thickBot="1" x14ac:dyDescent="0.35">
      <c r="A220" s="666" t="s">
        <v>556</v>
      </c>
      <c r="B220" s="642">
        <v>23.141124169598999</v>
      </c>
      <c r="C220" s="642">
        <v>24.745999999999999</v>
      </c>
      <c r="D220" s="643">
        <v>1.6048758303999999</v>
      </c>
      <c r="E220" s="644">
        <v>1.06935167966</v>
      </c>
      <c r="F220" s="642">
        <v>0</v>
      </c>
      <c r="G220" s="643">
        <v>0</v>
      </c>
      <c r="H220" s="645">
        <v>2.0630000000000002</v>
      </c>
      <c r="I220" s="642">
        <v>4.125</v>
      </c>
      <c r="J220" s="643">
        <v>4.125</v>
      </c>
      <c r="K220" s="653" t="s">
        <v>345</v>
      </c>
    </row>
    <row r="221" spans="1:11" ht="14.4" customHeight="1" thickBot="1" x14ac:dyDescent="0.35">
      <c r="A221" s="664" t="s">
        <v>557</v>
      </c>
      <c r="B221" s="642">
        <v>23.141124169598999</v>
      </c>
      <c r="C221" s="642">
        <v>24.745999999999999</v>
      </c>
      <c r="D221" s="643">
        <v>1.6048758303999999</v>
      </c>
      <c r="E221" s="644">
        <v>1.06935167966</v>
      </c>
      <c r="F221" s="642">
        <v>0</v>
      </c>
      <c r="G221" s="643">
        <v>0</v>
      </c>
      <c r="H221" s="645">
        <v>2.0630000000000002</v>
      </c>
      <c r="I221" s="642">
        <v>4.125</v>
      </c>
      <c r="J221" s="643">
        <v>4.125</v>
      </c>
      <c r="K221" s="653" t="s">
        <v>345</v>
      </c>
    </row>
    <row r="222" spans="1:11" ht="14.4" customHeight="1" thickBot="1" x14ac:dyDescent="0.35">
      <c r="A222" s="660" t="s">
        <v>558</v>
      </c>
      <c r="B222" s="642">
        <v>6417.9805649107302</v>
      </c>
      <c r="C222" s="642">
        <v>8182.6664700000001</v>
      </c>
      <c r="D222" s="643">
        <v>1764.6859050892699</v>
      </c>
      <c r="E222" s="644">
        <v>1.274959683539</v>
      </c>
      <c r="F222" s="642">
        <v>0</v>
      </c>
      <c r="G222" s="643">
        <v>0</v>
      </c>
      <c r="H222" s="645">
        <v>625.38738000000001</v>
      </c>
      <c r="I222" s="642">
        <v>1264.0807</v>
      </c>
      <c r="J222" s="643">
        <v>1264.0807</v>
      </c>
      <c r="K222" s="653" t="s">
        <v>388</v>
      </c>
    </row>
    <row r="223" spans="1:11" ht="14.4" customHeight="1" thickBot="1" x14ac:dyDescent="0.35">
      <c r="A223" s="665" t="s">
        <v>559</v>
      </c>
      <c r="B223" s="647">
        <v>6417.9805649107302</v>
      </c>
      <c r="C223" s="647">
        <v>8182.6664700000001</v>
      </c>
      <c r="D223" s="648">
        <v>1764.6859050892699</v>
      </c>
      <c r="E223" s="654">
        <v>1.274959683539</v>
      </c>
      <c r="F223" s="647">
        <v>0</v>
      </c>
      <c r="G223" s="648">
        <v>0</v>
      </c>
      <c r="H223" s="650">
        <v>625.38738000000001</v>
      </c>
      <c r="I223" s="647">
        <v>1264.0807</v>
      </c>
      <c r="J223" s="648">
        <v>1264.0807</v>
      </c>
      <c r="K223" s="651" t="s">
        <v>388</v>
      </c>
    </row>
    <row r="224" spans="1:11" ht="14.4" customHeight="1" thickBot="1" x14ac:dyDescent="0.35">
      <c r="A224" s="667" t="s">
        <v>47</v>
      </c>
      <c r="B224" s="647">
        <v>6417.9805649107302</v>
      </c>
      <c r="C224" s="647">
        <v>8182.6664700000001</v>
      </c>
      <c r="D224" s="648">
        <v>1764.6859050892699</v>
      </c>
      <c r="E224" s="654">
        <v>1.274959683539</v>
      </c>
      <c r="F224" s="647">
        <v>0</v>
      </c>
      <c r="G224" s="648">
        <v>0</v>
      </c>
      <c r="H224" s="650">
        <v>625.38738000000001</v>
      </c>
      <c r="I224" s="647">
        <v>1264.0807</v>
      </c>
      <c r="J224" s="648">
        <v>1264.0807</v>
      </c>
      <c r="K224" s="651" t="s">
        <v>388</v>
      </c>
    </row>
    <row r="225" spans="1:11" ht="14.4" customHeight="1" thickBot="1" x14ac:dyDescent="0.35">
      <c r="A225" s="666" t="s">
        <v>560</v>
      </c>
      <c r="B225" s="642">
        <v>0</v>
      </c>
      <c r="C225" s="642">
        <v>0</v>
      </c>
      <c r="D225" s="643">
        <v>0</v>
      </c>
      <c r="E225" s="644">
        <v>1</v>
      </c>
      <c r="F225" s="642">
        <v>0</v>
      </c>
      <c r="G225" s="643">
        <v>0</v>
      </c>
      <c r="H225" s="645">
        <v>4.0829899999999997</v>
      </c>
      <c r="I225" s="642">
        <v>9.4211899999999993</v>
      </c>
      <c r="J225" s="643">
        <v>9.4211899999999993</v>
      </c>
      <c r="K225" s="653" t="s">
        <v>388</v>
      </c>
    </row>
    <row r="226" spans="1:11" ht="14.4" customHeight="1" thickBot="1" x14ac:dyDescent="0.35">
      <c r="A226" s="664" t="s">
        <v>561</v>
      </c>
      <c r="B226" s="642">
        <v>0</v>
      </c>
      <c r="C226" s="642">
        <v>0</v>
      </c>
      <c r="D226" s="643">
        <v>0</v>
      </c>
      <c r="E226" s="644">
        <v>1</v>
      </c>
      <c r="F226" s="642">
        <v>0</v>
      </c>
      <c r="G226" s="643">
        <v>0</v>
      </c>
      <c r="H226" s="645">
        <v>4.0829899999999997</v>
      </c>
      <c r="I226" s="642">
        <v>9.4211899999999993</v>
      </c>
      <c r="J226" s="643">
        <v>9.4211899999999993</v>
      </c>
      <c r="K226" s="653" t="s">
        <v>388</v>
      </c>
    </row>
    <row r="227" spans="1:11" ht="14.4" customHeight="1" thickBot="1" x14ac:dyDescent="0.35">
      <c r="A227" s="663" t="s">
        <v>562</v>
      </c>
      <c r="B227" s="647">
        <v>95.140157598238005</v>
      </c>
      <c r="C227" s="647">
        <v>85.007999999999996</v>
      </c>
      <c r="D227" s="648">
        <v>-10.132157598238001</v>
      </c>
      <c r="E227" s="654">
        <v>0.89350282936199998</v>
      </c>
      <c r="F227" s="647">
        <v>0</v>
      </c>
      <c r="G227" s="648">
        <v>0</v>
      </c>
      <c r="H227" s="650">
        <v>7.6139999999999999</v>
      </c>
      <c r="I227" s="647">
        <v>14.529</v>
      </c>
      <c r="J227" s="648">
        <v>14.529</v>
      </c>
      <c r="K227" s="651" t="s">
        <v>388</v>
      </c>
    </row>
    <row r="228" spans="1:11" ht="14.4" customHeight="1" thickBot="1" x14ac:dyDescent="0.35">
      <c r="A228" s="664" t="s">
        <v>563</v>
      </c>
      <c r="B228" s="642">
        <v>95.140157598238005</v>
      </c>
      <c r="C228" s="642">
        <v>85.007999999999996</v>
      </c>
      <c r="D228" s="643">
        <v>-10.132157598238001</v>
      </c>
      <c r="E228" s="644">
        <v>0.89350282936199998</v>
      </c>
      <c r="F228" s="642">
        <v>0</v>
      </c>
      <c r="G228" s="643">
        <v>0</v>
      </c>
      <c r="H228" s="645">
        <v>7.6139999999999999</v>
      </c>
      <c r="I228" s="642">
        <v>14.529</v>
      </c>
      <c r="J228" s="643">
        <v>14.529</v>
      </c>
      <c r="K228" s="653" t="s">
        <v>388</v>
      </c>
    </row>
    <row r="229" spans="1:11" ht="14.4" customHeight="1" thickBot="1" x14ac:dyDescent="0.35">
      <c r="A229" s="663" t="s">
        <v>564</v>
      </c>
      <c r="B229" s="647">
        <v>87.005825730732994</v>
      </c>
      <c r="C229" s="647">
        <v>76.46754</v>
      </c>
      <c r="D229" s="648">
        <v>-10.538285730733</v>
      </c>
      <c r="E229" s="654">
        <v>0.87887838955300002</v>
      </c>
      <c r="F229" s="647">
        <v>0</v>
      </c>
      <c r="G229" s="648">
        <v>0</v>
      </c>
      <c r="H229" s="650">
        <v>7.2923</v>
      </c>
      <c r="I229" s="647">
        <v>14.869020000000001</v>
      </c>
      <c r="J229" s="648">
        <v>14.869020000000001</v>
      </c>
      <c r="K229" s="651" t="s">
        <v>388</v>
      </c>
    </row>
    <row r="230" spans="1:11" ht="14.4" customHeight="1" thickBot="1" x14ac:dyDescent="0.35">
      <c r="A230" s="664" t="s">
        <v>565</v>
      </c>
      <c r="B230" s="642">
        <v>16.179514259771</v>
      </c>
      <c r="C230" s="642">
        <v>13.914</v>
      </c>
      <c r="D230" s="643">
        <v>-2.2655142597709998</v>
      </c>
      <c r="E230" s="644">
        <v>0.85997637361599999</v>
      </c>
      <c r="F230" s="642">
        <v>0</v>
      </c>
      <c r="G230" s="643">
        <v>0</v>
      </c>
      <c r="H230" s="645">
        <v>2.206</v>
      </c>
      <c r="I230" s="642">
        <v>5.1660000000000004</v>
      </c>
      <c r="J230" s="643">
        <v>5.1660000000000004</v>
      </c>
      <c r="K230" s="653" t="s">
        <v>388</v>
      </c>
    </row>
    <row r="231" spans="1:11" ht="14.4" customHeight="1" thickBot="1" x14ac:dyDescent="0.35">
      <c r="A231" s="664" t="s">
        <v>566</v>
      </c>
      <c r="B231" s="642">
        <v>1.374575619265</v>
      </c>
      <c r="C231" s="642">
        <v>1.0230999999999999</v>
      </c>
      <c r="D231" s="643">
        <v>-0.35147561926499998</v>
      </c>
      <c r="E231" s="644">
        <v>0.74430244917800004</v>
      </c>
      <c r="F231" s="642">
        <v>0</v>
      </c>
      <c r="G231" s="643">
        <v>0</v>
      </c>
      <c r="H231" s="645">
        <v>0</v>
      </c>
      <c r="I231" s="642">
        <v>0</v>
      </c>
      <c r="J231" s="643">
        <v>0</v>
      </c>
      <c r="K231" s="646">
        <v>2</v>
      </c>
    </row>
    <row r="232" spans="1:11" ht="14.4" customHeight="1" thickBot="1" x14ac:dyDescent="0.35">
      <c r="A232" s="664" t="s">
        <v>567</v>
      </c>
      <c r="B232" s="642">
        <v>69.451735851695005</v>
      </c>
      <c r="C232" s="642">
        <v>61.530439999999999</v>
      </c>
      <c r="D232" s="643">
        <v>-7.9212958516949996</v>
      </c>
      <c r="E232" s="644">
        <v>0.88594531505100005</v>
      </c>
      <c r="F232" s="642">
        <v>0</v>
      </c>
      <c r="G232" s="643">
        <v>0</v>
      </c>
      <c r="H232" s="645">
        <v>5.0862999999999996</v>
      </c>
      <c r="I232" s="642">
        <v>9.7030200000000004</v>
      </c>
      <c r="J232" s="643">
        <v>9.7030200000000004</v>
      </c>
      <c r="K232" s="653" t="s">
        <v>388</v>
      </c>
    </row>
    <row r="233" spans="1:11" ht="14.4" customHeight="1" thickBot="1" x14ac:dyDescent="0.35">
      <c r="A233" s="663" t="s">
        <v>568</v>
      </c>
      <c r="B233" s="647">
        <v>836.55762799270099</v>
      </c>
      <c r="C233" s="647">
        <v>910.06523000000004</v>
      </c>
      <c r="D233" s="648">
        <v>73.507602007298004</v>
      </c>
      <c r="E233" s="654">
        <v>1.087869143197</v>
      </c>
      <c r="F233" s="647">
        <v>0</v>
      </c>
      <c r="G233" s="648">
        <v>0</v>
      </c>
      <c r="H233" s="650">
        <v>73.499170000000007</v>
      </c>
      <c r="I233" s="647">
        <v>147.87511000000001</v>
      </c>
      <c r="J233" s="648">
        <v>147.87511000000001</v>
      </c>
      <c r="K233" s="651" t="s">
        <v>388</v>
      </c>
    </row>
    <row r="234" spans="1:11" ht="14.4" customHeight="1" thickBot="1" x14ac:dyDescent="0.35">
      <c r="A234" s="664" t="s">
        <v>569</v>
      </c>
      <c r="B234" s="642">
        <v>836.55762799270099</v>
      </c>
      <c r="C234" s="642">
        <v>910.06523000000004</v>
      </c>
      <c r="D234" s="643">
        <v>73.507602007298004</v>
      </c>
      <c r="E234" s="644">
        <v>1.087869143197</v>
      </c>
      <c r="F234" s="642">
        <v>0</v>
      </c>
      <c r="G234" s="643">
        <v>0</v>
      </c>
      <c r="H234" s="645">
        <v>73.499170000000007</v>
      </c>
      <c r="I234" s="642">
        <v>147.87511000000001</v>
      </c>
      <c r="J234" s="643">
        <v>147.87511000000001</v>
      </c>
      <c r="K234" s="653" t="s">
        <v>388</v>
      </c>
    </row>
    <row r="235" spans="1:11" ht="14.4" customHeight="1" thickBot="1" x14ac:dyDescent="0.35">
      <c r="A235" s="663" t="s">
        <v>570</v>
      </c>
      <c r="B235" s="647">
        <v>0</v>
      </c>
      <c r="C235" s="647">
        <v>10.023</v>
      </c>
      <c r="D235" s="648">
        <v>10.023</v>
      </c>
      <c r="E235" s="649" t="s">
        <v>388</v>
      </c>
      <c r="F235" s="647">
        <v>0</v>
      </c>
      <c r="G235" s="648">
        <v>0</v>
      </c>
      <c r="H235" s="650">
        <v>0.82</v>
      </c>
      <c r="I235" s="647">
        <v>1.633</v>
      </c>
      <c r="J235" s="648">
        <v>1.633</v>
      </c>
      <c r="K235" s="651" t="s">
        <v>388</v>
      </c>
    </row>
    <row r="236" spans="1:11" ht="14.4" customHeight="1" thickBot="1" x14ac:dyDescent="0.35">
      <c r="A236" s="664" t="s">
        <v>571</v>
      </c>
      <c r="B236" s="642">
        <v>0</v>
      </c>
      <c r="C236" s="642">
        <v>10.023</v>
      </c>
      <c r="D236" s="643">
        <v>10.023</v>
      </c>
      <c r="E236" s="652" t="s">
        <v>388</v>
      </c>
      <c r="F236" s="642">
        <v>0</v>
      </c>
      <c r="G236" s="643">
        <v>0</v>
      </c>
      <c r="H236" s="645">
        <v>0.82</v>
      </c>
      <c r="I236" s="642">
        <v>1.633</v>
      </c>
      <c r="J236" s="643">
        <v>1.633</v>
      </c>
      <c r="K236" s="653" t="s">
        <v>388</v>
      </c>
    </row>
    <row r="237" spans="1:11" ht="14.4" customHeight="1" thickBot="1" x14ac:dyDescent="0.35">
      <c r="A237" s="663" t="s">
        <v>572</v>
      </c>
      <c r="B237" s="647">
        <v>609.20637217425406</v>
      </c>
      <c r="C237" s="647">
        <v>582.88121999999998</v>
      </c>
      <c r="D237" s="648">
        <v>-26.325152174254001</v>
      </c>
      <c r="E237" s="654">
        <v>0.95678779248400003</v>
      </c>
      <c r="F237" s="647">
        <v>0</v>
      </c>
      <c r="G237" s="648">
        <v>0</v>
      </c>
      <c r="H237" s="650">
        <v>26.135370000000002</v>
      </c>
      <c r="I237" s="647">
        <v>53.54477</v>
      </c>
      <c r="J237" s="648">
        <v>53.54477</v>
      </c>
      <c r="K237" s="651" t="s">
        <v>388</v>
      </c>
    </row>
    <row r="238" spans="1:11" ht="14.4" customHeight="1" thickBot="1" x14ac:dyDescent="0.35">
      <c r="A238" s="664" t="s">
        <v>573</v>
      </c>
      <c r="B238" s="642">
        <v>609.20637217425406</v>
      </c>
      <c r="C238" s="642">
        <v>582.88121999999998</v>
      </c>
      <c r="D238" s="643">
        <v>-26.325152174254001</v>
      </c>
      <c r="E238" s="644">
        <v>0.95678779248400003</v>
      </c>
      <c r="F238" s="642">
        <v>0</v>
      </c>
      <c r="G238" s="643">
        <v>0</v>
      </c>
      <c r="H238" s="645">
        <v>26.135370000000002</v>
      </c>
      <c r="I238" s="642">
        <v>53.54477</v>
      </c>
      <c r="J238" s="643">
        <v>53.54477</v>
      </c>
      <c r="K238" s="653" t="s">
        <v>388</v>
      </c>
    </row>
    <row r="239" spans="1:11" ht="14.4" customHeight="1" thickBot="1" x14ac:dyDescent="0.35">
      <c r="A239" s="663" t="s">
        <v>574</v>
      </c>
      <c r="B239" s="647">
        <v>0</v>
      </c>
      <c r="C239" s="647">
        <v>1554.5283899999999</v>
      </c>
      <c r="D239" s="648">
        <v>1554.5283899999999</v>
      </c>
      <c r="E239" s="649" t="s">
        <v>388</v>
      </c>
      <c r="F239" s="647">
        <v>0</v>
      </c>
      <c r="G239" s="648">
        <v>0</v>
      </c>
      <c r="H239" s="650">
        <v>167.95751000000001</v>
      </c>
      <c r="I239" s="647">
        <v>327.57799999999997</v>
      </c>
      <c r="J239" s="648">
        <v>327.57799999999997</v>
      </c>
      <c r="K239" s="651" t="s">
        <v>388</v>
      </c>
    </row>
    <row r="240" spans="1:11" ht="14.4" customHeight="1" thickBot="1" x14ac:dyDescent="0.35">
      <c r="A240" s="664" t="s">
        <v>575</v>
      </c>
      <c r="B240" s="642">
        <v>0</v>
      </c>
      <c r="C240" s="642">
        <v>1554.5283899999999</v>
      </c>
      <c r="D240" s="643">
        <v>1554.5283899999999</v>
      </c>
      <c r="E240" s="652" t="s">
        <v>388</v>
      </c>
      <c r="F240" s="642">
        <v>0</v>
      </c>
      <c r="G240" s="643">
        <v>0</v>
      </c>
      <c r="H240" s="645">
        <v>167.95751000000001</v>
      </c>
      <c r="I240" s="642">
        <v>327.57799999999997</v>
      </c>
      <c r="J240" s="643">
        <v>327.57799999999997</v>
      </c>
      <c r="K240" s="653" t="s">
        <v>388</v>
      </c>
    </row>
    <row r="241" spans="1:11" ht="14.4" customHeight="1" thickBot="1" x14ac:dyDescent="0.35">
      <c r="A241" s="663" t="s">
        <v>576</v>
      </c>
      <c r="B241" s="647">
        <v>4790.0705814147996</v>
      </c>
      <c r="C241" s="647">
        <v>4963.6930899999998</v>
      </c>
      <c r="D241" s="648">
        <v>173.62250858519701</v>
      </c>
      <c r="E241" s="654">
        <v>1.036246336172</v>
      </c>
      <c r="F241" s="647">
        <v>0</v>
      </c>
      <c r="G241" s="648">
        <v>0</v>
      </c>
      <c r="H241" s="650">
        <v>337.98604</v>
      </c>
      <c r="I241" s="647">
        <v>694.63061000000005</v>
      </c>
      <c r="J241" s="648">
        <v>694.63061000000005</v>
      </c>
      <c r="K241" s="651" t="s">
        <v>388</v>
      </c>
    </row>
    <row r="242" spans="1:11" ht="14.4" customHeight="1" thickBot="1" x14ac:dyDescent="0.35">
      <c r="A242" s="664" t="s">
        <v>577</v>
      </c>
      <c r="B242" s="642">
        <v>4790.0705814147996</v>
      </c>
      <c r="C242" s="642">
        <v>4963.6930899999998</v>
      </c>
      <c r="D242" s="643">
        <v>173.62250858519701</v>
      </c>
      <c r="E242" s="644">
        <v>1.036246336172</v>
      </c>
      <c r="F242" s="642">
        <v>0</v>
      </c>
      <c r="G242" s="643">
        <v>0</v>
      </c>
      <c r="H242" s="645">
        <v>337.98604</v>
      </c>
      <c r="I242" s="642">
        <v>694.63061000000005</v>
      </c>
      <c r="J242" s="643">
        <v>694.63061000000005</v>
      </c>
      <c r="K242" s="653" t="s">
        <v>388</v>
      </c>
    </row>
    <row r="243" spans="1:11" ht="14.4" customHeight="1" thickBot="1" x14ac:dyDescent="0.35">
      <c r="A243" s="668" t="s">
        <v>578</v>
      </c>
      <c r="B243" s="647">
        <v>0</v>
      </c>
      <c r="C243" s="647">
        <v>0.69433999999999996</v>
      </c>
      <c r="D243" s="648">
        <v>0.69433999999999996</v>
      </c>
      <c r="E243" s="649" t="s">
        <v>388</v>
      </c>
      <c r="F243" s="647">
        <v>0</v>
      </c>
      <c r="G243" s="648">
        <v>0</v>
      </c>
      <c r="H243" s="650">
        <v>0.19178000000000001</v>
      </c>
      <c r="I243" s="647">
        <v>0.32701000000000002</v>
      </c>
      <c r="J243" s="648">
        <v>0.32701000000000002</v>
      </c>
      <c r="K243" s="651" t="s">
        <v>388</v>
      </c>
    </row>
    <row r="244" spans="1:11" ht="14.4" customHeight="1" thickBot="1" x14ac:dyDescent="0.35">
      <c r="A244" s="665" t="s">
        <v>579</v>
      </c>
      <c r="B244" s="647">
        <v>0</v>
      </c>
      <c r="C244" s="647">
        <v>0.69433999999999996</v>
      </c>
      <c r="D244" s="648">
        <v>0.69433999999999996</v>
      </c>
      <c r="E244" s="649" t="s">
        <v>388</v>
      </c>
      <c r="F244" s="647">
        <v>0</v>
      </c>
      <c r="G244" s="648">
        <v>0</v>
      </c>
      <c r="H244" s="650">
        <v>0.19178000000000001</v>
      </c>
      <c r="I244" s="647">
        <v>0.32701000000000002</v>
      </c>
      <c r="J244" s="648">
        <v>0.32701000000000002</v>
      </c>
      <c r="K244" s="651" t="s">
        <v>388</v>
      </c>
    </row>
    <row r="245" spans="1:11" ht="14.4" customHeight="1" thickBot="1" x14ac:dyDescent="0.35">
      <c r="A245" s="667" t="s">
        <v>580</v>
      </c>
      <c r="B245" s="647">
        <v>0</v>
      </c>
      <c r="C245" s="647">
        <v>0.69433999999999996</v>
      </c>
      <c r="D245" s="648">
        <v>0.69433999999999996</v>
      </c>
      <c r="E245" s="649" t="s">
        <v>388</v>
      </c>
      <c r="F245" s="647">
        <v>0</v>
      </c>
      <c r="G245" s="648">
        <v>0</v>
      </c>
      <c r="H245" s="650">
        <v>0.19178000000000001</v>
      </c>
      <c r="I245" s="647">
        <v>0.32701000000000002</v>
      </c>
      <c r="J245" s="648">
        <v>0.32701000000000002</v>
      </c>
      <c r="K245" s="651" t="s">
        <v>388</v>
      </c>
    </row>
    <row r="246" spans="1:11" ht="14.4" customHeight="1" thickBot="1" x14ac:dyDescent="0.35">
      <c r="A246" s="663" t="s">
        <v>581</v>
      </c>
      <c r="B246" s="647">
        <v>0</v>
      </c>
      <c r="C246" s="647">
        <v>0.69433999999999996</v>
      </c>
      <c r="D246" s="648">
        <v>0.69433999999999996</v>
      </c>
      <c r="E246" s="649" t="s">
        <v>388</v>
      </c>
      <c r="F246" s="647">
        <v>0</v>
      </c>
      <c r="G246" s="648">
        <v>0</v>
      </c>
      <c r="H246" s="650">
        <v>0.19178000000000001</v>
      </c>
      <c r="I246" s="647">
        <v>0.32701000000000002</v>
      </c>
      <c r="J246" s="648">
        <v>0.32701000000000002</v>
      </c>
      <c r="K246" s="651" t="s">
        <v>388</v>
      </c>
    </row>
    <row r="247" spans="1:11" ht="14.4" customHeight="1" thickBot="1" x14ac:dyDescent="0.35">
      <c r="A247" s="664" t="s">
        <v>582</v>
      </c>
      <c r="B247" s="642">
        <v>0</v>
      </c>
      <c r="C247" s="642">
        <v>0.69433999999999996</v>
      </c>
      <c r="D247" s="643">
        <v>0.69433999999999996</v>
      </c>
      <c r="E247" s="652" t="s">
        <v>388</v>
      </c>
      <c r="F247" s="642">
        <v>0</v>
      </c>
      <c r="G247" s="643">
        <v>0</v>
      </c>
      <c r="H247" s="645">
        <v>0.19178000000000001</v>
      </c>
      <c r="I247" s="642">
        <v>0.32701000000000002</v>
      </c>
      <c r="J247" s="643">
        <v>0.32701000000000002</v>
      </c>
      <c r="K247" s="653" t="s">
        <v>388</v>
      </c>
    </row>
    <row r="248" spans="1:11" ht="14.4" customHeight="1" thickBot="1" x14ac:dyDescent="0.35">
      <c r="A248" s="669"/>
      <c r="B248" s="642">
        <v>4309.2032716379199</v>
      </c>
      <c r="C248" s="642">
        <v>6847.0875599999399</v>
      </c>
      <c r="D248" s="643">
        <v>2537.88428836202</v>
      </c>
      <c r="E248" s="644">
        <v>1.5889451317050001</v>
      </c>
      <c r="F248" s="642">
        <v>16703.345443220402</v>
      </c>
      <c r="G248" s="643">
        <v>2783.8909072034098</v>
      </c>
      <c r="H248" s="645">
        <v>5997.0216899999996</v>
      </c>
      <c r="I248" s="642">
        <v>6205.8923100000002</v>
      </c>
      <c r="J248" s="643">
        <v>3422.0014027965899</v>
      </c>
      <c r="K248" s="646">
        <v>0.37153588968700002</v>
      </c>
    </row>
    <row r="249" spans="1:11" ht="14.4" customHeight="1" thickBot="1" x14ac:dyDescent="0.35">
      <c r="A249" s="670" t="s">
        <v>59</v>
      </c>
      <c r="B249" s="656">
        <v>4309.2032716379199</v>
      </c>
      <c r="C249" s="656">
        <v>6847.0875599999399</v>
      </c>
      <c r="D249" s="657">
        <v>2537.88428836202</v>
      </c>
      <c r="E249" s="658" t="s">
        <v>388</v>
      </c>
      <c r="F249" s="656">
        <v>16703.345443220402</v>
      </c>
      <c r="G249" s="657">
        <v>2783.8909072034098</v>
      </c>
      <c r="H249" s="656">
        <v>5997.0216899999996</v>
      </c>
      <c r="I249" s="656">
        <v>6205.8923100000002</v>
      </c>
      <c r="J249" s="657">
        <v>3422.0014027965899</v>
      </c>
      <c r="K249" s="659">
        <v>0.37153588968700002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20" customWidth="1"/>
    <col min="2" max="2" width="61.109375" style="320" customWidth="1"/>
    <col min="3" max="3" width="9.5546875" style="237" hidden="1" customWidth="1" outlineLevel="1"/>
    <col min="4" max="4" width="9.5546875" style="321" customWidth="1" collapsed="1"/>
    <col min="5" max="5" width="2.21875" style="321" customWidth="1"/>
    <col min="6" max="6" width="9.5546875" style="322" customWidth="1"/>
    <col min="7" max="7" width="9.5546875" style="319" customWidth="1"/>
    <col min="8" max="9" width="9.5546875" style="237" customWidth="1"/>
    <col min="10" max="10" width="0" style="237" hidden="1" customWidth="1"/>
    <col min="11" max="16384" width="8.88671875" style="237"/>
  </cols>
  <sheetData>
    <row r="1" spans="1:10" ht="18.600000000000001" customHeight="1" thickBot="1" x14ac:dyDescent="0.4">
      <c r="A1" s="534" t="s">
        <v>168</v>
      </c>
      <c r="B1" s="535"/>
      <c r="C1" s="535"/>
      <c r="D1" s="535"/>
      <c r="E1" s="535"/>
      <c r="F1" s="535"/>
      <c r="G1" s="505"/>
      <c r="H1" s="536"/>
      <c r="I1" s="536"/>
    </row>
    <row r="2" spans="1:10" ht="14.4" customHeight="1" thickBot="1" x14ac:dyDescent="0.35">
      <c r="A2" s="360" t="s">
        <v>344</v>
      </c>
      <c r="B2" s="318"/>
      <c r="C2" s="318"/>
      <c r="D2" s="318"/>
      <c r="E2" s="318"/>
      <c r="F2" s="318"/>
    </row>
    <row r="3" spans="1:10" ht="14.4" customHeight="1" thickBot="1" x14ac:dyDescent="0.35">
      <c r="A3" s="360"/>
      <c r="B3" s="491"/>
      <c r="C3" s="490">
        <v>2015</v>
      </c>
      <c r="D3" s="421">
        <v>2016</v>
      </c>
      <c r="E3" s="11"/>
      <c r="F3" s="513">
        <v>2017</v>
      </c>
      <c r="G3" s="531"/>
      <c r="H3" s="531"/>
      <c r="I3" s="514"/>
    </row>
    <row r="4" spans="1:10" ht="14.4" customHeight="1" thickBot="1" x14ac:dyDescent="0.35">
      <c r="A4" s="425" t="s">
        <v>0</v>
      </c>
      <c r="B4" s="426" t="s">
        <v>270</v>
      </c>
      <c r="C4" s="532" t="s">
        <v>87</v>
      </c>
      <c r="D4" s="533"/>
      <c r="E4" s="427"/>
      <c r="F4" s="422" t="s">
        <v>87</v>
      </c>
      <c r="G4" s="423" t="s">
        <v>88</v>
      </c>
      <c r="H4" s="423" t="s">
        <v>62</v>
      </c>
      <c r="I4" s="424" t="s">
        <v>89</v>
      </c>
    </row>
    <row r="5" spans="1:10" ht="14.4" customHeight="1" x14ac:dyDescent="0.3">
      <c r="A5" s="671" t="s">
        <v>583</v>
      </c>
      <c r="B5" s="672" t="s">
        <v>584</v>
      </c>
      <c r="C5" s="673" t="s">
        <v>585</v>
      </c>
      <c r="D5" s="673" t="s">
        <v>585</v>
      </c>
      <c r="E5" s="673"/>
      <c r="F5" s="673" t="s">
        <v>585</v>
      </c>
      <c r="G5" s="673" t="s">
        <v>585</v>
      </c>
      <c r="H5" s="673" t="s">
        <v>585</v>
      </c>
      <c r="I5" s="674" t="s">
        <v>585</v>
      </c>
      <c r="J5" s="675" t="s">
        <v>67</v>
      </c>
    </row>
    <row r="6" spans="1:10" ht="14.4" customHeight="1" x14ac:dyDescent="0.3">
      <c r="A6" s="671" t="s">
        <v>583</v>
      </c>
      <c r="B6" s="672" t="s">
        <v>353</v>
      </c>
      <c r="C6" s="673">
        <v>246.15886</v>
      </c>
      <c r="D6" s="673">
        <v>316.76873000000001</v>
      </c>
      <c r="E6" s="673"/>
      <c r="F6" s="673">
        <v>330.20074</v>
      </c>
      <c r="G6" s="673">
        <v>351.66666666666617</v>
      </c>
      <c r="H6" s="673">
        <v>-21.465926666666178</v>
      </c>
      <c r="I6" s="674">
        <v>0.93895945023696814</v>
      </c>
      <c r="J6" s="675" t="s">
        <v>1</v>
      </c>
    </row>
    <row r="7" spans="1:10" ht="14.4" customHeight="1" x14ac:dyDescent="0.3">
      <c r="A7" s="671" t="s">
        <v>583</v>
      </c>
      <c r="B7" s="672" t="s">
        <v>354</v>
      </c>
      <c r="C7" s="673">
        <v>0</v>
      </c>
      <c r="D7" s="673">
        <v>10.593</v>
      </c>
      <c r="E7" s="673"/>
      <c r="F7" s="673">
        <v>10.593</v>
      </c>
      <c r="G7" s="673">
        <v>11.666666666666666</v>
      </c>
      <c r="H7" s="673">
        <v>-1.0736666666666661</v>
      </c>
      <c r="I7" s="674">
        <v>0.90797142857142865</v>
      </c>
      <c r="J7" s="675" t="s">
        <v>1</v>
      </c>
    </row>
    <row r="8" spans="1:10" ht="14.4" customHeight="1" x14ac:dyDescent="0.3">
      <c r="A8" s="671" t="s">
        <v>583</v>
      </c>
      <c r="B8" s="672" t="s">
        <v>355</v>
      </c>
      <c r="C8" s="673">
        <v>0</v>
      </c>
      <c r="D8" s="673">
        <v>21.616790000000002</v>
      </c>
      <c r="E8" s="673"/>
      <c r="F8" s="673">
        <v>29.353339999999999</v>
      </c>
      <c r="G8" s="673">
        <v>26.666666666666668</v>
      </c>
      <c r="H8" s="673">
        <v>2.6866733333333315</v>
      </c>
      <c r="I8" s="674">
        <v>1.1007502499999999</v>
      </c>
      <c r="J8" s="675" t="s">
        <v>1</v>
      </c>
    </row>
    <row r="9" spans="1:10" ht="14.4" customHeight="1" x14ac:dyDescent="0.3">
      <c r="A9" s="671" t="s">
        <v>583</v>
      </c>
      <c r="B9" s="672" t="s">
        <v>356</v>
      </c>
      <c r="C9" s="673">
        <v>24.818460000000002</v>
      </c>
      <c r="D9" s="673">
        <v>10.971589999999999</v>
      </c>
      <c r="E9" s="673"/>
      <c r="F9" s="673">
        <v>17.84188</v>
      </c>
      <c r="G9" s="673">
        <v>13.333333333333165</v>
      </c>
      <c r="H9" s="673">
        <v>4.5085466666668346</v>
      </c>
      <c r="I9" s="674">
        <v>1.3381410000000169</v>
      </c>
      <c r="J9" s="675" t="s">
        <v>1</v>
      </c>
    </row>
    <row r="10" spans="1:10" ht="14.4" customHeight="1" x14ac:dyDescent="0.3">
      <c r="A10" s="671" t="s">
        <v>583</v>
      </c>
      <c r="B10" s="672" t="s">
        <v>357</v>
      </c>
      <c r="C10" s="673">
        <v>0.86184000000000005</v>
      </c>
      <c r="D10" s="673">
        <v>1.13408</v>
      </c>
      <c r="E10" s="673"/>
      <c r="F10" s="673">
        <v>6.44116</v>
      </c>
      <c r="G10" s="673">
        <v>5</v>
      </c>
      <c r="H10" s="673">
        <v>1.44116</v>
      </c>
      <c r="I10" s="674">
        <v>1.288232</v>
      </c>
      <c r="J10" s="675" t="s">
        <v>1</v>
      </c>
    </row>
    <row r="11" spans="1:10" ht="14.4" customHeight="1" x14ac:dyDescent="0.3">
      <c r="A11" s="671" t="s">
        <v>583</v>
      </c>
      <c r="B11" s="672" t="s">
        <v>358</v>
      </c>
      <c r="C11" s="673">
        <v>27.522400000000001</v>
      </c>
      <c r="D11" s="673">
        <v>11.267050000000001</v>
      </c>
      <c r="E11" s="673"/>
      <c r="F11" s="673">
        <v>15.620039999999999</v>
      </c>
      <c r="G11" s="673">
        <v>16.666666666666334</v>
      </c>
      <c r="H11" s="673">
        <v>-1.0466266666663344</v>
      </c>
      <c r="I11" s="674">
        <v>0.93720240000001864</v>
      </c>
      <c r="J11" s="675" t="s">
        <v>1</v>
      </c>
    </row>
    <row r="12" spans="1:10" ht="14.4" customHeight="1" x14ac:dyDescent="0.3">
      <c r="A12" s="671" t="s">
        <v>583</v>
      </c>
      <c r="B12" s="672" t="s">
        <v>359</v>
      </c>
      <c r="C12" s="673">
        <v>1.2978499999999999</v>
      </c>
      <c r="D12" s="673">
        <v>1.0301400000000001</v>
      </c>
      <c r="E12" s="673"/>
      <c r="F12" s="673">
        <v>0.87508000000000008</v>
      </c>
      <c r="G12" s="673">
        <v>1.6666666666665</v>
      </c>
      <c r="H12" s="673">
        <v>-0.79158666666649991</v>
      </c>
      <c r="I12" s="674">
        <v>0.52504800000005258</v>
      </c>
      <c r="J12" s="675" t="s">
        <v>1</v>
      </c>
    </row>
    <row r="13" spans="1:10" ht="14.4" customHeight="1" x14ac:dyDescent="0.3">
      <c r="A13" s="671" t="s">
        <v>583</v>
      </c>
      <c r="B13" s="672" t="s">
        <v>360</v>
      </c>
      <c r="C13" s="673" t="s">
        <v>585</v>
      </c>
      <c r="D13" s="673">
        <v>1944.4787999999999</v>
      </c>
      <c r="E13" s="673"/>
      <c r="F13" s="673">
        <v>934.27144999999996</v>
      </c>
      <c r="G13" s="673">
        <v>800</v>
      </c>
      <c r="H13" s="673">
        <v>134.27144999999996</v>
      </c>
      <c r="I13" s="674">
        <v>1.1678393124999999</v>
      </c>
      <c r="J13" s="675" t="s">
        <v>1</v>
      </c>
    </row>
    <row r="14" spans="1:10" ht="14.4" customHeight="1" x14ac:dyDescent="0.3">
      <c r="A14" s="671" t="s">
        <v>583</v>
      </c>
      <c r="B14" s="672" t="s">
        <v>361</v>
      </c>
      <c r="C14" s="673">
        <v>57.748660000000001</v>
      </c>
      <c r="D14" s="673">
        <v>60.212269999999997</v>
      </c>
      <c r="E14" s="673"/>
      <c r="F14" s="673">
        <v>55.764569999999999</v>
      </c>
      <c r="G14" s="673">
        <v>50</v>
      </c>
      <c r="H14" s="673">
        <v>5.7645699999999991</v>
      </c>
      <c r="I14" s="674">
        <v>1.1152914</v>
      </c>
      <c r="J14" s="675" t="s">
        <v>1</v>
      </c>
    </row>
    <row r="15" spans="1:10" ht="14.4" customHeight="1" x14ac:dyDescent="0.3">
      <c r="A15" s="671" t="s">
        <v>583</v>
      </c>
      <c r="B15" s="672" t="s">
        <v>586</v>
      </c>
      <c r="C15" s="673">
        <v>358.40806999999995</v>
      </c>
      <c r="D15" s="673">
        <v>2378.0724499999997</v>
      </c>
      <c r="E15" s="673"/>
      <c r="F15" s="673">
        <v>1400.96126</v>
      </c>
      <c r="G15" s="673">
        <v>1276.6666666666656</v>
      </c>
      <c r="H15" s="673">
        <v>124.29459333333443</v>
      </c>
      <c r="I15" s="674">
        <v>1.0973586892950402</v>
      </c>
      <c r="J15" s="675" t="s">
        <v>587</v>
      </c>
    </row>
    <row r="17" spans="1:10" ht="14.4" customHeight="1" x14ac:dyDescent="0.3">
      <c r="A17" s="671" t="s">
        <v>583</v>
      </c>
      <c r="B17" s="672" t="s">
        <v>584</v>
      </c>
      <c r="C17" s="673" t="s">
        <v>585</v>
      </c>
      <c r="D17" s="673" t="s">
        <v>585</v>
      </c>
      <c r="E17" s="673"/>
      <c r="F17" s="673" t="s">
        <v>585</v>
      </c>
      <c r="G17" s="673" t="s">
        <v>585</v>
      </c>
      <c r="H17" s="673" t="s">
        <v>585</v>
      </c>
      <c r="I17" s="674" t="s">
        <v>585</v>
      </c>
      <c r="J17" s="675" t="s">
        <v>67</v>
      </c>
    </row>
    <row r="18" spans="1:10" ht="14.4" customHeight="1" x14ac:dyDescent="0.3">
      <c r="A18" s="671" t="s">
        <v>588</v>
      </c>
      <c r="B18" s="672" t="s">
        <v>589</v>
      </c>
      <c r="C18" s="673" t="s">
        <v>585</v>
      </c>
      <c r="D18" s="673" t="s">
        <v>585</v>
      </c>
      <c r="E18" s="673"/>
      <c r="F18" s="673" t="s">
        <v>585</v>
      </c>
      <c r="G18" s="673" t="s">
        <v>585</v>
      </c>
      <c r="H18" s="673" t="s">
        <v>585</v>
      </c>
      <c r="I18" s="674" t="s">
        <v>585</v>
      </c>
      <c r="J18" s="675" t="s">
        <v>0</v>
      </c>
    </row>
    <row r="19" spans="1:10" ht="14.4" customHeight="1" x14ac:dyDescent="0.3">
      <c r="A19" s="671" t="s">
        <v>588</v>
      </c>
      <c r="B19" s="672" t="s">
        <v>353</v>
      </c>
      <c r="C19" s="673">
        <v>28.077550000000002</v>
      </c>
      <c r="D19" s="673">
        <v>29.711069999999999</v>
      </c>
      <c r="E19" s="673"/>
      <c r="F19" s="673">
        <v>35.370189999999994</v>
      </c>
      <c r="G19" s="673">
        <v>35.329447250688169</v>
      </c>
      <c r="H19" s="673">
        <v>4.0742749311824866E-2</v>
      </c>
      <c r="I19" s="674">
        <v>1.0011532235141616</v>
      </c>
      <c r="J19" s="675" t="s">
        <v>1</v>
      </c>
    </row>
    <row r="20" spans="1:10" ht="14.4" customHeight="1" x14ac:dyDescent="0.3">
      <c r="A20" s="671" t="s">
        <v>588</v>
      </c>
      <c r="B20" s="672" t="s">
        <v>356</v>
      </c>
      <c r="C20" s="673">
        <v>0</v>
      </c>
      <c r="D20" s="673">
        <v>0</v>
      </c>
      <c r="E20" s="673"/>
      <c r="F20" s="673">
        <v>0</v>
      </c>
      <c r="G20" s="673">
        <v>0.3220328238241667</v>
      </c>
      <c r="H20" s="673">
        <v>-0.3220328238241667</v>
      </c>
      <c r="I20" s="674">
        <v>0</v>
      </c>
      <c r="J20" s="675" t="s">
        <v>1</v>
      </c>
    </row>
    <row r="21" spans="1:10" ht="14.4" customHeight="1" x14ac:dyDescent="0.3">
      <c r="A21" s="671" t="s">
        <v>588</v>
      </c>
      <c r="B21" s="672" t="s">
        <v>357</v>
      </c>
      <c r="C21" s="673">
        <v>0</v>
      </c>
      <c r="D21" s="673">
        <v>0</v>
      </c>
      <c r="E21" s="673"/>
      <c r="F21" s="673" t="s">
        <v>585</v>
      </c>
      <c r="G21" s="673" t="s">
        <v>585</v>
      </c>
      <c r="H21" s="673" t="s">
        <v>585</v>
      </c>
      <c r="I21" s="674" t="s">
        <v>585</v>
      </c>
      <c r="J21" s="675" t="s">
        <v>1</v>
      </c>
    </row>
    <row r="22" spans="1:10" ht="14.4" customHeight="1" x14ac:dyDescent="0.3">
      <c r="A22" s="671" t="s">
        <v>588</v>
      </c>
      <c r="B22" s="672" t="s">
        <v>358</v>
      </c>
      <c r="C22" s="673">
        <v>2.0735999999999999</v>
      </c>
      <c r="D22" s="673">
        <v>1.1761300000000001</v>
      </c>
      <c r="E22" s="673"/>
      <c r="F22" s="673">
        <v>1.4469799999999999</v>
      </c>
      <c r="G22" s="673">
        <v>2.0551061502925001</v>
      </c>
      <c r="H22" s="673">
        <v>-0.60812615029250017</v>
      </c>
      <c r="I22" s="674">
        <v>0.70409015115547846</v>
      </c>
      <c r="J22" s="675" t="s">
        <v>1</v>
      </c>
    </row>
    <row r="23" spans="1:10" ht="14.4" customHeight="1" x14ac:dyDescent="0.3">
      <c r="A23" s="671" t="s">
        <v>588</v>
      </c>
      <c r="B23" s="672" t="s">
        <v>359</v>
      </c>
      <c r="C23" s="673">
        <v>0.73985999999999996</v>
      </c>
      <c r="D23" s="673">
        <v>0.32649</v>
      </c>
      <c r="E23" s="673"/>
      <c r="F23" s="673">
        <v>0.65178000000000003</v>
      </c>
      <c r="G23" s="673">
        <v>0.6444437976316667</v>
      </c>
      <c r="H23" s="673">
        <v>7.3362023683333222E-3</v>
      </c>
      <c r="I23" s="674">
        <v>1.0113837737212987</v>
      </c>
      <c r="J23" s="675" t="s">
        <v>1</v>
      </c>
    </row>
    <row r="24" spans="1:10" ht="14.4" customHeight="1" x14ac:dyDescent="0.3">
      <c r="A24" s="671" t="s">
        <v>588</v>
      </c>
      <c r="B24" s="672" t="s">
        <v>361</v>
      </c>
      <c r="C24" s="673">
        <v>26.873329999999999</v>
      </c>
      <c r="D24" s="673">
        <v>28.148260000000001</v>
      </c>
      <c r="E24" s="673"/>
      <c r="F24" s="673">
        <v>26.850160000000002</v>
      </c>
      <c r="G24" s="673">
        <v>22.009658489128835</v>
      </c>
      <c r="H24" s="673">
        <v>4.8405015108711673</v>
      </c>
      <c r="I24" s="674">
        <v>1.2199262434381715</v>
      </c>
      <c r="J24" s="675" t="s">
        <v>1</v>
      </c>
    </row>
    <row r="25" spans="1:10" ht="14.4" customHeight="1" x14ac:dyDescent="0.3">
      <c r="A25" s="671" t="s">
        <v>588</v>
      </c>
      <c r="B25" s="672" t="s">
        <v>590</v>
      </c>
      <c r="C25" s="673">
        <v>57.764340000000004</v>
      </c>
      <c r="D25" s="673">
        <v>59.36195</v>
      </c>
      <c r="E25" s="673"/>
      <c r="F25" s="673">
        <v>64.319109999999995</v>
      </c>
      <c r="G25" s="673">
        <v>60.360688511565343</v>
      </c>
      <c r="H25" s="673">
        <v>3.9584214884346522</v>
      </c>
      <c r="I25" s="674">
        <v>1.065579462163958</v>
      </c>
      <c r="J25" s="675" t="s">
        <v>591</v>
      </c>
    </row>
    <row r="26" spans="1:10" ht="14.4" customHeight="1" x14ac:dyDescent="0.3">
      <c r="A26" s="671" t="s">
        <v>585</v>
      </c>
      <c r="B26" s="672" t="s">
        <v>585</v>
      </c>
      <c r="C26" s="673" t="s">
        <v>585</v>
      </c>
      <c r="D26" s="673" t="s">
        <v>585</v>
      </c>
      <c r="E26" s="673"/>
      <c r="F26" s="673" t="s">
        <v>585</v>
      </c>
      <c r="G26" s="673" t="s">
        <v>585</v>
      </c>
      <c r="H26" s="673" t="s">
        <v>585</v>
      </c>
      <c r="I26" s="674" t="s">
        <v>585</v>
      </c>
      <c r="J26" s="675" t="s">
        <v>592</v>
      </c>
    </row>
    <row r="27" spans="1:10" ht="14.4" customHeight="1" x14ac:dyDescent="0.3">
      <c r="A27" s="671" t="s">
        <v>593</v>
      </c>
      <c r="B27" s="672" t="s">
        <v>594</v>
      </c>
      <c r="C27" s="673" t="s">
        <v>585</v>
      </c>
      <c r="D27" s="673" t="s">
        <v>585</v>
      </c>
      <c r="E27" s="673"/>
      <c r="F27" s="673" t="s">
        <v>585</v>
      </c>
      <c r="G27" s="673" t="s">
        <v>585</v>
      </c>
      <c r="H27" s="673" t="s">
        <v>585</v>
      </c>
      <c r="I27" s="674" t="s">
        <v>585</v>
      </c>
      <c r="J27" s="675" t="s">
        <v>0</v>
      </c>
    </row>
    <row r="28" spans="1:10" ht="14.4" customHeight="1" x14ac:dyDescent="0.3">
      <c r="A28" s="671" t="s">
        <v>593</v>
      </c>
      <c r="B28" s="672" t="s">
        <v>353</v>
      </c>
      <c r="C28" s="673">
        <v>21.225770000000001</v>
      </c>
      <c r="D28" s="673">
        <v>24.70149</v>
      </c>
      <c r="E28" s="673"/>
      <c r="F28" s="673">
        <v>25.232530000000001</v>
      </c>
      <c r="G28" s="673">
        <v>27.106915501321335</v>
      </c>
      <c r="H28" s="673">
        <v>-1.8743855013213349</v>
      </c>
      <c r="I28" s="674">
        <v>0.93085212881450985</v>
      </c>
      <c r="J28" s="675" t="s">
        <v>1</v>
      </c>
    </row>
    <row r="29" spans="1:10" ht="14.4" customHeight="1" x14ac:dyDescent="0.3">
      <c r="A29" s="671" t="s">
        <v>593</v>
      </c>
      <c r="B29" s="672" t="s">
        <v>356</v>
      </c>
      <c r="C29" s="673">
        <v>0</v>
      </c>
      <c r="D29" s="673">
        <v>0</v>
      </c>
      <c r="E29" s="673"/>
      <c r="F29" s="673">
        <v>3.88754</v>
      </c>
      <c r="G29" s="673">
        <v>1.6101641191210001</v>
      </c>
      <c r="H29" s="673">
        <v>2.2773758808790001</v>
      </c>
      <c r="I29" s="674">
        <v>2.4143750030414513</v>
      </c>
      <c r="J29" s="675" t="s">
        <v>1</v>
      </c>
    </row>
    <row r="30" spans="1:10" ht="14.4" customHeight="1" x14ac:dyDescent="0.3">
      <c r="A30" s="671" t="s">
        <v>593</v>
      </c>
      <c r="B30" s="672" t="s">
        <v>358</v>
      </c>
      <c r="C30" s="673">
        <v>1.7644899999999999</v>
      </c>
      <c r="D30" s="673">
        <v>0.83675999999999995</v>
      </c>
      <c r="E30" s="673"/>
      <c r="F30" s="673">
        <v>0.53088000000000002</v>
      </c>
      <c r="G30" s="673">
        <v>1.7289687439529999</v>
      </c>
      <c r="H30" s="673">
        <v>-1.1980887439529999</v>
      </c>
      <c r="I30" s="674">
        <v>0.30705008511965987</v>
      </c>
      <c r="J30" s="675" t="s">
        <v>1</v>
      </c>
    </row>
    <row r="31" spans="1:10" ht="14.4" customHeight="1" x14ac:dyDescent="0.3">
      <c r="A31" s="671" t="s">
        <v>593</v>
      </c>
      <c r="B31" s="672" t="s">
        <v>359</v>
      </c>
      <c r="C31" s="673">
        <v>0</v>
      </c>
      <c r="D31" s="673">
        <v>0.43531999999999998</v>
      </c>
      <c r="E31" s="673"/>
      <c r="F31" s="673">
        <v>0</v>
      </c>
      <c r="G31" s="673">
        <v>0.354126248644</v>
      </c>
      <c r="H31" s="673">
        <v>-0.354126248644</v>
      </c>
      <c r="I31" s="674">
        <v>0</v>
      </c>
      <c r="J31" s="675" t="s">
        <v>1</v>
      </c>
    </row>
    <row r="32" spans="1:10" ht="14.4" customHeight="1" x14ac:dyDescent="0.3">
      <c r="A32" s="671" t="s">
        <v>593</v>
      </c>
      <c r="B32" s="672" t="s">
        <v>361</v>
      </c>
      <c r="C32" s="673">
        <v>0</v>
      </c>
      <c r="D32" s="673">
        <v>0</v>
      </c>
      <c r="E32" s="673"/>
      <c r="F32" s="673">
        <v>0</v>
      </c>
      <c r="G32" s="673">
        <v>7.343267011683334E-2</v>
      </c>
      <c r="H32" s="673">
        <v>-7.343267011683334E-2</v>
      </c>
      <c r="I32" s="674">
        <v>0</v>
      </c>
      <c r="J32" s="675" t="s">
        <v>1</v>
      </c>
    </row>
    <row r="33" spans="1:10" ht="14.4" customHeight="1" x14ac:dyDescent="0.3">
      <c r="A33" s="671" t="s">
        <v>593</v>
      </c>
      <c r="B33" s="672" t="s">
        <v>595</v>
      </c>
      <c r="C33" s="673">
        <v>22.990259999999999</v>
      </c>
      <c r="D33" s="673">
        <v>25.973569999999999</v>
      </c>
      <c r="E33" s="673"/>
      <c r="F33" s="673">
        <v>29.650950000000002</v>
      </c>
      <c r="G33" s="673">
        <v>30.873607283156169</v>
      </c>
      <c r="H33" s="673">
        <v>-1.2226572831561668</v>
      </c>
      <c r="I33" s="674">
        <v>0.96039797773086211</v>
      </c>
      <c r="J33" s="675" t="s">
        <v>591</v>
      </c>
    </row>
    <row r="34" spans="1:10" ht="14.4" customHeight="1" x14ac:dyDescent="0.3">
      <c r="A34" s="671" t="s">
        <v>585</v>
      </c>
      <c r="B34" s="672" t="s">
        <v>585</v>
      </c>
      <c r="C34" s="673" t="s">
        <v>585</v>
      </c>
      <c r="D34" s="673" t="s">
        <v>585</v>
      </c>
      <c r="E34" s="673"/>
      <c r="F34" s="673" t="s">
        <v>585</v>
      </c>
      <c r="G34" s="673" t="s">
        <v>585</v>
      </c>
      <c r="H34" s="673" t="s">
        <v>585</v>
      </c>
      <c r="I34" s="674" t="s">
        <v>585</v>
      </c>
      <c r="J34" s="675" t="s">
        <v>592</v>
      </c>
    </row>
    <row r="35" spans="1:10" ht="14.4" customHeight="1" x14ac:dyDescent="0.3">
      <c r="A35" s="671" t="s">
        <v>596</v>
      </c>
      <c r="B35" s="672" t="s">
        <v>597</v>
      </c>
      <c r="C35" s="673" t="s">
        <v>585</v>
      </c>
      <c r="D35" s="673" t="s">
        <v>585</v>
      </c>
      <c r="E35" s="673"/>
      <c r="F35" s="673" t="s">
        <v>585</v>
      </c>
      <c r="G35" s="673" t="s">
        <v>585</v>
      </c>
      <c r="H35" s="673" t="s">
        <v>585</v>
      </c>
      <c r="I35" s="674" t="s">
        <v>585</v>
      </c>
      <c r="J35" s="675" t="s">
        <v>0</v>
      </c>
    </row>
    <row r="36" spans="1:10" ht="14.4" customHeight="1" x14ac:dyDescent="0.3">
      <c r="A36" s="671" t="s">
        <v>596</v>
      </c>
      <c r="B36" s="672" t="s">
        <v>353</v>
      </c>
      <c r="C36" s="673">
        <v>196.85554000000002</v>
      </c>
      <c r="D36" s="673">
        <v>262.35617000000002</v>
      </c>
      <c r="E36" s="673"/>
      <c r="F36" s="673">
        <v>269.59802000000002</v>
      </c>
      <c r="G36" s="673">
        <v>289.23030391465664</v>
      </c>
      <c r="H36" s="673">
        <v>-19.632283914656625</v>
      </c>
      <c r="I36" s="674">
        <v>0.93212231343348606</v>
      </c>
      <c r="J36" s="675" t="s">
        <v>1</v>
      </c>
    </row>
    <row r="37" spans="1:10" ht="14.4" customHeight="1" x14ac:dyDescent="0.3">
      <c r="A37" s="671" t="s">
        <v>596</v>
      </c>
      <c r="B37" s="672" t="s">
        <v>354</v>
      </c>
      <c r="C37" s="673">
        <v>0</v>
      </c>
      <c r="D37" s="673">
        <v>10.593</v>
      </c>
      <c r="E37" s="673"/>
      <c r="F37" s="673">
        <v>10.593</v>
      </c>
      <c r="G37" s="673">
        <v>11.666666666666666</v>
      </c>
      <c r="H37" s="673">
        <v>-1.0736666666666661</v>
      </c>
      <c r="I37" s="674">
        <v>0.90797142857142865</v>
      </c>
      <c r="J37" s="675" t="s">
        <v>1</v>
      </c>
    </row>
    <row r="38" spans="1:10" ht="14.4" customHeight="1" x14ac:dyDescent="0.3">
      <c r="A38" s="671" t="s">
        <v>596</v>
      </c>
      <c r="B38" s="672" t="s">
        <v>355</v>
      </c>
      <c r="C38" s="673">
        <v>0</v>
      </c>
      <c r="D38" s="673">
        <v>21.616790000000002</v>
      </c>
      <c r="E38" s="673"/>
      <c r="F38" s="673">
        <v>29.353339999999999</v>
      </c>
      <c r="G38" s="673">
        <v>26.666666666666668</v>
      </c>
      <c r="H38" s="673">
        <v>2.6866733333333315</v>
      </c>
      <c r="I38" s="674">
        <v>1.1007502499999999</v>
      </c>
      <c r="J38" s="675" t="s">
        <v>1</v>
      </c>
    </row>
    <row r="39" spans="1:10" ht="14.4" customHeight="1" x14ac:dyDescent="0.3">
      <c r="A39" s="671" t="s">
        <v>596</v>
      </c>
      <c r="B39" s="672" t="s">
        <v>356</v>
      </c>
      <c r="C39" s="673">
        <v>24.818460000000002</v>
      </c>
      <c r="D39" s="673">
        <v>10.971589999999999</v>
      </c>
      <c r="E39" s="673"/>
      <c r="F39" s="673">
        <v>13.95434</v>
      </c>
      <c r="G39" s="673">
        <v>11.401136390387999</v>
      </c>
      <c r="H39" s="673">
        <v>2.5532036096120017</v>
      </c>
      <c r="I39" s="674">
        <v>1.2239429055304121</v>
      </c>
      <c r="J39" s="675" t="s">
        <v>1</v>
      </c>
    </row>
    <row r="40" spans="1:10" ht="14.4" customHeight="1" x14ac:dyDescent="0.3">
      <c r="A40" s="671" t="s">
        <v>596</v>
      </c>
      <c r="B40" s="672" t="s">
        <v>357</v>
      </c>
      <c r="C40" s="673">
        <v>0.86184000000000005</v>
      </c>
      <c r="D40" s="673">
        <v>1.13408</v>
      </c>
      <c r="E40" s="673"/>
      <c r="F40" s="673">
        <v>6.44116</v>
      </c>
      <c r="G40" s="673">
        <v>5</v>
      </c>
      <c r="H40" s="673">
        <v>1.44116</v>
      </c>
      <c r="I40" s="674">
        <v>1.288232</v>
      </c>
      <c r="J40" s="675" t="s">
        <v>1</v>
      </c>
    </row>
    <row r="41" spans="1:10" ht="14.4" customHeight="1" x14ac:dyDescent="0.3">
      <c r="A41" s="671" t="s">
        <v>596</v>
      </c>
      <c r="B41" s="672" t="s">
        <v>358</v>
      </c>
      <c r="C41" s="673">
        <v>23.68431</v>
      </c>
      <c r="D41" s="673">
        <v>9.2541600000000006</v>
      </c>
      <c r="E41" s="673"/>
      <c r="F41" s="673">
        <v>13.64218</v>
      </c>
      <c r="G41" s="673">
        <v>12.882591772420833</v>
      </c>
      <c r="H41" s="673">
        <v>0.759588227579167</v>
      </c>
      <c r="I41" s="674">
        <v>1.058962376592985</v>
      </c>
      <c r="J41" s="675" t="s">
        <v>1</v>
      </c>
    </row>
    <row r="42" spans="1:10" ht="14.4" customHeight="1" x14ac:dyDescent="0.3">
      <c r="A42" s="671" t="s">
        <v>596</v>
      </c>
      <c r="B42" s="672" t="s">
        <v>359</v>
      </c>
      <c r="C42" s="673">
        <v>0.55798999999999999</v>
      </c>
      <c r="D42" s="673">
        <v>0.26833000000000001</v>
      </c>
      <c r="E42" s="673"/>
      <c r="F42" s="673">
        <v>0.2233</v>
      </c>
      <c r="G42" s="673">
        <v>0.66809662039083328</v>
      </c>
      <c r="H42" s="673">
        <v>-0.44479662039083329</v>
      </c>
      <c r="I42" s="674">
        <v>0.33423309321542533</v>
      </c>
      <c r="J42" s="675" t="s">
        <v>1</v>
      </c>
    </row>
    <row r="43" spans="1:10" ht="14.4" customHeight="1" x14ac:dyDescent="0.3">
      <c r="A43" s="671" t="s">
        <v>596</v>
      </c>
      <c r="B43" s="672" t="s">
        <v>361</v>
      </c>
      <c r="C43" s="673">
        <v>30.875329999999998</v>
      </c>
      <c r="D43" s="673">
        <v>32.064009999999996</v>
      </c>
      <c r="E43" s="673"/>
      <c r="F43" s="673">
        <v>28.914409999999997</v>
      </c>
      <c r="G43" s="673">
        <v>27.916908840754331</v>
      </c>
      <c r="H43" s="673">
        <v>0.99750115924566529</v>
      </c>
      <c r="I43" s="674">
        <v>1.0357310748455599</v>
      </c>
      <c r="J43" s="675" t="s">
        <v>1</v>
      </c>
    </row>
    <row r="44" spans="1:10" ht="14.4" customHeight="1" x14ac:dyDescent="0.3">
      <c r="A44" s="671" t="s">
        <v>596</v>
      </c>
      <c r="B44" s="672" t="s">
        <v>598</v>
      </c>
      <c r="C44" s="673">
        <v>277.65347000000003</v>
      </c>
      <c r="D44" s="673">
        <v>348.25812999999999</v>
      </c>
      <c r="E44" s="673"/>
      <c r="F44" s="673">
        <v>372.71975000000003</v>
      </c>
      <c r="G44" s="673">
        <v>385.43237087194399</v>
      </c>
      <c r="H44" s="673">
        <v>-12.712620871943955</v>
      </c>
      <c r="I44" s="674">
        <v>0.96701724651931842</v>
      </c>
      <c r="J44" s="675" t="s">
        <v>591</v>
      </c>
    </row>
    <row r="45" spans="1:10" ht="14.4" customHeight="1" x14ac:dyDescent="0.3">
      <c r="A45" s="671" t="s">
        <v>585</v>
      </c>
      <c r="B45" s="672" t="s">
        <v>585</v>
      </c>
      <c r="C45" s="673" t="s">
        <v>585</v>
      </c>
      <c r="D45" s="673" t="s">
        <v>585</v>
      </c>
      <c r="E45" s="673"/>
      <c r="F45" s="673" t="s">
        <v>585</v>
      </c>
      <c r="G45" s="673" t="s">
        <v>585</v>
      </c>
      <c r="H45" s="673" t="s">
        <v>585</v>
      </c>
      <c r="I45" s="674" t="s">
        <v>585</v>
      </c>
      <c r="J45" s="675" t="s">
        <v>592</v>
      </c>
    </row>
    <row r="46" spans="1:10" ht="14.4" customHeight="1" x14ac:dyDescent="0.3">
      <c r="A46" s="671" t="s">
        <v>599</v>
      </c>
      <c r="B46" s="672" t="s">
        <v>600</v>
      </c>
      <c r="C46" s="673" t="s">
        <v>585</v>
      </c>
      <c r="D46" s="673" t="s">
        <v>585</v>
      </c>
      <c r="E46" s="673"/>
      <c r="F46" s="673" t="s">
        <v>585</v>
      </c>
      <c r="G46" s="673" t="s">
        <v>585</v>
      </c>
      <c r="H46" s="673" t="s">
        <v>585</v>
      </c>
      <c r="I46" s="674" t="s">
        <v>585</v>
      </c>
      <c r="J46" s="675" t="s">
        <v>0</v>
      </c>
    </row>
    <row r="47" spans="1:10" ht="14.4" customHeight="1" x14ac:dyDescent="0.3">
      <c r="A47" s="671" t="s">
        <v>599</v>
      </c>
      <c r="B47" s="672" t="s">
        <v>360</v>
      </c>
      <c r="C47" s="673" t="s">
        <v>585</v>
      </c>
      <c r="D47" s="673">
        <v>1944.4787999999999</v>
      </c>
      <c r="E47" s="673"/>
      <c r="F47" s="673">
        <v>934.27144999999996</v>
      </c>
      <c r="G47" s="673">
        <v>800</v>
      </c>
      <c r="H47" s="673">
        <v>134.27144999999996</v>
      </c>
      <c r="I47" s="674">
        <v>1.1678393124999999</v>
      </c>
      <c r="J47" s="675" t="s">
        <v>1</v>
      </c>
    </row>
    <row r="48" spans="1:10" ht="14.4" customHeight="1" x14ac:dyDescent="0.3">
      <c r="A48" s="671" t="s">
        <v>599</v>
      </c>
      <c r="B48" s="672" t="s">
        <v>601</v>
      </c>
      <c r="C48" s="673" t="s">
        <v>585</v>
      </c>
      <c r="D48" s="673">
        <v>1944.4787999999999</v>
      </c>
      <c r="E48" s="673"/>
      <c r="F48" s="673">
        <v>934.27144999999996</v>
      </c>
      <c r="G48" s="673">
        <v>800</v>
      </c>
      <c r="H48" s="673">
        <v>134.27144999999996</v>
      </c>
      <c r="I48" s="674">
        <v>1.1678393124999999</v>
      </c>
      <c r="J48" s="675" t="s">
        <v>591</v>
      </c>
    </row>
    <row r="49" spans="1:10" ht="14.4" customHeight="1" x14ac:dyDescent="0.3">
      <c r="A49" s="671" t="s">
        <v>585</v>
      </c>
      <c r="B49" s="672" t="s">
        <v>585</v>
      </c>
      <c r="C49" s="673" t="s">
        <v>585</v>
      </c>
      <c r="D49" s="673" t="s">
        <v>585</v>
      </c>
      <c r="E49" s="673"/>
      <c r="F49" s="673" t="s">
        <v>585</v>
      </c>
      <c r="G49" s="673" t="s">
        <v>585</v>
      </c>
      <c r="H49" s="673" t="s">
        <v>585</v>
      </c>
      <c r="I49" s="674" t="s">
        <v>585</v>
      </c>
      <c r="J49" s="675" t="s">
        <v>592</v>
      </c>
    </row>
    <row r="50" spans="1:10" ht="14.4" customHeight="1" x14ac:dyDescent="0.3">
      <c r="A50" s="671" t="s">
        <v>583</v>
      </c>
      <c r="B50" s="672" t="s">
        <v>586</v>
      </c>
      <c r="C50" s="673">
        <v>358.40807000000001</v>
      </c>
      <c r="D50" s="673">
        <v>2378.0724499999997</v>
      </c>
      <c r="E50" s="673"/>
      <c r="F50" s="673">
        <v>1400.96126</v>
      </c>
      <c r="G50" s="673">
        <v>1276.6666666666656</v>
      </c>
      <c r="H50" s="673">
        <v>124.29459333333443</v>
      </c>
      <c r="I50" s="674">
        <v>1.0973586892950402</v>
      </c>
      <c r="J50" s="675" t="s">
        <v>587</v>
      </c>
    </row>
  </sheetData>
  <mergeCells count="3">
    <mergeCell ref="F3:I3"/>
    <mergeCell ref="C4:D4"/>
    <mergeCell ref="A1:I1"/>
  </mergeCells>
  <conditionalFormatting sqref="F16 F51:F65537">
    <cfRule type="cellIs" dxfId="79" priority="18" stopIfTrue="1" operator="greaterThan">
      <formula>1</formula>
    </cfRule>
  </conditionalFormatting>
  <conditionalFormatting sqref="H5:H15">
    <cfRule type="expression" dxfId="78" priority="14">
      <formula>$H5&gt;0</formula>
    </cfRule>
  </conditionalFormatting>
  <conditionalFormatting sqref="I5:I15">
    <cfRule type="expression" dxfId="77" priority="15">
      <formula>$I5&gt;1</formula>
    </cfRule>
  </conditionalFormatting>
  <conditionalFormatting sqref="B5:B15">
    <cfRule type="expression" dxfId="76" priority="11">
      <formula>OR($J5="NS",$J5="SumaNS",$J5="Účet")</formula>
    </cfRule>
  </conditionalFormatting>
  <conditionalFormatting sqref="B5:D15 F5:I15">
    <cfRule type="expression" dxfId="75" priority="17">
      <formula>AND($J5&lt;&gt;"",$J5&lt;&gt;"mezeraKL")</formula>
    </cfRule>
  </conditionalFormatting>
  <conditionalFormatting sqref="B5:D15 F5:I15">
    <cfRule type="expression" dxfId="7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3" priority="13">
      <formula>OR($J5="SumaNS",$J5="NS")</formula>
    </cfRule>
  </conditionalFormatting>
  <conditionalFormatting sqref="A5:A15">
    <cfRule type="expression" dxfId="72" priority="9">
      <formula>AND($J5&lt;&gt;"mezeraKL",$J5&lt;&gt;"")</formula>
    </cfRule>
  </conditionalFormatting>
  <conditionalFormatting sqref="A5:A15">
    <cfRule type="expression" dxfId="71" priority="10">
      <formula>AND($J5&lt;&gt;"",$J5&lt;&gt;"mezeraKL")</formula>
    </cfRule>
  </conditionalFormatting>
  <conditionalFormatting sqref="H17:H50">
    <cfRule type="expression" dxfId="70" priority="5">
      <formula>$H17&gt;0</formula>
    </cfRule>
  </conditionalFormatting>
  <conditionalFormatting sqref="A17:A50">
    <cfRule type="expression" dxfId="69" priority="2">
      <formula>AND($J17&lt;&gt;"mezeraKL",$J17&lt;&gt;"")</formula>
    </cfRule>
  </conditionalFormatting>
  <conditionalFormatting sqref="I17:I50">
    <cfRule type="expression" dxfId="68" priority="6">
      <formula>$I17&gt;1</formula>
    </cfRule>
  </conditionalFormatting>
  <conditionalFormatting sqref="B17:B50">
    <cfRule type="expression" dxfId="67" priority="1">
      <formula>OR($J17="NS",$J17="SumaNS",$J17="Účet")</formula>
    </cfRule>
  </conditionalFormatting>
  <conditionalFormatting sqref="A17:D50 F17:I50">
    <cfRule type="expression" dxfId="66" priority="8">
      <formula>AND($J17&lt;&gt;"",$J17&lt;&gt;"mezeraKL")</formula>
    </cfRule>
  </conditionalFormatting>
  <conditionalFormatting sqref="B17:D50 F17:I50">
    <cfRule type="expression" dxfId="6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7" hidden="1" customWidth="1" outlineLevel="1"/>
    <col min="2" max="2" width="28.33203125" style="237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2.6640625" style="319" customWidth="1"/>
    <col min="15" max="16384" width="8.88671875" style="237"/>
  </cols>
  <sheetData>
    <row r="1" spans="1:14" ht="18.600000000000001" customHeight="1" thickBot="1" x14ac:dyDescent="0.4">
      <c r="A1" s="541" t="s">
        <v>196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</row>
    <row r="2" spans="1:14" ht="14.4" customHeight="1" thickBot="1" x14ac:dyDescent="0.35">
      <c r="A2" s="360" t="s">
        <v>344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537"/>
      <c r="D3" s="538"/>
      <c r="E3" s="538"/>
      <c r="F3" s="538"/>
      <c r="G3" s="538"/>
      <c r="H3" s="538"/>
      <c r="I3" s="538"/>
      <c r="J3" s="539" t="s">
        <v>151</v>
      </c>
      <c r="K3" s="540"/>
      <c r="L3" s="193">
        <f>IF(M3&lt;&gt;0,N3/M3,0)</f>
        <v>524.94349933637352</v>
      </c>
      <c r="M3" s="193">
        <f>SUBTOTAL(9,M5:M1048576)</f>
        <v>2612.2000000000003</v>
      </c>
      <c r="N3" s="194">
        <f>SUBTOTAL(9,N5:N1048576)</f>
        <v>1371257.4089664752</v>
      </c>
    </row>
    <row r="4" spans="1:14" s="320" customFormat="1" ht="14.4" customHeight="1" thickBot="1" x14ac:dyDescent="0.35">
      <c r="A4" s="676" t="s">
        <v>4</v>
      </c>
      <c r="B4" s="677" t="s">
        <v>5</v>
      </c>
      <c r="C4" s="677" t="s">
        <v>0</v>
      </c>
      <c r="D4" s="677" t="s">
        <v>6</v>
      </c>
      <c r="E4" s="677" t="s">
        <v>7</v>
      </c>
      <c r="F4" s="677" t="s">
        <v>1</v>
      </c>
      <c r="G4" s="677" t="s">
        <v>8</v>
      </c>
      <c r="H4" s="677" t="s">
        <v>9</v>
      </c>
      <c r="I4" s="677" t="s">
        <v>10</v>
      </c>
      <c r="J4" s="678" t="s">
        <v>11</v>
      </c>
      <c r="K4" s="678" t="s">
        <v>12</v>
      </c>
      <c r="L4" s="679" t="s">
        <v>176</v>
      </c>
      <c r="M4" s="679" t="s">
        <v>13</v>
      </c>
      <c r="N4" s="680" t="s">
        <v>192</v>
      </c>
    </row>
    <row r="5" spans="1:14" ht="14.4" customHeight="1" x14ac:dyDescent="0.3">
      <c r="A5" s="681" t="s">
        <v>583</v>
      </c>
      <c r="B5" s="682" t="s">
        <v>584</v>
      </c>
      <c r="C5" s="683" t="s">
        <v>588</v>
      </c>
      <c r="D5" s="684" t="s">
        <v>991</v>
      </c>
      <c r="E5" s="683" t="s">
        <v>602</v>
      </c>
      <c r="F5" s="684" t="s">
        <v>995</v>
      </c>
      <c r="G5" s="683" t="s">
        <v>603</v>
      </c>
      <c r="H5" s="683" t="s">
        <v>604</v>
      </c>
      <c r="I5" s="683" t="s">
        <v>604</v>
      </c>
      <c r="J5" s="683" t="s">
        <v>605</v>
      </c>
      <c r="K5" s="683" t="s">
        <v>606</v>
      </c>
      <c r="L5" s="685">
        <v>171.60000000000002</v>
      </c>
      <c r="M5" s="685">
        <v>1</v>
      </c>
      <c r="N5" s="686">
        <v>171.60000000000002</v>
      </c>
    </row>
    <row r="6" spans="1:14" ht="14.4" customHeight="1" x14ac:dyDescent="0.3">
      <c r="A6" s="687" t="s">
        <v>583</v>
      </c>
      <c r="B6" s="688" t="s">
        <v>584</v>
      </c>
      <c r="C6" s="689" t="s">
        <v>588</v>
      </c>
      <c r="D6" s="690" t="s">
        <v>991</v>
      </c>
      <c r="E6" s="689" t="s">
        <v>602</v>
      </c>
      <c r="F6" s="690" t="s">
        <v>995</v>
      </c>
      <c r="G6" s="689" t="s">
        <v>603</v>
      </c>
      <c r="H6" s="689" t="s">
        <v>607</v>
      </c>
      <c r="I6" s="689" t="s">
        <v>608</v>
      </c>
      <c r="J6" s="689" t="s">
        <v>609</v>
      </c>
      <c r="K6" s="689" t="s">
        <v>610</v>
      </c>
      <c r="L6" s="691">
        <v>87.029857304962121</v>
      </c>
      <c r="M6" s="691">
        <v>4</v>
      </c>
      <c r="N6" s="692">
        <v>348.11942921984848</v>
      </c>
    </row>
    <row r="7" spans="1:14" ht="14.4" customHeight="1" x14ac:dyDescent="0.3">
      <c r="A7" s="687" t="s">
        <v>583</v>
      </c>
      <c r="B7" s="688" t="s">
        <v>584</v>
      </c>
      <c r="C7" s="689" t="s">
        <v>588</v>
      </c>
      <c r="D7" s="690" t="s">
        <v>991</v>
      </c>
      <c r="E7" s="689" t="s">
        <v>602</v>
      </c>
      <c r="F7" s="690" t="s">
        <v>995</v>
      </c>
      <c r="G7" s="689" t="s">
        <v>603</v>
      </c>
      <c r="H7" s="689" t="s">
        <v>611</v>
      </c>
      <c r="I7" s="689" t="s">
        <v>612</v>
      </c>
      <c r="J7" s="689" t="s">
        <v>613</v>
      </c>
      <c r="K7" s="689" t="s">
        <v>614</v>
      </c>
      <c r="L7" s="691">
        <v>96.819999999999979</v>
      </c>
      <c r="M7" s="691">
        <v>2</v>
      </c>
      <c r="N7" s="692">
        <v>193.63999999999996</v>
      </c>
    </row>
    <row r="8" spans="1:14" ht="14.4" customHeight="1" x14ac:dyDescent="0.3">
      <c r="A8" s="687" t="s">
        <v>583</v>
      </c>
      <c r="B8" s="688" t="s">
        <v>584</v>
      </c>
      <c r="C8" s="689" t="s">
        <v>588</v>
      </c>
      <c r="D8" s="690" t="s">
        <v>991</v>
      </c>
      <c r="E8" s="689" t="s">
        <v>602</v>
      </c>
      <c r="F8" s="690" t="s">
        <v>995</v>
      </c>
      <c r="G8" s="689" t="s">
        <v>603</v>
      </c>
      <c r="H8" s="689" t="s">
        <v>615</v>
      </c>
      <c r="I8" s="689" t="s">
        <v>616</v>
      </c>
      <c r="J8" s="689" t="s">
        <v>617</v>
      </c>
      <c r="K8" s="689" t="s">
        <v>618</v>
      </c>
      <c r="L8" s="691">
        <v>78.870000000000019</v>
      </c>
      <c r="M8" s="691">
        <v>6</v>
      </c>
      <c r="N8" s="692">
        <v>473.22000000000008</v>
      </c>
    </row>
    <row r="9" spans="1:14" ht="14.4" customHeight="1" x14ac:dyDescent="0.3">
      <c r="A9" s="687" t="s">
        <v>583</v>
      </c>
      <c r="B9" s="688" t="s">
        <v>584</v>
      </c>
      <c r="C9" s="689" t="s">
        <v>588</v>
      </c>
      <c r="D9" s="690" t="s">
        <v>991</v>
      </c>
      <c r="E9" s="689" t="s">
        <v>602</v>
      </c>
      <c r="F9" s="690" t="s">
        <v>995</v>
      </c>
      <c r="G9" s="689" t="s">
        <v>603</v>
      </c>
      <c r="H9" s="689" t="s">
        <v>619</v>
      </c>
      <c r="I9" s="689" t="s">
        <v>620</v>
      </c>
      <c r="J9" s="689" t="s">
        <v>621</v>
      </c>
      <c r="K9" s="689" t="s">
        <v>622</v>
      </c>
      <c r="L9" s="691">
        <v>74.44636015690466</v>
      </c>
      <c r="M9" s="691">
        <v>90</v>
      </c>
      <c r="N9" s="692">
        <v>6700.1724141214199</v>
      </c>
    </row>
    <row r="10" spans="1:14" ht="14.4" customHeight="1" x14ac:dyDescent="0.3">
      <c r="A10" s="687" t="s">
        <v>583</v>
      </c>
      <c r="B10" s="688" t="s">
        <v>584</v>
      </c>
      <c r="C10" s="689" t="s">
        <v>588</v>
      </c>
      <c r="D10" s="690" t="s">
        <v>991</v>
      </c>
      <c r="E10" s="689" t="s">
        <v>602</v>
      </c>
      <c r="F10" s="690" t="s">
        <v>995</v>
      </c>
      <c r="G10" s="689" t="s">
        <v>603</v>
      </c>
      <c r="H10" s="689" t="s">
        <v>623</v>
      </c>
      <c r="I10" s="689" t="s">
        <v>624</v>
      </c>
      <c r="J10" s="689" t="s">
        <v>625</v>
      </c>
      <c r="K10" s="689" t="s">
        <v>626</v>
      </c>
      <c r="L10" s="691">
        <v>66.72</v>
      </c>
      <c r="M10" s="691">
        <v>1</v>
      </c>
      <c r="N10" s="692">
        <v>66.72</v>
      </c>
    </row>
    <row r="11" spans="1:14" ht="14.4" customHeight="1" x14ac:dyDescent="0.3">
      <c r="A11" s="687" t="s">
        <v>583</v>
      </c>
      <c r="B11" s="688" t="s">
        <v>584</v>
      </c>
      <c r="C11" s="689" t="s">
        <v>588</v>
      </c>
      <c r="D11" s="690" t="s">
        <v>991</v>
      </c>
      <c r="E11" s="689" t="s">
        <v>602</v>
      </c>
      <c r="F11" s="690" t="s">
        <v>995</v>
      </c>
      <c r="G11" s="689" t="s">
        <v>603</v>
      </c>
      <c r="H11" s="689" t="s">
        <v>627</v>
      </c>
      <c r="I11" s="689" t="s">
        <v>628</v>
      </c>
      <c r="J11" s="689" t="s">
        <v>629</v>
      </c>
      <c r="K11" s="689" t="s">
        <v>630</v>
      </c>
      <c r="L11" s="691">
        <v>38.35</v>
      </c>
      <c r="M11" s="691">
        <v>2</v>
      </c>
      <c r="N11" s="692">
        <v>76.7</v>
      </c>
    </row>
    <row r="12" spans="1:14" ht="14.4" customHeight="1" x14ac:dyDescent="0.3">
      <c r="A12" s="687" t="s">
        <v>583</v>
      </c>
      <c r="B12" s="688" t="s">
        <v>584</v>
      </c>
      <c r="C12" s="689" t="s">
        <v>588</v>
      </c>
      <c r="D12" s="690" t="s">
        <v>991</v>
      </c>
      <c r="E12" s="689" t="s">
        <v>602</v>
      </c>
      <c r="F12" s="690" t="s">
        <v>995</v>
      </c>
      <c r="G12" s="689" t="s">
        <v>603</v>
      </c>
      <c r="H12" s="689" t="s">
        <v>631</v>
      </c>
      <c r="I12" s="689" t="s">
        <v>632</v>
      </c>
      <c r="J12" s="689" t="s">
        <v>633</v>
      </c>
      <c r="K12" s="689"/>
      <c r="L12" s="691">
        <v>218.1936792767624</v>
      </c>
      <c r="M12" s="691">
        <v>1</v>
      </c>
      <c r="N12" s="692">
        <v>218.1936792767624</v>
      </c>
    </row>
    <row r="13" spans="1:14" ht="14.4" customHeight="1" x14ac:dyDescent="0.3">
      <c r="A13" s="687" t="s">
        <v>583</v>
      </c>
      <c r="B13" s="688" t="s">
        <v>584</v>
      </c>
      <c r="C13" s="689" t="s">
        <v>588</v>
      </c>
      <c r="D13" s="690" t="s">
        <v>991</v>
      </c>
      <c r="E13" s="689" t="s">
        <v>602</v>
      </c>
      <c r="F13" s="690" t="s">
        <v>995</v>
      </c>
      <c r="G13" s="689" t="s">
        <v>603</v>
      </c>
      <c r="H13" s="689" t="s">
        <v>634</v>
      </c>
      <c r="I13" s="689" t="s">
        <v>632</v>
      </c>
      <c r="J13" s="689" t="s">
        <v>635</v>
      </c>
      <c r="K13" s="689"/>
      <c r="L13" s="691">
        <v>37.899190182662764</v>
      </c>
      <c r="M13" s="691">
        <v>84</v>
      </c>
      <c r="N13" s="692">
        <v>3183.5319753436725</v>
      </c>
    </row>
    <row r="14" spans="1:14" ht="14.4" customHeight="1" x14ac:dyDescent="0.3">
      <c r="A14" s="687" t="s">
        <v>583</v>
      </c>
      <c r="B14" s="688" t="s">
        <v>584</v>
      </c>
      <c r="C14" s="689" t="s">
        <v>588</v>
      </c>
      <c r="D14" s="690" t="s">
        <v>991</v>
      </c>
      <c r="E14" s="689" t="s">
        <v>602</v>
      </c>
      <c r="F14" s="690" t="s">
        <v>995</v>
      </c>
      <c r="G14" s="689" t="s">
        <v>603</v>
      </c>
      <c r="H14" s="689" t="s">
        <v>636</v>
      </c>
      <c r="I14" s="689" t="s">
        <v>636</v>
      </c>
      <c r="J14" s="689" t="s">
        <v>637</v>
      </c>
      <c r="K14" s="689" t="s">
        <v>638</v>
      </c>
      <c r="L14" s="691">
        <v>75.650000000000006</v>
      </c>
      <c r="M14" s="691">
        <v>3</v>
      </c>
      <c r="N14" s="692">
        <v>226.95000000000002</v>
      </c>
    </row>
    <row r="15" spans="1:14" ht="14.4" customHeight="1" x14ac:dyDescent="0.3">
      <c r="A15" s="687" t="s">
        <v>583</v>
      </c>
      <c r="B15" s="688" t="s">
        <v>584</v>
      </c>
      <c r="C15" s="689" t="s">
        <v>588</v>
      </c>
      <c r="D15" s="690" t="s">
        <v>991</v>
      </c>
      <c r="E15" s="689" t="s">
        <v>602</v>
      </c>
      <c r="F15" s="690" t="s">
        <v>995</v>
      </c>
      <c r="G15" s="689" t="s">
        <v>603</v>
      </c>
      <c r="H15" s="689" t="s">
        <v>639</v>
      </c>
      <c r="I15" s="689" t="s">
        <v>640</v>
      </c>
      <c r="J15" s="689" t="s">
        <v>641</v>
      </c>
      <c r="K15" s="689" t="s">
        <v>642</v>
      </c>
      <c r="L15" s="691">
        <v>48.39999241044697</v>
      </c>
      <c r="M15" s="691">
        <v>22</v>
      </c>
      <c r="N15" s="692">
        <v>1064.7998330298333</v>
      </c>
    </row>
    <row r="16" spans="1:14" ht="14.4" customHeight="1" x14ac:dyDescent="0.3">
      <c r="A16" s="687" t="s">
        <v>583</v>
      </c>
      <c r="B16" s="688" t="s">
        <v>584</v>
      </c>
      <c r="C16" s="689" t="s">
        <v>588</v>
      </c>
      <c r="D16" s="690" t="s">
        <v>991</v>
      </c>
      <c r="E16" s="689" t="s">
        <v>602</v>
      </c>
      <c r="F16" s="690" t="s">
        <v>995</v>
      </c>
      <c r="G16" s="689" t="s">
        <v>603</v>
      </c>
      <c r="H16" s="689" t="s">
        <v>643</v>
      </c>
      <c r="I16" s="689" t="s">
        <v>632</v>
      </c>
      <c r="J16" s="689" t="s">
        <v>644</v>
      </c>
      <c r="K16" s="689" t="s">
        <v>645</v>
      </c>
      <c r="L16" s="691">
        <v>23.699900061933299</v>
      </c>
      <c r="M16" s="691">
        <v>72</v>
      </c>
      <c r="N16" s="692">
        <v>1706.3928044591976</v>
      </c>
    </row>
    <row r="17" spans="1:14" ht="14.4" customHeight="1" x14ac:dyDescent="0.3">
      <c r="A17" s="687" t="s">
        <v>583</v>
      </c>
      <c r="B17" s="688" t="s">
        <v>584</v>
      </c>
      <c r="C17" s="689" t="s">
        <v>588</v>
      </c>
      <c r="D17" s="690" t="s">
        <v>991</v>
      </c>
      <c r="E17" s="689" t="s">
        <v>602</v>
      </c>
      <c r="F17" s="690" t="s">
        <v>995</v>
      </c>
      <c r="G17" s="689" t="s">
        <v>603</v>
      </c>
      <c r="H17" s="689" t="s">
        <v>646</v>
      </c>
      <c r="I17" s="689" t="s">
        <v>632</v>
      </c>
      <c r="J17" s="689" t="s">
        <v>647</v>
      </c>
      <c r="K17" s="689"/>
      <c r="L17" s="691">
        <v>55.817997271044739</v>
      </c>
      <c r="M17" s="691">
        <v>1</v>
      </c>
      <c r="N17" s="692">
        <v>55.817997271044739</v>
      </c>
    </row>
    <row r="18" spans="1:14" ht="14.4" customHeight="1" x14ac:dyDescent="0.3">
      <c r="A18" s="687" t="s">
        <v>583</v>
      </c>
      <c r="B18" s="688" t="s">
        <v>584</v>
      </c>
      <c r="C18" s="689" t="s">
        <v>588</v>
      </c>
      <c r="D18" s="690" t="s">
        <v>991</v>
      </c>
      <c r="E18" s="689" t="s">
        <v>602</v>
      </c>
      <c r="F18" s="690" t="s">
        <v>995</v>
      </c>
      <c r="G18" s="689" t="s">
        <v>603</v>
      </c>
      <c r="H18" s="689" t="s">
        <v>648</v>
      </c>
      <c r="I18" s="689" t="s">
        <v>632</v>
      </c>
      <c r="J18" s="689" t="s">
        <v>649</v>
      </c>
      <c r="K18" s="689"/>
      <c r="L18" s="691">
        <v>87.79592838352734</v>
      </c>
      <c r="M18" s="691">
        <v>6</v>
      </c>
      <c r="N18" s="692">
        <v>526.77557030116407</v>
      </c>
    </row>
    <row r="19" spans="1:14" ht="14.4" customHeight="1" x14ac:dyDescent="0.3">
      <c r="A19" s="687" t="s">
        <v>583</v>
      </c>
      <c r="B19" s="688" t="s">
        <v>584</v>
      </c>
      <c r="C19" s="689" t="s">
        <v>588</v>
      </c>
      <c r="D19" s="690" t="s">
        <v>991</v>
      </c>
      <c r="E19" s="689" t="s">
        <v>602</v>
      </c>
      <c r="F19" s="690" t="s">
        <v>995</v>
      </c>
      <c r="G19" s="689" t="s">
        <v>603</v>
      </c>
      <c r="H19" s="689" t="s">
        <v>650</v>
      </c>
      <c r="I19" s="689" t="s">
        <v>632</v>
      </c>
      <c r="J19" s="689" t="s">
        <v>651</v>
      </c>
      <c r="K19" s="689"/>
      <c r="L19" s="691">
        <v>76.908455364663709</v>
      </c>
      <c r="M19" s="691">
        <v>52</v>
      </c>
      <c r="N19" s="692">
        <v>3999.2396789625127</v>
      </c>
    </row>
    <row r="20" spans="1:14" ht="14.4" customHeight="1" x14ac:dyDescent="0.3">
      <c r="A20" s="687" t="s">
        <v>583</v>
      </c>
      <c r="B20" s="688" t="s">
        <v>584</v>
      </c>
      <c r="C20" s="689" t="s">
        <v>588</v>
      </c>
      <c r="D20" s="690" t="s">
        <v>991</v>
      </c>
      <c r="E20" s="689" t="s">
        <v>602</v>
      </c>
      <c r="F20" s="690" t="s">
        <v>995</v>
      </c>
      <c r="G20" s="689" t="s">
        <v>603</v>
      </c>
      <c r="H20" s="689" t="s">
        <v>652</v>
      </c>
      <c r="I20" s="689" t="s">
        <v>632</v>
      </c>
      <c r="J20" s="689" t="s">
        <v>653</v>
      </c>
      <c r="K20" s="689"/>
      <c r="L20" s="691">
        <v>50.730809469004129</v>
      </c>
      <c r="M20" s="691">
        <v>260</v>
      </c>
      <c r="N20" s="692">
        <v>13190.010461941074</v>
      </c>
    </row>
    <row r="21" spans="1:14" ht="14.4" customHeight="1" x14ac:dyDescent="0.3">
      <c r="A21" s="687" t="s">
        <v>583</v>
      </c>
      <c r="B21" s="688" t="s">
        <v>584</v>
      </c>
      <c r="C21" s="689" t="s">
        <v>588</v>
      </c>
      <c r="D21" s="690" t="s">
        <v>991</v>
      </c>
      <c r="E21" s="689" t="s">
        <v>602</v>
      </c>
      <c r="F21" s="690" t="s">
        <v>995</v>
      </c>
      <c r="G21" s="689" t="s">
        <v>603</v>
      </c>
      <c r="H21" s="689" t="s">
        <v>654</v>
      </c>
      <c r="I21" s="689" t="s">
        <v>632</v>
      </c>
      <c r="J21" s="689" t="s">
        <v>655</v>
      </c>
      <c r="K21" s="689"/>
      <c r="L21" s="691">
        <v>52.323999436463694</v>
      </c>
      <c r="M21" s="691">
        <v>1</v>
      </c>
      <c r="N21" s="692">
        <v>52.323999436463694</v>
      </c>
    </row>
    <row r="22" spans="1:14" ht="14.4" customHeight="1" x14ac:dyDescent="0.3">
      <c r="A22" s="687" t="s">
        <v>583</v>
      </c>
      <c r="B22" s="688" t="s">
        <v>584</v>
      </c>
      <c r="C22" s="689" t="s">
        <v>588</v>
      </c>
      <c r="D22" s="690" t="s">
        <v>991</v>
      </c>
      <c r="E22" s="689" t="s">
        <v>602</v>
      </c>
      <c r="F22" s="690" t="s">
        <v>995</v>
      </c>
      <c r="G22" s="689" t="s">
        <v>603</v>
      </c>
      <c r="H22" s="689" t="s">
        <v>656</v>
      </c>
      <c r="I22" s="689" t="s">
        <v>632</v>
      </c>
      <c r="J22" s="689" t="s">
        <v>657</v>
      </c>
      <c r="K22" s="689"/>
      <c r="L22" s="691">
        <v>61.445115225309046</v>
      </c>
      <c r="M22" s="691">
        <v>7</v>
      </c>
      <c r="N22" s="692">
        <v>430.11580657716331</v>
      </c>
    </row>
    <row r="23" spans="1:14" ht="14.4" customHeight="1" x14ac:dyDescent="0.3">
      <c r="A23" s="687" t="s">
        <v>583</v>
      </c>
      <c r="B23" s="688" t="s">
        <v>584</v>
      </c>
      <c r="C23" s="689" t="s">
        <v>588</v>
      </c>
      <c r="D23" s="690" t="s">
        <v>991</v>
      </c>
      <c r="E23" s="689" t="s">
        <v>602</v>
      </c>
      <c r="F23" s="690" t="s">
        <v>995</v>
      </c>
      <c r="G23" s="689" t="s">
        <v>603</v>
      </c>
      <c r="H23" s="689" t="s">
        <v>658</v>
      </c>
      <c r="I23" s="689" t="s">
        <v>632</v>
      </c>
      <c r="J23" s="689" t="s">
        <v>659</v>
      </c>
      <c r="K23" s="689"/>
      <c r="L23" s="691">
        <v>76.965760931780963</v>
      </c>
      <c r="M23" s="691">
        <v>24</v>
      </c>
      <c r="N23" s="692">
        <v>1847.1782623627432</v>
      </c>
    </row>
    <row r="24" spans="1:14" ht="14.4" customHeight="1" x14ac:dyDescent="0.3">
      <c r="A24" s="687" t="s">
        <v>583</v>
      </c>
      <c r="B24" s="688" t="s">
        <v>584</v>
      </c>
      <c r="C24" s="689" t="s">
        <v>588</v>
      </c>
      <c r="D24" s="690" t="s">
        <v>991</v>
      </c>
      <c r="E24" s="689" t="s">
        <v>602</v>
      </c>
      <c r="F24" s="690" t="s">
        <v>995</v>
      </c>
      <c r="G24" s="689" t="s">
        <v>603</v>
      </c>
      <c r="H24" s="689" t="s">
        <v>660</v>
      </c>
      <c r="I24" s="689" t="s">
        <v>660</v>
      </c>
      <c r="J24" s="689" t="s">
        <v>661</v>
      </c>
      <c r="K24" s="689" t="s">
        <v>662</v>
      </c>
      <c r="L24" s="691">
        <v>49.71002357265067</v>
      </c>
      <c r="M24" s="691">
        <v>4</v>
      </c>
      <c r="N24" s="692">
        <v>198.84009429060268</v>
      </c>
    </row>
    <row r="25" spans="1:14" ht="14.4" customHeight="1" x14ac:dyDescent="0.3">
      <c r="A25" s="687" t="s">
        <v>583</v>
      </c>
      <c r="B25" s="688" t="s">
        <v>584</v>
      </c>
      <c r="C25" s="689" t="s">
        <v>588</v>
      </c>
      <c r="D25" s="690" t="s">
        <v>991</v>
      </c>
      <c r="E25" s="689" t="s">
        <v>602</v>
      </c>
      <c r="F25" s="690" t="s">
        <v>995</v>
      </c>
      <c r="G25" s="689" t="s">
        <v>603</v>
      </c>
      <c r="H25" s="689" t="s">
        <v>663</v>
      </c>
      <c r="I25" s="689" t="s">
        <v>663</v>
      </c>
      <c r="J25" s="689" t="s">
        <v>664</v>
      </c>
      <c r="K25" s="689" t="s">
        <v>665</v>
      </c>
      <c r="L25" s="691">
        <v>639.87</v>
      </c>
      <c r="M25" s="691">
        <v>1</v>
      </c>
      <c r="N25" s="692">
        <v>639.87</v>
      </c>
    </row>
    <row r="26" spans="1:14" ht="14.4" customHeight="1" x14ac:dyDescent="0.3">
      <c r="A26" s="687" t="s">
        <v>583</v>
      </c>
      <c r="B26" s="688" t="s">
        <v>584</v>
      </c>
      <c r="C26" s="689" t="s">
        <v>588</v>
      </c>
      <c r="D26" s="690" t="s">
        <v>991</v>
      </c>
      <c r="E26" s="689" t="s">
        <v>666</v>
      </c>
      <c r="F26" s="690" t="s">
        <v>996</v>
      </c>
      <c r="G26" s="689" t="s">
        <v>603</v>
      </c>
      <c r="H26" s="689" t="s">
        <v>667</v>
      </c>
      <c r="I26" s="689" t="s">
        <v>667</v>
      </c>
      <c r="J26" s="689" t="s">
        <v>668</v>
      </c>
      <c r="K26" s="689" t="s">
        <v>669</v>
      </c>
      <c r="L26" s="691">
        <v>57.989999999999995</v>
      </c>
      <c r="M26" s="691">
        <v>2</v>
      </c>
      <c r="N26" s="692">
        <v>115.97999999999999</v>
      </c>
    </row>
    <row r="27" spans="1:14" ht="14.4" customHeight="1" x14ac:dyDescent="0.3">
      <c r="A27" s="687" t="s">
        <v>583</v>
      </c>
      <c r="B27" s="688" t="s">
        <v>584</v>
      </c>
      <c r="C27" s="689" t="s">
        <v>588</v>
      </c>
      <c r="D27" s="690" t="s">
        <v>991</v>
      </c>
      <c r="E27" s="689" t="s">
        <v>666</v>
      </c>
      <c r="F27" s="690" t="s">
        <v>996</v>
      </c>
      <c r="G27" s="689" t="s">
        <v>603</v>
      </c>
      <c r="H27" s="689" t="s">
        <v>670</v>
      </c>
      <c r="I27" s="689" t="s">
        <v>671</v>
      </c>
      <c r="J27" s="689" t="s">
        <v>672</v>
      </c>
      <c r="K27" s="689" t="s">
        <v>673</v>
      </c>
      <c r="L27" s="691">
        <v>51.039999999999985</v>
      </c>
      <c r="M27" s="691">
        <v>2</v>
      </c>
      <c r="N27" s="692">
        <v>102.07999999999997</v>
      </c>
    </row>
    <row r="28" spans="1:14" ht="14.4" customHeight="1" x14ac:dyDescent="0.3">
      <c r="A28" s="687" t="s">
        <v>583</v>
      </c>
      <c r="B28" s="688" t="s">
        <v>584</v>
      </c>
      <c r="C28" s="689" t="s">
        <v>588</v>
      </c>
      <c r="D28" s="690" t="s">
        <v>991</v>
      </c>
      <c r="E28" s="689" t="s">
        <v>666</v>
      </c>
      <c r="F28" s="690" t="s">
        <v>996</v>
      </c>
      <c r="G28" s="689" t="s">
        <v>603</v>
      </c>
      <c r="H28" s="689" t="s">
        <v>674</v>
      </c>
      <c r="I28" s="689" t="s">
        <v>675</v>
      </c>
      <c r="J28" s="689" t="s">
        <v>676</v>
      </c>
      <c r="K28" s="689" t="s">
        <v>677</v>
      </c>
      <c r="L28" s="691">
        <v>61.059611335310812</v>
      </c>
      <c r="M28" s="691">
        <v>2</v>
      </c>
      <c r="N28" s="692">
        <v>122.11922267062162</v>
      </c>
    </row>
    <row r="29" spans="1:14" ht="14.4" customHeight="1" x14ac:dyDescent="0.3">
      <c r="A29" s="687" t="s">
        <v>583</v>
      </c>
      <c r="B29" s="688" t="s">
        <v>584</v>
      </c>
      <c r="C29" s="689" t="s">
        <v>588</v>
      </c>
      <c r="D29" s="690" t="s">
        <v>991</v>
      </c>
      <c r="E29" s="689" t="s">
        <v>666</v>
      </c>
      <c r="F29" s="690" t="s">
        <v>996</v>
      </c>
      <c r="G29" s="689" t="s">
        <v>603</v>
      </c>
      <c r="H29" s="689" t="s">
        <v>678</v>
      </c>
      <c r="I29" s="689" t="s">
        <v>678</v>
      </c>
      <c r="J29" s="689" t="s">
        <v>679</v>
      </c>
      <c r="K29" s="689" t="s">
        <v>680</v>
      </c>
      <c r="L29" s="691">
        <v>138.34999999999991</v>
      </c>
      <c r="M29" s="691">
        <v>8</v>
      </c>
      <c r="N29" s="692">
        <v>1106.7999999999993</v>
      </c>
    </row>
    <row r="30" spans="1:14" ht="14.4" customHeight="1" x14ac:dyDescent="0.3">
      <c r="A30" s="687" t="s">
        <v>583</v>
      </c>
      <c r="B30" s="688" t="s">
        <v>584</v>
      </c>
      <c r="C30" s="689" t="s">
        <v>588</v>
      </c>
      <c r="D30" s="690" t="s">
        <v>991</v>
      </c>
      <c r="E30" s="689" t="s">
        <v>681</v>
      </c>
      <c r="F30" s="690" t="s">
        <v>997</v>
      </c>
      <c r="G30" s="689" t="s">
        <v>603</v>
      </c>
      <c r="H30" s="689" t="s">
        <v>682</v>
      </c>
      <c r="I30" s="689" t="s">
        <v>683</v>
      </c>
      <c r="J30" s="689" t="s">
        <v>684</v>
      </c>
      <c r="K30" s="689" t="s">
        <v>685</v>
      </c>
      <c r="L30" s="691">
        <v>108.63</v>
      </c>
      <c r="M30" s="691">
        <v>6</v>
      </c>
      <c r="N30" s="692">
        <v>651.78</v>
      </c>
    </row>
    <row r="31" spans="1:14" ht="14.4" customHeight="1" x14ac:dyDescent="0.3">
      <c r="A31" s="687" t="s">
        <v>583</v>
      </c>
      <c r="B31" s="688" t="s">
        <v>584</v>
      </c>
      <c r="C31" s="689" t="s">
        <v>593</v>
      </c>
      <c r="D31" s="690" t="s">
        <v>992</v>
      </c>
      <c r="E31" s="689" t="s">
        <v>602</v>
      </c>
      <c r="F31" s="690" t="s">
        <v>995</v>
      </c>
      <c r="G31" s="689" t="s">
        <v>603</v>
      </c>
      <c r="H31" s="689" t="s">
        <v>604</v>
      </c>
      <c r="I31" s="689" t="s">
        <v>604</v>
      </c>
      <c r="J31" s="689" t="s">
        <v>605</v>
      </c>
      <c r="K31" s="689" t="s">
        <v>606</v>
      </c>
      <c r="L31" s="691">
        <v>171.6</v>
      </c>
      <c r="M31" s="691">
        <v>2</v>
      </c>
      <c r="N31" s="692">
        <v>343.2</v>
      </c>
    </row>
    <row r="32" spans="1:14" ht="14.4" customHeight="1" x14ac:dyDescent="0.3">
      <c r="A32" s="687" t="s">
        <v>583</v>
      </c>
      <c r="B32" s="688" t="s">
        <v>584</v>
      </c>
      <c r="C32" s="689" t="s">
        <v>593</v>
      </c>
      <c r="D32" s="690" t="s">
        <v>992</v>
      </c>
      <c r="E32" s="689" t="s">
        <v>602</v>
      </c>
      <c r="F32" s="690" t="s">
        <v>995</v>
      </c>
      <c r="G32" s="689" t="s">
        <v>603</v>
      </c>
      <c r="H32" s="689" t="s">
        <v>686</v>
      </c>
      <c r="I32" s="689" t="s">
        <v>686</v>
      </c>
      <c r="J32" s="689" t="s">
        <v>687</v>
      </c>
      <c r="K32" s="689" t="s">
        <v>688</v>
      </c>
      <c r="L32" s="691">
        <v>222.19999686763663</v>
      </c>
      <c r="M32" s="691">
        <v>3</v>
      </c>
      <c r="N32" s="692">
        <v>666.59999060290988</v>
      </c>
    </row>
    <row r="33" spans="1:14" ht="14.4" customHeight="1" x14ac:dyDescent="0.3">
      <c r="A33" s="687" t="s">
        <v>583</v>
      </c>
      <c r="B33" s="688" t="s">
        <v>584</v>
      </c>
      <c r="C33" s="689" t="s">
        <v>593</v>
      </c>
      <c r="D33" s="690" t="s">
        <v>992</v>
      </c>
      <c r="E33" s="689" t="s">
        <v>602</v>
      </c>
      <c r="F33" s="690" t="s">
        <v>995</v>
      </c>
      <c r="G33" s="689" t="s">
        <v>603</v>
      </c>
      <c r="H33" s="689" t="s">
        <v>607</v>
      </c>
      <c r="I33" s="689" t="s">
        <v>608</v>
      </c>
      <c r="J33" s="689" t="s">
        <v>609</v>
      </c>
      <c r="K33" s="689" t="s">
        <v>610</v>
      </c>
      <c r="L33" s="691">
        <v>87.030000000000044</v>
      </c>
      <c r="M33" s="691">
        <v>3</v>
      </c>
      <c r="N33" s="692">
        <v>261.09000000000015</v>
      </c>
    </row>
    <row r="34" spans="1:14" ht="14.4" customHeight="1" x14ac:dyDescent="0.3">
      <c r="A34" s="687" t="s">
        <v>583</v>
      </c>
      <c r="B34" s="688" t="s">
        <v>584</v>
      </c>
      <c r="C34" s="689" t="s">
        <v>593</v>
      </c>
      <c r="D34" s="690" t="s">
        <v>992</v>
      </c>
      <c r="E34" s="689" t="s">
        <v>602</v>
      </c>
      <c r="F34" s="690" t="s">
        <v>995</v>
      </c>
      <c r="G34" s="689" t="s">
        <v>603</v>
      </c>
      <c r="H34" s="689" t="s">
        <v>619</v>
      </c>
      <c r="I34" s="689" t="s">
        <v>620</v>
      </c>
      <c r="J34" s="689" t="s">
        <v>621</v>
      </c>
      <c r="K34" s="689" t="s">
        <v>622</v>
      </c>
      <c r="L34" s="691">
        <v>74.466658716835198</v>
      </c>
      <c r="M34" s="691">
        <v>36</v>
      </c>
      <c r="N34" s="692">
        <v>2680.7997138060673</v>
      </c>
    </row>
    <row r="35" spans="1:14" ht="14.4" customHeight="1" x14ac:dyDescent="0.3">
      <c r="A35" s="687" t="s">
        <v>583</v>
      </c>
      <c r="B35" s="688" t="s">
        <v>584</v>
      </c>
      <c r="C35" s="689" t="s">
        <v>593</v>
      </c>
      <c r="D35" s="690" t="s">
        <v>992</v>
      </c>
      <c r="E35" s="689" t="s">
        <v>602</v>
      </c>
      <c r="F35" s="690" t="s">
        <v>995</v>
      </c>
      <c r="G35" s="689" t="s">
        <v>603</v>
      </c>
      <c r="H35" s="689" t="s">
        <v>689</v>
      </c>
      <c r="I35" s="689" t="s">
        <v>690</v>
      </c>
      <c r="J35" s="689" t="s">
        <v>691</v>
      </c>
      <c r="K35" s="689" t="s">
        <v>692</v>
      </c>
      <c r="L35" s="691">
        <v>171.70999999999998</v>
      </c>
      <c r="M35" s="691">
        <v>1</v>
      </c>
      <c r="N35" s="692">
        <v>171.70999999999998</v>
      </c>
    </row>
    <row r="36" spans="1:14" ht="14.4" customHeight="1" x14ac:dyDescent="0.3">
      <c r="A36" s="687" t="s">
        <v>583</v>
      </c>
      <c r="B36" s="688" t="s">
        <v>584</v>
      </c>
      <c r="C36" s="689" t="s">
        <v>593</v>
      </c>
      <c r="D36" s="690" t="s">
        <v>992</v>
      </c>
      <c r="E36" s="689" t="s">
        <v>602</v>
      </c>
      <c r="F36" s="690" t="s">
        <v>995</v>
      </c>
      <c r="G36" s="689" t="s">
        <v>603</v>
      </c>
      <c r="H36" s="689" t="s">
        <v>693</v>
      </c>
      <c r="I36" s="689" t="s">
        <v>694</v>
      </c>
      <c r="J36" s="689" t="s">
        <v>695</v>
      </c>
      <c r="K36" s="689" t="s">
        <v>696</v>
      </c>
      <c r="L36" s="691">
        <v>45.85</v>
      </c>
      <c r="M36" s="691">
        <v>3</v>
      </c>
      <c r="N36" s="692">
        <v>137.55000000000001</v>
      </c>
    </row>
    <row r="37" spans="1:14" ht="14.4" customHeight="1" x14ac:dyDescent="0.3">
      <c r="A37" s="687" t="s">
        <v>583</v>
      </c>
      <c r="B37" s="688" t="s">
        <v>584</v>
      </c>
      <c r="C37" s="689" t="s">
        <v>593</v>
      </c>
      <c r="D37" s="690" t="s">
        <v>992</v>
      </c>
      <c r="E37" s="689" t="s">
        <v>602</v>
      </c>
      <c r="F37" s="690" t="s">
        <v>995</v>
      </c>
      <c r="G37" s="689" t="s">
        <v>603</v>
      </c>
      <c r="H37" s="689" t="s">
        <v>697</v>
      </c>
      <c r="I37" s="689" t="s">
        <v>698</v>
      </c>
      <c r="J37" s="689" t="s">
        <v>699</v>
      </c>
      <c r="K37" s="689" t="s">
        <v>700</v>
      </c>
      <c r="L37" s="691">
        <v>175.03911233185096</v>
      </c>
      <c r="M37" s="691">
        <v>8</v>
      </c>
      <c r="N37" s="692">
        <v>1400.3128986548077</v>
      </c>
    </row>
    <row r="38" spans="1:14" ht="14.4" customHeight="1" x14ac:dyDescent="0.3">
      <c r="A38" s="687" t="s">
        <v>583</v>
      </c>
      <c r="B38" s="688" t="s">
        <v>584</v>
      </c>
      <c r="C38" s="689" t="s">
        <v>593</v>
      </c>
      <c r="D38" s="690" t="s">
        <v>992</v>
      </c>
      <c r="E38" s="689" t="s">
        <v>602</v>
      </c>
      <c r="F38" s="690" t="s">
        <v>995</v>
      </c>
      <c r="G38" s="689" t="s">
        <v>603</v>
      </c>
      <c r="H38" s="689" t="s">
        <v>634</v>
      </c>
      <c r="I38" s="689" t="s">
        <v>632</v>
      </c>
      <c r="J38" s="689" t="s">
        <v>635</v>
      </c>
      <c r="K38" s="689"/>
      <c r="L38" s="691">
        <v>37.434530092592595</v>
      </c>
      <c r="M38" s="691">
        <v>72</v>
      </c>
      <c r="N38" s="692">
        <v>2695.2861666666668</v>
      </c>
    </row>
    <row r="39" spans="1:14" ht="14.4" customHeight="1" x14ac:dyDescent="0.3">
      <c r="A39" s="687" t="s">
        <v>583</v>
      </c>
      <c r="B39" s="688" t="s">
        <v>584</v>
      </c>
      <c r="C39" s="689" t="s">
        <v>593</v>
      </c>
      <c r="D39" s="690" t="s">
        <v>992</v>
      </c>
      <c r="E39" s="689" t="s">
        <v>602</v>
      </c>
      <c r="F39" s="690" t="s">
        <v>995</v>
      </c>
      <c r="G39" s="689" t="s">
        <v>603</v>
      </c>
      <c r="H39" s="689" t="s">
        <v>701</v>
      </c>
      <c r="I39" s="689" t="s">
        <v>632</v>
      </c>
      <c r="J39" s="689" t="s">
        <v>702</v>
      </c>
      <c r="K39" s="689"/>
      <c r="L39" s="691">
        <v>172.28482111244759</v>
      </c>
      <c r="M39" s="691">
        <v>7</v>
      </c>
      <c r="N39" s="692">
        <v>1205.9937477871331</v>
      </c>
    </row>
    <row r="40" spans="1:14" ht="14.4" customHeight="1" x14ac:dyDescent="0.3">
      <c r="A40" s="687" t="s">
        <v>583</v>
      </c>
      <c r="B40" s="688" t="s">
        <v>584</v>
      </c>
      <c r="C40" s="689" t="s">
        <v>593</v>
      </c>
      <c r="D40" s="690" t="s">
        <v>992</v>
      </c>
      <c r="E40" s="689" t="s">
        <v>602</v>
      </c>
      <c r="F40" s="690" t="s">
        <v>995</v>
      </c>
      <c r="G40" s="689" t="s">
        <v>603</v>
      </c>
      <c r="H40" s="689" t="s">
        <v>636</v>
      </c>
      <c r="I40" s="689" t="s">
        <v>636</v>
      </c>
      <c r="J40" s="689" t="s">
        <v>637</v>
      </c>
      <c r="K40" s="689" t="s">
        <v>638</v>
      </c>
      <c r="L40" s="691">
        <v>75.763999999999996</v>
      </c>
      <c r="M40" s="691">
        <v>20</v>
      </c>
      <c r="N40" s="692">
        <v>1515.28</v>
      </c>
    </row>
    <row r="41" spans="1:14" ht="14.4" customHeight="1" x14ac:dyDescent="0.3">
      <c r="A41" s="687" t="s">
        <v>583</v>
      </c>
      <c r="B41" s="688" t="s">
        <v>584</v>
      </c>
      <c r="C41" s="689" t="s">
        <v>593</v>
      </c>
      <c r="D41" s="690" t="s">
        <v>992</v>
      </c>
      <c r="E41" s="689" t="s">
        <v>602</v>
      </c>
      <c r="F41" s="690" t="s">
        <v>995</v>
      </c>
      <c r="G41" s="689" t="s">
        <v>603</v>
      </c>
      <c r="H41" s="689" t="s">
        <v>639</v>
      </c>
      <c r="I41" s="689" t="s">
        <v>640</v>
      </c>
      <c r="J41" s="689" t="s">
        <v>641</v>
      </c>
      <c r="K41" s="689" t="s">
        <v>642</v>
      </c>
      <c r="L41" s="691">
        <v>48.399995527584821</v>
      </c>
      <c r="M41" s="691">
        <v>16</v>
      </c>
      <c r="N41" s="692">
        <v>774.39992844135713</v>
      </c>
    </row>
    <row r="42" spans="1:14" ht="14.4" customHeight="1" x14ac:dyDescent="0.3">
      <c r="A42" s="687" t="s">
        <v>583</v>
      </c>
      <c r="B42" s="688" t="s">
        <v>584</v>
      </c>
      <c r="C42" s="689" t="s">
        <v>593</v>
      </c>
      <c r="D42" s="690" t="s">
        <v>992</v>
      </c>
      <c r="E42" s="689" t="s">
        <v>602</v>
      </c>
      <c r="F42" s="690" t="s">
        <v>995</v>
      </c>
      <c r="G42" s="689" t="s">
        <v>603</v>
      </c>
      <c r="H42" s="689" t="s">
        <v>643</v>
      </c>
      <c r="I42" s="689" t="s">
        <v>632</v>
      </c>
      <c r="J42" s="689" t="s">
        <v>644</v>
      </c>
      <c r="K42" s="689" t="s">
        <v>645</v>
      </c>
      <c r="L42" s="691">
        <v>23.700093383377723</v>
      </c>
      <c r="M42" s="691">
        <v>108</v>
      </c>
      <c r="N42" s="692">
        <v>2559.6100854047941</v>
      </c>
    </row>
    <row r="43" spans="1:14" ht="14.4" customHeight="1" x14ac:dyDescent="0.3">
      <c r="A43" s="687" t="s">
        <v>583</v>
      </c>
      <c r="B43" s="688" t="s">
        <v>584</v>
      </c>
      <c r="C43" s="689" t="s">
        <v>593</v>
      </c>
      <c r="D43" s="690" t="s">
        <v>992</v>
      </c>
      <c r="E43" s="689" t="s">
        <v>602</v>
      </c>
      <c r="F43" s="690" t="s">
        <v>995</v>
      </c>
      <c r="G43" s="689" t="s">
        <v>603</v>
      </c>
      <c r="H43" s="689" t="s">
        <v>703</v>
      </c>
      <c r="I43" s="689" t="s">
        <v>704</v>
      </c>
      <c r="J43" s="689" t="s">
        <v>705</v>
      </c>
      <c r="K43" s="689" t="s">
        <v>706</v>
      </c>
      <c r="L43" s="691">
        <v>33.72</v>
      </c>
      <c r="M43" s="691">
        <v>2</v>
      </c>
      <c r="N43" s="692">
        <v>67.44</v>
      </c>
    </row>
    <row r="44" spans="1:14" ht="14.4" customHeight="1" x14ac:dyDescent="0.3">
      <c r="A44" s="687" t="s">
        <v>583</v>
      </c>
      <c r="B44" s="688" t="s">
        <v>584</v>
      </c>
      <c r="C44" s="689" t="s">
        <v>593</v>
      </c>
      <c r="D44" s="690" t="s">
        <v>992</v>
      </c>
      <c r="E44" s="689" t="s">
        <v>602</v>
      </c>
      <c r="F44" s="690" t="s">
        <v>995</v>
      </c>
      <c r="G44" s="689" t="s">
        <v>603</v>
      </c>
      <c r="H44" s="689" t="s">
        <v>707</v>
      </c>
      <c r="I44" s="689" t="s">
        <v>708</v>
      </c>
      <c r="J44" s="689" t="s">
        <v>709</v>
      </c>
      <c r="K44" s="689" t="s">
        <v>710</v>
      </c>
      <c r="L44" s="691">
        <v>33.889999999999993</v>
      </c>
      <c r="M44" s="691">
        <v>1</v>
      </c>
      <c r="N44" s="692">
        <v>33.889999999999993</v>
      </c>
    </row>
    <row r="45" spans="1:14" ht="14.4" customHeight="1" x14ac:dyDescent="0.3">
      <c r="A45" s="687" t="s">
        <v>583</v>
      </c>
      <c r="B45" s="688" t="s">
        <v>584</v>
      </c>
      <c r="C45" s="689" t="s">
        <v>593</v>
      </c>
      <c r="D45" s="690" t="s">
        <v>992</v>
      </c>
      <c r="E45" s="689" t="s">
        <v>602</v>
      </c>
      <c r="F45" s="690" t="s">
        <v>995</v>
      </c>
      <c r="G45" s="689" t="s">
        <v>603</v>
      </c>
      <c r="H45" s="689" t="s">
        <v>711</v>
      </c>
      <c r="I45" s="689" t="s">
        <v>632</v>
      </c>
      <c r="J45" s="689" t="s">
        <v>712</v>
      </c>
      <c r="K45" s="689" t="s">
        <v>713</v>
      </c>
      <c r="L45" s="691">
        <v>199.67</v>
      </c>
      <c r="M45" s="691">
        <v>3</v>
      </c>
      <c r="N45" s="692">
        <v>599.01</v>
      </c>
    </row>
    <row r="46" spans="1:14" ht="14.4" customHeight="1" x14ac:dyDescent="0.3">
      <c r="A46" s="687" t="s">
        <v>583</v>
      </c>
      <c r="B46" s="688" t="s">
        <v>584</v>
      </c>
      <c r="C46" s="689" t="s">
        <v>593</v>
      </c>
      <c r="D46" s="690" t="s">
        <v>992</v>
      </c>
      <c r="E46" s="689" t="s">
        <v>602</v>
      </c>
      <c r="F46" s="690" t="s">
        <v>995</v>
      </c>
      <c r="G46" s="689" t="s">
        <v>603</v>
      </c>
      <c r="H46" s="689" t="s">
        <v>714</v>
      </c>
      <c r="I46" s="689" t="s">
        <v>620</v>
      </c>
      <c r="J46" s="689" t="s">
        <v>715</v>
      </c>
      <c r="K46" s="689"/>
      <c r="L46" s="691">
        <v>352.5563703724618</v>
      </c>
      <c r="M46" s="691">
        <v>1</v>
      </c>
      <c r="N46" s="692">
        <v>352.5563703724618</v>
      </c>
    </row>
    <row r="47" spans="1:14" ht="14.4" customHeight="1" x14ac:dyDescent="0.3">
      <c r="A47" s="687" t="s">
        <v>583</v>
      </c>
      <c r="B47" s="688" t="s">
        <v>584</v>
      </c>
      <c r="C47" s="689" t="s">
        <v>593</v>
      </c>
      <c r="D47" s="690" t="s">
        <v>992</v>
      </c>
      <c r="E47" s="689" t="s">
        <v>602</v>
      </c>
      <c r="F47" s="690" t="s">
        <v>995</v>
      </c>
      <c r="G47" s="689" t="s">
        <v>603</v>
      </c>
      <c r="H47" s="689" t="s">
        <v>716</v>
      </c>
      <c r="I47" s="689" t="s">
        <v>632</v>
      </c>
      <c r="J47" s="689" t="s">
        <v>717</v>
      </c>
      <c r="K47" s="689"/>
      <c r="L47" s="691">
        <v>55.055277478520132</v>
      </c>
      <c r="M47" s="691">
        <v>5</v>
      </c>
      <c r="N47" s="692">
        <v>275.27638739260067</v>
      </c>
    </row>
    <row r="48" spans="1:14" ht="14.4" customHeight="1" x14ac:dyDescent="0.3">
      <c r="A48" s="687" t="s">
        <v>583</v>
      </c>
      <c r="B48" s="688" t="s">
        <v>584</v>
      </c>
      <c r="C48" s="689" t="s">
        <v>593</v>
      </c>
      <c r="D48" s="690" t="s">
        <v>992</v>
      </c>
      <c r="E48" s="689" t="s">
        <v>602</v>
      </c>
      <c r="F48" s="690" t="s">
        <v>995</v>
      </c>
      <c r="G48" s="689" t="s">
        <v>603</v>
      </c>
      <c r="H48" s="689" t="s">
        <v>652</v>
      </c>
      <c r="I48" s="689" t="s">
        <v>632</v>
      </c>
      <c r="J48" s="689" t="s">
        <v>653</v>
      </c>
      <c r="K48" s="689"/>
      <c r="L48" s="691">
        <v>51.328156878415697</v>
      </c>
      <c r="M48" s="691">
        <v>30</v>
      </c>
      <c r="N48" s="692">
        <v>1539.8447063524709</v>
      </c>
    </row>
    <row r="49" spans="1:14" ht="14.4" customHeight="1" x14ac:dyDescent="0.3">
      <c r="A49" s="687" t="s">
        <v>583</v>
      </c>
      <c r="B49" s="688" t="s">
        <v>584</v>
      </c>
      <c r="C49" s="689" t="s">
        <v>593</v>
      </c>
      <c r="D49" s="690" t="s">
        <v>992</v>
      </c>
      <c r="E49" s="689" t="s">
        <v>602</v>
      </c>
      <c r="F49" s="690" t="s">
        <v>995</v>
      </c>
      <c r="G49" s="689" t="s">
        <v>603</v>
      </c>
      <c r="H49" s="689" t="s">
        <v>656</v>
      </c>
      <c r="I49" s="689" t="s">
        <v>632</v>
      </c>
      <c r="J49" s="689" t="s">
        <v>657</v>
      </c>
      <c r="K49" s="689"/>
      <c r="L49" s="691">
        <v>88.51633803909489</v>
      </c>
      <c r="M49" s="691">
        <v>28</v>
      </c>
      <c r="N49" s="692">
        <v>2478.457465094657</v>
      </c>
    </row>
    <row r="50" spans="1:14" ht="14.4" customHeight="1" x14ac:dyDescent="0.3">
      <c r="A50" s="687" t="s">
        <v>583</v>
      </c>
      <c r="B50" s="688" t="s">
        <v>584</v>
      </c>
      <c r="C50" s="689" t="s">
        <v>593</v>
      </c>
      <c r="D50" s="690" t="s">
        <v>992</v>
      </c>
      <c r="E50" s="689" t="s">
        <v>602</v>
      </c>
      <c r="F50" s="690" t="s">
        <v>995</v>
      </c>
      <c r="G50" s="689" t="s">
        <v>603</v>
      </c>
      <c r="H50" s="689" t="s">
        <v>718</v>
      </c>
      <c r="I50" s="689" t="s">
        <v>719</v>
      </c>
      <c r="J50" s="689" t="s">
        <v>720</v>
      </c>
      <c r="K50" s="689" t="s">
        <v>721</v>
      </c>
      <c r="L50" s="691">
        <v>77.950000000000017</v>
      </c>
      <c r="M50" s="691">
        <v>1</v>
      </c>
      <c r="N50" s="692">
        <v>77.950000000000017</v>
      </c>
    </row>
    <row r="51" spans="1:14" ht="14.4" customHeight="1" x14ac:dyDescent="0.3">
      <c r="A51" s="687" t="s">
        <v>583</v>
      </c>
      <c r="B51" s="688" t="s">
        <v>584</v>
      </c>
      <c r="C51" s="689" t="s">
        <v>593</v>
      </c>
      <c r="D51" s="690" t="s">
        <v>992</v>
      </c>
      <c r="E51" s="689" t="s">
        <v>602</v>
      </c>
      <c r="F51" s="690" t="s">
        <v>995</v>
      </c>
      <c r="G51" s="689" t="s">
        <v>603</v>
      </c>
      <c r="H51" s="689" t="s">
        <v>722</v>
      </c>
      <c r="I51" s="689" t="s">
        <v>620</v>
      </c>
      <c r="J51" s="689" t="s">
        <v>723</v>
      </c>
      <c r="K51" s="689" t="s">
        <v>724</v>
      </c>
      <c r="L51" s="691">
        <v>456.5727558564563</v>
      </c>
      <c r="M51" s="691">
        <v>2</v>
      </c>
      <c r="N51" s="692">
        <v>913.14551171291259</v>
      </c>
    </row>
    <row r="52" spans="1:14" ht="14.4" customHeight="1" x14ac:dyDescent="0.3">
      <c r="A52" s="687" t="s">
        <v>583</v>
      </c>
      <c r="B52" s="688" t="s">
        <v>584</v>
      </c>
      <c r="C52" s="689" t="s">
        <v>593</v>
      </c>
      <c r="D52" s="690" t="s">
        <v>992</v>
      </c>
      <c r="E52" s="689" t="s">
        <v>602</v>
      </c>
      <c r="F52" s="690" t="s">
        <v>995</v>
      </c>
      <c r="G52" s="689" t="s">
        <v>603</v>
      </c>
      <c r="H52" s="689" t="s">
        <v>725</v>
      </c>
      <c r="I52" s="689" t="s">
        <v>620</v>
      </c>
      <c r="J52" s="689" t="s">
        <v>726</v>
      </c>
      <c r="K52" s="689" t="s">
        <v>727</v>
      </c>
      <c r="L52" s="691">
        <v>154.65444536716154</v>
      </c>
      <c r="M52" s="691">
        <v>2</v>
      </c>
      <c r="N52" s="692">
        <v>309.30889073432309</v>
      </c>
    </row>
    <row r="53" spans="1:14" ht="14.4" customHeight="1" x14ac:dyDescent="0.3">
      <c r="A53" s="687" t="s">
        <v>583</v>
      </c>
      <c r="B53" s="688" t="s">
        <v>584</v>
      </c>
      <c r="C53" s="689" t="s">
        <v>593</v>
      </c>
      <c r="D53" s="690" t="s">
        <v>992</v>
      </c>
      <c r="E53" s="689" t="s">
        <v>602</v>
      </c>
      <c r="F53" s="690" t="s">
        <v>995</v>
      </c>
      <c r="G53" s="689" t="s">
        <v>603</v>
      </c>
      <c r="H53" s="689" t="s">
        <v>728</v>
      </c>
      <c r="I53" s="689" t="s">
        <v>632</v>
      </c>
      <c r="J53" s="689" t="s">
        <v>729</v>
      </c>
      <c r="K53" s="689"/>
      <c r="L53" s="691">
        <v>130.96609429387803</v>
      </c>
      <c r="M53" s="691">
        <v>5</v>
      </c>
      <c r="N53" s="692">
        <v>654.83047146939009</v>
      </c>
    </row>
    <row r="54" spans="1:14" ht="14.4" customHeight="1" x14ac:dyDescent="0.3">
      <c r="A54" s="687" t="s">
        <v>583</v>
      </c>
      <c r="B54" s="688" t="s">
        <v>584</v>
      </c>
      <c r="C54" s="689" t="s">
        <v>593</v>
      </c>
      <c r="D54" s="690" t="s">
        <v>992</v>
      </c>
      <c r="E54" s="689" t="s">
        <v>602</v>
      </c>
      <c r="F54" s="690" t="s">
        <v>995</v>
      </c>
      <c r="G54" s="689" t="s">
        <v>603</v>
      </c>
      <c r="H54" s="689" t="s">
        <v>730</v>
      </c>
      <c r="I54" s="689" t="s">
        <v>632</v>
      </c>
      <c r="J54" s="689" t="s">
        <v>731</v>
      </c>
      <c r="K54" s="689"/>
      <c r="L54" s="691">
        <v>85.631799813571646</v>
      </c>
      <c r="M54" s="691">
        <v>5</v>
      </c>
      <c r="N54" s="692">
        <v>428.15899906785825</v>
      </c>
    </row>
    <row r="55" spans="1:14" ht="14.4" customHeight="1" x14ac:dyDescent="0.3">
      <c r="A55" s="687" t="s">
        <v>583</v>
      </c>
      <c r="B55" s="688" t="s">
        <v>584</v>
      </c>
      <c r="C55" s="689" t="s">
        <v>593</v>
      </c>
      <c r="D55" s="690" t="s">
        <v>992</v>
      </c>
      <c r="E55" s="689" t="s">
        <v>602</v>
      </c>
      <c r="F55" s="690" t="s">
        <v>995</v>
      </c>
      <c r="G55" s="689" t="s">
        <v>603</v>
      </c>
      <c r="H55" s="689" t="s">
        <v>732</v>
      </c>
      <c r="I55" s="689" t="s">
        <v>632</v>
      </c>
      <c r="J55" s="689" t="s">
        <v>733</v>
      </c>
      <c r="K55" s="689" t="s">
        <v>734</v>
      </c>
      <c r="L55" s="691">
        <v>75.017376533806726</v>
      </c>
      <c r="M55" s="691">
        <v>2</v>
      </c>
      <c r="N55" s="692">
        <v>150.03475306761345</v>
      </c>
    </row>
    <row r="56" spans="1:14" ht="14.4" customHeight="1" x14ac:dyDescent="0.3">
      <c r="A56" s="687" t="s">
        <v>583</v>
      </c>
      <c r="B56" s="688" t="s">
        <v>584</v>
      </c>
      <c r="C56" s="689" t="s">
        <v>593</v>
      </c>
      <c r="D56" s="690" t="s">
        <v>992</v>
      </c>
      <c r="E56" s="689" t="s">
        <v>602</v>
      </c>
      <c r="F56" s="690" t="s">
        <v>995</v>
      </c>
      <c r="G56" s="689" t="s">
        <v>603</v>
      </c>
      <c r="H56" s="689" t="s">
        <v>735</v>
      </c>
      <c r="I56" s="689" t="s">
        <v>632</v>
      </c>
      <c r="J56" s="689" t="s">
        <v>736</v>
      </c>
      <c r="K56" s="689" t="s">
        <v>737</v>
      </c>
      <c r="L56" s="691">
        <v>562.53</v>
      </c>
      <c r="M56" s="691">
        <v>1</v>
      </c>
      <c r="N56" s="692">
        <v>562.53</v>
      </c>
    </row>
    <row r="57" spans="1:14" ht="14.4" customHeight="1" x14ac:dyDescent="0.3">
      <c r="A57" s="687" t="s">
        <v>583</v>
      </c>
      <c r="B57" s="688" t="s">
        <v>584</v>
      </c>
      <c r="C57" s="689" t="s">
        <v>593</v>
      </c>
      <c r="D57" s="690" t="s">
        <v>992</v>
      </c>
      <c r="E57" s="689" t="s">
        <v>602</v>
      </c>
      <c r="F57" s="690" t="s">
        <v>995</v>
      </c>
      <c r="G57" s="689" t="s">
        <v>603</v>
      </c>
      <c r="H57" s="689" t="s">
        <v>738</v>
      </c>
      <c r="I57" s="689" t="s">
        <v>739</v>
      </c>
      <c r="J57" s="689" t="s">
        <v>740</v>
      </c>
      <c r="K57" s="689" t="s">
        <v>741</v>
      </c>
      <c r="L57" s="691">
        <v>1.1400000000000001</v>
      </c>
      <c r="M57" s="691">
        <v>5</v>
      </c>
      <c r="N57" s="692">
        <v>5.7000000000000011</v>
      </c>
    </row>
    <row r="58" spans="1:14" ht="14.4" customHeight="1" x14ac:dyDescent="0.3">
      <c r="A58" s="687" t="s">
        <v>583</v>
      </c>
      <c r="B58" s="688" t="s">
        <v>584</v>
      </c>
      <c r="C58" s="689" t="s">
        <v>593</v>
      </c>
      <c r="D58" s="690" t="s">
        <v>992</v>
      </c>
      <c r="E58" s="689" t="s">
        <v>602</v>
      </c>
      <c r="F58" s="690" t="s">
        <v>995</v>
      </c>
      <c r="G58" s="689" t="s">
        <v>603</v>
      </c>
      <c r="H58" s="689" t="s">
        <v>742</v>
      </c>
      <c r="I58" s="689" t="s">
        <v>632</v>
      </c>
      <c r="J58" s="689" t="s">
        <v>743</v>
      </c>
      <c r="K58" s="689"/>
      <c r="L58" s="691">
        <v>151.54176050366181</v>
      </c>
      <c r="M58" s="691">
        <v>15</v>
      </c>
      <c r="N58" s="692">
        <v>2273.126407554927</v>
      </c>
    </row>
    <row r="59" spans="1:14" ht="14.4" customHeight="1" x14ac:dyDescent="0.3">
      <c r="A59" s="687" t="s">
        <v>583</v>
      </c>
      <c r="B59" s="688" t="s">
        <v>584</v>
      </c>
      <c r="C59" s="689" t="s">
        <v>593</v>
      </c>
      <c r="D59" s="690" t="s">
        <v>992</v>
      </c>
      <c r="E59" s="689" t="s">
        <v>602</v>
      </c>
      <c r="F59" s="690" t="s">
        <v>995</v>
      </c>
      <c r="G59" s="689" t="s">
        <v>603</v>
      </c>
      <c r="H59" s="689" t="s">
        <v>660</v>
      </c>
      <c r="I59" s="689" t="s">
        <v>660</v>
      </c>
      <c r="J59" s="689" t="s">
        <v>661</v>
      </c>
      <c r="K59" s="689" t="s">
        <v>662</v>
      </c>
      <c r="L59" s="691">
        <v>49.71002357265067</v>
      </c>
      <c r="M59" s="691">
        <v>2</v>
      </c>
      <c r="N59" s="692">
        <v>99.420047145301339</v>
      </c>
    </row>
    <row r="60" spans="1:14" ht="14.4" customHeight="1" x14ac:dyDescent="0.3">
      <c r="A60" s="687" t="s">
        <v>583</v>
      </c>
      <c r="B60" s="688" t="s">
        <v>584</v>
      </c>
      <c r="C60" s="689" t="s">
        <v>593</v>
      </c>
      <c r="D60" s="690" t="s">
        <v>992</v>
      </c>
      <c r="E60" s="689" t="s">
        <v>744</v>
      </c>
      <c r="F60" s="690" t="s">
        <v>998</v>
      </c>
      <c r="G60" s="689"/>
      <c r="H60" s="689" t="s">
        <v>745</v>
      </c>
      <c r="I60" s="689" t="s">
        <v>746</v>
      </c>
      <c r="J60" s="689" t="s">
        <v>747</v>
      </c>
      <c r="K60" s="689"/>
      <c r="L60" s="691">
        <v>188.55</v>
      </c>
      <c r="M60" s="691">
        <v>1</v>
      </c>
      <c r="N60" s="692">
        <v>188.55</v>
      </c>
    </row>
    <row r="61" spans="1:14" ht="14.4" customHeight="1" x14ac:dyDescent="0.3">
      <c r="A61" s="687" t="s">
        <v>583</v>
      </c>
      <c r="B61" s="688" t="s">
        <v>584</v>
      </c>
      <c r="C61" s="689" t="s">
        <v>593</v>
      </c>
      <c r="D61" s="690" t="s">
        <v>992</v>
      </c>
      <c r="E61" s="689" t="s">
        <v>744</v>
      </c>
      <c r="F61" s="690" t="s">
        <v>998</v>
      </c>
      <c r="G61" s="689" t="s">
        <v>603</v>
      </c>
      <c r="H61" s="689" t="s">
        <v>748</v>
      </c>
      <c r="I61" s="689" t="s">
        <v>632</v>
      </c>
      <c r="J61" s="689" t="s">
        <v>749</v>
      </c>
      <c r="K61" s="689"/>
      <c r="L61" s="691">
        <v>480.74000000000012</v>
      </c>
      <c r="M61" s="691">
        <v>2</v>
      </c>
      <c r="N61" s="692">
        <v>961.48000000000025</v>
      </c>
    </row>
    <row r="62" spans="1:14" ht="14.4" customHeight="1" x14ac:dyDescent="0.3">
      <c r="A62" s="687" t="s">
        <v>583</v>
      </c>
      <c r="B62" s="688" t="s">
        <v>584</v>
      </c>
      <c r="C62" s="689" t="s">
        <v>593</v>
      </c>
      <c r="D62" s="690" t="s">
        <v>992</v>
      </c>
      <c r="E62" s="689" t="s">
        <v>744</v>
      </c>
      <c r="F62" s="690" t="s">
        <v>998</v>
      </c>
      <c r="G62" s="689" t="s">
        <v>603</v>
      </c>
      <c r="H62" s="689" t="s">
        <v>750</v>
      </c>
      <c r="I62" s="689" t="s">
        <v>632</v>
      </c>
      <c r="J62" s="689" t="s">
        <v>751</v>
      </c>
      <c r="K62" s="689"/>
      <c r="L62" s="691">
        <v>198.47</v>
      </c>
      <c r="M62" s="691">
        <v>1</v>
      </c>
      <c r="N62" s="692">
        <v>198.47</v>
      </c>
    </row>
    <row r="63" spans="1:14" ht="14.4" customHeight="1" x14ac:dyDescent="0.3">
      <c r="A63" s="687" t="s">
        <v>583</v>
      </c>
      <c r="B63" s="688" t="s">
        <v>584</v>
      </c>
      <c r="C63" s="689" t="s">
        <v>593</v>
      </c>
      <c r="D63" s="690" t="s">
        <v>992</v>
      </c>
      <c r="E63" s="689" t="s">
        <v>744</v>
      </c>
      <c r="F63" s="690" t="s">
        <v>998</v>
      </c>
      <c r="G63" s="689" t="s">
        <v>603</v>
      </c>
      <c r="H63" s="689" t="s">
        <v>752</v>
      </c>
      <c r="I63" s="689" t="s">
        <v>632</v>
      </c>
      <c r="J63" s="689" t="s">
        <v>753</v>
      </c>
      <c r="K63" s="689"/>
      <c r="L63" s="691">
        <v>700.38000000000011</v>
      </c>
      <c r="M63" s="691">
        <v>1</v>
      </c>
      <c r="N63" s="692">
        <v>700.38000000000011</v>
      </c>
    </row>
    <row r="64" spans="1:14" ht="14.4" customHeight="1" x14ac:dyDescent="0.3">
      <c r="A64" s="687" t="s">
        <v>583</v>
      </c>
      <c r="B64" s="688" t="s">
        <v>584</v>
      </c>
      <c r="C64" s="689" t="s">
        <v>593</v>
      </c>
      <c r="D64" s="690" t="s">
        <v>992</v>
      </c>
      <c r="E64" s="689" t="s">
        <v>744</v>
      </c>
      <c r="F64" s="690" t="s">
        <v>998</v>
      </c>
      <c r="G64" s="689" t="s">
        <v>603</v>
      </c>
      <c r="H64" s="689" t="s">
        <v>754</v>
      </c>
      <c r="I64" s="689" t="s">
        <v>632</v>
      </c>
      <c r="J64" s="689" t="s">
        <v>755</v>
      </c>
      <c r="K64" s="689"/>
      <c r="L64" s="691">
        <v>913.1</v>
      </c>
      <c r="M64" s="691">
        <v>2</v>
      </c>
      <c r="N64" s="692">
        <v>1826.2</v>
      </c>
    </row>
    <row r="65" spans="1:14" ht="14.4" customHeight="1" x14ac:dyDescent="0.3">
      <c r="A65" s="687" t="s">
        <v>583</v>
      </c>
      <c r="B65" s="688" t="s">
        <v>584</v>
      </c>
      <c r="C65" s="689" t="s">
        <v>593</v>
      </c>
      <c r="D65" s="690" t="s">
        <v>992</v>
      </c>
      <c r="E65" s="689" t="s">
        <v>744</v>
      </c>
      <c r="F65" s="690" t="s">
        <v>998</v>
      </c>
      <c r="G65" s="689" t="s">
        <v>756</v>
      </c>
      <c r="H65" s="689" t="s">
        <v>757</v>
      </c>
      <c r="I65" s="689" t="s">
        <v>757</v>
      </c>
      <c r="J65" s="689" t="s">
        <v>758</v>
      </c>
      <c r="K65" s="689" t="s">
        <v>759</v>
      </c>
      <c r="L65" s="691">
        <v>1872.7900000000004</v>
      </c>
      <c r="M65" s="691">
        <v>1</v>
      </c>
      <c r="N65" s="692">
        <v>1872.7900000000004</v>
      </c>
    </row>
    <row r="66" spans="1:14" ht="14.4" customHeight="1" x14ac:dyDescent="0.3">
      <c r="A66" s="687" t="s">
        <v>583</v>
      </c>
      <c r="B66" s="688" t="s">
        <v>584</v>
      </c>
      <c r="C66" s="689" t="s">
        <v>593</v>
      </c>
      <c r="D66" s="690" t="s">
        <v>992</v>
      </c>
      <c r="E66" s="689" t="s">
        <v>666</v>
      </c>
      <c r="F66" s="690" t="s">
        <v>996</v>
      </c>
      <c r="G66" s="689" t="s">
        <v>603</v>
      </c>
      <c r="H66" s="689" t="s">
        <v>670</v>
      </c>
      <c r="I66" s="689" t="s">
        <v>671</v>
      </c>
      <c r="J66" s="689" t="s">
        <v>672</v>
      </c>
      <c r="K66" s="689" t="s">
        <v>673</v>
      </c>
      <c r="L66" s="691">
        <v>51.04000000000002</v>
      </c>
      <c r="M66" s="691">
        <v>1</v>
      </c>
      <c r="N66" s="692">
        <v>51.04000000000002</v>
      </c>
    </row>
    <row r="67" spans="1:14" ht="14.4" customHeight="1" x14ac:dyDescent="0.3">
      <c r="A67" s="687" t="s">
        <v>583</v>
      </c>
      <c r="B67" s="688" t="s">
        <v>584</v>
      </c>
      <c r="C67" s="689" t="s">
        <v>593</v>
      </c>
      <c r="D67" s="690" t="s">
        <v>992</v>
      </c>
      <c r="E67" s="689" t="s">
        <v>666</v>
      </c>
      <c r="F67" s="690" t="s">
        <v>996</v>
      </c>
      <c r="G67" s="689" t="s">
        <v>603</v>
      </c>
      <c r="H67" s="689" t="s">
        <v>760</v>
      </c>
      <c r="I67" s="689" t="s">
        <v>760</v>
      </c>
      <c r="J67" s="689" t="s">
        <v>761</v>
      </c>
      <c r="K67" s="689" t="s">
        <v>762</v>
      </c>
      <c r="L67" s="691">
        <v>179.61998230759335</v>
      </c>
      <c r="M67" s="691">
        <v>1</v>
      </c>
      <c r="N67" s="692">
        <v>179.61998230759335</v>
      </c>
    </row>
    <row r="68" spans="1:14" ht="14.4" customHeight="1" x14ac:dyDescent="0.3">
      <c r="A68" s="687" t="s">
        <v>583</v>
      </c>
      <c r="B68" s="688" t="s">
        <v>584</v>
      </c>
      <c r="C68" s="689" t="s">
        <v>593</v>
      </c>
      <c r="D68" s="690" t="s">
        <v>992</v>
      </c>
      <c r="E68" s="689" t="s">
        <v>666</v>
      </c>
      <c r="F68" s="690" t="s">
        <v>996</v>
      </c>
      <c r="G68" s="689" t="s">
        <v>603</v>
      </c>
      <c r="H68" s="689" t="s">
        <v>763</v>
      </c>
      <c r="I68" s="689" t="s">
        <v>764</v>
      </c>
      <c r="J68" s="689" t="s">
        <v>765</v>
      </c>
      <c r="K68" s="689" t="s">
        <v>766</v>
      </c>
      <c r="L68" s="691">
        <v>23.519999999999989</v>
      </c>
      <c r="M68" s="691">
        <v>1</v>
      </c>
      <c r="N68" s="692">
        <v>23.519999999999989</v>
      </c>
    </row>
    <row r="69" spans="1:14" ht="14.4" customHeight="1" x14ac:dyDescent="0.3">
      <c r="A69" s="687" t="s">
        <v>583</v>
      </c>
      <c r="B69" s="688" t="s">
        <v>584</v>
      </c>
      <c r="C69" s="689" t="s">
        <v>593</v>
      </c>
      <c r="D69" s="690" t="s">
        <v>992</v>
      </c>
      <c r="E69" s="689" t="s">
        <v>666</v>
      </c>
      <c r="F69" s="690" t="s">
        <v>996</v>
      </c>
      <c r="G69" s="689" t="s">
        <v>603</v>
      </c>
      <c r="H69" s="689" t="s">
        <v>678</v>
      </c>
      <c r="I69" s="689" t="s">
        <v>678</v>
      </c>
      <c r="J69" s="689" t="s">
        <v>679</v>
      </c>
      <c r="K69" s="689" t="s">
        <v>680</v>
      </c>
      <c r="L69" s="691">
        <v>138.34999999999991</v>
      </c>
      <c r="M69" s="691">
        <v>2</v>
      </c>
      <c r="N69" s="692">
        <v>276.69999999999982</v>
      </c>
    </row>
    <row r="70" spans="1:14" ht="14.4" customHeight="1" x14ac:dyDescent="0.3">
      <c r="A70" s="687" t="s">
        <v>583</v>
      </c>
      <c r="B70" s="688" t="s">
        <v>584</v>
      </c>
      <c r="C70" s="689" t="s">
        <v>596</v>
      </c>
      <c r="D70" s="690" t="s">
        <v>993</v>
      </c>
      <c r="E70" s="689" t="s">
        <v>602</v>
      </c>
      <c r="F70" s="690" t="s">
        <v>995</v>
      </c>
      <c r="G70" s="689"/>
      <c r="H70" s="689" t="s">
        <v>767</v>
      </c>
      <c r="I70" s="689" t="s">
        <v>768</v>
      </c>
      <c r="J70" s="689" t="s">
        <v>769</v>
      </c>
      <c r="K70" s="689"/>
      <c r="L70" s="691">
        <v>72.040000000000006</v>
      </c>
      <c r="M70" s="691">
        <v>8</v>
      </c>
      <c r="N70" s="692">
        <v>576.32000000000005</v>
      </c>
    </row>
    <row r="71" spans="1:14" ht="14.4" customHeight="1" x14ac:dyDescent="0.3">
      <c r="A71" s="687" t="s">
        <v>583</v>
      </c>
      <c r="B71" s="688" t="s">
        <v>584</v>
      </c>
      <c r="C71" s="689" t="s">
        <v>596</v>
      </c>
      <c r="D71" s="690" t="s">
        <v>993</v>
      </c>
      <c r="E71" s="689" t="s">
        <v>602</v>
      </c>
      <c r="F71" s="690" t="s">
        <v>995</v>
      </c>
      <c r="G71" s="689" t="s">
        <v>603</v>
      </c>
      <c r="H71" s="689" t="s">
        <v>604</v>
      </c>
      <c r="I71" s="689" t="s">
        <v>604</v>
      </c>
      <c r="J71" s="689" t="s">
        <v>605</v>
      </c>
      <c r="K71" s="689" t="s">
        <v>606</v>
      </c>
      <c r="L71" s="691">
        <v>171.59999801331534</v>
      </c>
      <c r="M71" s="691">
        <v>6</v>
      </c>
      <c r="N71" s="692">
        <v>1029.599988079892</v>
      </c>
    </row>
    <row r="72" spans="1:14" ht="14.4" customHeight="1" x14ac:dyDescent="0.3">
      <c r="A72" s="687" t="s">
        <v>583</v>
      </c>
      <c r="B72" s="688" t="s">
        <v>584</v>
      </c>
      <c r="C72" s="689" t="s">
        <v>596</v>
      </c>
      <c r="D72" s="690" t="s">
        <v>993</v>
      </c>
      <c r="E72" s="689" t="s">
        <v>602</v>
      </c>
      <c r="F72" s="690" t="s">
        <v>995</v>
      </c>
      <c r="G72" s="689" t="s">
        <v>603</v>
      </c>
      <c r="H72" s="689" t="s">
        <v>770</v>
      </c>
      <c r="I72" s="689" t="s">
        <v>770</v>
      </c>
      <c r="J72" s="689" t="s">
        <v>771</v>
      </c>
      <c r="K72" s="689" t="s">
        <v>772</v>
      </c>
      <c r="L72" s="691">
        <v>173.69</v>
      </c>
      <c r="M72" s="691">
        <v>1</v>
      </c>
      <c r="N72" s="692">
        <v>173.69</v>
      </c>
    </row>
    <row r="73" spans="1:14" ht="14.4" customHeight="1" x14ac:dyDescent="0.3">
      <c r="A73" s="687" t="s">
        <v>583</v>
      </c>
      <c r="B73" s="688" t="s">
        <v>584</v>
      </c>
      <c r="C73" s="689" t="s">
        <v>596</v>
      </c>
      <c r="D73" s="690" t="s">
        <v>993</v>
      </c>
      <c r="E73" s="689" t="s">
        <v>602</v>
      </c>
      <c r="F73" s="690" t="s">
        <v>995</v>
      </c>
      <c r="G73" s="689" t="s">
        <v>603</v>
      </c>
      <c r="H73" s="689" t="s">
        <v>686</v>
      </c>
      <c r="I73" s="689" t="s">
        <v>686</v>
      </c>
      <c r="J73" s="689" t="s">
        <v>687</v>
      </c>
      <c r="K73" s="689" t="s">
        <v>688</v>
      </c>
      <c r="L73" s="691">
        <v>222.2</v>
      </c>
      <c r="M73" s="691">
        <v>1</v>
      </c>
      <c r="N73" s="692">
        <v>222.2</v>
      </c>
    </row>
    <row r="74" spans="1:14" ht="14.4" customHeight="1" x14ac:dyDescent="0.3">
      <c r="A74" s="687" t="s">
        <v>583</v>
      </c>
      <c r="B74" s="688" t="s">
        <v>584</v>
      </c>
      <c r="C74" s="689" t="s">
        <v>596</v>
      </c>
      <c r="D74" s="690" t="s">
        <v>993</v>
      </c>
      <c r="E74" s="689" t="s">
        <v>602</v>
      </c>
      <c r="F74" s="690" t="s">
        <v>995</v>
      </c>
      <c r="G74" s="689" t="s">
        <v>603</v>
      </c>
      <c r="H74" s="689" t="s">
        <v>773</v>
      </c>
      <c r="I74" s="689" t="s">
        <v>773</v>
      </c>
      <c r="J74" s="689" t="s">
        <v>605</v>
      </c>
      <c r="K74" s="689" t="s">
        <v>774</v>
      </c>
      <c r="L74" s="691">
        <v>92.95</v>
      </c>
      <c r="M74" s="691">
        <v>5</v>
      </c>
      <c r="N74" s="692">
        <v>464.75</v>
      </c>
    </row>
    <row r="75" spans="1:14" ht="14.4" customHeight="1" x14ac:dyDescent="0.3">
      <c r="A75" s="687" t="s">
        <v>583</v>
      </c>
      <c r="B75" s="688" t="s">
        <v>584</v>
      </c>
      <c r="C75" s="689" t="s">
        <v>596</v>
      </c>
      <c r="D75" s="690" t="s">
        <v>993</v>
      </c>
      <c r="E75" s="689" t="s">
        <v>602</v>
      </c>
      <c r="F75" s="690" t="s">
        <v>995</v>
      </c>
      <c r="G75" s="689" t="s">
        <v>603</v>
      </c>
      <c r="H75" s="689" t="s">
        <v>607</v>
      </c>
      <c r="I75" s="689" t="s">
        <v>608</v>
      </c>
      <c r="J75" s="689" t="s">
        <v>609</v>
      </c>
      <c r="K75" s="689" t="s">
        <v>610</v>
      </c>
      <c r="L75" s="691">
        <v>87.029999999999987</v>
      </c>
      <c r="M75" s="691">
        <v>3</v>
      </c>
      <c r="N75" s="692">
        <v>261.08999999999997</v>
      </c>
    </row>
    <row r="76" spans="1:14" ht="14.4" customHeight="1" x14ac:dyDescent="0.3">
      <c r="A76" s="687" t="s">
        <v>583</v>
      </c>
      <c r="B76" s="688" t="s">
        <v>584</v>
      </c>
      <c r="C76" s="689" t="s">
        <v>596</v>
      </c>
      <c r="D76" s="690" t="s">
        <v>993</v>
      </c>
      <c r="E76" s="689" t="s">
        <v>602</v>
      </c>
      <c r="F76" s="690" t="s">
        <v>995</v>
      </c>
      <c r="G76" s="689" t="s">
        <v>603</v>
      </c>
      <c r="H76" s="689" t="s">
        <v>611</v>
      </c>
      <c r="I76" s="689" t="s">
        <v>612</v>
      </c>
      <c r="J76" s="689" t="s">
        <v>613</v>
      </c>
      <c r="K76" s="689" t="s">
        <v>614</v>
      </c>
      <c r="L76" s="691">
        <v>96.82</v>
      </c>
      <c r="M76" s="691">
        <v>15</v>
      </c>
      <c r="N76" s="692">
        <v>1452.3</v>
      </c>
    </row>
    <row r="77" spans="1:14" ht="14.4" customHeight="1" x14ac:dyDescent="0.3">
      <c r="A77" s="687" t="s">
        <v>583</v>
      </c>
      <c r="B77" s="688" t="s">
        <v>584</v>
      </c>
      <c r="C77" s="689" t="s">
        <v>596</v>
      </c>
      <c r="D77" s="690" t="s">
        <v>993</v>
      </c>
      <c r="E77" s="689" t="s">
        <v>602</v>
      </c>
      <c r="F77" s="690" t="s">
        <v>995</v>
      </c>
      <c r="G77" s="689" t="s">
        <v>603</v>
      </c>
      <c r="H77" s="689" t="s">
        <v>615</v>
      </c>
      <c r="I77" s="689" t="s">
        <v>616</v>
      </c>
      <c r="J77" s="689" t="s">
        <v>617</v>
      </c>
      <c r="K77" s="689" t="s">
        <v>618</v>
      </c>
      <c r="L77" s="691">
        <v>79.177706348002047</v>
      </c>
      <c r="M77" s="691">
        <v>1</v>
      </c>
      <c r="N77" s="692">
        <v>79.177706348002047</v>
      </c>
    </row>
    <row r="78" spans="1:14" ht="14.4" customHeight="1" x14ac:dyDescent="0.3">
      <c r="A78" s="687" t="s">
        <v>583</v>
      </c>
      <c r="B78" s="688" t="s">
        <v>584</v>
      </c>
      <c r="C78" s="689" t="s">
        <v>596</v>
      </c>
      <c r="D78" s="690" t="s">
        <v>993</v>
      </c>
      <c r="E78" s="689" t="s">
        <v>602</v>
      </c>
      <c r="F78" s="690" t="s">
        <v>995</v>
      </c>
      <c r="G78" s="689" t="s">
        <v>603</v>
      </c>
      <c r="H78" s="689" t="s">
        <v>619</v>
      </c>
      <c r="I78" s="689" t="s">
        <v>620</v>
      </c>
      <c r="J78" s="689" t="s">
        <v>621</v>
      </c>
      <c r="K78" s="689" t="s">
        <v>622</v>
      </c>
      <c r="L78" s="691">
        <v>73.420961477783536</v>
      </c>
      <c r="M78" s="691">
        <v>25</v>
      </c>
      <c r="N78" s="692">
        <v>1835.5240369445885</v>
      </c>
    </row>
    <row r="79" spans="1:14" ht="14.4" customHeight="1" x14ac:dyDescent="0.3">
      <c r="A79" s="687" t="s">
        <v>583</v>
      </c>
      <c r="B79" s="688" t="s">
        <v>584</v>
      </c>
      <c r="C79" s="689" t="s">
        <v>596</v>
      </c>
      <c r="D79" s="690" t="s">
        <v>993</v>
      </c>
      <c r="E79" s="689" t="s">
        <v>602</v>
      </c>
      <c r="F79" s="690" t="s">
        <v>995</v>
      </c>
      <c r="G79" s="689" t="s">
        <v>603</v>
      </c>
      <c r="H79" s="689" t="s">
        <v>775</v>
      </c>
      <c r="I79" s="689" t="s">
        <v>776</v>
      </c>
      <c r="J79" s="689" t="s">
        <v>777</v>
      </c>
      <c r="K79" s="689" t="s">
        <v>778</v>
      </c>
      <c r="L79" s="691">
        <v>28.19</v>
      </c>
      <c r="M79" s="691">
        <v>3</v>
      </c>
      <c r="N79" s="692">
        <v>84.570000000000007</v>
      </c>
    </row>
    <row r="80" spans="1:14" ht="14.4" customHeight="1" x14ac:dyDescent="0.3">
      <c r="A80" s="687" t="s">
        <v>583</v>
      </c>
      <c r="B80" s="688" t="s">
        <v>584</v>
      </c>
      <c r="C80" s="689" t="s">
        <v>596</v>
      </c>
      <c r="D80" s="690" t="s">
        <v>993</v>
      </c>
      <c r="E80" s="689" t="s">
        <v>602</v>
      </c>
      <c r="F80" s="690" t="s">
        <v>995</v>
      </c>
      <c r="G80" s="689" t="s">
        <v>603</v>
      </c>
      <c r="H80" s="689" t="s">
        <v>779</v>
      </c>
      <c r="I80" s="689" t="s">
        <v>780</v>
      </c>
      <c r="J80" s="689" t="s">
        <v>781</v>
      </c>
      <c r="K80" s="689" t="s">
        <v>782</v>
      </c>
      <c r="L80" s="691">
        <v>115.94</v>
      </c>
      <c r="M80" s="691">
        <v>4</v>
      </c>
      <c r="N80" s="692">
        <v>463.76</v>
      </c>
    </row>
    <row r="81" spans="1:14" ht="14.4" customHeight="1" x14ac:dyDescent="0.3">
      <c r="A81" s="687" t="s">
        <v>583</v>
      </c>
      <c r="B81" s="688" t="s">
        <v>584</v>
      </c>
      <c r="C81" s="689" t="s">
        <v>596</v>
      </c>
      <c r="D81" s="690" t="s">
        <v>993</v>
      </c>
      <c r="E81" s="689" t="s">
        <v>602</v>
      </c>
      <c r="F81" s="690" t="s">
        <v>995</v>
      </c>
      <c r="G81" s="689" t="s">
        <v>603</v>
      </c>
      <c r="H81" s="689" t="s">
        <v>623</v>
      </c>
      <c r="I81" s="689" t="s">
        <v>624</v>
      </c>
      <c r="J81" s="689" t="s">
        <v>625</v>
      </c>
      <c r="K81" s="689" t="s">
        <v>626</v>
      </c>
      <c r="L81" s="691">
        <v>66.435000000000002</v>
      </c>
      <c r="M81" s="691">
        <v>2</v>
      </c>
      <c r="N81" s="692">
        <v>132.87</v>
      </c>
    </row>
    <row r="82" spans="1:14" ht="14.4" customHeight="1" x14ac:dyDescent="0.3">
      <c r="A82" s="687" t="s">
        <v>583</v>
      </c>
      <c r="B82" s="688" t="s">
        <v>584</v>
      </c>
      <c r="C82" s="689" t="s">
        <v>596</v>
      </c>
      <c r="D82" s="690" t="s">
        <v>993</v>
      </c>
      <c r="E82" s="689" t="s">
        <v>602</v>
      </c>
      <c r="F82" s="690" t="s">
        <v>995</v>
      </c>
      <c r="G82" s="689" t="s">
        <v>603</v>
      </c>
      <c r="H82" s="689" t="s">
        <v>783</v>
      </c>
      <c r="I82" s="689" t="s">
        <v>783</v>
      </c>
      <c r="J82" s="689" t="s">
        <v>784</v>
      </c>
      <c r="K82" s="689" t="s">
        <v>785</v>
      </c>
      <c r="L82" s="691">
        <v>36.53</v>
      </c>
      <c r="M82" s="691">
        <v>4</v>
      </c>
      <c r="N82" s="692">
        <v>146.12</v>
      </c>
    </row>
    <row r="83" spans="1:14" ht="14.4" customHeight="1" x14ac:dyDescent="0.3">
      <c r="A83" s="687" t="s">
        <v>583</v>
      </c>
      <c r="B83" s="688" t="s">
        <v>584</v>
      </c>
      <c r="C83" s="689" t="s">
        <v>596</v>
      </c>
      <c r="D83" s="690" t="s">
        <v>993</v>
      </c>
      <c r="E83" s="689" t="s">
        <v>602</v>
      </c>
      <c r="F83" s="690" t="s">
        <v>995</v>
      </c>
      <c r="G83" s="689" t="s">
        <v>603</v>
      </c>
      <c r="H83" s="689" t="s">
        <v>786</v>
      </c>
      <c r="I83" s="689" t="s">
        <v>787</v>
      </c>
      <c r="J83" s="689" t="s">
        <v>788</v>
      </c>
      <c r="K83" s="689" t="s">
        <v>789</v>
      </c>
      <c r="L83" s="691">
        <v>108.39</v>
      </c>
      <c r="M83" s="691">
        <v>1</v>
      </c>
      <c r="N83" s="692">
        <v>108.39</v>
      </c>
    </row>
    <row r="84" spans="1:14" ht="14.4" customHeight="1" x14ac:dyDescent="0.3">
      <c r="A84" s="687" t="s">
        <v>583</v>
      </c>
      <c r="B84" s="688" t="s">
        <v>584</v>
      </c>
      <c r="C84" s="689" t="s">
        <v>596</v>
      </c>
      <c r="D84" s="690" t="s">
        <v>993</v>
      </c>
      <c r="E84" s="689" t="s">
        <v>602</v>
      </c>
      <c r="F84" s="690" t="s">
        <v>995</v>
      </c>
      <c r="G84" s="689" t="s">
        <v>603</v>
      </c>
      <c r="H84" s="689" t="s">
        <v>790</v>
      </c>
      <c r="I84" s="689" t="s">
        <v>791</v>
      </c>
      <c r="J84" s="689" t="s">
        <v>792</v>
      </c>
      <c r="K84" s="689" t="s">
        <v>793</v>
      </c>
      <c r="L84" s="691">
        <v>312.8866175481308</v>
      </c>
      <c r="M84" s="691">
        <v>3</v>
      </c>
      <c r="N84" s="692">
        <v>938.65985264439246</v>
      </c>
    </row>
    <row r="85" spans="1:14" ht="14.4" customHeight="1" x14ac:dyDescent="0.3">
      <c r="A85" s="687" t="s">
        <v>583</v>
      </c>
      <c r="B85" s="688" t="s">
        <v>584</v>
      </c>
      <c r="C85" s="689" t="s">
        <v>596</v>
      </c>
      <c r="D85" s="690" t="s">
        <v>993</v>
      </c>
      <c r="E85" s="689" t="s">
        <v>602</v>
      </c>
      <c r="F85" s="690" t="s">
        <v>995</v>
      </c>
      <c r="G85" s="689" t="s">
        <v>603</v>
      </c>
      <c r="H85" s="689" t="s">
        <v>627</v>
      </c>
      <c r="I85" s="689" t="s">
        <v>628</v>
      </c>
      <c r="J85" s="689" t="s">
        <v>629</v>
      </c>
      <c r="K85" s="689" t="s">
        <v>630</v>
      </c>
      <c r="L85" s="691">
        <v>38.97999999999999</v>
      </c>
      <c r="M85" s="691">
        <v>1</v>
      </c>
      <c r="N85" s="692">
        <v>38.97999999999999</v>
      </c>
    </row>
    <row r="86" spans="1:14" ht="14.4" customHeight="1" x14ac:dyDescent="0.3">
      <c r="A86" s="687" t="s">
        <v>583</v>
      </c>
      <c r="B86" s="688" t="s">
        <v>584</v>
      </c>
      <c r="C86" s="689" t="s">
        <v>596</v>
      </c>
      <c r="D86" s="690" t="s">
        <v>993</v>
      </c>
      <c r="E86" s="689" t="s">
        <v>602</v>
      </c>
      <c r="F86" s="690" t="s">
        <v>995</v>
      </c>
      <c r="G86" s="689" t="s">
        <v>603</v>
      </c>
      <c r="H86" s="689" t="s">
        <v>794</v>
      </c>
      <c r="I86" s="689" t="s">
        <v>795</v>
      </c>
      <c r="J86" s="689" t="s">
        <v>796</v>
      </c>
      <c r="K86" s="689" t="s">
        <v>797</v>
      </c>
      <c r="L86" s="691">
        <v>150.49</v>
      </c>
      <c r="M86" s="691">
        <v>1</v>
      </c>
      <c r="N86" s="692">
        <v>150.49</v>
      </c>
    </row>
    <row r="87" spans="1:14" ht="14.4" customHeight="1" x14ac:dyDescent="0.3">
      <c r="A87" s="687" t="s">
        <v>583</v>
      </c>
      <c r="B87" s="688" t="s">
        <v>584</v>
      </c>
      <c r="C87" s="689" t="s">
        <v>596</v>
      </c>
      <c r="D87" s="690" t="s">
        <v>993</v>
      </c>
      <c r="E87" s="689" t="s">
        <v>602</v>
      </c>
      <c r="F87" s="690" t="s">
        <v>995</v>
      </c>
      <c r="G87" s="689" t="s">
        <v>603</v>
      </c>
      <c r="H87" s="689" t="s">
        <v>798</v>
      </c>
      <c r="I87" s="689" t="s">
        <v>799</v>
      </c>
      <c r="J87" s="689" t="s">
        <v>800</v>
      </c>
      <c r="K87" s="689"/>
      <c r="L87" s="691">
        <v>132.17999999999998</v>
      </c>
      <c r="M87" s="691">
        <v>9</v>
      </c>
      <c r="N87" s="692">
        <v>1189.6199999999999</v>
      </c>
    </row>
    <row r="88" spans="1:14" ht="14.4" customHeight="1" x14ac:dyDescent="0.3">
      <c r="A88" s="687" t="s">
        <v>583</v>
      </c>
      <c r="B88" s="688" t="s">
        <v>584</v>
      </c>
      <c r="C88" s="689" t="s">
        <v>596</v>
      </c>
      <c r="D88" s="690" t="s">
        <v>993</v>
      </c>
      <c r="E88" s="689" t="s">
        <v>602</v>
      </c>
      <c r="F88" s="690" t="s">
        <v>995</v>
      </c>
      <c r="G88" s="689" t="s">
        <v>603</v>
      </c>
      <c r="H88" s="689" t="s">
        <v>697</v>
      </c>
      <c r="I88" s="689" t="s">
        <v>698</v>
      </c>
      <c r="J88" s="689" t="s">
        <v>699</v>
      </c>
      <c r="K88" s="689" t="s">
        <v>700</v>
      </c>
      <c r="L88" s="691">
        <v>175.03758919710006</v>
      </c>
      <c r="M88" s="691">
        <v>18</v>
      </c>
      <c r="N88" s="692">
        <v>3150.676605547801</v>
      </c>
    </row>
    <row r="89" spans="1:14" ht="14.4" customHeight="1" x14ac:dyDescent="0.3">
      <c r="A89" s="687" t="s">
        <v>583</v>
      </c>
      <c r="B89" s="688" t="s">
        <v>584</v>
      </c>
      <c r="C89" s="689" t="s">
        <v>596</v>
      </c>
      <c r="D89" s="690" t="s">
        <v>993</v>
      </c>
      <c r="E89" s="689" t="s">
        <v>602</v>
      </c>
      <c r="F89" s="690" t="s">
        <v>995</v>
      </c>
      <c r="G89" s="689" t="s">
        <v>603</v>
      </c>
      <c r="H89" s="689" t="s">
        <v>634</v>
      </c>
      <c r="I89" s="689" t="s">
        <v>632</v>
      </c>
      <c r="J89" s="689" t="s">
        <v>635</v>
      </c>
      <c r="K89" s="689"/>
      <c r="L89" s="691">
        <v>37.434511649172556</v>
      </c>
      <c r="M89" s="691">
        <v>474</v>
      </c>
      <c r="N89" s="692">
        <v>17743.958521707791</v>
      </c>
    </row>
    <row r="90" spans="1:14" ht="14.4" customHeight="1" x14ac:dyDescent="0.3">
      <c r="A90" s="687" t="s">
        <v>583</v>
      </c>
      <c r="B90" s="688" t="s">
        <v>584</v>
      </c>
      <c r="C90" s="689" t="s">
        <v>596</v>
      </c>
      <c r="D90" s="690" t="s">
        <v>993</v>
      </c>
      <c r="E90" s="689" t="s">
        <v>602</v>
      </c>
      <c r="F90" s="690" t="s">
        <v>995</v>
      </c>
      <c r="G90" s="689" t="s">
        <v>603</v>
      </c>
      <c r="H90" s="689" t="s">
        <v>801</v>
      </c>
      <c r="I90" s="689" t="s">
        <v>802</v>
      </c>
      <c r="J90" s="689" t="s">
        <v>617</v>
      </c>
      <c r="K90" s="689" t="s">
        <v>803</v>
      </c>
      <c r="L90" s="691">
        <v>42.169999999999995</v>
      </c>
      <c r="M90" s="691">
        <v>3</v>
      </c>
      <c r="N90" s="692">
        <v>126.50999999999999</v>
      </c>
    </row>
    <row r="91" spans="1:14" ht="14.4" customHeight="1" x14ac:dyDescent="0.3">
      <c r="A91" s="687" t="s">
        <v>583</v>
      </c>
      <c r="B91" s="688" t="s">
        <v>584</v>
      </c>
      <c r="C91" s="689" t="s">
        <v>596</v>
      </c>
      <c r="D91" s="690" t="s">
        <v>993</v>
      </c>
      <c r="E91" s="689" t="s">
        <v>602</v>
      </c>
      <c r="F91" s="690" t="s">
        <v>995</v>
      </c>
      <c r="G91" s="689" t="s">
        <v>603</v>
      </c>
      <c r="H91" s="689" t="s">
        <v>804</v>
      </c>
      <c r="I91" s="689" t="s">
        <v>805</v>
      </c>
      <c r="J91" s="689" t="s">
        <v>806</v>
      </c>
      <c r="K91" s="689" t="s">
        <v>610</v>
      </c>
      <c r="L91" s="691">
        <v>125.69999999999997</v>
      </c>
      <c r="M91" s="691">
        <v>7</v>
      </c>
      <c r="N91" s="692">
        <v>879.89999999999986</v>
      </c>
    </row>
    <row r="92" spans="1:14" ht="14.4" customHeight="1" x14ac:dyDescent="0.3">
      <c r="A92" s="687" t="s">
        <v>583</v>
      </c>
      <c r="B92" s="688" t="s">
        <v>584</v>
      </c>
      <c r="C92" s="689" t="s">
        <v>596</v>
      </c>
      <c r="D92" s="690" t="s">
        <v>993</v>
      </c>
      <c r="E92" s="689" t="s">
        <v>602</v>
      </c>
      <c r="F92" s="690" t="s">
        <v>995</v>
      </c>
      <c r="G92" s="689" t="s">
        <v>603</v>
      </c>
      <c r="H92" s="689" t="s">
        <v>807</v>
      </c>
      <c r="I92" s="689" t="s">
        <v>808</v>
      </c>
      <c r="J92" s="689" t="s">
        <v>809</v>
      </c>
      <c r="K92" s="689" t="s">
        <v>810</v>
      </c>
      <c r="L92" s="691">
        <v>74.219333680468267</v>
      </c>
      <c r="M92" s="691">
        <v>1</v>
      </c>
      <c r="N92" s="692">
        <v>74.219333680468267</v>
      </c>
    </row>
    <row r="93" spans="1:14" ht="14.4" customHeight="1" x14ac:dyDescent="0.3">
      <c r="A93" s="687" t="s">
        <v>583</v>
      </c>
      <c r="B93" s="688" t="s">
        <v>584</v>
      </c>
      <c r="C93" s="689" t="s">
        <v>596</v>
      </c>
      <c r="D93" s="690" t="s">
        <v>993</v>
      </c>
      <c r="E93" s="689" t="s">
        <v>602</v>
      </c>
      <c r="F93" s="690" t="s">
        <v>995</v>
      </c>
      <c r="G93" s="689" t="s">
        <v>603</v>
      </c>
      <c r="H93" s="689" t="s">
        <v>811</v>
      </c>
      <c r="I93" s="689" t="s">
        <v>812</v>
      </c>
      <c r="J93" s="689" t="s">
        <v>813</v>
      </c>
      <c r="K93" s="689" t="s">
        <v>814</v>
      </c>
      <c r="L93" s="691">
        <v>44.230000000000011</v>
      </c>
      <c r="M93" s="691">
        <v>3</v>
      </c>
      <c r="N93" s="692">
        <v>132.69000000000003</v>
      </c>
    </row>
    <row r="94" spans="1:14" ht="14.4" customHeight="1" x14ac:dyDescent="0.3">
      <c r="A94" s="687" t="s">
        <v>583</v>
      </c>
      <c r="B94" s="688" t="s">
        <v>584</v>
      </c>
      <c r="C94" s="689" t="s">
        <v>596</v>
      </c>
      <c r="D94" s="690" t="s">
        <v>993</v>
      </c>
      <c r="E94" s="689" t="s">
        <v>602</v>
      </c>
      <c r="F94" s="690" t="s">
        <v>995</v>
      </c>
      <c r="G94" s="689" t="s">
        <v>603</v>
      </c>
      <c r="H94" s="689" t="s">
        <v>815</v>
      </c>
      <c r="I94" s="689" t="s">
        <v>816</v>
      </c>
      <c r="J94" s="689" t="s">
        <v>817</v>
      </c>
      <c r="K94" s="689" t="s">
        <v>818</v>
      </c>
      <c r="L94" s="691">
        <v>269.2700000000001</v>
      </c>
      <c r="M94" s="691">
        <v>1</v>
      </c>
      <c r="N94" s="692">
        <v>269.2700000000001</v>
      </c>
    </row>
    <row r="95" spans="1:14" ht="14.4" customHeight="1" x14ac:dyDescent="0.3">
      <c r="A95" s="687" t="s">
        <v>583</v>
      </c>
      <c r="B95" s="688" t="s">
        <v>584</v>
      </c>
      <c r="C95" s="689" t="s">
        <v>596</v>
      </c>
      <c r="D95" s="690" t="s">
        <v>993</v>
      </c>
      <c r="E95" s="689" t="s">
        <v>602</v>
      </c>
      <c r="F95" s="690" t="s">
        <v>995</v>
      </c>
      <c r="G95" s="689" t="s">
        <v>603</v>
      </c>
      <c r="H95" s="689" t="s">
        <v>819</v>
      </c>
      <c r="I95" s="689" t="s">
        <v>820</v>
      </c>
      <c r="J95" s="689" t="s">
        <v>821</v>
      </c>
      <c r="K95" s="689" t="s">
        <v>822</v>
      </c>
      <c r="L95" s="691">
        <v>1037.7465748622774</v>
      </c>
      <c r="M95" s="691">
        <v>5</v>
      </c>
      <c r="N95" s="692">
        <v>5188.7328743113867</v>
      </c>
    </row>
    <row r="96" spans="1:14" ht="14.4" customHeight="1" x14ac:dyDescent="0.3">
      <c r="A96" s="687" t="s">
        <v>583</v>
      </c>
      <c r="B96" s="688" t="s">
        <v>584</v>
      </c>
      <c r="C96" s="689" t="s">
        <v>596</v>
      </c>
      <c r="D96" s="690" t="s">
        <v>993</v>
      </c>
      <c r="E96" s="689" t="s">
        <v>602</v>
      </c>
      <c r="F96" s="690" t="s">
        <v>995</v>
      </c>
      <c r="G96" s="689" t="s">
        <v>603</v>
      </c>
      <c r="H96" s="689" t="s">
        <v>701</v>
      </c>
      <c r="I96" s="689" t="s">
        <v>632</v>
      </c>
      <c r="J96" s="689" t="s">
        <v>702</v>
      </c>
      <c r="K96" s="689"/>
      <c r="L96" s="691">
        <v>141.54758533320532</v>
      </c>
      <c r="M96" s="691">
        <v>9</v>
      </c>
      <c r="N96" s="692">
        <v>1273.9282679988478</v>
      </c>
    </row>
    <row r="97" spans="1:14" ht="14.4" customHeight="1" x14ac:dyDescent="0.3">
      <c r="A97" s="687" t="s">
        <v>583</v>
      </c>
      <c r="B97" s="688" t="s">
        <v>584</v>
      </c>
      <c r="C97" s="689" t="s">
        <v>596</v>
      </c>
      <c r="D97" s="690" t="s">
        <v>993</v>
      </c>
      <c r="E97" s="689" t="s">
        <v>602</v>
      </c>
      <c r="F97" s="690" t="s">
        <v>995</v>
      </c>
      <c r="G97" s="689" t="s">
        <v>603</v>
      </c>
      <c r="H97" s="689" t="s">
        <v>823</v>
      </c>
      <c r="I97" s="689" t="s">
        <v>824</v>
      </c>
      <c r="J97" s="689" t="s">
        <v>825</v>
      </c>
      <c r="K97" s="689" t="s">
        <v>826</v>
      </c>
      <c r="L97" s="691">
        <v>56.749969624250653</v>
      </c>
      <c r="M97" s="691">
        <v>2</v>
      </c>
      <c r="N97" s="692">
        <v>113.49993924850131</v>
      </c>
    </row>
    <row r="98" spans="1:14" ht="14.4" customHeight="1" x14ac:dyDescent="0.3">
      <c r="A98" s="687" t="s">
        <v>583</v>
      </c>
      <c r="B98" s="688" t="s">
        <v>584</v>
      </c>
      <c r="C98" s="689" t="s">
        <v>596</v>
      </c>
      <c r="D98" s="690" t="s">
        <v>993</v>
      </c>
      <c r="E98" s="689" t="s">
        <v>602</v>
      </c>
      <c r="F98" s="690" t="s">
        <v>995</v>
      </c>
      <c r="G98" s="689" t="s">
        <v>603</v>
      </c>
      <c r="H98" s="689" t="s">
        <v>639</v>
      </c>
      <c r="I98" s="689" t="s">
        <v>640</v>
      </c>
      <c r="J98" s="689" t="s">
        <v>641</v>
      </c>
      <c r="K98" s="689" t="s">
        <v>642</v>
      </c>
      <c r="L98" s="691">
        <v>48.399992049039689</v>
      </c>
      <c r="M98" s="691">
        <v>24</v>
      </c>
      <c r="N98" s="692">
        <v>1161.5998091769525</v>
      </c>
    </row>
    <row r="99" spans="1:14" ht="14.4" customHeight="1" x14ac:dyDescent="0.3">
      <c r="A99" s="687" t="s">
        <v>583</v>
      </c>
      <c r="B99" s="688" t="s">
        <v>584</v>
      </c>
      <c r="C99" s="689" t="s">
        <v>596</v>
      </c>
      <c r="D99" s="690" t="s">
        <v>993</v>
      </c>
      <c r="E99" s="689" t="s">
        <v>602</v>
      </c>
      <c r="F99" s="690" t="s">
        <v>995</v>
      </c>
      <c r="G99" s="689" t="s">
        <v>603</v>
      </c>
      <c r="H99" s="689" t="s">
        <v>643</v>
      </c>
      <c r="I99" s="689" t="s">
        <v>632</v>
      </c>
      <c r="J99" s="689" t="s">
        <v>644</v>
      </c>
      <c r="K99" s="689" t="s">
        <v>645</v>
      </c>
      <c r="L99" s="691">
        <v>23.70023030746259</v>
      </c>
      <c r="M99" s="691">
        <v>132</v>
      </c>
      <c r="N99" s="692">
        <v>3128.4304005850618</v>
      </c>
    </row>
    <row r="100" spans="1:14" ht="14.4" customHeight="1" x14ac:dyDescent="0.3">
      <c r="A100" s="687" t="s">
        <v>583</v>
      </c>
      <c r="B100" s="688" t="s">
        <v>584</v>
      </c>
      <c r="C100" s="689" t="s">
        <v>596</v>
      </c>
      <c r="D100" s="690" t="s">
        <v>993</v>
      </c>
      <c r="E100" s="689" t="s">
        <v>602</v>
      </c>
      <c r="F100" s="690" t="s">
        <v>995</v>
      </c>
      <c r="G100" s="689" t="s">
        <v>603</v>
      </c>
      <c r="H100" s="689" t="s">
        <v>703</v>
      </c>
      <c r="I100" s="689" t="s">
        <v>704</v>
      </c>
      <c r="J100" s="689" t="s">
        <v>705</v>
      </c>
      <c r="K100" s="689" t="s">
        <v>706</v>
      </c>
      <c r="L100" s="691">
        <v>33.75</v>
      </c>
      <c r="M100" s="691">
        <v>2</v>
      </c>
      <c r="N100" s="692">
        <v>67.5</v>
      </c>
    </row>
    <row r="101" spans="1:14" ht="14.4" customHeight="1" x14ac:dyDescent="0.3">
      <c r="A101" s="687" t="s">
        <v>583</v>
      </c>
      <c r="B101" s="688" t="s">
        <v>584</v>
      </c>
      <c r="C101" s="689" t="s">
        <v>596</v>
      </c>
      <c r="D101" s="690" t="s">
        <v>993</v>
      </c>
      <c r="E101" s="689" t="s">
        <v>602</v>
      </c>
      <c r="F101" s="690" t="s">
        <v>995</v>
      </c>
      <c r="G101" s="689" t="s">
        <v>603</v>
      </c>
      <c r="H101" s="689" t="s">
        <v>827</v>
      </c>
      <c r="I101" s="689" t="s">
        <v>828</v>
      </c>
      <c r="J101" s="689" t="s">
        <v>829</v>
      </c>
      <c r="K101" s="689" t="s">
        <v>830</v>
      </c>
      <c r="L101" s="691">
        <v>20.979999999999997</v>
      </c>
      <c r="M101" s="691">
        <v>8</v>
      </c>
      <c r="N101" s="692">
        <v>167.83999999999997</v>
      </c>
    </row>
    <row r="102" spans="1:14" ht="14.4" customHeight="1" x14ac:dyDescent="0.3">
      <c r="A102" s="687" t="s">
        <v>583</v>
      </c>
      <c r="B102" s="688" t="s">
        <v>584</v>
      </c>
      <c r="C102" s="689" t="s">
        <v>596</v>
      </c>
      <c r="D102" s="690" t="s">
        <v>993</v>
      </c>
      <c r="E102" s="689" t="s">
        <v>602</v>
      </c>
      <c r="F102" s="690" t="s">
        <v>995</v>
      </c>
      <c r="G102" s="689" t="s">
        <v>603</v>
      </c>
      <c r="H102" s="689" t="s">
        <v>831</v>
      </c>
      <c r="I102" s="689" t="s">
        <v>832</v>
      </c>
      <c r="J102" s="689" t="s">
        <v>833</v>
      </c>
      <c r="K102" s="689" t="s">
        <v>834</v>
      </c>
      <c r="L102" s="691">
        <v>70.693333333333328</v>
      </c>
      <c r="M102" s="691">
        <v>3</v>
      </c>
      <c r="N102" s="692">
        <v>212.07999999999998</v>
      </c>
    </row>
    <row r="103" spans="1:14" ht="14.4" customHeight="1" x14ac:dyDescent="0.3">
      <c r="A103" s="687" t="s">
        <v>583</v>
      </c>
      <c r="B103" s="688" t="s">
        <v>584</v>
      </c>
      <c r="C103" s="689" t="s">
        <v>596</v>
      </c>
      <c r="D103" s="690" t="s">
        <v>993</v>
      </c>
      <c r="E103" s="689" t="s">
        <v>602</v>
      </c>
      <c r="F103" s="690" t="s">
        <v>995</v>
      </c>
      <c r="G103" s="689" t="s">
        <v>603</v>
      </c>
      <c r="H103" s="689" t="s">
        <v>835</v>
      </c>
      <c r="I103" s="689" t="s">
        <v>836</v>
      </c>
      <c r="J103" s="689" t="s">
        <v>837</v>
      </c>
      <c r="K103" s="689" t="s">
        <v>838</v>
      </c>
      <c r="L103" s="691">
        <v>74.000000000000014</v>
      </c>
      <c r="M103" s="691">
        <v>1</v>
      </c>
      <c r="N103" s="692">
        <v>74.000000000000014</v>
      </c>
    </row>
    <row r="104" spans="1:14" ht="14.4" customHeight="1" x14ac:dyDescent="0.3">
      <c r="A104" s="687" t="s">
        <v>583</v>
      </c>
      <c r="B104" s="688" t="s">
        <v>584</v>
      </c>
      <c r="C104" s="689" t="s">
        <v>596</v>
      </c>
      <c r="D104" s="690" t="s">
        <v>993</v>
      </c>
      <c r="E104" s="689" t="s">
        <v>602</v>
      </c>
      <c r="F104" s="690" t="s">
        <v>995</v>
      </c>
      <c r="G104" s="689" t="s">
        <v>603</v>
      </c>
      <c r="H104" s="689" t="s">
        <v>714</v>
      </c>
      <c r="I104" s="689" t="s">
        <v>620</v>
      </c>
      <c r="J104" s="689" t="s">
        <v>715</v>
      </c>
      <c r="K104" s="689"/>
      <c r="L104" s="691">
        <v>373.23364268294245</v>
      </c>
      <c r="M104" s="691">
        <v>3</v>
      </c>
      <c r="N104" s="692">
        <v>1119.7009280488273</v>
      </c>
    </row>
    <row r="105" spans="1:14" ht="14.4" customHeight="1" x14ac:dyDescent="0.3">
      <c r="A105" s="687" t="s">
        <v>583</v>
      </c>
      <c r="B105" s="688" t="s">
        <v>584</v>
      </c>
      <c r="C105" s="689" t="s">
        <v>596</v>
      </c>
      <c r="D105" s="690" t="s">
        <v>993</v>
      </c>
      <c r="E105" s="689" t="s">
        <v>602</v>
      </c>
      <c r="F105" s="690" t="s">
        <v>995</v>
      </c>
      <c r="G105" s="689" t="s">
        <v>603</v>
      </c>
      <c r="H105" s="689" t="s">
        <v>839</v>
      </c>
      <c r="I105" s="689" t="s">
        <v>840</v>
      </c>
      <c r="J105" s="689" t="s">
        <v>841</v>
      </c>
      <c r="K105" s="689" t="s">
        <v>842</v>
      </c>
      <c r="L105" s="691">
        <v>36.26</v>
      </c>
      <c r="M105" s="691">
        <v>10</v>
      </c>
      <c r="N105" s="692">
        <v>362.59999999999997</v>
      </c>
    </row>
    <row r="106" spans="1:14" ht="14.4" customHeight="1" x14ac:dyDescent="0.3">
      <c r="A106" s="687" t="s">
        <v>583</v>
      </c>
      <c r="B106" s="688" t="s">
        <v>584</v>
      </c>
      <c r="C106" s="689" t="s">
        <v>596</v>
      </c>
      <c r="D106" s="690" t="s">
        <v>993</v>
      </c>
      <c r="E106" s="689" t="s">
        <v>602</v>
      </c>
      <c r="F106" s="690" t="s">
        <v>995</v>
      </c>
      <c r="G106" s="689" t="s">
        <v>603</v>
      </c>
      <c r="H106" s="689" t="s">
        <v>843</v>
      </c>
      <c r="I106" s="689" t="s">
        <v>844</v>
      </c>
      <c r="J106" s="689" t="s">
        <v>845</v>
      </c>
      <c r="K106" s="689" t="s">
        <v>834</v>
      </c>
      <c r="L106" s="691">
        <v>29.690035936806645</v>
      </c>
      <c r="M106" s="691">
        <v>1</v>
      </c>
      <c r="N106" s="692">
        <v>29.690035936806645</v>
      </c>
    </row>
    <row r="107" spans="1:14" ht="14.4" customHeight="1" x14ac:dyDescent="0.3">
      <c r="A107" s="687" t="s">
        <v>583</v>
      </c>
      <c r="B107" s="688" t="s">
        <v>584</v>
      </c>
      <c r="C107" s="689" t="s">
        <v>596</v>
      </c>
      <c r="D107" s="690" t="s">
        <v>993</v>
      </c>
      <c r="E107" s="689" t="s">
        <v>602</v>
      </c>
      <c r="F107" s="690" t="s">
        <v>995</v>
      </c>
      <c r="G107" s="689" t="s">
        <v>603</v>
      </c>
      <c r="H107" s="689" t="s">
        <v>846</v>
      </c>
      <c r="I107" s="689" t="s">
        <v>847</v>
      </c>
      <c r="J107" s="689" t="s">
        <v>848</v>
      </c>
      <c r="K107" s="689" t="s">
        <v>849</v>
      </c>
      <c r="L107" s="691">
        <v>20.389999999999997</v>
      </c>
      <c r="M107" s="691">
        <v>76</v>
      </c>
      <c r="N107" s="692">
        <v>1549.6399999999999</v>
      </c>
    </row>
    <row r="108" spans="1:14" ht="14.4" customHeight="1" x14ac:dyDescent="0.3">
      <c r="A108" s="687" t="s">
        <v>583</v>
      </c>
      <c r="B108" s="688" t="s">
        <v>584</v>
      </c>
      <c r="C108" s="689" t="s">
        <v>596</v>
      </c>
      <c r="D108" s="690" t="s">
        <v>993</v>
      </c>
      <c r="E108" s="689" t="s">
        <v>602</v>
      </c>
      <c r="F108" s="690" t="s">
        <v>995</v>
      </c>
      <c r="G108" s="689" t="s">
        <v>603</v>
      </c>
      <c r="H108" s="689" t="s">
        <v>850</v>
      </c>
      <c r="I108" s="689" t="s">
        <v>851</v>
      </c>
      <c r="J108" s="689" t="s">
        <v>852</v>
      </c>
      <c r="K108" s="689" t="s">
        <v>853</v>
      </c>
      <c r="L108" s="691">
        <v>83.129999999999981</v>
      </c>
      <c r="M108" s="691">
        <v>1</v>
      </c>
      <c r="N108" s="692">
        <v>83.129999999999981</v>
      </c>
    </row>
    <row r="109" spans="1:14" ht="14.4" customHeight="1" x14ac:dyDescent="0.3">
      <c r="A109" s="687" t="s">
        <v>583</v>
      </c>
      <c r="B109" s="688" t="s">
        <v>584</v>
      </c>
      <c r="C109" s="689" t="s">
        <v>596</v>
      </c>
      <c r="D109" s="690" t="s">
        <v>993</v>
      </c>
      <c r="E109" s="689" t="s">
        <v>602</v>
      </c>
      <c r="F109" s="690" t="s">
        <v>995</v>
      </c>
      <c r="G109" s="689" t="s">
        <v>603</v>
      </c>
      <c r="H109" s="689" t="s">
        <v>716</v>
      </c>
      <c r="I109" s="689" t="s">
        <v>632</v>
      </c>
      <c r="J109" s="689" t="s">
        <v>717</v>
      </c>
      <c r="K109" s="689"/>
      <c r="L109" s="691">
        <v>67.548465022643057</v>
      </c>
      <c r="M109" s="691">
        <v>37</v>
      </c>
      <c r="N109" s="692">
        <v>2499.2932058377933</v>
      </c>
    </row>
    <row r="110" spans="1:14" ht="14.4" customHeight="1" x14ac:dyDescent="0.3">
      <c r="A110" s="687" t="s">
        <v>583</v>
      </c>
      <c r="B110" s="688" t="s">
        <v>584</v>
      </c>
      <c r="C110" s="689" t="s">
        <v>596</v>
      </c>
      <c r="D110" s="690" t="s">
        <v>993</v>
      </c>
      <c r="E110" s="689" t="s">
        <v>602</v>
      </c>
      <c r="F110" s="690" t="s">
        <v>995</v>
      </c>
      <c r="G110" s="689" t="s">
        <v>603</v>
      </c>
      <c r="H110" s="689" t="s">
        <v>652</v>
      </c>
      <c r="I110" s="689" t="s">
        <v>632</v>
      </c>
      <c r="J110" s="689" t="s">
        <v>653</v>
      </c>
      <c r="K110" s="689"/>
      <c r="L110" s="691">
        <v>51.655915913743549</v>
      </c>
      <c r="M110" s="691">
        <v>17</v>
      </c>
      <c r="N110" s="692">
        <v>878.15057053364035</v>
      </c>
    </row>
    <row r="111" spans="1:14" ht="14.4" customHeight="1" x14ac:dyDescent="0.3">
      <c r="A111" s="687" t="s">
        <v>583</v>
      </c>
      <c r="B111" s="688" t="s">
        <v>584</v>
      </c>
      <c r="C111" s="689" t="s">
        <v>596</v>
      </c>
      <c r="D111" s="690" t="s">
        <v>993</v>
      </c>
      <c r="E111" s="689" t="s">
        <v>602</v>
      </c>
      <c r="F111" s="690" t="s">
        <v>995</v>
      </c>
      <c r="G111" s="689" t="s">
        <v>603</v>
      </c>
      <c r="H111" s="689" t="s">
        <v>656</v>
      </c>
      <c r="I111" s="689" t="s">
        <v>632</v>
      </c>
      <c r="J111" s="689" t="s">
        <v>657</v>
      </c>
      <c r="K111" s="689"/>
      <c r="L111" s="691">
        <v>82.351512881617879</v>
      </c>
      <c r="M111" s="691">
        <v>19</v>
      </c>
      <c r="N111" s="692">
        <v>1564.6787447507397</v>
      </c>
    </row>
    <row r="112" spans="1:14" ht="14.4" customHeight="1" x14ac:dyDescent="0.3">
      <c r="A112" s="687" t="s">
        <v>583</v>
      </c>
      <c r="B112" s="688" t="s">
        <v>584</v>
      </c>
      <c r="C112" s="689" t="s">
        <v>596</v>
      </c>
      <c r="D112" s="690" t="s">
        <v>993</v>
      </c>
      <c r="E112" s="689" t="s">
        <v>602</v>
      </c>
      <c r="F112" s="690" t="s">
        <v>995</v>
      </c>
      <c r="G112" s="689" t="s">
        <v>603</v>
      </c>
      <c r="H112" s="689" t="s">
        <v>718</v>
      </c>
      <c r="I112" s="689" t="s">
        <v>719</v>
      </c>
      <c r="J112" s="689" t="s">
        <v>720</v>
      </c>
      <c r="K112" s="689" t="s">
        <v>721</v>
      </c>
      <c r="L112" s="691">
        <v>77.950215389536325</v>
      </c>
      <c r="M112" s="691">
        <v>4</v>
      </c>
      <c r="N112" s="692">
        <v>311.8008615581453</v>
      </c>
    </row>
    <row r="113" spans="1:14" ht="14.4" customHeight="1" x14ac:dyDescent="0.3">
      <c r="A113" s="687" t="s">
        <v>583</v>
      </c>
      <c r="B113" s="688" t="s">
        <v>584</v>
      </c>
      <c r="C113" s="689" t="s">
        <v>596</v>
      </c>
      <c r="D113" s="690" t="s">
        <v>993</v>
      </c>
      <c r="E113" s="689" t="s">
        <v>602</v>
      </c>
      <c r="F113" s="690" t="s">
        <v>995</v>
      </c>
      <c r="G113" s="689" t="s">
        <v>603</v>
      </c>
      <c r="H113" s="689" t="s">
        <v>854</v>
      </c>
      <c r="I113" s="689" t="s">
        <v>855</v>
      </c>
      <c r="J113" s="689" t="s">
        <v>856</v>
      </c>
      <c r="K113" s="689" t="s">
        <v>857</v>
      </c>
      <c r="L113" s="691">
        <v>73.23</v>
      </c>
      <c r="M113" s="691">
        <v>1</v>
      </c>
      <c r="N113" s="692">
        <v>73.23</v>
      </c>
    </row>
    <row r="114" spans="1:14" ht="14.4" customHeight="1" x14ac:dyDescent="0.3">
      <c r="A114" s="687" t="s">
        <v>583</v>
      </c>
      <c r="B114" s="688" t="s">
        <v>584</v>
      </c>
      <c r="C114" s="689" t="s">
        <v>596</v>
      </c>
      <c r="D114" s="690" t="s">
        <v>993</v>
      </c>
      <c r="E114" s="689" t="s">
        <v>602</v>
      </c>
      <c r="F114" s="690" t="s">
        <v>995</v>
      </c>
      <c r="G114" s="689" t="s">
        <v>603</v>
      </c>
      <c r="H114" s="689" t="s">
        <v>722</v>
      </c>
      <c r="I114" s="689" t="s">
        <v>620</v>
      </c>
      <c r="J114" s="689" t="s">
        <v>723</v>
      </c>
      <c r="K114" s="689" t="s">
        <v>724</v>
      </c>
      <c r="L114" s="691">
        <v>388.1202033663443</v>
      </c>
      <c r="M114" s="691">
        <v>4</v>
      </c>
      <c r="N114" s="692">
        <v>1552.4808134653772</v>
      </c>
    </row>
    <row r="115" spans="1:14" ht="14.4" customHeight="1" x14ac:dyDescent="0.3">
      <c r="A115" s="687" t="s">
        <v>583</v>
      </c>
      <c r="B115" s="688" t="s">
        <v>584</v>
      </c>
      <c r="C115" s="689" t="s">
        <v>596</v>
      </c>
      <c r="D115" s="690" t="s">
        <v>993</v>
      </c>
      <c r="E115" s="689" t="s">
        <v>602</v>
      </c>
      <c r="F115" s="690" t="s">
        <v>995</v>
      </c>
      <c r="G115" s="689" t="s">
        <v>603</v>
      </c>
      <c r="H115" s="689" t="s">
        <v>858</v>
      </c>
      <c r="I115" s="689" t="s">
        <v>632</v>
      </c>
      <c r="J115" s="689" t="s">
        <v>859</v>
      </c>
      <c r="K115" s="689"/>
      <c r="L115" s="691">
        <v>151.02931610272597</v>
      </c>
      <c r="M115" s="691">
        <v>13</v>
      </c>
      <c r="N115" s="692">
        <v>1963.3811093354377</v>
      </c>
    </row>
    <row r="116" spans="1:14" ht="14.4" customHeight="1" x14ac:dyDescent="0.3">
      <c r="A116" s="687" t="s">
        <v>583</v>
      </c>
      <c r="B116" s="688" t="s">
        <v>584</v>
      </c>
      <c r="C116" s="689" t="s">
        <v>596</v>
      </c>
      <c r="D116" s="690" t="s">
        <v>993</v>
      </c>
      <c r="E116" s="689" t="s">
        <v>602</v>
      </c>
      <c r="F116" s="690" t="s">
        <v>995</v>
      </c>
      <c r="G116" s="689" t="s">
        <v>603</v>
      </c>
      <c r="H116" s="689" t="s">
        <v>725</v>
      </c>
      <c r="I116" s="689" t="s">
        <v>620</v>
      </c>
      <c r="J116" s="689" t="s">
        <v>726</v>
      </c>
      <c r="K116" s="689" t="s">
        <v>727</v>
      </c>
      <c r="L116" s="691">
        <v>154.93296107165997</v>
      </c>
      <c r="M116" s="691">
        <v>5</v>
      </c>
      <c r="N116" s="692">
        <v>774.66480535829987</v>
      </c>
    </row>
    <row r="117" spans="1:14" ht="14.4" customHeight="1" x14ac:dyDescent="0.3">
      <c r="A117" s="687" t="s">
        <v>583</v>
      </c>
      <c r="B117" s="688" t="s">
        <v>584</v>
      </c>
      <c r="C117" s="689" t="s">
        <v>596</v>
      </c>
      <c r="D117" s="690" t="s">
        <v>993</v>
      </c>
      <c r="E117" s="689" t="s">
        <v>602</v>
      </c>
      <c r="F117" s="690" t="s">
        <v>995</v>
      </c>
      <c r="G117" s="689" t="s">
        <v>603</v>
      </c>
      <c r="H117" s="689" t="s">
        <v>730</v>
      </c>
      <c r="I117" s="689" t="s">
        <v>632</v>
      </c>
      <c r="J117" s="689" t="s">
        <v>731</v>
      </c>
      <c r="K117" s="689"/>
      <c r="L117" s="691">
        <v>93.296869645354434</v>
      </c>
      <c r="M117" s="691">
        <v>13</v>
      </c>
      <c r="N117" s="692">
        <v>1212.8593053896077</v>
      </c>
    </row>
    <row r="118" spans="1:14" ht="14.4" customHeight="1" x14ac:dyDescent="0.3">
      <c r="A118" s="687" t="s">
        <v>583</v>
      </c>
      <c r="B118" s="688" t="s">
        <v>584</v>
      </c>
      <c r="C118" s="689" t="s">
        <v>596</v>
      </c>
      <c r="D118" s="690" t="s">
        <v>993</v>
      </c>
      <c r="E118" s="689" t="s">
        <v>602</v>
      </c>
      <c r="F118" s="690" t="s">
        <v>995</v>
      </c>
      <c r="G118" s="689" t="s">
        <v>603</v>
      </c>
      <c r="H118" s="689" t="s">
        <v>860</v>
      </c>
      <c r="I118" s="689" t="s">
        <v>861</v>
      </c>
      <c r="J118" s="689" t="s">
        <v>862</v>
      </c>
      <c r="K118" s="689" t="s">
        <v>863</v>
      </c>
      <c r="L118" s="691">
        <v>901.19</v>
      </c>
      <c r="M118" s="691">
        <v>2</v>
      </c>
      <c r="N118" s="692">
        <v>1802.38</v>
      </c>
    </row>
    <row r="119" spans="1:14" ht="14.4" customHeight="1" x14ac:dyDescent="0.3">
      <c r="A119" s="687" t="s">
        <v>583</v>
      </c>
      <c r="B119" s="688" t="s">
        <v>584</v>
      </c>
      <c r="C119" s="689" t="s">
        <v>596</v>
      </c>
      <c r="D119" s="690" t="s">
        <v>993</v>
      </c>
      <c r="E119" s="689" t="s">
        <v>602</v>
      </c>
      <c r="F119" s="690" t="s">
        <v>995</v>
      </c>
      <c r="G119" s="689" t="s">
        <v>603</v>
      </c>
      <c r="H119" s="689" t="s">
        <v>864</v>
      </c>
      <c r="I119" s="689" t="s">
        <v>864</v>
      </c>
      <c r="J119" s="689" t="s">
        <v>865</v>
      </c>
      <c r="K119" s="689" t="s">
        <v>866</v>
      </c>
      <c r="L119" s="691">
        <v>7252.2200000000012</v>
      </c>
      <c r="M119" s="691">
        <v>6</v>
      </c>
      <c r="N119" s="692">
        <v>43513.320000000007</v>
      </c>
    </row>
    <row r="120" spans="1:14" ht="14.4" customHeight="1" x14ac:dyDescent="0.3">
      <c r="A120" s="687" t="s">
        <v>583</v>
      </c>
      <c r="B120" s="688" t="s">
        <v>584</v>
      </c>
      <c r="C120" s="689" t="s">
        <v>596</v>
      </c>
      <c r="D120" s="690" t="s">
        <v>993</v>
      </c>
      <c r="E120" s="689" t="s">
        <v>602</v>
      </c>
      <c r="F120" s="690" t="s">
        <v>995</v>
      </c>
      <c r="G120" s="689" t="s">
        <v>603</v>
      </c>
      <c r="H120" s="689" t="s">
        <v>867</v>
      </c>
      <c r="I120" s="689" t="s">
        <v>868</v>
      </c>
      <c r="J120" s="689" t="s">
        <v>848</v>
      </c>
      <c r="K120" s="689" t="s">
        <v>830</v>
      </c>
      <c r="L120" s="691">
        <v>18.060000000000002</v>
      </c>
      <c r="M120" s="691">
        <v>40</v>
      </c>
      <c r="N120" s="692">
        <v>722.40000000000009</v>
      </c>
    </row>
    <row r="121" spans="1:14" ht="14.4" customHeight="1" x14ac:dyDescent="0.3">
      <c r="A121" s="687" t="s">
        <v>583</v>
      </c>
      <c r="B121" s="688" t="s">
        <v>584</v>
      </c>
      <c r="C121" s="689" t="s">
        <v>596</v>
      </c>
      <c r="D121" s="690" t="s">
        <v>993</v>
      </c>
      <c r="E121" s="689" t="s">
        <v>602</v>
      </c>
      <c r="F121" s="690" t="s">
        <v>995</v>
      </c>
      <c r="G121" s="689" t="s">
        <v>603</v>
      </c>
      <c r="H121" s="689" t="s">
        <v>869</v>
      </c>
      <c r="I121" s="689" t="s">
        <v>870</v>
      </c>
      <c r="J121" s="689" t="s">
        <v>841</v>
      </c>
      <c r="K121" s="689" t="s">
        <v>871</v>
      </c>
      <c r="L121" s="691">
        <v>31.569999999999997</v>
      </c>
      <c r="M121" s="691">
        <v>30</v>
      </c>
      <c r="N121" s="692">
        <v>947.09999999999991</v>
      </c>
    </row>
    <row r="122" spans="1:14" ht="14.4" customHeight="1" x14ac:dyDescent="0.3">
      <c r="A122" s="687" t="s">
        <v>583</v>
      </c>
      <c r="B122" s="688" t="s">
        <v>584</v>
      </c>
      <c r="C122" s="689" t="s">
        <v>596</v>
      </c>
      <c r="D122" s="690" t="s">
        <v>993</v>
      </c>
      <c r="E122" s="689" t="s">
        <v>602</v>
      </c>
      <c r="F122" s="690" t="s">
        <v>995</v>
      </c>
      <c r="G122" s="689" t="s">
        <v>603</v>
      </c>
      <c r="H122" s="689" t="s">
        <v>872</v>
      </c>
      <c r="I122" s="689" t="s">
        <v>873</v>
      </c>
      <c r="J122" s="689" t="s">
        <v>874</v>
      </c>
      <c r="K122" s="689" t="s">
        <v>875</v>
      </c>
      <c r="L122" s="691">
        <v>87.680083156307006</v>
      </c>
      <c r="M122" s="691">
        <v>1</v>
      </c>
      <c r="N122" s="692">
        <v>87.680083156307006</v>
      </c>
    </row>
    <row r="123" spans="1:14" ht="14.4" customHeight="1" x14ac:dyDescent="0.3">
      <c r="A123" s="687" t="s">
        <v>583</v>
      </c>
      <c r="B123" s="688" t="s">
        <v>584</v>
      </c>
      <c r="C123" s="689" t="s">
        <v>596</v>
      </c>
      <c r="D123" s="690" t="s">
        <v>993</v>
      </c>
      <c r="E123" s="689" t="s">
        <v>602</v>
      </c>
      <c r="F123" s="690" t="s">
        <v>995</v>
      </c>
      <c r="G123" s="689" t="s">
        <v>603</v>
      </c>
      <c r="H123" s="689" t="s">
        <v>876</v>
      </c>
      <c r="I123" s="689" t="s">
        <v>877</v>
      </c>
      <c r="J123" s="689" t="s">
        <v>878</v>
      </c>
      <c r="K123" s="689" t="s">
        <v>879</v>
      </c>
      <c r="L123" s="691">
        <v>17243.400000000001</v>
      </c>
      <c r="M123" s="691">
        <v>5</v>
      </c>
      <c r="N123" s="692">
        <v>86217</v>
      </c>
    </row>
    <row r="124" spans="1:14" ht="14.4" customHeight="1" x14ac:dyDescent="0.3">
      <c r="A124" s="687" t="s">
        <v>583</v>
      </c>
      <c r="B124" s="688" t="s">
        <v>584</v>
      </c>
      <c r="C124" s="689" t="s">
        <v>596</v>
      </c>
      <c r="D124" s="690" t="s">
        <v>993</v>
      </c>
      <c r="E124" s="689" t="s">
        <v>602</v>
      </c>
      <c r="F124" s="690" t="s">
        <v>995</v>
      </c>
      <c r="G124" s="689" t="s">
        <v>603</v>
      </c>
      <c r="H124" s="689" t="s">
        <v>880</v>
      </c>
      <c r="I124" s="689" t="s">
        <v>881</v>
      </c>
      <c r="J124" s="689" t="s">
        <v>882</v>
      </c>
      <c r="K124" s="689" t="s">
        <v>883</v>
      </c>
      <c r="L124" s="691">
        <v>321.19999999999993</v>
      </c>
      <c r="M124" s="691">
        <v>10</v>
      </c>
      <c r="N124" s="692">
        <v>3211.9999999999995</v>
      </c>
    </row>
    <row r="125" spans="1:14" ht="14.4" customHeight="1" x14ac:dyDescent="0.3">
      <c r="A125" s="687" t="s">
        <v>583</v>
      </c>
      <c r="B125" s="688" t="s">
        <v>584</v>
      </c>
      <c r="C125" s="689" t="s">
        <v>596</v>
      </c>
      <c r="D125" s="690" t="s">
        <v>993</v>
      </c>
      <c r="E125" s="689" t="s">
        <v>602</v>
      </c>
      <c r="F125" s="690" t="s">
        <v>995</v>
      </c>
      <c r="G125" s="689" t="s">
        <v>603</v>
      </c>
      <c r="H125" s="689" t="s">
        <v>884</v>
      </c>
      <c r="I125" s="689" t="s">
        <v>620</v>
      </c>
      <c r="J125" s="689" t="s">
        <v>885</v>
      </c>
      <c r="K125" s="689" t="s">
        <v>886</v>
      </c>
      <c r="L125" s="691">
        <v>132.91111128535414</v>
      </c>
      <c r="M125" s="691">
        <v>1</v>
      </c>
      <c r="N125" s="692">
        <v>132.91111128535414</v>
      </c>
    </row>
    <row r="126" spans="1:14" ht="14.4" customHeight="1" x14ac:dyDescent="0.3">
      <c r="A126" s="687" t="s">
        <v>583</v>
      </c>
      <c r="B126" s="688" t="s">
        <v>584</v>
      </c>
      <c r="C126" s="689" t="s">
        <v>596</v>
      </c>
      <c r="D126" s="690" t="s">
        <v>993</v>
      </c>
      <c r="E126" s="689" t="s">
        <v>602</v>
      </c>
      <c r="F126" s="690" t="s">
        <v>995</v>
      </c>
      <c r="G126" s="689" t="s">
        <v>603</v>
      </c>
      <c r="H126" s="689" t="s">
        <v>887</v>
      </c>
      <c r="I126" s="689" t="s">
        <v>632</v>
      </c>
      <c r="J126" s="689" t="s">
        <v>888</v>
      </c>
      <c r="K126" s="689"/>
      <c r="L126" s="691">
        <v>198.12738936136412</v>
      </c>
      <c r="M126" s="691">
        <v>2</v>
      </c>
      <c r="N126" s="692">
        <v>396.25477872272825</v>
      </c>
    </row>
    <row r="127" spans="1:14" ht="14.4" customHeight="1" x14ac:dyDescent="0.3">
      <c r="A127" s="687" t="s">
        <v>583</v>
      </c>
      <c r="B127" s="688" t="s">
        <v>584</v>
      </c>
      <c r="C127" s="689" t="s">
        <v>596</v>
      </c>
      <c r="D127" s="690" t="s">
        <v>993</v>
      </c>
      <c r="E127" s="689" t="s">
        <v>602</v>
      </c>
      <c r="F127" s="690" t="s">
        <v>995</v>
      </c>
      <c r="G127" s="689" t="s">
        <v>603</v>
      </c>
      <c r="H127" s="689" t="s">
        <v>889</v>
      </c>
      <c r="I127" s="689" t="s">
        <v>632</v>
      </c>
      <c r="J127" s="689" t="s">
        <v>890</v>
      </c>
      <c r="K127" s="689"/>
      <c r="L127" s="691">
        <v>148.48094745380959</v>
      </c>
      <c r="M127" s="691">
        <v>6</v>
      </c>
      <c r="N127" s="692">
        <v>890.8856847228576</v>
      </c>
    </row>
    <row r="128" spans="1:14" ht="14.4" customHeight="1" x14ac:dyDescent="0.3">
      <c r="A128" s="687" t="s">
        <v>583</v>
      </c>
      <c r="B128" s="688" t="s">
        <v>584</v>
      </c>
      <c r="C128" s="689" t="s">
        <v>596</v>
      </c>
      <c r="D128" s="690" t="s">
        <v>993</v>
      </c>
      <c r="E128" s="689" t="s">
        <v>602</v>
      </c>
      <c r="F128" s="690" t="s">
        <v>995</v>
      </c>
      <c r="G128" s="689" t="s">
        <v>603</v>
      </c>
      <c r="H128" s="689" t="s">
        <v>891</v>
      </c>
      <c r="I128" s="689" t="s">
        <v>632</v>
      </c>
      <c r="J128" s="689" t="s">
        <v>892</v>
      </c>
      <c r="K128" s="689"/>
      <c r="L128" s="691">
        <v>261.38665451896907</v>
      </c>
      <c r="M128" s="691">
        <v>2</v>
      </c>
      <c r="N128" s="692">
        <v>522.77330903793813</v>
      </c>
    </row>
    <row r="129" spans="1:14" ht="14.4" customHeight="1" x14ac:dyDescent="0.3">
      <c r="A129" s="687" t="s">
        <v>583</v>
      </c>
      <c r="B129" s="688" t="s">
        <v>584</v>
      </c>
      <c r="C129" s="689" t="s">
        <v>596</v>
      </c>
      <c r="D129" s="690" t="s">
        <v>993</v>
      </c>
      <c r="E129" s="689" t="s">
        <v>602</v>
      </c>
      <c r="F129" s="690" t="s">
        <v>995</v>
      </c>
      <c r="G129" s="689" t="s">
        <v>603</v>
      </c>
      <c r="H129" s="689" t="s">
        <v>893</v>
      </c>
      <c r="I129" s="689" t="s">
        <v>632</v>
      </c>
      <c r="J129" s="689" t="s">
        <v>894</v>
      </c>
      <c r="K129" s="689"/>
      <c r="L129" s="691">
        <v>257.88272278132342</v>
      </c>
      <c r="M129" s="691">
        <v>1</v>
      </c>
      <c r="N129" s="692">
        <v>257.88272278132342</v>
      </c>
    </row>
    <row r="130" spans="1:14" ht="14.4" customHeight="1" x14ac:dyDescent="0.3">
      <c r="A130" s="687" t="s">
        <v>583</v>
      </c>
      <c r="B130" s="688" t="s">
        <v>584</v>
      </c>
      <c r="C130" s="689" t="s">
        <v>596</v>
      </c>
      <c r="D130" s="690" t="s">
        <v>993</v>
      </c>
      <c r="E130" s="689" t="s">
        <v>602</v>
      </c>
      <c r="F130" s="690" t="s">
        <v>995</v>
      </c>
      <c r="G130" s="689" t="s">
        <v>603</v>
      </c>
      <c r="H130" s="689" t="s">
        <v>895</v>
      </c>
      <c r="I130" s="689" t="s">
        <v>632</v>
      </c>
      <c r="J130" s="689" t="s">
        <v>896</v>
      </c>
      <c r="K130" s="689"/>
      <c r="L130" s="691">
        <v>288.73587990977069</v>
      </c>
      <c r="M130" s="691">
        <v>1</v>
      </c>
      <c r="N130" s="692">
        <v>288.73587990977069</v>
      </c>
    </row>
    <row r="131" spans="1:14" ht="14.4" customHeight="1" x14ac:dyDescent="0.3">
      <c r="A131" s="687" t="s">
        <v>583</v>
      </c>
      <c r="B131" s="688" t="s">
        <v>584</v>
      </c>
      <c r="C131" s="689" t="s">
        <v>596</v>
      </c>
      <c r="D131" s="690" t="s">
        <v>993</v>
      </c>
      <c r="E131" s="689" t="s">
        <v>602</v>
      </c>
      <c r="F131" s="690" t="s">
        <v>995</v>
      </c>
      <c r="G131" s="689" t="s">
        <v>603</v>
      </c>
      <c r="H131" s="689" t="s">
        <v>897</v>
      </c>
      <c r="I131" s="689" t="s">
        <v>632</v>
      </c>
      <c r="J131" s="689" t="s">
        <v>898</v>
      </c>
      <c r="K131" s="689"/>
      <c r="L131" s="691">
        <v>150.3738641642737</v>
      </c>
      <c r="M131" s="691">
        <v>9</v>
      </c>
      <c r="N131" s="692">
        <v>1353.3647774784633</v>
      </c>
    </row>
    <row r="132" spans="1:14" ht="14.4" customHeight="1" x14ac:dyDescent="0.3">
      <c r="A132" s="687" t="s">
        <v>583</v>
      </c>
      <c r="B132" s="688" t="s">
        <v>584</v>
      </c>
      <c r="C132" s="689" t="s">
        <v>596</v>
      </c>
      <c r="D132" s="690" t="s">
        <v>993</v>
      </c>
      <c r="E132" s="689" t="s">
        <v>602</v>
      </c>
      <c r="F132" s="690" t="s">
        <v>995</v>
      </c>
      <c r="G132" s="689" t="s">
        <v>603</v>
      </c>
      <c r="H132" s="689" t="s">
        <v>899</v>
      </c>
      <c r="I132" s="689" t="s">
        <v>632</v>
      </c>
      <c r="J132" s="689" t="s">
        <v>900</v>
      </c>
      <c r="K132" s="689"/>
      <c r="L132" s="691">
        <v>337.24</v>
      </c>
      <c r="M132" s="691">
        <v>2</v>
      </c>
      <c r="N132" s="692">
        <v>674.48</v>
      </c>
    </row>
    <row r="133" spans="1:14" ht="14.4" customHeight="1" x14ac:dyDescent="0.3">
      <c r="A133" s="687" t="s">
        <v>583</v>
      </c>
      <c r="B133" s="688" t="s">
        <v>584</v>
      </c>
      <c r="C133" s="689" t="s">
        <v>596</v>
      </c>
      <c r="D133" s="690" t="s">
        <v>993</v>
      </c>
      <c r="E133" s="689" t="s">
        <v>602</v>
      </c>
      <c r="F133" s="690" t="s">
        <v>995</v>
      </c>
      <c r="G133" s="689" t="s">
        <v>603</v>
      </c>
      <c r="H133" s="689" t="s">
        <v>658</v>
      </c>
      <c r="I133" s="689" t="s">
        <v>632</v>
      </c>
      <c r="J133" s="689" t="s">
        <v>659</v>
      </c>
      <c r="K133" s="689"/>
      <c r="L133" s="691">
        <v>96.459575334413046</v>
      </c>
      <c r="M133" s="691">
        <v>10</v>
      </c>
      <c r="N133" s="692">
        <v>964.59575334413046</v>
      </c>
    </row>
    <row r="134" spans="1:14" ht="14.4" customHeight="1" x14ac:dyDescent="0.3">
      <c r="A134" s="687" t="s">
        <v>583</v>
      </c>
      <c r="B134" s="688" t="s">
        <v>584</v>
      </c>
      <c r="C134" s="689" t="s">
        <v>596</v>
      </c>
      <c r="D134" s="690" t="s">
        <v>993</v>
      </c>
      <c r="E134" s="689" t="s">
        <v>602</v>
      </c>
      <c r="F134" s="690" t="s">
        <v>995</v>
      </c>
      <c r="G134" s="689" t="s">
        <v>603</v>
      </c>
      <c r="H134" s="689" t="s">
        <v>901</v>
      </c>
      <c r="I134" s="689" t="s">
        <v>632</v>
      </c>
      <c r="J134" s="689" t="s">
        <v>902</v>
      </c>
      <c r="K134" s="689"/>
      <c r="L134" s="691">
        <v>490.33344786117897</v>
      </c>
      <c r="M134" s="691">
        <v>1</v>
      </c>
      <c r="N134" s="692">
        <v>490.33344786117897</v>
      </c>
    </row>
    <row r="135" spans="1:14" ht="14.4" customHeight="1" x14ac:dyDescent="0.3">
      <c r="A135" s="687" t="s">
        <v>583</v>
      </c>
      <c r="B135" s="688" t="s">
        <v>584</v>
      </c>
      <c r="C135" s="689" t="s">
        <v>596</v>
      </c>
      <c r="D135" s="690" t="s">
        <v>993</v>
      </c>
      <c r="E135" s="689" t="s">
        <v>602</v>
      </c>
      <c r="F135" s="690" t="s">
        <v>995</v>
      </c>
      <c r="G135" s="689" t="s">
        <v>756</v>
      </c>
      <c r="H135" s="689" t="s">
        <v>903</v>
      </c>
      <c r="I135" s="689" t="s">
        <v>904</v>
      </c>
      <c r="J135" s="689" t="s">
        <v>905</v>
      </c>
      <c r="K135" s="689" t="s">
        <v>906</v>
      </c>
      <c r="L135" s="691">
        <v>83.890000000000015</v>
      </c>
      <c r="M135" s="691">
        <v>40</v>
      </c>
      <c r="N135" s="692">
        <v>3355.6000000000004</v>
      </c>
    </row>
    <row r="136" spans="1:14" ht="14.4" customHeight="1" x14ac:dyDescent="0.3">
      <c r="A136" s="687" t="s">
        <v>583</v>
      </c>
      <c r="B136" s="688" t="s">
        <v>584</v>
      </c>
      <c r="C136" s="689" t="s">
        <v>596</v>
      </c>
      <c r="D136" s="690" t="s">
        <v>993</v>
      </c>
      <c r="E136" s="689" t="s">
        <v>602</v>
      </c>
      <c r="F136" s="690" t="s">
        <v>995</v>
      </c>
      <c r="G136" s="689" t="s">
        <v>756</v>
      </c>
      <c r="H136" s="689" t="s">
        <v>907</v>
      </c>
      <c r="I136" s="689" t="s">
        <v>907</v>
      </c>
      <c r="J136" s="689" t="s">
        <v>908</v>
      </c>
      <c r="K136" s="689" t="s">
        <v>909</v>
      </c>
      <c r="L136" s="691">
        <v>247.5</v>
      </c>
      <c r="M136" s="691">
        <v>1</v>
      </c>
      <c r="N136" s="692">
        <v>247.5</v>
      </c>
    </row>
    <row r="137" spans="1:14" ht="14.4" customHeight="1" x14ac:dyDescent="0.3">
      <c r="A137" s="687" t="s">
        <v>583</v>
      </c>
      <c r="B137" s="688" t="s">
        <v>584</v>
      </c>
      <c r="C137" s="689" t="s">
        <v>596</v>
      </c>
      <c r="D137" s="690" t="s">
        <v>993</v>
      </c>
      <c r="E137" s="689" t="s">
        <v>602</v>
      </c>
      <c r="F137" s="690" t="s">
        <v>995</v>
      </c>
      <c r="G137" s="689" t="s">
        <v>756</v>
      </c>
      <c r="H137" s="689" t="s">
        <v>910</v>
      </c>
      <c r="I137" s="689" t="s">
        <v>910</v>
      </c>
      <c r="J137" s="689" t="s">
        <v>911</v>
      </c>
      <c r="K137" s="689" t="s">
        <v>912</v>
      </c>
      <c r="L137" s="691">
        <v>67.319999999999993</v>
      </c>
      <c r="M137" s="691">
        <v>5</v>
      </c>
      <c r="N137" s="692">
        <v>336.59999999999997</v>
      </c>
    </row>
    <row r="138" spans="1:14" ht="14.4" customHeight="1" x14ac:dyDescent="0.3">
      <c r="A138" s="687" t="s">
        <v>583</v>
      </c>
      <c r="B138" s="688" t="s">
        <v>584</v>
      </c>
      <c r="C138" s="689" t="s">
        <v>596</v>
      </c>
      <c r="D138" s="690" t="s">
        <v>993</v>
      </c>
      <c r="E138" s="689" t="s">
        <v>744</v>
      </c>
      <c r="F138" s="690" t="s">
        <v>998</v>
      </c>
      <c r="G138" s="689" t="s">
        <v>603</v>
      </c>
      <c r="H138" s="689" t="s">
        <v>913</v>
      </c>
      <c r="I138" s="689" t="s">
        <v>632</v>
      </c>
      <c r="J138" s="689" t="s">
        <v>914</v>
      </c>
      <c r="K138" s="689"/>
      <c r="L138" s="691">
        <v>412.62999999999994</v>
      </c>
      <c r="M138" s="691">
        <v>6</v>
      </c>
      <c r="N138" s="692">
        <v>2475.7799999999997</v>
      </c>
    </row>
    <row r="139" spans="1:14" ht="14.4" customHeight="1" x14ac:dyDescent="0.3">
      <c r="A139" s="687" t="s">
        <v>583</v>
      </c>
      <c r="B139" s="688" t="s">
        <v>584</v>
      </c>
      <c r="C139" s="689" t="s">
        <v>596</v>
      </c>
      <c r="D139" s="690" t="s">
        <v>993</v>
      </c>
      <c r="E139" s="689" t="s">
        <v>744</v>
      </c>
      <c r="F139" s="690" t="s">
        <v>998</v>
      </c>
      <c r="G139" s="689" t="s">
        <v>603</v>
      </c>
      <c r="H139" s="689" t="s">
        <v>915</v>
      </c>
      <c r="I139" s="689" t="s">
        <v>632</v>
      </c>
      <c r="J139" s="689" t="s">
        <v>916</v>
      </c>
      <c r="K139" s="689"/>
      <c r="L139" s="691">
        <v>272.69</v>
      </c>
      <c r="M139" s="691">
        <v>39</v>
      </c>
      <c r="N139" s="692">
        <v>10634.91</v>
      </c>
    </row>
    <row r="140" spans="1:14" ht="14.4" customHeight="1" x14ac:dyDescent="0.3">
      <c r="A140" s="687" t="s">
        <v>583</v>
      </c>
      <c r="B140" s="688" t="s">
        <v>584</v>
      </c>
      <c r="C140" s="689" t="s">
        <v>596</v>
      </c>
      <c r="D140" s="690" t="s">
        <v>993</v>
      </c>
      <c r="E140" s="689" t="s">
        <v>744</v>
      </c>
      <c r="F140" s="690" t="s">
        <v>998</v>
      </c>
      <c r="G140" s="689" t="s">
        <v>603</v>
      </c>
      <c r="H140" s="689" t="s">
        <v>748</v>
      </c>
      <c r="I140" s="689" t="s">
        <v>632</v>
      </c>
      <c r="J140" s="689" t="s">
        <v>749</v>
      </c>
      <c r="K140" s="689"/>
      <c r="L140" s="691">
        <v>480.74160978411055</v>
      </c>
      <c r="M140" s="691">
        <v>11</v>
      </c>
      <c r="N140" s="692">
        <v>5288.1577076252161</v>
      </c>
    </row>
    <row r="141" spans="1:14" ht="14.4" customHeight="1" x14ac:dyDescent="0.3">
      <c r="A141" s="687" t="s">
        <v>583</v>
      </c>
      <c r="B141" s="688" t="s">
        <v>584</v>
      </c>
      <c r="C141" s="689" t="s">
        <v>596</v>
      </c>
      <c r="D141" s="690" t="s">
        <v>993</v>
      </c>
      <c r="E141" s="689" t="s">
        <v>744</v>
      </c>
      <c r="F141" s="690" t="s">
        <v>998</v>
      </c>
      <c r="G141" s="689" t="s">
        <v>603</v>
      </c>
      <c r="H141" s="689" t="s">
        <v>750</v>
      </c>
      <c r="I141" s="689" t="s">
        <v>632</v>
      </c>
      <c r="J141" s="689" t="s">
        <v>751</v>
      </c>
      <c r="K141" s="689"/>
      <c r="L141" s="691">
        <v>198.47000000000006</v>
      </c>
      <c r="M141" s="691">
        <v>1</v>
      </c>
      <c r="N141" s="692">
        <v>198.47000000000006</v>
      </c>
    </row>
    <row r="142" spans="1:14" ht="14.4" customHeight="1" x14ac:dyDescent="0.3">
      <c r="A142" s="687" t="s">
        <v>583</v>
      </c>
      <c r="B142" s="688" t="s">
        <v>584</v>
      </c>
      <c r="C142" s="689" t="s">
        <v>596</v>
      </c>
      <c r="D142" s="690" t="s">
        <v>993</v>
      </c>
      <c r="E142" s="689" t="s">
        <v>744</v>
      </c>
      <c r="F142" s="690" t="s">
        <v>998</v>
      </c>
      <c r="G142" s="689" t="s">
        <v>603</v>
      </c>
      <c r="H142" s="689" t="s">
        <v>917</v>
      </c>
      <c r="I142" s="689" t="s">
        <v>632</v>
      </c>
      <c r="J142" s="689" t="s">
        <v>918</v>
      </c>
      <c r="K142" s="689"/>
      <c r="L142" s="691">
        <v>428.73</v>
      </c>
      <c r="M142" s="691">
        <v>10</v>
      </c>
      <c r="N142" s="692">
        <v>4287.3</v>
      </c>
    </row>
    <row r="143" spans="1:14" ht="14.4" customHeight="1" x14ac:dyDescent="0.3">
      <c r="A143" s="687" t="s">
        <v>583</v>
      </c>
      <c r="B143" s="688" t="s">
        <v>584</v>
      </c>
      <c r="C143" s="689" t="s">
        <v>596</v>
      </c>
      <c r="D143" s="690" t="s">
        <v>993</v>
      </c>
      <c r="E143" s="689" t="s">
        <v>744</v>
      </c>
      <c r="F143" s="690" t="s">
        <v>998</v>
      </c>
      <c r="G143" s="689" t="s">
        <v>603</v>
      </c>
      <c r="H143" s="689" t="s">
        <v>752</v>
      </c>
      <c r="I143" s="689" t="s">
        <v>632</v>
      </c>
      <c r="J143" s="689" t="s">
        <v>753</v>
      </c>
      <c r="K143" s="689"/>
      <c r="L143" s="691">
        <v>700.38000000000011</v>
      </c>
      <c r="M143" s="691">
        <v>8</v>
      </c>
      <c r="N143" s="692">
        <v>5603.0400000000009</v>
      </c>
    </row>
    <row r="144" spans="1:14" ht="14.4" customHeight="1" x14ac:dyDescent="0.3">
      <c r="A144" s="687" t="s">
        <v>583</v>
      </c>
      <c r="B144" s="688" t="s">
        <v>584</v>
      </c>
      <c r="C144" s="689" t="s">
        <v>596</v>
      </c>
      <c r="D144" s="690" t="s">
        <v>993</v>
      </c>
      <c r="E144" s="689" t="s">
        <v>744</v>
      </c>
      <c r="F144" s="690" t="s">
        <v>998</v>
      </c>
      <c r="G144" s="689" t="s">
        <v>603</v>
      </c>
      <c r="H144" s="689" t="s">
        <v>754</v>
      </c>
      <c r="I144" s="689" t="s">
        <v>632</v>
      </c>
      <c r="J144" s="689" t="s">
        <v>755</v>
      </c>
      <c r="K144" s="689"/>
      <c r="L144" s="691">
        <v>913.1</v>
      </c>
      <c r="M144" s="691">
        <v>6</v>
      </c>
      <c r="N144" s="692">
        <v>5478.6</v>
      </c>
    </row>
    <row r="145" spans="1:14" ht="14.4" customHeight="1" x14ac:dyDescent="0.3">
      <c r="A145" s="687" t="s">
        <v>583</v>
      </c>
      <c r="B145" s="688" t="s">
        <v>584</v>
      </c>
      <c r="C145" s="689" t="s">
        <v>596</v>
      </c>
      <c r="D145" s="690" t="s">
        <v>993</v>
      </c>
      <c r="E145" s="689" t="s">
        <v>744</v>
      </c>
      <c r="F145" s="690" t="s">
        <v>998</v>
      </c>
      <c r="G145" s="689" t="s">
        <v>603</v>
      </c>
      <c r="H145" s="689" t="s">
        <v>919</v>
      </c>
      <c r="I145" s="689" t="s">
        <v>632</v>
      </c>
      <c r="J145" s="689" t="s">
        <v>920</v>
      </c>
      <c r="K145" s="689"/>
      <c r="L145" s="691">
        <v>396.00999999999988</v>
      </c>
      <c r="M145" s="691">
        <v>4</v>
      </c>
      <c r="N145" s="692">
        <v>1584.0399999999995</v>
      </c>
    </row>
    <row r="146" spans="1:14" ht="14.4" customHeight="1" x14ac:dyDescent="0.3">
      <c r="A146" s="687" t="s">
        <v>583</v>
      </c>
      <c r="B146" s="688" t="s">
        <v>584</v>
      </c>
      <c r="C146" s="689" t="s">
        <v>596</v>
      </c>
      <c r="D146" s="690" t="s">
        <v>993</v>
      </c>
      <c r="E146" s="689" t="s">
        <v>744</v>
      </c>
      <c r="F146" s="690" t="s">
        <v>998</v>
      </c>
      <c r="G146" s="689" t="s">
        <v>756</v>
      </c>
      <c r="H146" s="689" t="s">
        <v>921</v>
      </c>
      <c r="I146" s="689" t="s">
        <v>921</v>
      </c>
      <c r="J146" s="689" t="s">
        <v>922</v>
      </c>
      <c r="K146" s="689" t="s">
        <v>923</v>
      </c>
      <c r="L146" s="691">
        <v>1302.2</v>
      </c>
      <c r="M146" s="691">
        <v>2</v>
      </c>
      <c r="N146" s="692">
        <v>2604.4</v>
      </c>
    </row>
    <row r="147" spans="1:14" ht="14.4" customHeight="1" x14ac:dyDescent="0.3">
      <c r="A147" s="687" t="s">
        <v>583</v>
      </c>
      <c r="B147" s="688" t="s">
        <v>584</v>
      </c>
      <c r="C147" s="689" t="s">
        <v>596</v>
      </c>
      <c r="D147" s="690" t="s">
        <v>993</v>
      </c>
      <c r="E147" s="689" t="s">
        <v>666</v>
      </c>
      <c r="F147" s="690" t="s">
        <v>996</v>
      </c>
      <c r="G147" s="689" t="s">
        <v>603</v>
      </c>
      <c r="H147" s="689" t="s">
        <v>667</v>
      </c>
      <c r="I147" s="689" t="s">
        <v>667</v>
      </c>
      <c r="J147" s="689" t="s">
        <v>668</v>
      </c>
      <c r="K147" s="689" t="s">
        <v>669</v>
      </c>
      <c r="L147" s="691">
        <v>57.989999999999995</v>
      </c>
      <c r="M147" s="691">
        <v>1.2</v>
      </c>
      <c r="N147" s="692">
        <v>69.587999999999994</v>
      </c>
    </row>
    <row r="148" spans="1:14" ht="14.4" customHeight="1" x14ac:dyDescent="0.3">
      <c r="A148" s="687" t="s">
        <v>583</v>
      </c>
      <c r="B148" s="688" t="s">
        <v>584</v>
      </c>
      <c r="C148" s="689" t="s">
        <v>596</v>
      </c>
      <c r="D148" s="690" t="s">
        <v>993</v>
      </c>
      <c r="E148" s="689" t="s">
        <v>666</v>
      </c>
      <c r="F148" s="690" t="s">
        <v>996</v>
      </c>
      <c r="G148" s="689" t="s">
        <v>603</v>
      </c>
      <c r="H148" s="689" t="s">
        <v>924</v>
      </c>
      <c r="I148" s="689" t="s">
        <v>924</v>
      </c>
      <c r="J148" s="689" t="s">
        <v>925</v>
      </c>
      <c r="K148" s="689" t="s">
        <v>926</v>
      </c>
      <c r="L148" s="691">
        <v>264</v>
      </c>
      <c r="M148" s="691">
        <v>1</v>
      </c>
      <c r="N148" s="692">
        <v>264</v>
      </c>
    </row>
    <row r="149" spans="1:14" ht="14.4" customHeight="1" x14ac:dyDescent="0.3">
      <c r="A149" s="687" t="s">
        <v>583</v>
      </c>
      <c r="B149" s="688" t="s">
        <v>584</v>
      </c>
      <c r="C149" s="689" t="s">
        <v>596</v>
      </c>
      <c r="D149" s="690" t="s">
        <v>993</v>
      </c>
      <c r="E149" s="689" t="s">
        <v>666</v>
      </c>
      <c r="F149" s="690" t="s">
        <v>996</v>
      </c>
      <c r="G149" s="689" t="s">
        <v>603</v>
      </c>
      <c r="H149" s="689" t="s">
        <v>927</v>
      </c>
      <c r="I149" s="689" t="s">
        <v>928</v>
      </c>
      <c r="J149" s="689" t="s">
        <v>929</v>
      </c>
      <c r="K149" s="689" t="s">
        <v>930</v>
      </c>
      <c r="L149" s="691">
        <v>233.71999999999997</v>
      </c>
      <c r="M149" s="691">
        <v>1</v>
      </c>
      <c r="N149" s="692">
        <v>233.71999999999997</v>
      </c>
    </row>
    <row r="150" spans="1:14" ht="14.4" customHeight="1" x14ac:dyDescent="0.3">
      <c r="A150" s="687" t="s">
        <v>583</v>
      </c>
      <c r="B150" s="688" t="s">
        <v>584</v>
      </c>
      <c r="C150" s="689" t="s">
        <v>596</v>
      </c>
      <c r="D150" s="690" t="s">
        <v>993</v>
      </c>
      <c r="E150" s="689" t="s">
        <v>666</v>
      </c>
      <c r="F150" s="690" t="s">
        <v>996</v>
      </c>
      <c r="G150" s="689" t="s">
        <v>603</v>
      </c>
      <c r="H150" s="689" t="s">
        <v>760</v>
      </c>
      <c r="I150" s="689" t="s">
        <v>760</v>
      </c>
      <c r="J150" s="689" t="s">
        <v>761</v>
      </c>
      <c r="K150" s="689" t="s">
        <v>762</v>
      </c>
      <c r="L150" s="691">
        <v>179.61998702556843</v>
      </c>
      <c r="M150" s="691">
        <v>6</v>
      </c>
      <c r="N150" s="692">
        <v>1077.7199221534106</v>
      </c>
    </row>
    <row r="151" spans="1:14" ht="14.4" customHeight="1" x14ac:dyDescent="0.3">
      <c r="A151" s="687" t="s">
        <v>583</v>
      </c>
      <c r="B151" s="688" t="s">
        <v>584</v>
      </c>
      <c r="C151" s="689" t="s">
        <v>596</v>
      </c>
      <c r="D151" s="690" t="s">
        <v>993</v>
      </c>
      <c r="E151" s="689" t="s">
        <v>666</v>
      </c>
      <c r="F151" s="690" t="s">
        <v>996</v>
      </c>
      <c r="G151" s="689" t="s">
        <v>603</v>
      </c>
      <c r="H151" s="689" t="s">
        <v>674</v>
      </c>
      <c r="I151" s="689" t="s">
        <v>675</v>
      </c>
      <c r="J151" s="689" t="s">
        <v>676</v>
      </c>
      <c r="K151" s="689" t="s">
        <v>677</v>
      </c>
      <c r="L151" s="691">
        <v>60.40718431672618</v>
      </c>
      <c r="M151" s="691">
        <v>3.8</v>
      </c>
      <c r="N151" s="692">
        <v>229.54730040355946</v>
      </c>
    </row>
    <row r="152" spans="1:14" ht="14.4" customHeight="1" x14ac:dyDescent="0.3">
      <c r="A152" s="687" t="s">
        <v>583</v>
      </c>
      <c r="B152" s="688" t="s">
        <v>584</v>
      </c>
      <c r="C152" s="689" t="s">
        <v>596</v>
      </c>
      <c r="D152" s="690" t="s">
        <v>993</v>
      </c>
      <c r="E152" s="689" t="s">
        <v>666</v>
      </c>
      <c r="F152" s="690" t="s">
        <v>996</v>
      </c>
      <c r="G152" s="689" t="s">
        <v>603</v>
      </c>
      <c r="H152" s="689" t="s">
        <v>931</v>
      </c>
      <c r="I152" s="689" t="s">
        <v>932</v>
      </c>
      <c r="J152" s="689" t="s">
        <v>933</v>
      </c>
      <c r="K152" s="689" t="s">
        <v>934</v>
      </c>
      <c r="L152" s="691">
        <v>46.840129427144085</v>
      </c>
      <c r="M152" s="691">
        <v>4</v>
      </c>
      <c r="N152" s="692">
        <v>187.36051770857634</v>
      </c>
    </row>
    <row r="153" spans="1:14" ht="14.4" customHeight="1" x14ac:dyDescent="0.3">
      <c r="A153" s="687" t="s">
        <v>583</v>
      </c>
      <c r="B153" s="688" t="s">
        <v>584</v>
      </c>
      <c r="C153" s="689" t="s">
        <v>596</v>
      </c>
      <c r="D153" s="690" t="s">
        <v>993</v>
      </c>
      <c r="E153" s="689" t="s">
        <v>666</v>
      </c>
      <c r="F153" s="690" t="s">
        <v>996</v>
      </c>
      <c r="G153" s="689" t="s">
        <v>603</v>
      </c>
      <c r="H153" s="689" t="s">
        <v>935</v>
      </c>
      <c r="I153" s="689" t="s">
        <v>936</v>
      </c>
      <c r="J153" s="689" t="s">
        <v>937</v>
      </c>
      <c r="K153" s="689" t="s">
        <v>938</v>
      </c>
      <c r="L153" s="691">
        <v>73.34</v>
      </c>
      <c r="M153" s="691">
        <v>8</v>
      </c>
      <c r="N153" s="692">
        <v>586.72</v>
      </c>
    </row>
    <row r="154" spans="1:14" ht="14.4" customHeight="1" x14ac:dyDescent="0.3">
      <c r="A154" s="687" t="s">
        <v>583</v>
      </c>
      <c r="B154" s="688" t="s">
        <v>584</v>
      </c>
      <c r="C154" s="689" t="s">
        <v>596</v>
      </c>
      <c r="D154" s="690" t="s">
        <v>993</v>
      </c>
      <c r="E154" s="689" t="s">
        <v>666</v>
      </c>
      <c r="F154" s="690" t="s">
        <v>996</v>
      </c>
      <c r="G154" s="689" t="s">
        <v>603</v>
      </c>
      <c r="H154" s="689" t="s">
        <v>939</v>
      </c>
      <c r="I154" s="689" t="s">
        <v>940</v>
      </c>
      <c r="J154" s="689" t="s">
        <v>941</v>
      </c>
      <c r="K154" s="689" t="s">
        <v>942</v>
      </c>
      <c r="L154" s="691">
        <v>1252.18</v>
      </c>
      <c r="M154" s="691">
        <v>2</v>
      </c>
      <c r="N154" s="692">
        <v>2504.36</v>
      </c>
    </row>
    <row r="155" spans="1:14" ht="14.4" customHeight="1" x14ac:dyDescent="0.3">
      <c r="A155" s="687" t="s">
        <v>583</v>
      </c>
      <c r="B155" s="688" t="s">
        <v>584</v>
      </c>
      <c r="C155" s="689" t="s">
        <v>596</v>
      </c>
      <c r="D155" s="690" t="s">
        <v>993</v>
      </c>
      <c r="E155" s="689" t="s">
        <v>666</v>
      </c>
      <c r="F155" s="690" t="s">
        <v>996</v>
      </c>
      <c r="G155" s="689" t="s">
        <v>603</v>
      </c>
      <c r="H155" s="689" t="s">
        <v>943</v>
      </c>
      <c r="I155" s="689" t="s">
        <v>943</v>
      </c>
      <c r="J155" s="689" t="s">
        <v>944</v>
      </c>
      <c r="K155" s="689" t="s">
        <v>945</v>
      </c>
      <c r="L155" s="691">
        <v>462</v>
      </c>
      <c r="M155" s="691">
        <v>0.8</v>
      </c>
      <c r="N155" s="692">
        <v>369.6</v>
      </c>
    </row>
    <row r="156" spans="1:14" ht="14.4" customHeight="1" x14ac:dyDescent="0.3">
      <c r="A156" s="687" t="s">
        <v>583</v>
      </c>
      <c r="B156" s="688" t="s">
        <v>584</v>
      </c>
      <c r="C156" s="689" t="s">
        <v>596</v>
      </c>
      <c r="D156" s="690" t="s">
        <v>993</v>
      </c>
      <c r="E156" s="689" t="s">
        <v>666</v>
      </c>
      <c r="F156" s="690" t="s">
        <v>996</v>
      </c>
      <c r="G156" s="689" t="s">
        <v>603</v>
      </c>
      <c r="H156" s="689" t="s">
        <v>946</v>
      </c>
      <c r="I156" s="689" t="s">
        <v>946</v>
      </c>
      <c r="J156" s="689" t="s">
        <v>947</v>
      </c>
      <c r="K156" s="689" t="s">
        <v>948</v>
      </c>
      <c r="L156" s="691">
        <v>572.21999999999991</v>
      </c>
      <c r="M156" s="691">
        <v>1</v>
      </c>
      <c r="N156" s="692">
        <v>572.21999999999991</v>
      </c>
    </row>
    <row r="157" spans="1:14" ht="14.4" customHeight="1" x14ac:dyDescent="0.3">
      <c r="A157" s="687" t="s">
        <v>583</v>
      </c>
      <c r="B157" s="688" t="s">
        <v>584</v>
      </c>
      <c r="C157" s="689" t="s">
        <v>596</v>
      </c>
      <c r="D157" s="690" t="s">
        <v>993</v>
      </c>
      <c r="E157" s="689" t="s">
        <v>666</v>
      </c>
      <c r="F157" s="690" t="s">
        <v>996</v>
      </c>
      <c r="G157" s="689" t="s">
        <v>603</v>
      </c>
      <c r="H157" s="689" t="s">
        <v>678</v>
      </c>
      <c r="I157" s="689" t="s">
        <v>678</v>
      </c>
      <c r="J157" s="689" t="s">
        <v>679</v>
      </c>
      <c r="K157" s="689" t="s">
        <v>680</v>
      </c>
      <c r="L157" s="691">
        <v>138.34999999999991</v>
      </c>
      <c r="M157" s="691">
        <v>10</v>
      </c>
      <c r="N157" s="692">
        <v>1383.4999999999991</v>
      </c>
    </row>
    <row r="158" spans="1:14" ht="14.4" customHeight="1" x14ac:dyDescent="0.3">
      <c r="A158" s="687" t="s">
        <v>583</v>
      </c>
      <c r="B158" s="688" t="s">
        <v>584</v>
      </c>
      <c r="C158" s="689" t="s">
        <v>596</v>
      </c>
      <c r="D158" s="690" t="s">
        <v>993</v>
      </c>
      <c r="E158" s="689" t="s">
        <v>666</v>
      </c>
      <c r="F158" s="690" t="s">
        <v>996</v>
      </c>
      <c r="G158" s="689" t="s">
        <v>603</v>
      </c>
      <c r="H158" s="689" t="s">
        <v>949</v>
      </c>
      <c r="I158" s="689" t="s">
        <v>949</v>
      </c>
      <c r="J158" s="689" t="s">
        <v>950</v>
      </c>
      <c r="K158" s="689" t="s">
        <v>951</v>
      </c>
      <c r="L158" s="691">
        <v>251.65799999999999</v>
      </c>
      <c r="M158" s="691">
        <v>10</v>
      </c>
      <c r="N158" s="692">
        <v>2516.58</v>
      </c>
    </row>
    <row r="159" spans="1:14" ht="14.4" customHeight="1" x14ac:dyDescent="0.3">
      <c r="A159" s="687" t="s">
        <v>583</v>
      </c>
      <c r="B159" s="688" t="s">
        <v>584</v>
      </c>
      <c r="C159" s="689" t="s">
        <v>596</v>
      </c>
      <c r="D159" s="690" t="s">
        <v>993</v>
      </c>
      <c r="E159" s="689" t="s">
        <v>666</v>
      </c>
      <c r="F159" s="690" t="s">
        <v>996</v>
      </c>
      <c r="G159" s="689" t="s">
        <v>756</v>
      </c>
      <c r="H159" s="689" t="s">
        <v>952</v>
      </c>
      <c r="I159" s="689" t="s">
        <v>953</v>
      </c>
      <c r="J159" s="689" t="s">
        <v>954</v>
      </c>
      <c r="K159" s="689" t="s">
        <v>955</v>
      </c>
      <c r="L159" s="691">
        <v>29.370000000000012</v>
      </c>
      <c r="M159" s="691">
        <v>10</v>
      </c>
      <c r="N159" s="692">
        <v>293.7000000000001</v>
      </c>
    </row>
    <row r="160" spans="1:14" ht="14.4" customHeight="1" x14ac:dyDescent="0.3">
      <c r="A160" s="687" t="s">
        <v>583</v>
      </c>
      <c r="B160" s="688" t="s">
        <v>584</v>
      </c>
      <c r="C160" s="689" t="s">
        <v>596</v>
      </c>
      <c r="D160" s="690" t="s">
        <v>993</v>
      </c>
      <c r="E160" s="689" t="s">
        <v>666</v>
      </c>
      <c r="F160" s="690" t="s">
        <v>996</v>
      </c>
      <c r="G160" s="689" t="s">
        <v>756</v>
      </c>
      <c r="H160" s="689" t="s">
        <v>956</v>
      </c>
      <c r="I160" s="689" t="s">
        <v>956</v>
      </c>
      <c r="J160" s="689" t="s">
        <v>957</v>
      </c>
      <c r="K160" s="689" t="s">
        <v>951</v>
      </c>
      <c r="L160" s="691">
        <v>35.435000000000002</v>
      </c>
      <c r="M160" s="691">
        <v>16</v>
      </c>
      <c r="N160" s="692">
        <v>566.96</v>
      </c>
    </row>
    <row r="161" spans="1:14" ht="14.4" customHeight="1" x14ac:dyDescent="0.3">
      <c r="A161" s="687" t="s">
        <v>583</v>
      </c>
      <c r="B161" s="688" t="s">
        <v>584</v>
      </c>
      <c r="C161" s="689" t="s">
        <v>596</v>
      </c>
      <c r="D161" s="690" t="s">
        <v>993</v>
      </c>
      <c r="E161" s="689" t="s">
        <v>666</v>
      </c>
      <c r="F161" s="690" t="s">
        <v>996</v>
      </c>
      <c r="G161" s="689" t="s">
        <v>756</v>
      </c>
      <c r="H161" s="689" t="s">
        <v>958</v>
      </c>
      <c r="I161" s="689" t="s">
        <v>958</v>
      </c>
      <c r="J161" s="689" t="s">
        <v>959</v>
      </c>
      <c r="K161" s="689" t="s">
        <v>960</v>
      </c>
      <c r="L161" s="691">
        <v>1393.3049999999998</v>
      </c>
      <c r="M161" s="691">
        <v>2</v>
      </c>
      <c r="N161" s="692">
        <v>2786.6099999999997</v>
      </c>
    </row>
    <row r="162" spans="1:14" ht="14.4" customHeight="1" x14ac:dyDescent="0.3">
      <c r="A162" s="687" t="s">
        <v>583</v>
      </c>
      <c r="B162" s="688" t="s">
        <v>584</v>
      </c>
      <c r="C162" s="689" t="s">
        <v>596</v>
      </c>
      <c r="D162" s="690" t="s">
        <v>993</v>
      </c>
      <c r="E162" s="689" t="s">
        <v>681</v>
      </c>
      <c r="F162" s="690" t="s">
        <v>997</v>
      </c>
      <c r="G162" s="689" t="s">
        <v>756</v>
      </c>
      <c r="H162" s="689" t="s">
        <v>961</v>
      </c>
      <c r="I162" s="689" t="s">
        <v>961</v>
      </c>
      <c r="J162" s="689" t="s">
        <v>962</v>
      </c>
      <c r="K162" s="689" t="s">
        <v>963</v>
      </c>
      <c r="L162" s="691">
        <v>159.50000000000003</v>
      </c>
      <c r="M162" s="691">
        <v>1.4</v>
      </c>
      <c r="N162" s="692">
        <v>223.3</v>
      </c>
    </row>
    <row r="163" spans="1:14" ht="14.4" customHeight="1" x14ac:dyDescent="0.3">
      <c r="A163" s="687" t="s">
        <v>583</v>
      </c>
      <c r="B163" s="688" t="s">
        <v>584</v>
      </c>
      <c r="C163" s="689" t="s">
        <v>596</v>
      </c>
      <c r="D163" s="690" t="s">
        <v>993</v>
      </c>
      <c r="E163" s="689" t="s">
        <v>964</v>
      </c>
      <c r="F163" s="690" t="s">
        <v>999</v>
      </c>
      <c r="G163" s="689"/>
      <c r="H163" s="689"/>
      <c r="I163" s="689" t="s">
        <v>965</v>
      </c>
      <c r="J163" s="689" t="s">
        <v>966</v>
      </c>
      <c r="K163" s="689"/>
      <c r="L163" s="691">
        <v>137.38999999999999</v>
      </c>
      <c r="M163" s="691">
        <v>4</v>
      </c>
      <c r="N163" s="692">
        <v>549.55999999999995</v>
      </c>
    </row>
    <row r="164" spans="1:14" ht="14.4" customHeight="1" x14ac:dyDescent="0.3">
      <c r="A164" s="687" t="s">
        <v>583</v>
      </c>
      <c r="B164" s="688" t="s">
        <v>584</v>
      </c>
      <c r="C164" s="689" t="s">
        <v>596</v>
      </c>
      <c r="D164" s="690" t="s">
        <v>993</v>
      </c>
      <c r="E164" s="689" t="s">
        <v>964</v>
      </c>
      <c r="F164" s="690" t="s">
        <v>999</v>
      </c>
      <c r="G164" s="689"/>
      <c r="H164" s="689"/>
      <c r="I164" s="689" t="s">
        <v>967</v>
      </c>
      <c r="J164" s="689" t="s">
        <v>968</v>
      </c>
      <c r="K164" s="689"/>
      <c r="L164" s="691">
        <v>2945.8</v>
      </c>
      <c r="M164" s="691">
        <v>2</v>
      </c>
      <c r="N164" s="692">
        <v>5891.6</v>
      </c>
    </row>
    <row r="165" spans="1:14" ht="14.4" customHeight="1" x14ac:dyDescent="0.3">
      <c r="A165" s="687" t="s">
        <v>583</v>
      </c>
      <c r="B165" s="688" t="s">
        <v>584</v>
      </c>
      <c r="C165" s="689" t="s">
        <v>596</v>
      </c>
      <c r="D165" s="690" t="s">
        <v>993</v>
      </c>
      <c r="E165" s="689" t="s">
        <v>969</v>
      </c>
      <c r="F165" s="690" t="s">
        <v>1000</v>
      </c>
      <c r="G165" s="689" t="s">
        <v>603</v>
      </c>
      <c r="H165" s="689" t="s">
        <v>970</v>
      </c>
      <c r="I165" s="689" t="s">
        <v>970</v>
      </c>
      <c r="J165" s="689" t="s">
        <v>971</v>
      </c>
      <c r="K165" s="689" t="s">
        <v>972</v>
      </c>
      <c r="L165" s="691">
        <v>1221</v>
      </c>
      <c r="M165" s="691">
        <v>5</v>
      </c>
      <c r="N165" s="692">
        <v>6105</v>
      </c>
    </row>
    <row r="166" spans="1:14" ht="14.4" customHeight="1" x14ac:dyDescent="0.3">
      <c r="A166" s="687" t="s">
        <v>583</v>
      </c>
      <c r="B166" s="688" t="s">
        <v>584</v>
      </c>
      <c r="C166" s="689" t="s">
        <v>596</v>
      </c>
      <c r="D166" s="690" t="s">
        <v>993</v>
      </c>
      <c r="E166" s="689" t="s">
        <v>969</v>
      </c>
      <c r="F166" s="690" t="s">
        <v>1000</v>
      </c>
      <c r="G166" s="689" t="s">
        <v>603</v>
      </c>
      <c r="H166" s="689" t="s">
        <v>973</v>
      </c>
      <c r="I166" s="689" t="s">
        <v>973</v>
      </c>
      <c r="J166" s="689" t="s">
        <v>974</v>
      </c>
      <c r="K166" s="689" t="s">
        <v>975</v>
      </c>
      <c r="L166" s="691">
        <v>1496</v>
      </c>
      <c r="M166" s="691">
        <v>3</v>
      </c>
      <c r="N166" s="692">
        <v>4488</v>
      </c>
    </row>
    <row r="167" spans="1:14" ht="14.4" customHeight="1" x14ac:dyDescent="0.3">
      <c r="A167" s="687" t="s">
        <v>583</v>
      </c>
      <c r="B167" s="688" t="s">
        <v>584</v>
      </c>
      <c r="C167" s="689" t="s">
        <v>596</v>
      </c>
      <c r="D167" s="690" t="s">
        <v>993</v>
      </c>
      <c r="E167" s="689" t="s">
        <v>976</v>
      </c>
      <c r="F167" s="690" t="s">
        <v>1001</v>
      </c>
      <c r="G167" s="689" t="s">
        <v>603</v>
      </c>
      <c r="H167" s="689" t="s">
        <v>977</v>
      </c>
      <c r="I167" s="689" t="s">
        <v>632</v>
      </c>
      <c r="J167" s="689" t="s">
        <v>978</v>
      </c>
      <c r="K167" s="689" t="s">
        <v>979</v>
      </c>
      <c r="L167" s="691">
        <v>513.0446812524666</v>
      </c>
      <c r="M167" s="691">
        <v>80</v>
      </c>
      <c r="N167" s="692">
        <v>41043.574500197326</v>
      </c>
    </row>
    <row r="168" spans="1:14" ht="14.4" customHeight="1" x14ac:dyDescent="0.3">
      <c r="A168" s="687" t="s">
        <v>583</v>
      </c>
      <c r="B168" s="688" t="s">
        <v>584</v>
      </c>
      <c r="C168" s="689" t="s">
        <v>596</v>
      </c>
      <c r="D168" s="690" t="s">
        <v>993</v>
      </c>
      <c r="E168" s="689" t="s">
        <v>976</v>
      </c>
      <c r="F168" s="690" t="s">
        <v>1001</v>
      </c>
      <c r="G168" s="689" t="s">
        <v>603</v>
      </c>
      <c r="H168" s="689" t="s">
        <v>980</v>
      </c>
      <c r="I168" s="689" t="s">
        <v>632</v>
      </c>
      <c r="J168" s="689" t="s">
        <v>978</v>
      </c>
      <c r="K168" s="689" t="s">
        <v>981</v>
      </c>
      <c r="L168" s="691">
        <v>756.22950877040807</v>
      </c>
      <c r="M168" s="691">
        <v>57</v>
      </c>
      <c r="N168" s="692">
        <v>43105.081999913258</v>
      </c>
    </row>
    <row r="169" spans="1:14" ht="14.4" customHeight="1" x14ac:dyDescent="0.3">
      <c r="A169" s="687" t="s">
        <v>583</v>
      </c>
      <c r="B169" s="688" t="s">
        <v>584</v>
      </c>
      <c r="C169" s="689" t="s">
        <v>596</v>
      </c>
      <c r="D169" s="690" t="s">
        <v>993</v>
      </c>
      <c r="E169" s="689" t="s">
        <v>976</v>
      </c>
      <c r="F169" s="690" t="s">
        <v>1001</v>
      </c>
      <c r="G169" s="689" t="s">
        <v>603</v>
      </c>
      <c r="H169" s="689" t="s">
        <v>982</v>
      </c>
      <c r="I169" s="689" t="s">
        <v>632</v>
      </c>
      <c r="J169" s="689" t="s">
        <v>983</v>
      </c>
      <c r="K169" s="689" t="s">
        <v>984</v>
      </c>
      <c r="L169" s="691">
        <v>1130.0680000785646</v>
      </c>
      <c r="M169" s="691">
        <v>10</v>
      </c>
      <c r="N169" s="692">
        <v>11300.680000785647</v>
      </c>
    </row>
    <row r="170" spans="1:14" ht="14.4" customHeight="1" x14ac:dyDescent="0.3">
      <c r="A170" s="687" t="s">
        <v>583</v>
      </c>
      <c r="B170" s="688" t="s">
        <v>584</v>
      </c>
      <c r="C170" s="689" t="s">
        <v>599</v>
      </c>
      <c r="D170" s="690" t="s">
        <v>994</v>
      </c>
      <c r="E170" s="689" t="s">
        <v>985</v>
      </c>
      <c r="F170" s="690" t="s">
        <v>1002</v>
      </c>
      <c r="G170" s="689" t="s">
        <v>603</v>
      </c>
      <c r="H170" s="689" t="s">
        <v>986</v>
      </c>
      <c r="I170" s="689" t="s">
        <v>986</v>
      </c>
      <c r="J170" s="689" t="s">
        <v>987</v>
      </c>
      <c r="K170" s="689" t="s">
        <v>988</v>
      </c>
      <c r="L170" s="691">
        <v>9827.1100000000024</v>
      </c>
      <c r="M170" s="691">
        <v>15</v>
      </c>
      <c r="N170" s="692">
        <v>147406.65000000002</v>
      </c>
    </row>
    <row r="171" spans="1:14" ht="14.4" customHeight="1" thickBot="1" x14ac:dyDescent="0.35">
      <c r="A171" s="693" t="s">
        <v>583</v>
      </c>
      <c r="B171" s="694" t="s">
        <v>584</v>
      </c>
      <c r="C171" s="695" t="s">
        <v>599</v>
      </c>
      <c r="D171" s="696" t="s">
        <v>994</v>
      </c>
      <c r="E171" s="695" t="s">
        <v>985</v>
      </c>
      <c r="F171" s="696" t="s">
        <v>1002</v>
      </c>
      <c r="G171" s="695" t="s">
        <v>603</v>
      </c>
      <c r="H171" s="695" t="s">
        <v>989</v>
      </c>
      <c r="I171" s="695" t="s">
        <v>989</v>
      </c>
      <c r="J171" s="695" t="s">
        <v>987</v>
      </c>
      <c r="K171" s="695" t="s">
        <v>990</v>
      </c>
      <c r="L171" s="697">
        <v>19671.62</v>
      </c>
      <c r="M171" s="697">
        <v>40</v>
      </c>
      <c r="N171" s="698">
        <v>786864.79999999993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7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7"/>
  </cols>
  <sheetData>
    <row r="1" spans="1:6" ht="37.200000000000003" customHeight="1" thickBot="1" x14ac:dyDescent="0.4">
      <c r="A1" s="542" t="s">
        <v>197</v>
      </c>
      <c r="B1" s="543"/>
      <c r="C1" s="543"/>
      <c r="D1" s="543"/>
      <c r="E1" s="543"/>
      <c r="F1" s="543"/>
    </row>
    <row r="2" spans="1:6" ht="14.4" customHeight="1" thickBot="1" x14ac:dyDescent="0.35">
      <c r="A2" s="360" t="s">
        <v>344</v>
      </c>
      <c r="B2" s="67"/>
      <c r="C2" s="68"/>
      <c r="D2" s="69"/>
      <c r="E2" s="68"/>
      <c r="F2" s="69"/>
    </row>
    <row r="3" spans="1:6" ht="14.4" customHeight="1" thickBot="1" x14ac:dyDescent="0.35">
      <c r="A3" s="195"/>
      <c r="B3" s="544" t="s">
        <v>153</v>
      </c>
      <c r="C3" s="545"/>
      <c r="D3" s="546" t="s">
        <v>152</v>
      </c>
      <c r="E3" s="545"/>
      <c r="F3" s="97" t="s">
        <v>3</v>
      </c>
    </row>
    <row r="4" spans="1:6" ht="14.4" customHeight="1" thickBot="1" x14ac:dyDescent="0.35">
      <c r="A4" s="699" t="s">
        <v>177</v>
      </c>
      <c r="B4" s="700" t="s">
        <v>14</v>
      </c>
      <c r="C4" s="701" t="s">
        <v>2</v>
      </c>
      <c r="D4" s="700" t="s">
        <v>14</v>
      </c>
      <c r="E4" s="701" t="s">
        <v>2</v>
      </c>
      <c r="F4" s="702" t="s">
        <v>14</v>
      </c>
    </row>
    <row r="5" spans="1:6" ht="14.4" customHeight="1" x14ac:dyDescent="0.3">
      <c r="A5" s="713" t="s">
        <v>1003</v>
      </c>
      <c r="B5" s="685">
        <v>576.32000000000005</v>
      </c>
      <c r="C5" s="703">
        <v>5.2435676858954477E-2</v>
      </c>
      <c r="D5" s="685">
        <v>10414.67</v>
      </c>
      <c r="E5" s="703">
        <v>0.94756432314104555</v>
      </c>
      <c r="F5" s="686">
        <v>10990.99</v>
      </c>
    </row>
    <row r="6" spans="1:6" ht="14.4" customHeight="1" thickBot="1" x14ac:dyDescent="0.35">
      <c r="A6" s="714" t="s">
        <v>1004</v>
      </c>
      <c r="B6" s="706">
        <v>188.55</v>
      </c>
      <c r="C6" s="707">
        <v>9.1469626553601038E-2</v>
      </c>
      <c r="D6" s="706">
        <v>1872.7900000000004</v>
      </c>
      <c r="E6" s="707">
        <v>0.90853037344639886</v>
      </c>
      <c r="F6" s="708">
        <v>2061.3400000000006</v>
      </c>
    </row>
    <row r="7" spans="1:6" ht="14.4" customHeight="1" thickBot="1" x14ac:dyDescent="0.35">
      <c r="A7" s="709" t="s">
        <v>3</v>
      </c>
      <c r="B7" s="710">
        <v>764.87000000000012</v>
      </c>
      <c r="C7" s="711">
        <v>5.8600265239999304E-2</v>
      </c>
      <c r="D7" s="710">
        <v>12287.460000000001</v>
      </c>
      <c r="E7" s="711">
        <v>0.94139973476000083</v>
      </c>
      <c r="F7" s="712">
        <v>13052.33</v>
      </c>
    </row>
    <row r="8" spans="1:6" ht="14.4" customHeight="1" thickBot="1" x14ac:dyDescent="0.35"/>
    <row r="9" spans="1:6" ht="14.4" customHeight="1" x14ac:dyDescent="0.3">
      <c r="A9" s="713" t="s">
        <v>1005</v>
      </c>
      <c r="B9" s="685">
        <v>576.32000000000005</v>
      </c>
      <c r="C9" s="703">
        <v>1</v>
      </c>
      <c r="D9" s="685"/>
      <c r="E9" s="703">
        <v>0</v>
      </c>
      <c r="F9" s="686">
        <v>576.32000000000005</v>
      </c>
    </row>
    <row r="10" spans="1:6" ht="14.4" customHeight="1" x14ac:dyDescent="0.3">
      <c r="A10" s="716" t="s">
        <v>1006</v>
      </c>
      <c r="B10" s="691">
        <v>188.55</v>
      </c>
      <c r="C10" s="704">
        <v>4.041159601692336E-2</v>
      </c>
      <c r="D10" s="691">
        <v>4477.1900000000005</v>
      </c>
      <c r="E10" s="704">
        <v>0.95958840398307665</v>
      </c>
      <c r="F10" s="692">
        <v>4665.7400000000007</v>
      </c>
    </row>
    <row r="11" spans="1:6" ht="14.4" customHeight="1" x14ac:dyDescent="0.3">
      <c r="A11" s="716" t="s">
        <v>1007</v>
      </c>
      <c r="B11" s="691"/>
      <c r="C11" s="704">
        <v>0</v>
      </c>
      <c r="D11" s="691">
        <v>3355.6000000000004</v>
      </c>
      <c r="E11" s="704">
        <v>1</v>
      </c>
      <c r="F11" s="692">
        <v>3355.6000000000004</v>
      </c>
    </row>
    <row r="12" spans="1:6" ht="14.4" customHeight="1" x14ac:dyDescent="0.3">
      <c r="A12" s="716" t="s">
        <v>1008</v>
      </c>
      <c r="B12" s="691"/>
      <c r="C12" s="704">
        <v>0</v>
      </c>
      <c r="D12" s="691">
        <v>566.96</v>
      </c>
      <c r="E12" s="704">
        <v>1</v>
      </c>
      <c r="F12" s="692">
        <v>566.96</v>
      </c>
    </row>
    <row r="13" spans="1:6" ht="14.4" customHeight="1" x14ac:dyDescent="0.3">
      <c r="A13" s="716" t="s">
        <v>1009</v>
      </c>
      <c r="B13" s="691"/>
      <c r="C13" s="704">
        <v>0</v>
      </c>
      <c r="D13" s="691">
        <v>247.5</v>
      </c>
      <c r="E13" s="704">
        <v>1</v>
      </c>
      <c r="F13" s="692">
        <v>247.5</v>
      </c>
    </row>
    <row r="14" spans="1:6" ht="14.4" customHeight="1" x14ac:dyDescent="0.3">
      <c r="A14" s="716" t="s">
        <v>1010</v>
      </c>
      <c r="B14" s="691"/>
      <c r="C14" s="704">
        <v>0</v>
      </c>
      <c r="D14" s="691">
        <v>336.59999999999997</v>
      </c>
      <c r="E14" s="704">
        <v>1</v>
      </c>
      <c r="F14" s="692">
        <v>336.59999999999997</v>
      </c>
    </row>
    <row r="15" spans="1:6" ht="14.4" customHeight="1" x14ac:dyDescent="0.3">
      <c r="A15" s="716" t="s">
        <v>1011</v>
      </c>
      <c r="B15" s="691"/>
      <c r="C15" s="704">
        <v>0</v>
      </c>
      <c r="D15" s="691">
        <v>2786.6099999999997</v>
      </c>
      <c r="E15" s="704">
        <v>1</v>
      </c>
      <c r="F15" s="692">
        <v>2786.6099999999997</v>
      </c>
    </row>
    <row r="16" spans="1:6" ht="14.4" customHeight="1" x14ac:dyDescent="0.3">
      <c r="A16" s="716" t="s">
        <v>1012</v>
      </c>
      <c r="B16" s="691"/>
      <c r="C16" s="704">
        <v>0</v>
      </c>
      <c r="D16" s="691">
        <v>293.7000000000001</v>
      </c>
      <c r="E16" s="704">
        <v>1</v>
      </c>
      <c r="F16" s="692">
        <v>293.7000000000001</v>
      </c>
    </row>
    <row r="17" spans="1:6" ht="14.4" customHeight="1" thickBot="1" x14ac:dyDescent="0.35">
      <c r="A17" s="714" t="s">
        <v>1013</v>
      </c>
      <c r="B17" s="706"/>
      <c r="C17" s="707">
        <v>0</v>
      </c>
      <c r="D17" s="706">
        <v>223.3</v>
      </c>
      <c r="E17" s="707">
        <v>1</v>
      </c>
      <c r="F17" s="708">
        <v>223.3</v>
      </c>
    </row>
    <row r="18" spans="1:6" ht="14.4" customHeight="1" thickBot="1" x14ac:dyDescent="0.35">
      <c r="A18" s="709" t="s">
        <v>3</v>
      </c>
      <c r="B18" s="710">
        <v>764.87000000000012</v>
      </c>
      <c r="C18" s="711">
        <v>5.8600265239999297E-2</v>
      </c>
      <c r="D18" s="710">
        <v>12287.460000000001</v>
      </c>
      <c r="E18" s="711">
        <v>0.94139973476000061</v>
      </c>
      <c r="F18" s="712">
        <v>13052.330000000002</v>
      </c>
    </row>
  </sheetData>
  <mergeCells count="3">
    <mergeCell ref="A1:F1"/>
    <mergeCell ref="B3:C3"/>
    <mergeCell ref="D3:E3"/>
  </mergeCells>
  <conditionalFormatting sqref="C5:C1048576">
    <cfRule type="cellIs" dxfId="6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2017-03-31T12:38:42Z</dcterms:modified>
</cp:coreProperties>
</file>