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3F72CE1A-D7B0-415C-BDD4-D4737E02EC43}" xr6:coauthVersionLast="41" xr6:coauthVersionMax="41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  <sheet name="CaseMix" sheetId="370" r:id="rId27"/>
    <sheet name="ALOS" sheetId="374" r:id="rId28"/>
    <sheet name="Total" sheetId="371" r:id="rId29"/>
    <sheet name="ZV Vyžád." sheetId="342" r:id="rId30"/>
    <sheet name="ZV Vyžád. Detail" sheetId="343" r:id="rId31"/>
    <sheet name="OD TISS" sheetId="372" r:id="rId32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1" hidden="1">'OD TISS'!$A$5:$N$5</definedName>
    <definedName name="_xlnm._FilterDatabase" localSheetId="28" hidden="1">Total!$A$4:$Y$4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_xlnm._FilterDatabase" localSheetId="29" hidden="1">'ZV Vyžád.'!$A$5:$M$5</definedName>
    <definedName name="_xlnm._FilterDatabase" localSheetId="30" hidden="1">'ZV Vyžád.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  <definedName name="_xlnm.Print_Area" localSheetId="27">ALOS!$A$1:$M$45</definedName>
    <definedName name="_xlnm.Print_Area" localSheetId="26">CaseMix!$A$1:$O$39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49" i="371" l="1"/>
  <c r="S49" i="371"/>
  <c r="T48" i="371"/>
  <c r="S48" i="371"/>
  <c r="T47" i="371"/>
  <c r="S47" i="371"/>
  <c r="T46" i="371"/>
  <c r="S46" i="371"/>
  <c r="T45" i="371"/>
  <c r="S45" i="371"/>
  <c r="T44" i="371"/>
  <c r="S44" i="371"/>
  <c r="T43" i="371"/>
  <c r="S43" i="371"/>
  <c r="T42" i="371"/>
  <c r="S42" i="371"/>
  <c r="T41" i="371"/>
  <c r="S41" i="371"/>
  <c r="T40" i="371"/>
  <c r="S40" i="371"/>
  <c r="T39" i="371"/>
  <c r="S39" i="371"/>
  <c r="T38" i="371"/>
  <c r="S38" i="371"/>
  <c r="T37" i="371"/>
  <c r="S37" i="371"/>
  <c r="T36" i="371"/>
  <c r="S36" i="371"/>
  <c r="T35" i="371"/>
  <c r="S35" i="371"/>
  <c r="T34" i="371"/>
  <c r="S34" i="371"/>
  <c r="T33" i="371"/>
  <c r="S33" i="371"/>
  <c r="T32" i="371"/>
  <c r="S32" i="371"/>
  <c r="T31" i="371"/>
  <c r="S31" i="371"/>
  <c r="T30" i="371"/>
  <c r="S30" i="371"/>
  <c r="T29" i="371"/>
  <c r="S29" i="371"/>
  <c r="T28" i="371"/>
  <c r="S28" i="371"/>
  <c r="T27" i="371"/>
  <c r="S27" i="371"/>
  <c r="T26" i="371"/>
  <c r="S26" i="371"/>
  <c r="T25" i="371"/>
  <c r="S25" i="371"/>
  <c r="T24" i="371"/>
  <c r="S24" i="371"/>
  <c r="T23" i="371"/>
  <c r="S23" i="371"/>
  <c r="T22" i="371"/>
  <c r="S22" i="371"/>
  <c r="T21" i="371"/>
  <c r="S21" i="371"/>
  <c r="T20" i="371"/>
  <c r="S20" i="371"/>
  <c r="T19" i="371"/>
  <c r="S19" i="371"/>
  <c r="T18" i="371"/>
  <c r="S18" i="371"/>
  <c r="T17" i="371"/>
  <c r="S17" i="371"/>
  <c r="T16" i="371"/>
  <c r="S16" i="371"/>
  <c r="T15" i="371"/>
  <c r="S15" i="371"/>
  <c r="T14" i="371"/>
  <c r="S14" i="371"/>
  <c r="T13" i="37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49" i="371"/>
  <c r="Q49" i="371"/>
  <c r="R48" i="371"/>
  <c r="Q48" i="371"/>
  <c r="R47" i="371"/>
  <c r="Q47" i="371"/>
  <c r="R46" i="371"/>
  <c r="Q46" i="371"/>
  <c r="R45" i="371"/>
  <c r="Q45" i="371"/>
  <c r="R44" i="371"/>
  <c r="Q44" i="371"/>
  <c r="R43" i="371"/>
  <c r="Q43" i="371"/>
  <c r="R42" i="371"/>
  <c r="Q42" i="371"/>
  <c r="R41" i="371"/>
  <c r="Q41" i="371"/>
  <c r="R40" i="371"/>
  <c r="Q40" i="371"/>
  <c r="R39" i="371"/>
  <c r="Q39" i="371"/>
  <c r="R38" i="371"/>
  <c r="Q38" i="371"/>
  <c r="R37" i="371"/>
  <c r="Q37" i="371"/>
  <c r="R36" i="371"/>
  <c r="Q36" i="371"/>
  <c r="R35" i="371"/>
  <c r="Q35" i="371"/>
  <c r="R34" i="371"/>
  <c r="Q34" i="371"/>
  <c r="R33" i="371"/>
  <c r="Q33" i="371"/>
  <c r="R32" i="371"/>
  <c r="Q32" i="371"/>
  <c r="R31" i="371"/>
  <c r="Q31" i="371"/>
  <c r="R30" i="371"/>
  <c r="Q30" i="371"/>
  <c r="R29" i="371"/>
  <c r="Q29" i="371"/>
  <c r="R28" i="371"/>
  <c r="Q28" i="371"/>
  <c r="R27" i="371"/>
  <c r="Q27" i="371"/>
  <c r="R26" i="371"/>
  <c r="Q26" i="371"/>
  <c r="R25" i="371"/>
  <c r="Q25" i="371"/>
  <c r="R24" i="371"/>
  <c r="Q24" i="371"/>
  <c r="R23" i="371"/>
  <c r="Q23" i="371"/>
  <c r="R22" i="371"/>
  <c r="Q22" i="371"/>
  <c r="R21" i="371"/>
  <c r="Q21" i="371"/>
  <c r="R20" i="371"/>
  <c r="Q20" i="371"/>
  <c r="R19" i="371"/>
  <c r="Q19" i="371"/>
  <c r="R18" i="371"/>
  <c r="Q18" i="371"/>
  <c r="R17" i="371"/>
  <c r="Q17" i="371"/>
  <c r="R16" i="371"/>
  <c r="Q16" i="371"/>
  <c r="R15" i="371"/>
  <c r="Q15" i="371"/>
  <c r="R14" i="371"/>
  <c r="Q14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C9" i="431"/>
  <c r="C17" i="431"/>
  <c r="D11" i="431"/>
  <c r="D19" i="431"/>
  <c r="E13" i="431"/>
  <c r="E21" i="431"/>
  <c r="F15" i="431"/>
  <c r="G9" i="431"/>
  <c r="G17" i="431"/>
  <c r="J15" i="431"/>
  <c r="K17" i="431"/>
  <c r="N15" i="431"/>
  <c r="Q21" i="431"/>
  <c r="L12" i="431"/>
  <c r="O18" i="431"/>
  <c r="P13" i="431"/>
  <c r="C10" i="431"/>
  <c r="C18" i="431"/>
  <c r="D12" i="431"/>
  <c r="D20" i="431"/>
  <c r="E14" i="431"/>
  <c r="E22" i="431"/>
  <c r="F16" i="431"/>
  <c r="G10" i="431"/>
  <c r="G18" i="431"/>
  <c r="H12" i="431"/>
  <c r="H20" i="431"/>
  <c r="I14" i="431"/>
  <c r="I22" i="431"/>
  <c r="J16" i="431"/>
  <c r="K10" i="431"/>
  <c r="K18" i="431"/>
  <c r="N16" i="431"/>
  <c r="P12" i="431"/>
  <c r="C11" i="431"/>
  <c r="C19" i="431"/>
  <c r="D13" i="431"/>
  <c r="D21" i="431"/>
  <c r="E15" i="431"/>
  <c r="F9" i="431"/>
  <c r="F17" i="431"/>
  <c r="G11" i="431"/>
  <c r="G19" i="431"/>
  <c r="H13" i="431"/>
  <c r="H21" i="431"/>
  <c r="I15" i="431"/>
  <c r="J9" i="431"/>
  <c r="J17" i="431"/>
  <c r="K11" i="431"/>
  <c r="K19" i="431"/>
  <c r="L13" i="431"/>
  <c r="L21" i="431"/>
  <c r="M15" i="431"/>
  <c r="N9" i="431"/>
  <c r="N17" i="431"/>
  <c r="C12" i="431"/>
  <c r="C20" i="431"/>
  <c r="D14" i="431"/>
  <c r="D22" i="431"/>
  <c r="E16" i="431"/>
  <c r="F10" i="431"/>
  <c r="F18" i="431"/>
  <c r="G12" i="431"/>
  <c r="G20" i="431"/>
  <c r="H14" i="431"/>
  <c r="H22" i="431"/>
  <c r="I16" i="431"/>
  <c r="J10" i="431"/>
  <c r="J18" i="431"/>
  <c r="K12" i="431"/>
  <c r="K20" i="431"/>
  <c r="L14" i="431"/>
  <c r="L22" i="431"/>
  <c r="M16" i="431"/>
  <c r="N10" i="431"/>
  <c r="N18" i="431"/>
  <c r="O12" i="431"/>
  <c r="O20" i="431"/>
  <c r="P14" i="431"/>
  <c r="P22" i="431"/>
  <c r="Q16" i="431"/>
  <c r="N11" i="431"/>
  <c r="O13" i="431"/>
  <c r="O21" i="431"/>
  <c r="Q9" i="431"/>
  <c r="C14" i="431"/>
  <c r="C22" i="431"/>
  <c r="E10" i="431"/>
  <c r="E18" i="431"/>
  <c r="F12" i="431"/>
  <c r="G22" i="431"/>
  <c r="H16" i="431"/>
  <c r="I18" i="431"/>
  <c r="J12" i="431"/>
  <c r="K14" i="431"/>
  <c r="L16" i="431"/>
  <c r="M18" i="431"/>
  <c r="N20" i="431"/>
  <c r="O22" i="431"/>
  <c r="Q18" i="431"/>
  <c r="P18" i="431"/>
  <c r="I13" i="431"/>
  <c r="L11" i="431"/>
  <c r="M21" i="431"/>
  <c r="P11" i="431"/>
  <c r="M22" i="431"/>
  <c r="P20" i="431"/>
  <c r="P21" i="431"/>
  <c r="C13" i="431"/>
  <c r="C21" i="431"/>
  <c r="D15" i="431"/>
  <c r="E9" i="431"/>
  <c r="E17" i="431"/>
  <c r="F11" i="431"/>
  <c r="F19" i="431"/>
  <c r="G13" i="431"/>
  <c r="G21" i="431"/>
  <c r="H15" i="431"/>
  <c r="I9" i="431"/>
  <c r="I17" i="431"/>
  <c r="J11" i="431"/>
  <c r="J19" i="431"/>
  <c r="K13" i="431"/>
  <c r="K21" i="431"/>
  <c r="L15" i="431"/>
  <c r="M9" i="431"/>
  <c r="M17" i="431"/>
  <c r="N19" i="431"/>
  <c r="P15" i="431"/>
  <c r="Q17" i="431"/>
  <c r="D16" i="431"/>
  <c r="F20" i="431"/>
  <c r="I10" i="431"/>
  <c r="J20" i="431"/>
  <c r="K22" i="431"/>
  <c r="N12" i="431"/>
  <c r="P16" i="431"/>
  <c r="I21" i="431"/>
  <c r="O17" i="431"/>
  <c r="M14" i="431"/>
  <c r="Q15" i="431"/>
  <c r="G14" i="431"/>
  <c r="M10" i="431"/>
  <c r="O14" i="431"/>
  <c r="Q10" i="431"/>
  <c r="Q12" i="431"/>
  <c r="H19" i="431"/>
  <c r="L19" i="431"/>
  <c r="O9" i="431"/>
  <c r="Q13" i="431"/>
  <c r="O10" i="431"/>
  <c r="Q14" i="431"/>
  <c r="O19" i="431"/>
  <c r="C15" i="431"/>
  <c r="D9" i="431"/>
  <c r="D17" i="431"/>
  <c r="E11" i="431"/>
  <c r="E19" i="431"/>
  <c r="F13" i="431"/>
  <c r="F21" i="431"/>
  <c r="G15" i="431"/>
  <c r="H9" i="431"/>
  <c r="H17" i="431"/>
  <c r="I11" i="431"/>
  <c r="I19" i="431"/>
  <c r="J13" i="431"/>
  <c r="J21" i="431"/>
  <c r="K15" i="431"/>
  <c r="L9" i="431"/>
  <c r="L17" i="431"/>
  <c r="M11" i="431"/>
  <c r="M19" i="431"/>
  <c r="N13" i="431"/>
  <c r="N21" i="431"/>
  <c r="O15" i="431"/>
  <c r="P9" i="431"/>
  <c r="P17" i="431"/>
  <c r="Q11" i="431"/>
  <c r="Q19" i="431"/>
  <c r="C16" i="431"/>
  <c r="D10" i="431"/>
  <c r="D18" i="431"/>
  <c r="E12" i="431"/>
  <c r="E20" i="431"/>
  <c r="F14" i="431"/>
  <c r="F22" i="431"/>
  <c r="G16" i="431"/>
  <c r="H10" i="431"/>
  <c r="H18" i="431"/>
  <c r="I12" i="431"/>
  <c r="I20" i="431"/>
  <c r="J14" i="431"/>
  <c r="J22" i="431"/>
  <c r="K16" i="431"/>
  <c r="L10" i="431"/>
  <c r="L18" i="431"/>
  <c r="M12" i="431"/>
  <c r="M20" i="431"/>
  <c r="N14" i="431"/>
  <c r="N22" i="431"/>
  <c r="O16" i="431"/>
  <c r="P10" i="431"/>
  <c r="Q20" i="431"/>
  <c r="H11" i="431"/>
  <c r="K9" i="431"/>
  <c r="M13" i="431"/>
  <c r="P19" i="431"/>
  <c r="L20" i="431"/>
  <c r="Q22" i="431"/>
  <c r="O11" i="431"/>
  <c r="O8" i="431"/>
  <c r="M8" i="431"/>
  <c r="G8" i="431"/>
  <c r="H8" i="431"/>
  <c r="J8" i="431"/>
  <c r="K8" i="431"/>
  <c r="P8" i="431"/>
  <c r="N8" i="431"/>
  <c r="I8" i="431"/>
  <c r="Q8" i="431"/>
  <c r="L8" i="431"/>
  <c r="E8" i="431"/>
  <c r="F8" i="431"/>
  <c r="D8" i="431"/>
  <c r="C8" i="431"/>
  <c r="S22" i="431" l="1"/>
  <c r="R22" i="431"/>
  <c r="S20" i="431"/>
  <c r="R20" i="431"/>
  <c r="R19" i="431"/>
  <c r="S19" i="431"/>
  <c r="S11" i="431"/>
  <c r="R11" i="431"/>
  <c r="S14" i="431"/>
  <c r="R14" i="431"/>
  <c r="S13" i="431"/>
  <c r="R13" i="431"/>
  <c r="S12" i="431"/>
  <c r="R12" i="431"/>
  <c r="S10" i="431"/>
  <c r="R10" i="431"/>
  <c r="S15" i="431"/>
  <c r="R15" i="431"/>
  <c r="R17" i="431"/>
  <c r="S17" i="431"/>
  <c r="R18" i="431"/>
  <c r="S18" i="431"/>
  <c r="R9" i="431"/>
  <c r="S9" i="431"/>
  <c r="S16" i="431"/>
  <c r="R16" i="431"/>
  <c r="S21" i="431"/>
  <c r="R21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T5" i="371" l="1"/>
  <c r="S5" i="371"/>
  <c r="D22" i="414" l="1"/>
  <c r="E22" i="414" s="1"/>
  <c r="D21" i="414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25" i="414" l="1"/>
  <c r="A26" i="414"/>
  <c r="A28" i="414"/>
  <c r="A27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K13" i="370" l="1"/>
  <c r="P26" i="370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8" i="414" s="1"/>
  <c r="E28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37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D13" i="370" l="1"/>
  <c r="C13" i="370"/>
  <c r="B13" i="370"/>
  <c r="P13" i="370" l="1"/>
  <c r="N13" i="370"/>
  <c r="F13" i="370"/>
  <c r="D25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31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9" i="414" l="1"/>
  <c r="A24" i="414" l="1"/>
  <c r="A19" i="414"/>
  <c r="L3" i="342" l="1"/>
  <c r="K3" i="342"/>
  <c r="J3" i="342"/>
  <c r="M3" i="342" s="1"/>
  <c r="I3" i="342"/>
  <c r="H3" i="342"/>
  <c r="F3" i="342"/>
  <c r="E3" i="342"/>
  <c r="D3" i="342"/>
  <c r="C3" i="342"/>
  <c r="B3" i="342"/>
  <c r="R3" i="410"/>
  <c r="Q3" i="410"/>
  <c r="P3" i="410"/>
  <c r="S3" i="410" s="1"/>
  <c r="O3" i="410"/>
  <c r="N3" i="410"/>
  <c r="L3" i="410"/>
  <c r="K3" i="410"/>
  <c r="J3" i="410"/>
  <c r="I3" i="410"/>
  <c r="H3" i="410"/>
  <c r="F3" i="410"/>
  <c r="E3" i="410"/>
  <c r="D3" i="410"/>
  <c r="G3" i="410" s="1"/>
  <c r="C3" i="410"/>
  <c r="B3" i="410"/>
  <c r="D23" i="414" s="1"/>
  <c r="G3" i="342" l="1"/>
  <c r="D31" i="414"/>
  <c r="M3" i="410"/>
  <c r="Z3" i="344"/>
  <c r="Y3" i="344"/>
  <c r="W3" i="344"/>
  <c r="V3" i="344"/>
  <c r="T3" i="344"/>
  <c r="Q3" i="344"/>
  <c r="P3" i="344"/>
  <c r="N3" i="344"/>
  <c r="S3" i="344" s="1"/>
  <c r="M3" i="344"/>
  <c r="K3" i="344"/>
  <c r="G3" i="344"/>
  <c r="C3" i="344"/>
  <c r="B11" i="339"/>
  <c r="J11" i="339" s="1"/>
  <c r="AA3" i="344" l="1"/>
  <c r="AB3" i="344"/>
  <c r="R3" i="344"/>
  <c r="I11" i="339"/>
  <c r="F11" i="339"/>
  <c r="H11" i="339" l="1"/>
  <c r="G11" i="339"/>
  <c r="A30" i="414"/>
  <c r="A23" i="414"/>
  <c r="A15" i="414"/>
  <c r="A16" i="414"/>
  <c r="A4" i="414"/>
  <c r="A6" i="339" l="1"/>
  <c r="A5" i="339"/>
  <c r="D4" i="414"/>
  <c r="D16" i="414"/>
  <c r="C16" i="414"/>
  <c r="C19" i="414"/>
  <c r="D19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7" i="414" l="1"/>
  <c r="E27" i="414" s="1"/>
  <c r="E12" i="339"/>
  <c r="D26" i="414"/>
  <c r="E26" i="414" s="1"/>
  <c r="C12" i="339"/>
  <c r="F12" i="339" s="1"/>
  <c r="E25" i="414"/>
  <c r="B12" i="339"/>
  <c r="D29" i="414"/>
  <c r="E29" i="414" s="1"/>
  <c r="M3" i="372"/>
  <c r="L3" i="372"/>
  <c r="K3" i="372"/>
  <c r="I3" i="372"/>
  <c r="J3" i="372" s="1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F3" i="387"/>
  <c r="N3" i="220"/>
  <c r="L3" i="220" s="1"/>
  <c r="D24" i="414"/>
  <c r="C24" i="414"/>
  <c r="J12" i="339" l="1"/>
  <c r="Q3" i="345"/>
  <c r="Q3" i="347"/>
  <c r="U3" i="347"/>
  <c r="S3" i="347"/>
  <c r="H3" i="387"/>
  <c r="N3" i="372"/>
  <c r="F3" i="372"/>
  <c r="I12" i="339"/>
  <c r="I13" i="339" s="1"/>
  <c r="C31" i="414"/>
  <c r="E31" i="414" s="1"/>
  <c r="F13" i="339"/>
  <c r="E13" i="339"/>
  <c r="E15" i="339" s="1"/>
  <c r="H12" i="339"/>
  <c r="G12" i="339"/>
  <c r="K3" i="390"/>
  <c r="A4" i="383"/>
  <c r="A36" i="383"/>
  <c r="A35" i="383"/>
  <c r="A34" i="383"/>
  <c r="A33" i="383"/>
  <c r="A32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C4" i="414"/>
  <c r="D18" i="414"/>
  <c r="J13" i="339" l="1"/>
  <c r="B15" i="339"/>
  <c r="H13" i="339"/>
  <c r="F15" i="339"/>
  <c r="D30" i="414"/>
  <c r="E30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<sst xmlns="http://schemas.openxmlformats.org/spreadsheetml/2006/main" count="14150" uniqueCount="3314">
  <si>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</si>
  <si>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</si>
  <si>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</si>
  <si>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</si>
  <si>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</si>
  <si>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</si>
  <si>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</si>
  <si>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</si>
  <si>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</si>
  <si>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</si>
  <si>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</si>
  <si>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</si>
  <si>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</si>
  <si>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</si>
  <si>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</si>
  <si>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</si>
  <si>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</si>
  <si>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</si>
  <si>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</si>
  <si>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</si>
  <si>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</si>
  <si>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</si>
  <si>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</si>
  <si>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</si>
  <si>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</si>
  <si>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</si>
  <si>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</si>
  <si>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</si>
  <si>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</si>
  <si>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</si>
  <si>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</si>
  <si>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</si>
  <si>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</si>
  <si>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</si>
  <si>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</si>
  <si>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</si>
  <si>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</si>
  <si>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</si>
  <si>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</si>
  <si>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</si>
  <si>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</si>
  <si>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</si>
  <si>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</si>
  <si>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</si>
  <si>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</si>
  <si>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</si>
  <si>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</si>
  <si>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</si>
  <si>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</si>
  <si>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</si>
  <si>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</si>
  <si>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</si>
  <si>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</si>
  <si>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</si>
  <si>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</si>
  <si>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</si>
  <si>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</si>
  <si>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</si>
  <si>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</si>
  <si>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</si>
  <si>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</si>
  <si>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</si>
  <si>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</si>
  <si>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</si>
  <si>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</si>
  <si>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</si>
  <si>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</si>
  <si>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</si>
  <si>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</si>
  <si>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</si>
  <si>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</si>
  <si>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</si>
  <si>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</si>
  <si>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</si>
  <si>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</si>
  <si>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</si>
  <si>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</si>
  <si>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</si>
  <si>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</si>
  <si>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</si>
  <si>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</si>
  <si>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</si>
  <si>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</si>
  <si>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</si>
  <si>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</si>
  <si>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</si>
  <si>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</si>
  <si>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</si>
  <si>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</si>
  <si>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</si>
  <si>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</si>
  <si>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</si>
  <si>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</si>
  <si>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</si>
  <si>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</si>
  <si>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</si>
  <si>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</si>
  <si>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</si>
  <si>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</si>
  <si>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</si>
  <si>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</si>
  <si>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</si>
  <si>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</si>
  <si>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</si>
  <si>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</si>
  <si>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</si>
  <si>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</si>
  <si>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</si>
  <si>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</si>
  <si>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</si>
  <si>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</si>
  <si>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</si>
  <si>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</si>
  <si>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</si>
  <si>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</si>
  <si>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</si>
  <si>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</si>
  <si>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</si>
  <si>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</si>
  <si>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</si>
  <si>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</si>
  <si>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</si>
  <si>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</si>
  <si>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</si>
  <si>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</si>
  <si>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</si>
  <si>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</si>
  <si>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</si>
  <si>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</si>
  <si>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</si>
  <si>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</si>
  <si>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</si>
  <si>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</si>
  <si>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</si>
  <si>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</si>
  <si>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</si>
  <si>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</si>
  <si>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</si>
  <si>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</si>
  <si>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</si>
  <si>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</si>
  <si>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</si>
  <si>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</si>
  <si>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</si>
  <si>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</si>
  <si>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</si>
  <si>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</si>
  <si>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</si>
  <si>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</si>
  <si>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</si>
  <si>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</si>
  <si>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</si>
  <si>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</si>
  <si>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</si>
  <si>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</si>
  <si>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</si>
  <si>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</si>
  <si>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</si>
  <si>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</si>
  <si>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</si>
  <si>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</si>
  <si>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</si>
  <si>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</si>
  <si>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</si>
  <si>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</si>
  <si>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</si>
  <si>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</si>
  <si>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</si>
  <si>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</si>
  <si>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</si>
  <si>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</si>
  <si>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</si>
  <si>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</si>
  <si>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</si>
  <si>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</si>
  <si>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</si>
  <si>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</si>
  <si>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</si>
  <si>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</si>
  <si>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</si>
  <si>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</si>
  <si>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</si>
  <si>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</si>
  <si>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</si>
  <si>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</si>
  <si>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</si>
  <si>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</si>
  <si>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</si>
  <si>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</si>
  <si>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</si>
  <si>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</si>
  <si>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</si>
  <si>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</si>
  <si>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</si>
  <si>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</si>
  <si>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</si>
  <si>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</si>
  <si>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</si>
  <si>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</si>
  <si>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</si>
  <si>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</si>
  <si>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</si>
  <si>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</si>
  <si>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</si>
  <si>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</si>
  <si>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</si>
  <si>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</si>
  <si>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</si>
  <si>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</si>
  <si>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</si>
  <si>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</si>
  <si>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</si>
  <si>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</si>
  <si>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</si>
  <si>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</si>
  <si>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</si>
  <si>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</si>
  <si>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</si>
  <si>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</si>
  <si>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</si>
  <si>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</si>
  <si>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</si>
  <si>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</si>
  <si>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</si>
  <si>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</si>
  <si>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</si>
  <si>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</si>
  <si>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</si>
  <si>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</si>
  <si>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</si>
  <si>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</si>
  <si>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</si>
  <si>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</si>
  <si>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</si>
  <si>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</si>
  <si>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</si>
  <si>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</si>
  <si>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</si>
  <si>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</si>
  <si>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</si>
  <si>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</si>
  <si>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</si>
  <si>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</si>
  <si>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</si>
  <si>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</si>
  <si>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</si>
  <si>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</si>
  <si>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</si>
  <si>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</si>
  <si>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</si>
  <si>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</si>
  <si>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</si>
  <si>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</si>
  <si>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</si>
  <si>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</si>
  <si>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</si>
  <si>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* Legenda (viz Vyhláška MZ ČR Sbírka zákonů č. 348/2016)</t>
  </si>
  <si>
    <t>% 2015</t>
  </si>
  <si>
    <t>DRG - úhrada formou případového paušálu</t>
  </si>
  <si>
    <t>DRG - individuálně smluvně sjednaná složka úhrady</t>
  </si>
  <si>
    <t>DRG - úhrada vyčleněná z úhrady formou případového paušálu</t>
  </si>
  <si>
    <t>§</t>
  </si>
  <si>
    <t>ZV Vykáz.-A Det.Lék.</t>
  </si>
  <si>
    <t>10 - úhrada formou případového paušálu, 13 - úhrada vyčleněná z úhrady formou případového paušálu)</t>
  </si>
  <si>
    <t>Rozdíl 2015</t>
  </si>
  <si>
    <t>Plnění 2015</t>
  </si>
  <si>
    <t>CM 2015</t>
  </si>
  <si>
    <t>Hosp. 2015</t>
  </si>
  <si>
    <t>Kč (tisíce)</t>
  </si>
  <si>
    <t>Rozdíly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</si>
  <si>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</si>
  <si>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</si>
  <si>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</si>
  <si>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</si>
  <si>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</si>
  <si>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</si>
  <si>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</si>
  <si>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</si>
  <si>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</si>
  <si>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</si>
  <si>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</si>
  <si>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</si>
  <si>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</si>
  <si>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</si>
  <si>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</si>
  <si>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</si>
  <si>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</si>
  <si>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</si>
  <si>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</si>
  <si>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</si>
  <si>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</si>
  <si>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</si>
  <si>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</si>
  <si>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</si>
  <si>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</si>
  <si>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</si>
  <si>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</si>
  <si>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</si>
  <si>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</si>
  <si>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</si>
  <si>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</si>
  <si>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</si>
  <si>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Případy hospitalizací se při výpočtu casemixu v letech 2016, 2017, 2018 rozumí případy hospitalizací přepočtené pomocí pravidel pro Klasifikaci a sestavování případů</t>
  </si>
  <si>
    <t>hospitalizací platných pro rok 2018</t>
  </si>
  <si>
    <t>Casemix v letech 2016, 2017, 2018 je počet případů hospitalizací ukončených ve sledovaném období, poskytovatelem vykázaných a zdravotní pojišťovnou uznaných,</t>
  </si>
  <si>
    <t>které jsou podle Klasifikace zařazeny do skupin vztažených k diagnóze, vynásobený indexy 2017 (viz příohy č. 9 - individuálně smluvně sjednaná složka úhrady,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</si>
  <si>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</si>
  <si>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</si>
  <si>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</si>
  <si>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</si>
  <si>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</si>
  <si>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</si>
  <si>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</si>
  <si>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</si>
  <si>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</si>
  <si>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</si>
  <si>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</si>
  <si>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</si>
  <si>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</si>
  <si>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</si>
  <si>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</si>
  <si>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</si>
  <si>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</si>
  <si>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</si>
  <si>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</si>
  <si>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</si>
  <si>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</si>
  <si>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</si>
  <si>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Novorozenecké oddělení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</si>
  <si>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</si>
  <si>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</si>
  <si>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</si>
  <si>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</si>
  <si>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</si>
  <si>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</si>
  <si>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</si>
  <si>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</si>
  <si>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</si>
  <si>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50113002     léky - parenterální výživa (LEK)</t>
  </si>
  <si>
    <t>50113004     léky - enter. a parent. výživa (výroba LEK-OPSL)</t>
  </si>
  <si>
    <t>50113006     léky - enterální výživa (LEK)</t>
  </si>
  <si>
    <t>50113008     léky - krev.deriváty ZUL (TO)</t>
  </si>
  <si>
    <t>50113011     léky - hemofilici ZUL (TO)</t>
  </si>
  <si>
    <t>--</t>
  </si>
  <si>
    <t>50113013     léky - antibiotika (LEK)</t>
  </si>
  <si>
    <t>50113014     léky - antimykotika (LEK)</t>
  </si>
  <si>
    <t>50113016     léky - centra (LEK)</t>
  </si>
  <si>
    <t>50113190     léky - medicinální plyny (sklad SVM)</t>
  </si>
  <si>
    <t>50114     Krevní přípravky</t>
  </si>
  <si>
    <t>50114002     krevní přípravky</t>
  </si>
  <si>
    <t>50114003     plazma</t>
  </si>
  <si>
    <t>50115     Zdravotnické prostředky</t>
  </si>
  <si>
    <t>50115020     laboratorní diagnostika-LEK (Z501)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</si>
  <si>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</si>
  <si>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</si>
  <si>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</si>
  <si>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</si>
  <si>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</si>
  <si>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</si>
  <si>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</si>
  <si>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</si>
  <si>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50116     Potraviny</t>
  </si>
  <si>
    <t>50116001     lůžk. pacienti</t>
  </si>
  <si>
    <t>50116002     lůžk. pacienti nad normu</t>
  </si>
  <si>
    <t>50116004     výživa kojenců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</si>
  <si>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</si>
  <si>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</si>
  <si>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</si>
  <si>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</si>
  <si>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</si>
  <si>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</si>
  <si>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</si>
  <si>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</si>
  <si>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50117011     obalový mat. pro sterilizaci (sk.V20)</t>
  </si>
  <si>
    <t>50117015     IT - spotřební materiál (sk. P37, 38, 48)</t>
  </si>
  <si>
    <t>50117020     všeob.mat. - nábytek (V30) do 1tis.</t>
  </si>
  <si>
    <t>50117021     všeob.mat. - hosp.přístr.a nářadí (V32) od 1tis do 2999,99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</si>
  <si>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</si>
  <si>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</si>
  <si>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</si>
  <si>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</si>
  <si>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50118001     ND - ostatní (všeob.sklad) (sk.V38)</t>
  </si>
  <si>
    <t>50118003     ND - ostatní techn.(OSBTK, vč.metrologa)</t>
  </si>
  <si>
    <t>50118004     ND - zdravotní techn. (OSBTK, vč.metrologa)</t>
  </si>
  <si>
    <t>50118005     ND - výpoč. techn.(sklad) (sk.P47)</t>
  </si>
  <si>
    <t>50118006     ND - ZVIT (sk.B63)</t>
  </si>
  <si>
    <t>50118009     ND - ostatní technika (UTZ)</t>
  </si>
  <si>
    <t>50119     DDHM a textil</t>
  </si>
  <si>
    <t>50119002     prádlo pacientů (sk.T12)</t>
  </si>
  <si>
    <t>50119077     OOPP a prádlo pro zaměstnance (sk.T14)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</si>
  <si>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</si>
  <si>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</si>
  <si>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</si>
  <si>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</si>
  <si>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50160     Knihy a časopisy</t>
  </si>
  <si>
    <t>50160002     knihy a časopisy</t>
  </si>
  <si>
    <t>50180     Materiál z darů, FKSP</t>
  </si>
  <si>
    <t>50180001     věcné dary</t>
  </si>
  <si>
    <t>50210     Spotřeba energie</t>
  </si>
  <si>
    <t>50210071     elektřina</t>
  </si>
  <si>
    <t>50210072     vodné, stočné</t>
  </si>
  <si>
    <t>50210073     pára</t>
  </si>
  <si>
    <t>50401     Prodané zb. FNOL</t>
  </si>
  <si>
    <t>50401002     prodej pacientům (pomůcky pro rodičky, USB náram....)</t>
  </si>
  <si>
    <t>51     Služby</t>
  </si>
  <si>
    <t>51102     Technika a stavby</t>
  </si>
  <si>
    <t>51102021     opravy zdravotnické techniky - OSBTK, vč.metrologa</t>
  </si>
  <si>
    <t>51102023     opravy ostatní techniky - OSBTK, vč.metrologa</t>
  </si>
  <si>
    <t>51102024     opravy - správa budov</t>
  </si>
  <si>
    <t>51102025     opravy - hl.energetik</t>
  </si>
  <si>
    <t>51102032     opravy zdravotnické techniky - UTZ</t>
  </si>
  <si>
    <t>51102033     opravy ostatní techniky - UTZ</t>
  </si>
  <si>
    <t>51102034     opravy ostatní techniky - ELSYS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</si>
  <si>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</si>
  <si>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</si>
  <si>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</si>
  <si>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</si>
  <si>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</si>
  <si>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</si>
  <si>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</si>
  <si>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</si>
  <si>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</si>
  <si>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</si>
  <si>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</si>
  <si>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</si>
  <si>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</si>
  <si>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</si>
  <si>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</si>
  <si>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</si>
  <si>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51806005     odpad (spalovna)</t>
  </si>
  <si>
    <t>51806007     praní prádla</t>
  </si>
  <si>
    <t>51808     Revize a smluvní servisy majetku</t>
  </si>
  <si>
    <t>51808007     revize, sml.servis - energetik</t>
  </si>
  <si>
    <t>51808008     revize, tech.kontroly, prev.prohl.- OSBTK</t>
  </si>
  <si>
    <t>51808009     revize, sml.servis PO - OBKR</t>
  </si>
  <si>
    <t>51808013     revize - kalibrace - metrolog</t>
  </si>
  <si>
    <t>51808018     smluvní servis - OSBTK</t>
  </si>
  <si>
    <t>51874     Ostatní služby</t>
  </si>
  <si>
    <t>51874010     ostatní služby - zdravotní</t>
  </si>
  <si>
    <t>51874018     propagace, reklama, tisk (TM)</t>
  </si>
  <si>
    <t>51880     Služby z darů, FKSP</t>
  </si>
  <si>
    <t>51880000     služby z fin.darů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</si>
  <si>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</si>
  <si>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</si>
  <si>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</si>
  <si>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</si>
  <si>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</si>
  <si>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</si>
  <si>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</si>
  <si>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</si>
  <si>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</si>
  <si>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</si>
  <si>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</si>
  <si>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</si>
  <si>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</si>
  <si>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</si>
  <si>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</si>
  <si>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</si>
  <si>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</si>
  <si>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</si>
  <si>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</si>
  <si>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</si>
  <si>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</si>
  <si>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</si>
  <si>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</si>
  <si>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</si>
  <si>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</si>
  <si>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</si>
  <si>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</si>
  <si>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</si>
  <si>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</si>
  <si>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</si>
  <si>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</si>
  <si>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</si>
  <si>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</si>
  <si>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</si>
  <si>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</si>
  <si>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</si>
  <si>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</si>
  <si>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</si>
  <si>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</si>
  <si>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</si>
  <si>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</si>
  <si>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</si>
  <si>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</si>
  <si>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</si>
  <si>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55801080     DDHM - zdravotnický a laboratorní (věcné dary)</t>
  </si>
  <si>
    <t>55802     DDHM - provozní</t>
  </si>
  <si>
    <t>55802001     DDHM - kuchyňské zařízení a nádobí (sk.V_26)</t>
  </si>
  <si>
    <t>55802080     DDHM - provozní (věcné dary)</t>
  </si>
  <si>
    <t>55804     DDHM - výpočetní technika</t>
  </si>
  <si>
    <t>55804002     DDHM - telefony (sk.P_49)</t>
  </si>
  <si>
    <t>55805     DDHM - inventář</t>
  </si>
  <si>
    <t>55805002     DDHM - nábytek (sk.V_31)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</si>
  <si>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</si>
  <si>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</si>
  <si>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</si>
  <si>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</si>
  <si>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</si>
  <si>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</si>
  <si>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</si>
  <si>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</si>
  <si>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</si>
  <si>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</si>
  <si>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</si>
  <si>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</si>
  <si>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ZP sled.položky  OZPI</t>
  </si>
  <si>
    <t>60229201     výkony + mater. - ZP ma výkon</t>
  </si>
  <si>
    <t>60229202     výkony pojišť.EHS, výkony za cizinci (mimo EHS)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</si>
  <si>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</si>
  <si>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</si>
  <si>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</si>
  <si>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</si>
  <si>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ZP za zdrav.péči - paušál</t>
  </si>
  <si>
    <t>60245414     tržby VZP za léky v centrech - paušál</t>
  </si>
  <si>
    <t>60245415     tržby ZP za léky v centrech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</si>
  <si>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</si>
  <si>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</si>
  <si>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</si>
  <si>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604     Výnosy z prodaného zboží</t>
  </si>
  <si>
    <t>60401     Prodej zboží - FNOL</t>
  </si>
  <si>
    <t>60401002     prodej pacientům (pomůcky pro rodičky, USB náram....)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</si>
  <si>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</si>
  <si>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</si>
  <si>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</si>
  <si>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</si>
  <si>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</si>
  <si>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</si>
  <si>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</si>
  <si>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</si>
  <si>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</si>
  <si>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</si>
  <si>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</si>
  <si>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64924442     telekom.služby, soukr. hovory</t>
  </si>
  <si>
    <t>64924459     školení, stáže, odb. semináře, konference</t>
  </si>
  <si>
    <t>64980     Věcné dary</t>
  </si>
  <si>
    <t>64980001     věcné dary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</si>
  <si>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</si>
  <si>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</si>
  <si>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</si>
  <si>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</si>
  <si>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</si>
  <si>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</si>
  <si>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</si>
  <si>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</si>
  <si>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</si>
  <si>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</si>
  <si>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</si>
  <si>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</si>
  <si>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</si>
  <si>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</si>
  <si>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</si>
  <si>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</si>
  <si>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79905     Distribuce prádle (stř.9412)</t>
  </si>
  <si>
    <t>79905001     režie - distribuce prádla (stř.9412)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</si>
  <si>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</si>
  <si>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</si>
  <si>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</si>
  <si>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</si>
  <si>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</si>
  <si>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</si>
  <si>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</si>
  <si>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</si>
  <si>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</si>
  <si>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</si>
  <si>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</si>
  <si>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</si>
  <si>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</si>
  <si>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</si>
  <si>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</si>
  <si>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09</t>
  </si>
  <si>
    <t>NOVO: Novorozenecké oddělení</t>
  </si>
  <si>
    <t/>
  </si>
  <si>
    <t>50113001 - léky - paušál (LEK)</t>
  </si>
  <si>
    <t>50113002 - léky - parenterální výživa (LEK)</t>
  </si>
  <si>
    <t>50113004 - léky - enter. a parent. výživa (výroba LEK-OPSL)</t>
  </si>
  <si>
    <t>50113006 - léky - enterální výživa (LEK)</t>
  </si>
  <si>
    <t>50113008 - léky - krev.deriváty ZUL (TO)</t>
  </si>
  <si>
    <t>50113011 - léky - hemofilici ZUL (TO)</t>
  </si>
  <si>
    <t>50113013 - léky - antibiotika (LEK)</t>
  </si>
  <si>
    <t>50113014 - léky - antimykotika (LEK)</t>
  </si>
  <si>
    <t>50113016 - léky - centra (LEK)</t>
  </si>
  <si>
    <t>50113190 - léky - medicinální plyny (sklad SVM)</t>
  </si>
  <si>
    <t>NOVO: Novorozenecké oddělení Celkem</t>
  </si>
  <si>
    <t>SumaKL</t>
  </si>
  <si>
    <t>0911</t>
  </si>
  <si>
    <t>NOVO: lůžkové oddělení 16C + 16B + 16BD</t>
  </si>
  <si>
    <t>NOVO: lůžkové oddělení 16C + 16B + 16BD Celkem</t>
  </si>
  <si>
    <t>SumaNS</t>
  </si>
  <si>
    <t>mezeraNS</t>
  </si>
  <si>
    <t>0912</t>
  </si>
  <si>
    <t>NOVO: lůžkové oddělení 16B + 16D</t>
  </si>
  <si>
    <t>NOVO: lůžkové oddělení 16B + 16D Celkem</t>
  </si>
  <si>
    <t>0921</t>
  </si>
  <si>
    <t>NOVO: ambulance</t>
  </si>
  <si>
    <t>NOVO: ambulance Celkem</t>
  </si>
  <si>
    <t>0931</t>
  </si>
  <si>
    <t>NOVO: JIP 16A + 16D</t>
  </si>
  <si>
    <t>NOVO: JIP 16A + 16D Celkem</t>
  </si>
  <si>
    <t>0994</t>
  </si>
  <si>
    <t>NOVO: centrum - novorozenecké</t>
  </si>
  <si>
    <t>NOVO: centrum - novorozenecké Celkem</t>
  </si>
  <si>
    <t>léky - paušál (LEK)</t>
  </si>
  <si>
    <t>O</t>
  </si>
  <si>
    <t>ADRENALIN LECIVA</t>
  </si>
  <si>
    <t>INJ 5X1ML/1MG</t>
  </si>
  <si>
    <t>APO-IBUPROFEN 400 MG</t>
  </si>
  <si>
    <t>POR TBL FLM 100X400MG</t>
  </si>
  <si>
    <t>POR TBL FLM 30X400MG</t>
  </si>
  <si>
    <t>AQUA PRO INJECTIONE BRAUN</t>
  </si>
  <si>
    <t>INJ SOL 20X10ML-PLA</t>
  </si>
  <si>
    <t>DZ OCTENISEPT 250 ml</t>
  </si>
  <si>
    <t>sprej</t>
  </si>
  <si>
    <t>ENGERIX-B 10MCG</t>
  </si>
  <si>
    <t>INJ SUS 1X0,5ML+ST+SJ</t>
  </si>
  <si>
    <t>CHLORID SODNÝ 0,9% BRAUN</t>
  </si>
  <si>
    <t>INF SOL 20X100MLPELAH</t>
  </si>
  <si>
    <t>IBUMAX 400 MG</t>
  </si>
  <si>
    <t>PORTBLFLM100X400MG</t>
  </si>
  <si>
    <t>IMAZOL KRÉMPASTA</t>
  </si>
  <si>
    <t>10MG/G DRM PST 1X30G</t>
  </si>
  <si>
    <t>INFADOLAN</t>
  </si>
  <si>
    <t>1600IU/G+300IU/G UNG 30G II</t>
  </si>
  <si>
    <t>IR  AQUA STERILE OPLACH.1x1000 ml ECOTAINER</t>
  </si>
  <si>
    <t>IR OPLACH</t>
  </si>
  <si>
    <t>KANAVIT</t>
  </si>
  <si>
    <t>20MG/ML POR GTT EML 1X5ML</t>
  </si>
  <si>
    <t>KEPPRA 100 MG/ML</t>
  </si>
  <si>
    <t>INF CNC SOL 10X5ML II</t>
  </si>
  <si>
    <t>KL BARVA NA  DETI 20 g</t>
  </si>
  <si>
    <t>KL DETSKA MAST 20G</t>
  </si>
  <si>
    <t>KL ETHANOLUM 60% 802 g FAGRON, KULICH</t>
  </si>
  <si>
    <t>UN 1170</t>
  </si>
  <si>
    <t>KL HELIANTHI OLEUM 180G</t>
  </si>
  <si>
    <t>KL KAL.PERMANGANAS 2G</t>
  </si>
  <si>
    <t>KL SACCHAROSUM  24 % 40 g</t>
  </si>
  <si>
    <t>KL TBL MAGN.LACT 0,5G+B6 0,02G, 100TBL</t>
  </si>
  <si>
    <t>KL UNG.LENIENS, 30G</t>
  </si>
  <si>
    <t>Lactobacillus acidophil.cps.75 bez laktózy</t>
  </si>
  <si>
    <t>LINOLA-FETT OLBAD</t>
  </si>
  <si>
    <t>OLE 1X400ML</t>
  </si>
  <si>
    <t>MESOCAIN</t>
  </si>
  <si>
    <t>GEL 1X20GM</t>
  </si>
  <si>
    <t>NEOHEPATECT</t>
  </si>
  <si>
    <t>INF SOL 1X2ML/100UT</t>
  </si>
  <si>
    <t>OPHTHALMO-SEPTONEX</t>
  </si>
  <si>
    <t>OPH GTT SOL 1X10ML PLAST</t>
  </si>
  <si>
    <t>SAB SIMPLEX</t>
  </si>
  <si>
    <t>POR SUS 1X30ML</t>
  </si>
  <si>
    <t>VIDISIC</t>
  </si>
  <si>
    <t>GEL OPH 1X10GM</t>
  </si>
  <si>
    <t>VIGANTOL</t>
  </si>
  <si>
    <t>POR GTT SOL 1x10ML</t>
  </si>
  <si>
    <t>léky - enterální výživa (LEK)</t>
  </si>
  <si>
    <t>NESTLE Beba H.A.1 Premium tekutá 32x90ml</t>
  </si>
  <si>
    <t>Nutrilon 0 Nenatal RTF 24x70 ml</t>
  </si>
  <si>
    <t>léky - antibiotika (LEK)</t>
  </si>
  <si>
    <t>AMPICILIN 0,5 BIOTIKA</t>
  </si>
  <si>
    <t>INJ PLV SOL 10X500MG</t>
  </si>
  <si>
    <t>AMPICILIN 1,0 BIOTIKA</t>
  </si>
  <si>
    <t>INJ PLV SOL 10X1000MG</t>
  </si>
  <si>
    <t>FRAMYKOIN</t>
  </si>
  <si>
    <t>UNG 1X10GM</t>
  </si>
  <si>
    <t>GENTAMICIN LEK 80 MG/2 ML</t>
  </si>
  <si>
    <t>INJ SOL 10X2ML/80MG</t>
  </si>
  <si>
    <t>OPHTHALMO-FRAMYKOIN</t>
  </si>
  <si>
    <t>UNG OPH 1X5GM</t>
  </si>
  <si>
    <t>OSPAMOX 250MG/5ML</t>
  </si>
  <si>
    <t>GRA SUS 1X60ML</t>
  </si>
  <si>
    <t>PAMYCON NA PŘÍPRAVU KAPEK</t>
  </si>
  <si>
    <t>DRM PLV SOL 1X1LAH</t>
  </si>
  <si>
    <t>TOBREX</t>
  </si>
  <si>
    <t>GTT OPH 5ML 3MG/1ML</t>
  </si>
  <si>
    <t>léky - antimykotika (LEK)</t>
  </si>
  <si>
    <t>CANESTEN KRÉM</t>
  </si>
  <si>
    <t>CRM 1X20GM/200MG</t>
  </si>
  <si>
    <t>P</t>
  </si>
  <si>
    <t>AXETINE 750MG</t>
  </si>
  <si>
    <t>INJ SIC 10X750MG</t>
  </si>
  <si>
    <t>MEROPENEM KABI 1 G</t>
  </si>
  <si>
    <t>INJ+INF PLV SOL 10X1000MG</t>
  </si>
  <si>
    <t>AKTIFERRIN</t>
  </si>
  <si>
    <t>GTT 1X30ML</t>
  </si>
  <si>
    <t>AMIPED</t>
  </si>
  <si>
    <t>IVN INF SOL 12X100ML</t>
  </si>
  <si>
    <t>IVN INF SOL 12X250ML</t>
  </si>
  <si>
    <t>PAR LQF 20X100ML-PE</t>
  </si>
  <si>
    <t>ARDEAELYTOSOL NA.HYDR.CARB.4.2%</t>
  </si>
  <si>
    <t>INF 1X80ML</t>
  </si>
  <si>
    <t>ARDEANUTRISOL G 10</t>
  </si>
  <si>
    <t>100G/L INF SOL 20X80ML</t>
  </si>
  <si>
    <t>100G/L INF SOL 10X250ML</t>
  </si>
  <si>
    <t>ARDEANUTRISOL G 20</t>
  </si>
  <si>
    <t>200G/L INF SOL 20X80ML</t>
  </si>
  <si>
    <t>ARDEANUTRISOL G 20%</t>
  </si>
  <si>
    <t>20% INF SOL 10X250ML</t>
  </si>
  <si>
    <t>ARDEANUTRISOL G 40</t>
  </si>
  <si>
    <t>400G/L INF SOL 20X80ML</t>
  </si>
  <si>
    <t>ARDUAN</t>
  </si>
  <si>
    <t>INJ SIC 25X4MG+2ML</t>
  </si>
  <si>
    <t>Arfen 400mg/3ml inj. 6 amp.-MIMOŘÁDNÝ DOVOZ!!</t>
  </si>
  <si>
    <t>ATROVENT N</t>
  </si>
  <si>
    <t>INH SOL PSS200X20RG</t>
  </si>
  <si>
    <t>BabyCalm 15ml</t>
  </si>
  <si>
    <t>BENOXI 0.4 % UNIMED PHARMA</t>
  </si>
  <si>
    <t>OPH GTT SOL 1X10ML</t>
  </si>
  <si>
    <t>BERODUAL N</t>
  </si>
  <si>
    <t>INH SOL PSS 200DÁV</t>
  </si>
  <si>
    <t>BETADINE</t>
  </si>
  <si>
    <t>UNG 1X20GM</t>
  </si>
  <si>
    <t>CALCIUM GLUCONICUM 10% B.BRAUN</t>
  </si>
  <si>
    <t>INJ SOL 20X10ML</t>
  </si>
  <si>
    <t>CLEXANE</t>
  </si>
  <si>
    <t>INJ SOL 10X0.2ML/2KU</t>
  </si>
  <si>
    <t>CUROSURF</t>
  </si>
  <si>
    <t>80MG/ML ETP ISL SUS 2X1,5ML</t>
  </si>
  <si>
    <t>DERMAZULEN</t>
  </si>
  <si>
    <t>UNG 1X30GM</t>
  </si>
  <si>
    <t>DEXAMED</t>
  </si>
  <si>
    <t>INJ 10X2ML/8MG</t>
  </si>
  <si>
    <t>DEXMEDETOMIDINE EVER PHARMA</t>
  </si>
  <si>
    <t>100MCG/ML INF CNC SOL 25X2ML</t>
  </si>
  <si>
    <t>DICYNONE 250</t>
  </si>
  <si>
    <t>INJ SOL 4X2ML/250MG</t>
  </si>
  <si>
    <t>Dobutamin Admeda 250 inf.sol50ml</t>
  </si>
  <si>
    <t>DZ OCTENISEPT drm. sol. 250 ml</t>
  </si>
  <si>
    <t>DRM SOL 1X250ML</t>
  </si>
  <si>
    <t>EMLA</t>
  </si>
  <si>
    <t>25MG/G+25MG/G CRM 1X30G</t>
  </si>
  <si>
    <t>FLIXOTIDE 50 INHALER N</t>
  </si>
  <si>
    <t>INH SUS PSS120X50RG</t>
  </si>
  <si>
    <t>FLOXAL</t>
  </si>
  <si>
    <t>GTT OPH 1X5ML</t>
  </si>
  <si>
    <t>FLUMAZENIL PHARMASELECT</t>
  </si>
  <si>
    <t>0,1MG/ML INJ SOL+INF CNC SOL 5X5ML</t>
  </si>
  <si>
    <t>FUROSEMID ACCORD</t>
  </si>
  <si>
    <t>10MG/ML INJ/INF SOL 10X2ML</t>
  </si>
  <si>
    <t>GLUKÓZA 10 BRAUN</t>
  </si>
  <si>
    <t>INF SOL 10X500ML-PE</t>
  </si>
  <si>
    <t>GLUKÓZA 5 BRAUN</t>
  </si>
  <si>
    <t>INF SOL 20X100ML-PE</t>
  </si>
  <si>
    <t>HALOPERIDOL</t>
  </si>
  <si>
    <t>GTT 1X10ML/20MG</t>
  </si>
  <si>
    <t>HELICID « 40 INF. LYOF.1X40MG</t>
  </si>
  <si>
    <t>HEPARIN LECIVA</t>
  </si>
  <si>
    <t>INJ 1X10ML/50KU</t>
  </si>
  <si>
    <t>HEPAROID LECIVA</t>
  </si>
  <si>
    <t>HUMULIN R 100 M.J./ML</t>
  </si>
  <si>
    <t>INJ 1X10ML/1KU</t>
  </si>
  <si>
    <t>Hyal- Drop multi oční kapky</t>
  </si>
  <si>
    <t>HYDROCORTISON VUAB 100 MG</t>
  </si>
  <si>
    <t>INJ PLV SOL 1X100MG</t>
  </si>
  <si>
    <t>INF SOL 10X250MLPELAH</t>
  </si>
  <si>
    <t>IMAZOL PLUS</t>
  </si>
  <si>
    <t>10MG/G+2,5MG/G CRM 30G</t>
  </si>
  <si>
    <t>INFASOURCE</t>
  </si>
  <si>
    <t>POR SOL 32X90ML</t>
  </si>
  <si>
    <t>IR OG. COLL.HOMAT.HYDROBROM.1%10G</t>
  </si>
  <si>
    <t>COLL</t>
  </si>
  <si>
    <t>IR OG. COLL.PHENYLEPHRINI 10g 2%</t>
  </si>
  <si>
    <t>COLL  2%</t>
  </si>
  <si>
    <t>KALIUM CHLORATUM LECIVA 7.5%</t>
  </si>
  <si>
    <t>INJ 5X10ML 7.5%</t>
  </si>
  <si>
    <t>KANAMYCIN-POS</t>
  </si>
  <si>
    <t>OPH GTT SOL 1X5ML/25MG</t>
  </si>
  <si>
    <t>INJ 5X1ML/10MG</t>
  </si>
  <si>
    <t>KINEDRYL</t>
  </si>
  <si>
    <t>TBL 10</t>
  </si>
  <si>
    <t>KL AQUA PURIF. KUL,FAG 5 kg</t>
  </si>
  <si>
    <t>KL AQUA PURIF. KUL., FAG. 1 kg</t>
  </si>
  <si>
    <t>KL BENZINUM 900ml/ 600g</t>
  </si>
  <si>
    <t>KL CPS ACIDUM FOLICUM 2,5MG</t>
  </si>
  <si>
    <t>KL CPS CALC.GLUC.+CALC.PHOSPH. 100CPS</t>
  </si>
  <si>
    <t>KL CPS CALC.GLUC.+KAL.DIH. 100CPS</t>
  </si>
  <si>
    <t>KL EREVIT GTT. 30G</t>
  </si>
  <si>
    <t>KL FOSFÁTOVÝ ROZTOK 0,83mmol/ml 100ml</t>
  </si>
  <si>
    <t>Na2HPO4, KH2PO4</t>
  </si>
  <si>
    <t>KL HELIANTHI OLEUM 45g</t>
  </si>
  <si>
    <t>KL CHLORAL.HYDRAS SOL. 50 g</t>
  </si>
  <si>
    <t>KL KAPSLE</t>
  </si>
  <si>
    <t>KL MORPHINI HYDROCHL. 0,008 AQ.P. AD 20G</t>
  </si>
  <si>
    <t>Novoroz. odd.</t>
  </si>
  <si>
    <t>KL OMEPRAZOL SIRUP 2mg/ml</t>
  </si>
  <si>
    <t>KL POLYSAN, OL.HELIANTHI AA AD 100G</t>
  </si>
  <si>
    <t>KL PRIPRAVEK</t>
  </si>
  <si>
    <t>KL ROZTOK</t>
  </si>
  <si>
    <t>KL SOL.COFFEINI 1% 50G</t>
  </si>
  <si>
    <t>KL SUPP.DIAZEPAMI 0,0005G  10KS</t>
  </si>
  <si>
    <t>KL SUPP.GLYCEROLI  30KS, pro novorozence</t>
  </si>
  <si>
    <t>KL SUPP.IBUPROFENI 0,05G  20KS</t>
  </si>
  <si>
    <t>KL SUPP.PARACETAMOLI 0,02G  30KS</t>
  </si>
  <si>
    <t>KL SUPPOSITORIA</t>
  </si>
  <si>
    <t>KL UNGUENTUM</t>
  </si>
  <si>
    <t>Kulíšek sáčky 10x6,6g</t>
  </si>
  <si>
    <t>LIDOCAIN</t>
  </si>
  <si>
    <t>INJ 10X2ML 2%</t>
  </si>
  <si>
    <t>LUMINAL</t>
  </si>
  <si>
    <t>INJ 5X1ML/219MG</t>
  </si>
  <si>
    <t>MAGNESIUM SULFURICUM BBP 10%</t>
  </si>
  <si>
    <t>INJ 5X10ML 10%</t>
  </si>
  <si>
    <t>MIDAZOLAM ACCORD 5 MG/ML</t>
  </si>
  <si>
    <t>INJ+INF SOL 10X3MLX5MG/ML</t>
  </si>
  <si>
    <t>MIDAZOLAM ACCORD 5 MG/ML - výpadek</t>
  </si>
  <si>
    <t>INJ+INF SOL 10X1MLX5MG/ML</t>
  </si>
  <si>
    <t>MIDAZOLAM B. BRAUN 5MG/ML</t>
  </si>
  <si>
    <t>INJ+INF+RCT SOL 10X3ML(SKLO)</t>
  </si>
  <si>
    <t>MIDAZOLAM KALCEKS</t>
  </si>
  <si>
    <t>5MG/ML INJ/INF SOL 10X1ML</t>
  </si>
  <si>
    <t>MO Skládačka bílá bez potisku</t>
  </si>
  <si>
    <t>Naloxon amp 10x1 ml/0,4mg-mimořádný dovoz</t>
  </si>
  <si>
    <t>10x1ml</t>
  </si>
  <si>
    <t>NASIVIN 0,01%</t>
  </si>
  <si>
    <t>NAS GTT SOL 1X5ML</t>
  </si>
  <si>
    <t>NATRIUM CHLORATUM BIOTIKA 10%</t>
  </si>
  <si>
    <t>Natriumglycerophosphat 20ml-MIMOŘÁDNÝ DOVOZ!!</t>
  </si>
  <si>
    <t xml:space="preserve"> SOL 20x20ML</t>
  </si>
  <si>
    <t>NIMBEX</t>
  </si>
  <si>
    <t>2MG/ML INJ SOL 5X2,5ML</t>
  </si>
  <si>
    <t>NIMBEX-výpadek</t>
  </si>
  <si>
    <t>INJ SOL 5X2.5ML/5MG</t>
  </si>
  <si>
    <t>NORADRENALIN LECIVA</t>
  </si>
  <si>
    <t>NOVALGIN</t>
  </si>
  <si>
    <t>INJ 10X2ML/1000MG</t>
  </si>
  <si>
    <t>NUROFEN PRO DĚTI JAHODA (od 3 měsíců)</t>
  </si>
  <si>
    <t>POR SUS 2000MG/100ML TRUB</t>
  </si>
  <si>
    <t>OPHTHALMO-AZULEN</t>
  </si>
  <si>
    <t>OPHTHALMO-HYDROCORTISON LECIVA</t>
  </si>
  <si>
    <t>UNG OPH 1X5GM 0.5%</t>
  </si>
  <si>
    <t>PARACETAMOL KABI 10 MG/ML</t>
  </si>
  <si>
    <t>INF SOL 10X50ML/500MG</t>
  </si>
  <si>
    <t>PARALEN 100</t>
  </si>
  <si>
    <t>100MG SUP 5</t>
  </si>
  <si>
    <t>Pentaglobin i.v. inj. 1x10ml</t>
  </si>
  <si>
    <t>PEYONA 20 MG/ML</t>
  </si>
  <si>
    <t>IVN+POR SOL 10X1ML</t>
  </si>
  <si>
    <t>PHENAEMALETTEN</t>
  </si>
  <si>
    <t>TBL 50X15MG</t>
  </si>
  <si>
    <t>PROPOFOL-LIPURO 0,5% (5MG/ML) 5X20ML</t>
  </si>
  <si>
    <t>INJ+INF EML 5X20ML/100MG</t>
  </si>
  <si>
    <t>RIVOTRIL 2.5MG/ML</t>
  </si>
  <si>
    <t>POR GTT SOL 1X10ML</t>
  </si>
  <si>
    <t>SERETIDE 25/50 INHALER-výpadek</t>
  </si>
  <si>
    <t>INH SUS PSS 120X25/50MCG+POČ</t>
  </si>
  <si>
    <t>SOLUVIT N PRO INFUS.</t>
  </si>
  <si>
    <t>INJ SIC 10</t>
  </si>
  <si>
    <t xml:space="preserve">SUFENTANIL TORREX 5 MCG/ML </t>
  </si>
  <si>
    <t>INJ SOL 5X2ML/10RG</t>
  </si>
  <si>
    <t>V</t>
  </si>
  <si>
    <t>Swiss NatureVia Laktobacílky Baby 60 cps</t>
  </si>
  <si>
    <t>Swiss NatureVia Laktobacílky baby cps.30</t>
  </si>
  <si>
    <t>TENSAMIN</t>
  </si>
  <si>
    <t>INJ 10X5ML</t>
  </si>
  <si>
    <t>TRALGIT 50 INJ</t>
  </si>
  <si>
    <t>INJ SOL 5X1ML/50MG</t>
  </si>
  <si>
    <t>TRAMAL</t>
  </si>
  <si>
    <t>50MG/ML INJ SOL 5X1ML</t>
  </si>
  <si>
    <t>URSOFALK SUSPENZE</t>
  </si>
  <si>
    <t>POR SUS 1X250ML</t>
  </si>
  <si>
    <t>VENTOLIN INHALER N</t>
  </si>
  <si>
    <t>100MCG/DÁV INH SUS PSS 200DÁV</t>
  </si>
  <si>
    <t>Vincentka přírod.0.7l-nevrat.láhev</t>
  </si>
  <si>
    <t>VITALIPID N INFANT</t>
  </si>
  <si>
    <t>INF CNC SOL 10X10ML</t>
  </si>
  <si>
    <t>VITAMIN A BIOFARM 20MG/ML</t>
  </si>
  <si>
    <t>VODA NA INJEKCI VIAFLO</t>
  </si>
  <si>
    <t>PAR LQF 20X500ML</t>
  </si>
  <si>
    <t>léky - parenterální výživa (LEK)</t>
  </si>
  <si>
    <t>LIPOPLUS 20%</t>
  </si>
  <si>
    <t>INFEML10X100ML-SKLO</t>
  </si>
  <si>
    <t>léky - enter. a parent. výživa (výroba LEK-OPSL)</t>
  </si>
  <si>
    <t>IR  INF. STARTOVACÍ  NOV.</t>
  </si>
  <si>
    <t>vak 500 ml Novorozenci</t>
  </si>
  <si>
    <t>IR  PARENT.VÝŽIVA</t>
  </si>
  <si>
    <t>vak 500 ml a více</t>
  </si>
  <si>
    <t>IR  PARENT.VÝŽIVA  NOVOROZENCI</t>
  </si>
  <si>
    <t>vak 125ml</t>
  </si>
  <si>
    <t>vak 250 ml</t>
  </si>
  <si>
    <t>NESTLÉ Beba Comfort HMO tekutá 32x70ml</t>
  </si>
  <si>
    <t>NESTLÉ BEBA FM85 200g</t>
  </si>
  <si>
    <t>NESTLÉ Beba OPTIPRO HA 1 800g</t>
  </si>
  <si>
    <t>Nutrilon 0 Nenatal (Premature) ProExpert 400g</t>
  </si>
  <si>
    <t>Nutrilon 1 Profutura 800g</t>
  </si>
  <si>
    <t>Nutrilon 1 Profutura RTF 24x 70ml</t>
  </si>
  <si>
    <t>Nutrilon Nutriton ProExpert 135g</t>
  </si>
  <si>
    <t>Nutrilon Protein Supplement ProExpert 50x1g</t>
  </si>
  <si>
    <t>léky - krev.deriváty ZUL (TO)</t>
  </si>
  <si>
    <t>ALBUTEIN</t>
  </si>
  <si>
    <t>200G/L INF SOL 1X10ML</t>
  </si>
  <si>
    <t>ATENATIV</t>
  </si>
  <si>
    <t>50IU/ML INF PSO LQF 1+1X10ML</t>
  </si>
  <si>
    <t>léky - hemofilici ZUL (TO)</t>
  </si>
  <si>
    <t>ALBUREX 20</t>
  </si>
  <si>
    <t>200G/L INF SOL 1X50ML</t>
  </si>
  <si>
    <t>AMIKACIN MEDOPHARM 500 MG/2 ML</t>
  </si>
  <si>
    <t>INJ+INF SOL 10X2ML/500MG</t>
  </si>
  <si>
    <t>AMOKSIKLAV 1.2GM</t>
  </si>
  <si>
    <t>INJ SIC 5X1.2GM</t>
  </si>
  <si>
    <t>AMOKSIKLAV 600 MG</t>
  </si>
  <si>
    <t>INJ PLV SOL 5X600MG</t>
  </si>
  <si>
    <t>ARCHIFAR 1 G</t>
  </si>
  <si>
    <t>INJ+INF PLV SOL 10X1GM</t>
  </si>
  <si>
    <t>BELOGENT MAST</t>
  </si>
  <si>
    <t>KLACID I.V.</t>
  </si>
  <si>
    <t>INF PLV SOL 1X500MG</t>
  </si>
  <si>
    <t>METRONIDAZOL 500MG BRAUN</t>
  </si>
  <si>
    <t>INJ 10X100ML(LDPE)</t>
  </si>
  <si>
    <t>PIPERACILLIN/TAZOBACTAM KABI 4 G/0,5 G</t>
  </si>
  <si>
    <t>INF PLV SOL 10X4.5GM</t>
  </si>
  <si>
    <t>PROSTAPHLIN 1000MG</t>
  </si>
  <si>
    <t>INJ SIC 1X1000MG</t>
  </si>
  <si>
    <t>SEFOTAK 1 G</t>
  </si>
  <si>
    <t>INJ PLV SOL 1X1GM</t>
  </si>
  <si>
    <t>TARGOCID 200MG</t>
  </si>
  <si>
    <t>INJ SIC 1X200MG+SOL</t>
  </si>
  <si>
    <t>TIENAM 500 MG/500 MG I.V.</t>
  </si>
  <si>
    <t>INF PLV SOL 1X10LAH/20ML</t>
  </si>
  <si>
    <t>VANCOMYCIN MYLAN 500 MG</t>
  </si>
  <si>
    <t>ZINNAT 125 MG</t>
  </si>
  <si>
    <t>GRA SUS 1X50ML</t>
  </si>
  <si>
    <t>léky - centra (LEK)</t>
  </si>
  <si>
    <t>SYNAGIS 100 MG/ML</t>
  </si>
  <si>
    <t>INJ SOL 1X0.5ML</t>
  </si>
  <si>
    <t>INJ SOL 1X1ML</t>
  </si>
  <si>
    <t>0912 - NOVO: lůžkové oddělení 16B + 16D</t>
  </si>
  <si>
    <t>0931 - NOVO: JIP 16A + 16D</t>
  </si>
  <si>
    <t>A02BC01 - OMEPRAZOL</t>
  </si>
  <si>
    <t>C03CA01 - FUROSEMID</t>
  </si>
  <si>
    <t>C05BA01 - ORGANO-HEPARINOID</t>
  </si>
  <si>
    <t>J01DC02 - CEFUROXIM</t>
  </si>
  <si>
    <t>J01DD01 - CEFOTAXIM</t>
  </si>
  <si>
    <t>J01DH02 - MEROPENEM</t>
  </si>
  <si>
    <t>J01GB06 - AMIKACIN</t>
  </si>
  <si>
    <t>J01XA01 - VANKOMYCIN</t>
  </si>
  <si>
    <t>J01XD01 - METRONIDAZOL</t>
  </si>
  <si>
    <t>M03AC11 - CISATRAKURIUM</t>
  </si>
  <si>
    <t>N02BB02 - SODNÁ SŮL METAMIZOLU</t>
  </si>
  <si>
    <t>N02BE01 - PARACETAMOL</t>
  </si>
  <si>
    <t>N05CD08 - MIDAZOLAM</t>
  </si>
  <si>
    <t>N05CM18 - DEXMEDETOMIDIN</t>
  </si>
  <si>
    <t>R03AC02 - SALBUTAMOL</t>
  </si>
  <si>
    <t>R03BA05 - FLUTIKASON</t>
  </si>
  <si>
    <t>N01AH03 - SUFENTANIL</t>
  </si>
  <si>
    <t>J01DH51 - IMIPENEM A CILASTATIN</t>
  </si>
  <si>
    <t>J01CR05 - PIPERACILIN A  INHIBITOR BETA-LAKTAMASY</t>
  </si>
  <si>
    <t>V06XX - POTRAVINY PRO ZVLÁŠTNÍ LÉKAŘSKÉ ÚČELY (PZLÚ) (ČESKÁ ATC SKUP</t>
  </si>
  <si>
    <t>J01DC02</t>
  </si>
  <si>
    <t>64835</t>
  </si>
  <si>
    <t>AXETINE</t>
  </si>
  <si>
    <t>750MG INJ/INF PLV SOL 10</t>
  </si>
  <si>
    <t>J01DH02</t>
  </si>
  <si>
    <t>156835</t>
  </si>
  <si>
    <t>MEROPENEM KABI</t>
  </si>
  <si>
    <t>1G INJ/INF PLV SOL 10</t>
  </si>
  <si>
    <t>A02BC01</t>
  </si>
  <si>
    <t>31739</t>
  </si>
  <si>
    <t>HELICID 40 INF</t>
  </si>
  <si>
    <t>40MG INF PLV SOL 1</t>
  </si>
  <si>
    <t>C03CA01</t>
  </si>
  <si>
    <t>214036</t>
  </si>
  <si>
    <t>C05BA01</t>
  </si>
  <si>
    <t>3575</t>
  </si>
  <si>
    <t>HEPAROID LÉČIVA</t>
  </si>
  <si>
    <t>2MG/G CRM 30G</t>
  </si>
  <si>
    <t>J01CR05</t>
  </si>
  <si>
    <t>113453</t>
  </si>
  <si>
    <t>PIPERACILLIN/TAZOBACTAM KABI</t>
  </si>
  <si>
    <t>4G/0,5G INF PLV SOL 10</t>
  </si>
  <si>
    <t>J01DD01</t>
  </si>
  <si>
    <t>201030</t>
  </si>
  <si>
    <t>SEFOTAK</t>
  </si>
  <si>
    <t>1G INJ/INF PLV SOL 1</t>
  </si>
  <si>
    <t>183817</t>
  </si>
  <si>
    <t>ARCHIFAR</t>
  </si>
  <si>
    <t>J01DH51</t>
  </si>
  <si>
    <t>142077</t>
  </si>
  <si>
    <t>500MG/500MG INF PLV SOL 10</t>
  </si>
  <si>
    <t>J01GB06</t>
  </si>
  <si>
    <t>195147</t>
  </si>
  <si>
    <t>AMIKACIN MEDOPHARM</t>
  </si>
  <si>
    <t>500MG/2ML INJ/INF SOL 10X2ML</t>
  </si>
  <si>
    <t>J01XA01</t>
  </si>
  <si>
    <t>166265</t>
  </si>
  <si>
    <t>VANCOMYCIN MYLAN</t>
  </si>
  <si>
    <t>500MG INF PLV SOL 1</t>
  </si>
  <si>
    <t>J01XD01</t>
  </si>
  <si>
    <t>11592</t>
  </si>
  <si>
    <t>METRONIDAZOL B. BRAUN</t>
  </si>
  <si>
    <t>5MG/ML INF SOL 10X100ML</t>
  </si>
  <si>
    <t>M03AC11</t>
  </si>
  <si>
    <t>40361</t>
  </si>
  <si>
    <t>N01AH03</t>
  </si>
  <si>
    <t>162444</t>
  </si>
  <si>
    <t>SUFENTANIL TORREX</t>
  </si>
  <si>
    <t>5MCG/ML INJ SOL 5X2ML</t>
  </si>
  <si>
    <t>N02BB02</t>
  </si>
  <si>
    <t>7981</t>
  </si>
  <si>
    <t>500MG/ML INJ SOL 10X2ML</t>
  </si>
  <si>
    <t>N02BE01</t>
  </si>
  <si>
    <t>157871</t>
  </si>
  <si>
    <t>PARACETAMOL KABI</t>
  </si>
  <si>
    <t>10MG/ML INF SOL 10X50ML</t>
  </si>
  <si>
    <t>N05CD08</t>
  </si>
  <si>
    <t>127737</t>
  </si>
  <si>
    <t>MIDAZOLAM ACCORD</t>
  </si>
  <si>
    <t>127738</t>
  </si>
  <si>
    <t>5MG/ML INJ/INF SOL 10X3ML</t>
  </si>
  <si>
    <t>224479</t>
  </si>
  <si>
    <t>N05CM18</t>
  </si>
  <si>
    <t>136755</t>
  </si>
  <si>
    <t>R03AC02</t>
  </si>
  <si>
    <t>31934</t>
  </si>
  <si>
    <t>R03BA05</t>
  </si>
  <si>
    <t>95604</t>
  </si>
  <si>
    <t>50MCG/DÁV INH SUS PSS 120DÁV</t>
  </si>
  <si>
    <t>V06XX</t>
  </si>
  <si>
    <t>33218</t>
  </si>
  <si>
    <t>NUTRITON</t>
  </si>
  <si>
    <t>POR SOL 1X135G</t>
  </si>
  <si>
    <t>Přehled plnění pozitivního listu - spotřeba léčivých přípravků - orientační přehled</t>
  </si>
  <si>
    <t>09 - NOVO: Novorozenecké oddělení</t>
  </si>
  <si>
    <t>0911 - NOVO: lůžkové oddělení 16C + 16B + 16BD</t>
  </si>
  <si>
    <t>0994 - NOVO: centrum - novorozenecké</t>
  </si>
  <si>
    <t>Novorozenecké oddělení</t>
  </si>
  <si>
    <t>HVLP</t>
  </si>
  <si>
    <t>IPLP</t>
  </si>
  <si>
    <t>PZT</t>
  </si>
  <si>
    <t>9</t>
  </si>
  <si>
    <t>89301091</t>
  </si>
  <si>
    <t>Standardní lůžková péče Celkem</t>
  </si>
  <si>
    <t>89301092</t>
  </si>
  <si>
    <t>Ambulance novorozeneckého odd. Celkem</t>
  </si>
  <si>
    <t>Novorozenecké oddělení Celkem</t>
  </si>
  <si>
    <t>* Legenda</t>
  </si>
  <si>
    <t>DIAPZT = Pomůcky pro diabetiky, jejichž název začíná slovem "Pumpa"</t>
  </si>
  <si>
    <t>Bodnár Vojtěch</t>
  </si>
  <si>
    <t>Doušková Kristýna</t>
  </si>
  <si>
    <t>Dubrava Lubomír</t>
  </si>
  <si>
    <t>Gromská Zuzana</t>
  </si>
  <si>
    <t>Hálek Jan</t>
  </si>
  <si>
    <t>Heroldová Jana</t>
  </si>
  <si>
    <t>Kantor Lumír</t>
  </si>
  <si>
    <t>Kaprálová Sabina</t>
  </si>
  <si>
    <t>Lasák Jakub</t>
  </si>
  <si>
    <t>Mišuth Vladimír</t>
  </si>
  <si>
    <t>Škodová Hana</t>
  </si>
  <si>
    <t>Šuláková Soňa</t>
  </si>
  <si>
    <t>Vránová Ivana</t>
  </si>
  <si>
    <t>Wita Martin</t>
  </si>
  <si>
    <t>Zedníčková Škodová Hana</t>
  </si>
  <si>
    <t>ACIKLOVIR</t>
  </si>
  <si>
    <t>155938</t>
  </si>
  <si>
    <t>HERPESIN 200</t>
  </si>
  <si>
    <t>200MG TBL NOB 25</t>
  </si>
  <si>
    <t>BETAMETHASON A ANTIBIOTIKA</t>
  </si>
  <si>
    <t>225275</t>
  </si>
  <si>
    <t>FUCICORT</t>
  </si>
  <si>
    <t>20MG/G+1MG/1G CRM 20G</t>
  </si>
  <si>
    <t>CEFUROXIM</t>
  </si>
  <si>
    <t>47727</t>
  </si>
  <si>
    <t>ZINNAT</t>
  </si>
  <si>
    <t>500MG TBL FLM 10</t>
  </si>
  <si>
    <t>CETIRIZIN</t>
  </si>
  <si>
    <t>99600</t>
  </si>
  <si>
    <t>ZODAC</t>
  </si>
  <si>
    <t>10MG TBL FLM 90</t>
  </si>
  <si>
    <t>ESOMEPRAZOL</t>
  </si>
  <si>
    <t>191097</t>
  </si>
  <si>
    <t>EMANERA</t>
  </si>
  <si>
    <t>20MG CPS ETD 90 II</t>
  </si>
  <si>
    <t>FINASTERID</t>
  </si>
  <si>
    <t>107595</t>
  </si>
  <si>
    <t>PENESTER</t>
  </si>
  <si>
    <t>5MG TBL FLM 90 II</t>
  </si>
  <si>
    <t>CHOLEKALCIFEROL</t>
  </si>
  <si>
    <t>12023</t>
  </si>
  <si>
    <t>0,5MG/ML POR GTT SOL 1X10ML</t>
  </si>
  <si>
    <t>KLÍŠŤOVÁ ENCEFALITIDA, INAKTIVOVANÝ CELÝ VIRUS</t>
  </si>
  <si>
    <t>215956</t>
  </si>
  <si>
    <t>FSME-IMMUN</t>
  </si>
  <si>
    <t>0,5ML INJ SUS ISP 1X0,5ML+J</t>
  </si>
  <si>
    <t>KYSELINA FUSIDOVÁ</t>
  </si>
  <si>
    <t>84492</t>
  </si>
  <si>
    <t>FUCIDIN</t>
  </si>
  <si>
    <t>20MG/G CRM 1X15G</t>
  </si>
  <si>
    <t>LEVOCETIRIZIN</t>
  </si>
  <si>
    <t>124346</t>
  </si>
  <si>
    <t>CEZERA</t>
  </si>
  <si>
    <t>5MG TBL FLM 90 I</t>
  </si>
  <si>
    <t>MĚKKÝ PARAFIN A TUKOVÉ PRODUKTY</t>
  </si>
  <si>
    <t>60413</t>
  </si>
  <si>
    <t>BALNEUM HERMAL PLUS</t>
  </si>
  <si>
    <t>829,5MG/G+150MG/G BAL 500ML</t>
  </si>
  <si>
    <t>METHYLPREDNISOLON-ACEPONÁT</t>
  </si>
  <si>
    <t>203002</t>
  </si>
  <si>
    <t>ADVANTAN MASTNÝ KRÉM</t>
  </si>
  <si>
    <t>1MG/G CRM 1X15G</t>
  </si>
  <si>
    <t>MOMETASON</t>
  </si>
  <si>
    <t>170760</t>
  </si>
  <si>
    <t>MOMMOX</t>
  </si>
  <si>
    <t>0,05MG/DÁV NAS SPR SUS 140DÁV</t>
  </si>
  <si>
    <t>RŮZNÉ JINÉ KOMBINACE ŽELEZA</t>
  </si>
  <si>
    <t>99138</t>
  </si>
  <si>
    <t>9,48MG/ML POR GTT SOL 30ML</t>
  </si>
  <si>
    <t>MENINGOCOCCUS A,C,Y,W-135, TETRAVAKCÍNA, PURIFIKOVANÉ POLYSA</t>
  </si>
  <si>
    <t>193236</t>
  </si>
  <si>
    <t>NIMENRIX</t>
  </si>
  <si>
    <t>INJ PSO LQF 1+1X1,25ML ISP+2J</t>
  </si>
  <si>
    <t>MENINGOCOCCUS B, MULTIKOMPONENTNÍ VAKCÍNA</t>
  </si>
  <si>
    <t>193805</t>
  </si>
  <si>
    <t>BEXSERO</t>
  </si>
  <si>
    <t>INJ SUS 1X0,5ML+J</t>
  </si>
  <si>
    <t>POTRAVINY PRO ZVLÁŠTNÍ LÉKAŘSKÉ ÚČELY (PZLÚ) (ČESKÁ ATC SKUP</t>
  </si>
  <si>
    <t>33403</t>
  </si>
  <si>
    <t>NUTRILON 1 NENATAL</t>
  </si>
  <si>
    <t>POR SOL 1X400G</t>
  </si>
  <si>
    <t>HOŘČÍK (KOMBINACE RŮZNÝCH SOLÍ)</t>
  </si>
  <si>
    <t>215978</t>
  </si>
  <si>
    <t>MAGNOSOLV</t>
  </si>
  <si>
    <t>365MG POR GRA SOL SCC 30</t>
  </si>
  <si>
    <t>Jiná</t>
  </si>
  <si>
    <t>0</t>
  </si>
  <si>
    <t>Jiný</t>
  </si>
  <si>
    <t>1012</t>
  </si>
  <si>
    <t>AZITHROMYCIN</t>
  </si>
  <si>
    <t>155868</t>
  </si>
  <si>
    <t>SUMAMED</t>
  </si>
  <si>
    <t>250MG CPS DUR 6</t>
  </si>
  <si>
    <t>EKONAZOL</t>
  </si>
  <si>
    <t>59074</t>
  </si>
  <si>
    <t>PEVARYL</t>
  </si>
  <si>
    <t>10MG/G CRM 30G</t>
  </si>
  <si>
    <t>FENOBARBITAL</t>
  </si>
  <si>
    <t>68578</t>
  </si>
  <si>
    <t>15MG TBL NOB 50 I</t>
  </si>
  <si>
    <t>103788</t>
  </si>
  <si>
    <t>JINÁ ANTIHISTAMINIKA PRO SYSTÉMOVOU APLIKACI</t>
  </si>
  <si>
    <t>2479</t>
  </si>
  <si>
    <t>DITHIADEN</t>
  </si>
  <si>
    <t>2MG TBL NOB 20</t>
  </si>
  <si>
    <t>KAPTOPRIL</t>
  </si>
  <si>
    <t>31215</t>
  </si>
  <si>
    <t>TENSIOMIN</t>
  </si>
  <si>
    <t>25MG TBL NOB 30</t>
  </si>
  <si>
    <t>KLARITHROMYCIN</t>
  </si>
  <si>
    <t>216199</t>
  </si>
  <si>
    <t>KLACID</t>
  </si>
  <si>
    <t>500MG TBL FLM 14</t>
  </si>
  <si>
    <t>235808</t>
  </si>
  <si>
    <t>KLOBAZAM</t>
  </si>
  <si>
    <t>65342</t>
  </si>
  <si>
    <t>FRISIUM</t>
  </si>
  <si>
    <t>10MG TBL NOB 20</t>
  </si>
  <si>
    <t>KLONAZEPAM</t>
  </si>
  <si>
    <t>85256</t>
  </si>
  <si>
    <t>RIVOTRIL</t>
  </si>
  <si>
    <t>2,5MG/ML POR GTT SOL 1X10ML</t>
  </si>
  <si>
    <t>KOMPLEX ŽELEZA S ISOMALTOSOU</t>
  </si>
  <si>
    <t>16595</t>
  </si>
  <si>
    <t>MALTOFER</t>
  </si>
  <si>
    <t>50MG/ML POR GTT SOL 1X30ML</t>
  </si>
  <si>
    <t>LEVETIRACETAM</t>
  </si>
  <si>
    <t>25853</t>
  </si>
  <si>
    <t>KEPPRA</t>
  </si>
  <si>
    <t>100MG/ML POR SOL 300ML+STŘ 10ML</t>
  </si>
  <si>
    <t>MAKROGOL</t>
  </si>
  <si>
    <t>184039</t>
  </si>
  <si>
    <t>FORLAX</t>
  </si>
  <si>
    <t>4G POR PLV SOL SCC 20</t>
  </si>
  <si>
    <t>VALACIKLOVIR</t>
  </si>
  <si>
    <t>124231</t>
  </si>
  <si>
    <t>VALACICLOVIR MYLAN</t>
  </si>
  <si>
    <t>500MG TBL FLM 42</t>
  </si>
  <si>
    <t>VIGABATRIN</t>
  </si>
  <si>
    <t>46408</t>
  </si>
  <si>
    <t>SABRIL</t>
  </si>
  <si>
    <t>500MG TBL FLM 100</t>
  </si>
  <si>
    <t>AMOXICILIN A  INHIBITOR BETA-LAKTAMASY</t>
  </si>
  <si>
    <t>99366</t>
  </si>
  <si>
    <t>AMOKSIKLAV 457 MG/5 ML</t>
  </si>
  <si>
    <t>400MG/5ML+57MG/5ML POR PLV SUS 70ML</t>
  </si>
  <si>
    <t>33836</t>
  </si>
  <si>
    <t>FORTINI PRO DĚTI S VLÁKNINOU, NEUTRAL</t>
  </si>
  <si>
    <t>POR SOL 1X200ML</t>
  </si>
  <si>
    <t>33837</t>
  </si>
  <si>
    <t>FORTINI PRO DĚTI S VLÁKNINOU, BANÁNOVÁ PŘÍCHUŤ</t>
  </si>
  <si>
    <t>33839</t>
  </si>
  <si>
    <t>FORTINI PRO DĚTI S VLÁKNINOU, VANILKOVÁ PŘÍCHUŤ</t>
  </si>
  <si>
    <t>33840</t>
  </si>
  <si>
    <t>FORTINI PRO DĚTI S VLÁKNINOU, JAHODOVÁ PŘÍCHUŤ</t>
  </si>
  <si>
    <t>33838</t>
  </si>
  <si>
    <t>FORTINI PRO DĚTI S VLÁKNINOU, ČOKOLÁDOVÁ PŘÍCHUŤ</t>
  </si>
  <si>
    <t>33822</t>
  </si>
  <si>
    <t>FORTINI CREAMY FRUIT MULTI FIBRE LETNÍ OVOCE</t>
  </si>
  <si>
    <t>POR SOL 4X100G</t>
  </si>
  <si>
    <t>33821</t>
  </si>
  <si>
    <t>FORTINI CREAMY FRUIT MULTI FIBRE ČERVENÉ OVOCE</t>
  </si>
  <si>
    <t>33938</t>
  </si>
  <si>
    <t>INFATRINI</t>
  </si>
  <si>
    <t>POR SOL 24X125ML</t>
  </si>
  <si>
    <t>217124</t>
  </si>
  <si>
    <t>217141</t>
  </si>
  <si>
    <t>RESOURCE JUNIOR FIBRE VANILKA</t>
  </si>
  <si>
    <t>POR SOL 4X200ML</t>
  </si>
  <si>
    <t>217143</t>
  </si>
  <si>
    <t>RESOURCE JUNIOR FIBRE KAKAO</t>
  </si>
  <si>
    <t>217144</t>
  </si>
  <si>
    <t>RESOURCE JUNIOR FIBRE JAHODA</t>
  </si>
  <si>
    <t>217142</t>
  </si>
  <si>
    <t>RESOURCE JUNIOR FIBRE BANÁN</t>
  </si>
  <si>
    <t>217191</t>
  </si>
  <si>
    <t>217195</t>
  </si>
  <si>
    <t>217192</t>
  </si>
  <si>
    <t>217193</t>
  </si>
  <si>
    <t>217194</t>
  </si>
  <si>
    <t>33202</t>
  </si>
  <si>
    <t>NUTRILON NENATAL LCP</t>
  </si>
  <si>
    <t>217212</t>
  </si>
  <si>
    <t>*2003</t>
  </si>
  <si>
    <t>999999</t>
  </si>
  <si>
    <t>*2060</t>
  </si>
  <si>
    <t>4000003</t>
  </si>
  <si>
    <t>ORTÉZA KRANIÁLNÍ REMODELAČNÍ INDIV. ZHOTOVENÁ</t>
  </si>
  <si>
    <t>DĚTI DO 1 ROKU VČETNĚ</t>
  </si>
  <si>
    <t>Ortopedicko protetické pomůcky sériově vyráběné</t>
  </si>
  <si>
    <t>11647</t>
  </si>
  <si>
    <t>LÍMEC KRČNÍ PAN 1.01</t>
  </si>
  <si>
    <t>ANATOMICKY TVAROVANÝ,VELIKOSTI S,M,L,XL,XXL,NÍZKÝ 8CM,VYSOKÝ 10CM</t>
  </si>
  <si>
    <t>Dále nespecifikované pomůcky</t>
  </si>
  <si>
    <t>11723</t>
  </si>
  <si>
    <t>SONDA VYŽIVOVACÍ 4396057,154</t>
  </si>
  <si>
    <t>CH 4,5/1,0 X 1,5MM,CH 6/1,5 X 2,1MM, 50CM</t>
  </si>
  <si>
    <t>Pomůcky pro laryngektomované</t>
  </si>
  <si>
    <t>169437</t>
  </si>
  <si>
    <t>CÉVKA ODSÁVACÍ PVC WELLSPRING</t>
  </si>
  <si>
    <t>VELIKOST 8 F,S KONEKTOREM,DÉLKA 30CM,PRO DUPV,500KS</t>
  </si>
  <si>
    <t>BENZATHIN-FENOXYMETHYLPENICILIN</t>
  </si>
  <si>
    <t>214055</t>
  </si>
  <si>
    <t>OSPEN 750</t>
  </si>
  <si>
    <t>750000IU/5ML POR SUS 1X60ML</t>
  </si>
  <si>
    <t>DESLORATADIN</t>
  </si>
  <si>
    <t>28831</t>
  </si>
  <si>
    <t>AERIUS</t>
  </si>
  <si>
    <t>2,5MG POR TBL DIS 30</t>
  </si>
  <si>
    <t>FYTOMENADION</t>
  </si>
  <si>
    <t>720</t>
  </si>
  <si>
    <t>132861</t>
  </si>
  <si>
    <t>0,5MG/ML POR GTT SOL 10ML</t>
  </si>
  <si>
    <t>JINÁ ANTIBIOTIKA PRO LOKÁLNÍ APLIKACI</t>
  </si>
  <si>
    <t>1066</t>
  </si>
  <si>
    <t>250IU/G+5,2MG/G UNG 10G</t>
  </si>
  <si>
    <t>KOMBINACE RŮZNÝCH ANTIBIOTIK</t>
  </si>
  <si>
    <t>1076</t>
  </si>
  <si>
    <t>OPH UNG 5G</t>
  </si>
  <si>
    <t>KYSELINA TRANEXAMOVÁ</t>
  </si>
  <si>
    <t>42613</t>
  </si>
  <si>
    <t>EXACYL</t>
  </si>
  <si>
    <t>500MG TBL FLM 20</t>
  </si>
  <si>
    <t>124343</t>
  </si>
  <si>
    <t>5MG TBL FLM 30 I</t>
  </si>
  <si>
    <t>218886</t>
  </si>
  <si>
    <t>LIPOBASE</t>
  </si>
  <si>
    <t>CRM 100G</t>
  </si>
  <si>
    <t>OLOPATADIN</t>
  </si>
  <si>
    <t>27557</t>
  </si>
  <si>
    <t>OPATANOL</t>
  </si>
  <si>
    <t>1MG/ML OPH GTT SOL 1X5ML</t>
  </si>
  <si>
    <t>PREDNISON</t>
  </si>
  <si>
    <t>42591</t>
  </si>
  <si>
    <t>RECTODELT</t>
  </si>
  <si>
    <t>100MG SUP 4</t>
  </si>
  <si>
    <t>SÍRAN ŽELEZNATÝ A KYSELINA LISTOVÁ</t>
  </si>
  <si>
    <t>92195</t>
  </si>
  <si>
    <t>TARDYFERON-FOL</t>
  </si>
  <si>
    <t>247,25MG/0,35MG TBL RET 100</t>
  </si>
  <si>
    <t>ŽELEZO V KOMBINACI S KYANOKOBALAMINEM A KYSELINOU LISTOVOU</t>
  </si>
  <si>
    <t>59571</t>
  </si>
  <si>
    <t>FERRO-FOLGAMMA</t>
  </si>
  <si>
    <t>37MG/5MG/0,01MG CPS MOL 100</t>
  </si>
  <si>
    <t>33399</t>
  </si>
  <si>
    <t>NUTRILON 0 NENATAL</t>
  </si>
  <si>
    <t>33491</t>
  </si>
  <si>
    <t>PRE BEBA DISCHARGE</t>
  </si>
  <si>
    <t>33402</t>
  </si>
  <si>
    <t>NUTRILON 1 ALLERGY CARE</t>
  </si>
  <si>
    <t>POR SOL 1X450G</t>
  </si>
  <si>
    <t>*7004</t>
  </si>
  <si>
    <t>*4116</t>
  </si>
  <si>
    <t>*9003</t>
  </si>
  <si>
    <t>*4117</t>
  </si>
  <si>
    <t>*2015</t>
  </si>
  <si>
    <t>Pomůcky respirační a inhalační</t>
  </si>
  <si>
    <t>170847</t>
  </si>
  <si>
    <t>KONCENTRÁTOR KYSLÍKU MOBILNÍ SIMPLYGO (J)</t>
  </si>
  <si>
    <t>150,00 KČ/DEN/PŮJČ.,KOMPLETNÍ S PŘÍSLUŠENSTVÍM</t>
  </si>
  <si>
    <t>93316</t>
  </si>
  <si>
    <t>KONCENTRÁTOR KYSLÍKU SESAM III (J)</t>
  </si>
  <si>
    <t>60,00 KČ/DEN/PŮJČ.</t>
  </si>
  <si>
    <t>AMOXICILIN</t>
  </si>
  <si>
    <t>66366</t>
  </si>
  <si>
    <t>OSPAMOX</t>
  </si>
  <si>
    <t>250MG/5ML POR PLV SUS 60ML</t>
  </si>
  <si>
    <t>DIAZEPAM</t>
  </si>
  <si>
    <t>69418</t>
  </si>
  <si>
    <t>DIAZEPAM DESITIN RECTAL TUBE</t>
  </si>
  <si>
    <t>10MG RCT SOL 5X2,5ML</t>
  </si>
  <si>
    <t>269</t>
  </si>
  <si>
    <t>PREDNISON LÉČIVA</t>
  </si>
  <si>
    <t>5MG TBL NOB 20</t>
  </si>
  <si>
    <t>ANALGETIKA A ANESTETIKA, KOMBINACE</t>
  </si>
  <si>
    <t>107143</t>
  </si>
  <si>
    <t>OTIPAX</t>
  </si>
  <si>
    <t>40MG/G+10MG/G AUR GTT SOL 16G</t>
  </si>
  <si>
    <t>18523</t>
  </si>
  <si>
    <t>XORIMAX</t>
  </si>
  <si>
    <t>250MG TBL FLM 10</t>
  </si>
  <si>
    <t>DEXAMETHASON</t>
  </si>
  <si>
    <t>52334</t>
  </si>
  <si>
    <t>FORTECORTIN 4</t>
  </si>
  <si>
    <t>4MG TBL NOB 20</t>
  </si>
  <si>
    <t>84700</t>
  </si>
  <si>
    <t>OTOBACID N</t>
  </si>
  <si>
    <t>0,2MG/G+5MG/G+479,8MG/G AUR GTT SOL 1X5ML</t>
  </si>
  <si>
    <t>DROTAVERIN</t>
  </si>
  <si>
    <t>192729</t>
  </si>
  <si>
    <t>NO-SPA</t>
  </si>
  <si>
    <t>40MG TBL NOB 24</t>
  </si>
  <si>
    <t>ENOXAPARIN</t>
  </si>
  <si>
    <t>115400</t>
  </si>
  <si>
    <t>2000IU(20MG)/0,2ML INJ SOL ISP 10X0,2ML I</t>
  </si>
  <si>
    <t>FUROSEMID</t>
  </si>
  <si>
    <t>56804</t>
  </si>
  <si>
    <t>FURORESE 40</t>
  </si>
  <si>
    <t>40MG TBL NOB 50</t>
  </si>
  <si>
    <t>MEFENOXALON</t>
  </si>
  <si>
    <t>85656</t>
  </si>
  <si>
    <t>DORSIFLEX</t>
  </si>
  <si>
    <t>200MG TBL NOB 30</t>
  </si>
  <si>
    <t>NORETHISTERON</t>
  </si>
  <si>
    <t>216963</t>
  </si>
  <si>
    <t>NORETHISTERON ZENTIVA</t>
  </si>
  <si>
    <t>5MG TBL NOB 45</t>
  </si>
  <si>
    <t>PITOFENON A ANALGETIKA</t>
  </si>
  <si>
    <t>176954</t>
  </si>
  <si>
    <t>ALGIFEN NEO</t>
  </si>
  <si>
    <t>500MG/ML+5MG/ML POR GTT SOL 1X50ML</t>
  </si>
  <si>
    <t>PROGESTERON</t>
  </si>
  <si>
    <t>76921</t>
  </si>
  <si>
    <t>UTROGESTAN</t>
  </si>
  <si>
    <t>100MG CPS MOL 30</t>
  </si>
  <si>
    <t>PŘÍPRAVKY PRO LÉČBU BRADAVIC A KUŘÍCH OK</t>
  </si>
  <si>
    <t>60890</t>
  </si>
  <si>
    <t>VERRUMAL</t>
  </si>
  <si>
    <t>5MG/G+100MG/G DRM SOL 13ML</t>
  </si>
  <si>
    <t>119654</t>
  </si>
  <si>
    <t>SORBIFER DURULES</t>
  </si>
  <si>
    <t>320MG/60MG TBL RET 100</t>
  </si>
  <si>
    <t>SODNÁ SŮL METAMIZOLU</t>
  </si>
  <si>
    <t>55823</t>
  </si>
  <si>
    <t>SULFAMETHOXAZOL A TRIMETHOPRIM</t>
  </si>
  <si>
    <t>3377</t>
  </si>
  <si>
    <t>BISEPTOL</t>
  </si>
  <si>
    <t>400MG/80MG TBL NOB 20</t>
  </si>
  <si>
    <t>TOLPERISON</t>
  </si>
  <si>
    <t>57525</t>
  </si>
  <si>
    <t>MYDOCALM</t>
  </si>
  <si>
    <t>150MG TBL FLM 30</t>
  </si>
  <si>
    <t>CHŘIPKA, INAKTIVOVANÁ VAKCÍNA, ŠTĚPENÝ VIRUS NEBO POVRCHOVÝ</t>
  </si>
  <si>
    <t>131426</t>
  </si>
  <si>
    <t>VAXIGRIP TETRA</t>
  </si>
  <si>
    <t>INJ SUS ISP 1X0,5ML+J</t>
  </si>
  <si>
    <t>215713</t>
  </si>
  <si>
    <t>TOBRAMYCIN</t>
  </si>
  <si>
    <t>86264</t>
  </si>
  <si>
    <t>3MG/ML OPH GTT SOL 1X5ML</t>
  </si>
  <si>
    <t>42845</t>
  </si>
  <si>
    <t>125MG POR GRA SUS 50ML</t>
  </si>
  <si>
    <t>DIOSMIN, KOMBINACE</t>
  </si>
  <si>
    <t>14075</t>
  </si>
  <si>
    <t>DETRALEX</t>
  </si>
  <si>
    <t>500MG TBL FLM 60</t>
  </si>
  <si>
    <t>MUPIROCIN</t>
  </si>
  <si>
    <t>90778</t>
  </si>
  <si>
    <t>BACTROBAN</t>
  </si>
  <si>
    <t>20MG/G UNG 15G</t>
  </si>
  <si>
    <t>DIENOGEST A ETHINYLESTRADIOL</t>
  </si>
  <si>
    <t>132749</t>
  </si>
  <si>
    <t>JEANINE</t>
  </si>
  <si>
    <t>2MG/0,03MG TBL OBD 3X21</t>
  </si>
  <si>
    <t>SODNÁ SŮL LEVOTHYROXINU</t>
  </si>
  <si>
    <t>172044</t>
  </si>
  <si>
    <t>LETROX</t>
  </si>
  <si>
    <t>150MCG TBL NOB 100</t>
  </si>
  <si>
    <t>155867</t>
  </si>
  <si>
    <t>20MG/ML POR PLV SUS 20ML</t>
  </si>
  <si>
    <t>49549</t>
  </si>
  <si>
    <t>OSPEN</t>
  </si>
  <si>
    <t>400000IU/5ML POR SUS 150ML</t>
  </si>
  <si>
    <t>BETAMETHASON</t>
  </si>
  <si>
    <t>192216</t>
  </si>
  <si>
    <t>DIPROSONE</t>
  </si>
  <si>
    <t>0,5MG/G UNG 30G</t>
  </si>
  <si>
    <t>CIPROFLOXACIN</t>
  </si>
  <si>
    <t>15653</t>
  </si>
  <si>
    <t>CIPLOX</t>
  </si>
  <si>
    <t>CUKRY</t>
  </si>
  <si>
    <t>146719</t>
  </si>
  <si>
    <t>10% GLUCOSE IN WATER FOR INJECTION FRESENIUS</t>
  </si>
  <si>
    <t>100MG/ML INF SOL 10X500ML II</t>
  </si>
  <si>
    <t>2539</t>
  </si>
  <si>
    <t>HALOPERIDOL-RICHTER</t>
  </si>
  <si>
    <t>2MG/ML POR GTT SOL 10ML</t>
  </si>
  <si>
    <t>HYDROKORTISON A ANTIBIOTIKA</t>
  </si>
  <si>
    <t>173197</t>
  </si>
  <si>
    <t>PIMAFUCORT</t>
  </si>
  <si>
    <t>10MG/G+10MG/G+3,5MG/G UNG 15G</t>
  </si>
  <si>
    <t>CHLORID DRASELNÝ</t>
  </si>
  <si>
    <t>2486</t>
  </si>
  <si>
    <t>KALIUM CHLORATUM LÉČIVA 7,5%</t>
  </si>
  <si>
    <t>75MG/ML INJ SOL 5X10ML</t>
  </si>
  <si>
    <t>CHLORID SODNÝ</t>
  </si>
  <si>
    <t>513</t>
  </si>
  <si>
    <t>100MG/ML INJ SOL 5X10ML</t>
  </si>
  <si>
    <t>NIFUROXAZID</t>
  </si>
  <si>
    <t>214593</t>
  </si>
  <si>
    <t>ERCEFURYL 200 MG CPS.</t>
  </si>
  <si>
    <t>200MG CPS DUR 14</t>
  </si>
  <si>
    <t>NIMESULID</t>
  </si>
  <si>
    <t>12892</t>
  </si>
  <si>
    <t>AULIN</t>
  </si>
  <si>
    <t>100MG TBL NOB 30</t>
  </si>
  <si>
    <t>ONDANSETRON</t>
  </si>
  <si>
    <t>187607</t>
  </si>
  <si>
    <t>ONDANSETRON B. BRAUN</t>
  </si>
  <si>
    <t>2MG/ML INJ SOL 20X4ML II</t>
  </si>
  <si>
    <t>ROZPOUŠTĚDLA A ŘEDIDLA, VČETNĚ IRIGAČNÍCH ROZTOKŮ</t>
  </si>
  <si>
    <t>10555</t>
  </si>
  <si>
    <t>100% PAR LQF 20X100ML PE</t>
  </si>
  <si>
    <t>SALMETEROL A FLUTIKASON</t>
  </si>
  <si>
    <t>107826</t>
  </si>
  <si>
    <t>SERETIDE 25/50 INHALER</t>
  </si>
  <si>
    <t>25MCG/50MCG/DÁV INH SUS PSS 120DÁV+POČ</t>
  </si>
  <si>
    <t>OKTENIDIN, KOMBINACE</t>
  </si>
  <si>
    <t>158767</t>
  </si>
  <si>
    <t>OCTENISEPT</t>
  </si>
  <si>
    <t>0,1G/100G DRM SPR SOL 1X250ML</t>
  </si>
  <si>
    <t>203097</t>
  </si>
  <si>
    <t>AMOKSIKLAV 1 G</t>
  </si>
  <si>
    <t>875MG/125MG TBL FLM 21</t>
  </si>
  <si>
    <t>234736</t>
  </si>
  <si>
    <t>169436</t>
  </si>
  <si>
    <t>Pomůcky stomické</t>
  </si>
  <si>
    <t>11279</t>
  </si>
  <si>
    <t>ODSTRAŇOVAČ PODLOŽKY CONVACARE</t>
  </si>
  <si>
    <t>100KS</t>
  </si>
  <si>
    <t>Obvazový materiál, náplasti</t>
  </si>
  <si>
    <t>86760</t>
  </si>
  <si>
    <t>ROZTOK PRONTOSAN 400416</t>
  </si>
  <si>
    <t>STERILNÍ LAHVIČKA,350ML</t>
  </si>
  <si>
    <t>19525</t>
  </si>
  <si>
    <t>GÁZA HYDROFILNÍ SKLÁDANÁ KOMPRESY STERILNÍ</t>
  </si>
  <si>
    <t>5X5CM,8 VRSTEV,2KS</t>
  </si>
  <si>
    <t>81460</t>
  </si>
  <si>
    <t>KRYTÍ ALUMINIZOVANÉ METALLINE</t>
  </si>
  <si>
    <t>8X10CM,10KS</t>
  </si>
  <si>
    <t>82012</t>
  </si>
  <si>
    <t>ROZTOK PRONTODERM</t>
  </si>
  <si>
    <t>NA OŠETŘENÍ KŮŽE A SLIZNIC,500ML</t>
  </si>
  <si>
    <t>80975</t>
  </si>
  <si>
    <t>7,5X7,5CM,8 VRSTEV,100KS</t>
  </si>
  <si>
    <t>82009</t>
  </si>
  <si>
    <t>KRYTÍ HYDROGELOVÉ OCTENILIN WOUND GEL</t>
  </si>
  <si>
    <t>GEL NA RÁNY,KAT.č.121602,20GR</t>
  </si>
  <si>
    <t>81418</t>
  </si>
  <si>
    <t>KOMPRESY NESTERILNÍ</t>
  </si>
  <si>
    <t>7,5X7,5CM,4 VRSTVY,NETKANÝ TEXTIL,100KS</t>
  </si>
  <si>
    <t>81417</t>
  </si>
  <si>
    <t>5X5CM,4 VRSTVY,NETKANÝ TEXTIL,100KS</t>
  </si>
  <si>
    <t>Pomůcky pro inkontinentní</t>
  </si>
  <si>
    <t>87165</t>
  </si>
  <si>
    <t>SÁČEK URINÁLNÍ SU 20 V2</t>
  </si>
  <si>
    <t>2000ML,DOLNÍ VÝPUST-T,1KS</t>
  </si>
  <si>
    <t>169438</t>
  </si>
  <si>
    <t>170748</t>
  </si>
  <si>
    <t>CÉVKA ODSÁVACÍ PVC CAP-CONE</t>
  </si>
  <si>
    <t>CÉVKA ODSÁVACÍ PVC VEL.8,DÉLKA 50 CM,100KS</t>
  </si>
  <si>
    <t>170747</t>
  </si>
  <si>
    <t>CÉVKA ODSÁVACÍ PVC VEL.6,DÉLKA 50 CM,100KS</t>
  </si>
  <si>
    <t>DROSPIRENON A ETHINYLESTRADIOL</t>
  </si>
  <si>
    <t>132793</t>
  </si>
  <si>
    <t>MAITALON</t>
  </si>
  <si>
    <t>3MG/0,03MG TBL FLM 3X21</t>
  </si>
  <si>
    <t>201970</t>
  </si>
  <si>
    <t>33000IU/2500IU DRM PLV SOL 1</t>
  </si>
  <si>
    <t>2963</t>
  </si>
  <si>
    <t>20MG TBL NOB 20</t>
  </si>
  <si>
    <t>FOSFOMYCIN</t>
  </si>
  <si>
    <t>213944</t>
  </si>
  <si>
    <t>URIFOS</t>
  </si>
  <si>
    <t>3G POR GRA SOL 1</t>
  </si>
  <si>
    <t>DEXAMETHASON A ANTIINFEKTIVA</t>
  </si>
  <si>
    <t>2546</t>
  </si>
  <si>
    <t>MAXITROL</t>
  </si>
  <si>
    <t>OPH GTT SUS 1X5ML</t>
  </si>
  <si>
    <t>85142</t>
  </si>
  <si>
    <t>XYZAL</t>
  </si>
  <si>
    <t>5MG TBL FLM 90</t>
  </si>
  <si>
    <t>SILIKONY</t>
  </si>
  <si>
    <t>122629</t>
  </si>
  <si>
    <t>64MG/ML POR SUS 1X30ML</t>
  </si>
  <si>
    <t>91291</t>
  </si>
  <si>
    <t>SUMETROLIM</t>
  </si>
  <si>
    <t>40MG/ML+8MG/ML SIR 100ML</t>
  </si>
  <si>
    <t>VARENIKLIN</t>
  </si>
  <si>
    <t>193947</t>
  </si>
  <si>
    <t>CHAMPIX</t>
  </si>
  <si>
    <t>0,5MG+1MG TBL FLM 11+14 II</t>
  </si>
  <si>
    <t>193948</t>
  </si>
  <si>
    <t>1MG TBL FLM 28 II</t>
  </si>
  <si>
    <t>ATORVASTATIN</t>
  </si>
  <si>
    <t>93021</t>
  </si>
  <si>
    <t>SORTIS</t>
  </si>
  <si>
    <t>40MG TBL FLM 100</t>
  </si>
  <si>
    <t>GLIMEPIRID</t>
  </si>
  <si>
    <t>163077</t>
  </si>
  <si>
    <t>AMARYL</t>
  </si>
  <si>
    <t>2MG TBL NOB 30</t>
  </si>
  <si>
    <t>KLOPIDOGREL</t>
  </si>
  <si>
    <t>141036</t>
  </si>
  <si>
    <t>TROMBEX</t>
  </si>
  <si>
    <t>75MG TBL FLM 90</t>
  </si>
  <si>
    <t>169252</t>
  </si>
  <si>
    <t>METFORMIN</t>
  </si>
  <si>
    <t>235493</t>
  </si>
  <si>
    <t>METFORMIN MYLAN</t>
  </si>
  <si>
    <t>1000MG TBL FLM 120</t>
  </si>
  <si>
    <t>PERINDOPRIL</t>
  </si>
  <si>
    <t>101211</t>
  </si>
  <si>
    <t>PRESTARIUM NEO</t>
  </si>
  <si>
    <t>5MG TBL FLM 90(3X30)</t>
  </si>
  <si>
    <t>RAMIPRIL</t>
  </si>
  <si>
    <t>56976</t>
  </si>
  <si>
    <t>TRITACE</t>
  </si>
  <si>
    <t>2,5MG TBL NOB 20</t>
  </si>
  <si>
    <t>SILDENAFIL</t>
  </si>
  <si>
    <t>166801</t>
  </si>
  <si>
    <t>OLVION</t>
  </si>
  <si>
    <t>100MG TBL FLM 8</t>
  </si>
  <si>
    <t>85524</t>
  </si>
  <si>
    <t>AMOKSIKLAV 375 MG</t>
  </si>
  <si>
    <t>250MG/125MG TBL FLM 21</t>
  </si>
  <si>
    <t>DULAGLUTID</t>
  </si>
  <si>
    <t>210230</t>
  </si>
  <si>
    <t>TRULICITY</t>
  </si>
  <si>
    <t>1,5MG INJ SOL 2X0,5ML</t>
  </si>
  <si>
    <t>BETAHISTIN</t>
  </si>
  <si>
    <t>176690</t>
  </si>
  <si>
    <t>BETAHISTIN ACTAVIS</t>
  </si>
  <si>
    <t>24MG TBL NOB 60</t>
  </si>
  <si>
    <t>ELEKTROLYTY</t>
  </si>
  <si>
    <t>107267</t>
  </si>
  <si>
    <t>0,9% SODIUM CHLORIDE IN WATER FOR INJECTION "FRESENIUS"</t>
  </si>
  <si>
    <t>9MG/ML INF SOL 10X500ML II</t>
  </si>
  <si>
    <t>AMOROLFIN</t>
  </si>
  <si>
    <t>45304</t>
  </si>
  <si>
    <t>LOCERYL</t>
  </si>
  <si>
    <t>50MG/ML LAC UGC 1X2,5ML I</t>
  </si>
  <si>
    <t>Ambulance novorozeneckého odd.</t>
  </si>
  <si>
    <t>Standardní lůžková péče</t>
  </si>
  <si>
    <t>Preskripce a záchyt receptů a poukazů - orientační přehled</t>
  </si>
  <si>
    <t>Přehled plnění pozitivního listu (PL) - 
   preskripce léčivých přípravků dle objemu Kč mimo PL</t>
  </si>
  <si>
    <t>J05AB11 - VALACIKLOVIR</t>
  </si>
  <si>
    <t>G04CB01 - FINASTERID</t>
  </si>
  <si>
    <t>C10AA05 - ATORVASTATIN</t>
  </si>
  <si>
    <t>B01AC04 - KLOPIDOGREL</t>
  </si>
  <si>
    <t>J01FA10 - AZITHROMYCIN</t>
  </si>
  <si>
    <t>A10BA02 - METFORMIN</t>
  </si>
  <si>
    <t>N07CA01 - BETAHISTIN</t>
  </si>
  <si>
    <t>J01CR02 - AMOXICILIN A  INHIBITOR BETA-LAKTAMASY</t>
  </si>
  <si>
    <t>A02BC05 - ESOMEPRAZOL</t>
  </si>
  <si>
    <t>R01AD09 - MOMETASON</t>
  </si>
  <si>
    <t>A04AA01 - ONDANSETRON</t>
  </si>
  <si>
    <t>R06AE07 - CETIRIZIN</t>
  </si>
  <si>
    <t>C09AA04 - PERINDOPRIL</t>
  </si>
  <si>
    <t>H03AA01 - SODNÁ SŮL LEVOTHYROXINU</t>
  </si>
  <si>
    <t>A10BB12 - GLIMEPIRID</t>
  </si>
  <si>
    <t>C09AA05 - RAMIPRIL</t>
  </si>
  <si>
    <t>A04AA01</t>
  </si>
  <si>
    <t>N07CA01</t>
  </si>
  <si>
    <t>A02BC05</t>
  </si>
  <si>
    <t>G04CB01</t>
  </si>
  <si>
    <t>R01AD09</t>
  </si>
  <si>
    <t>R06AE07</t>
  </si>
  <si>
    <t>J01FA10</t>
  </si>
  <si>
    <t>J05AB11</t>
  </si>
  <si>
    <t>H03AA01</t>
  </si>
  <si>
    <t>A10BA02</t>
  </si>
  <si>
    <t>A10BB12</t>
  </si>
  <si>
    <t>B01AC04</t>
  </si>
  <si>
    <t>C09AA04</t>
  </si>
  <si>
    <t>C09AA05</t>
  </si>
  <si>
    <t>C10AA05</t>
  </si>
  <si>
    <t>J01CR02</t>
  </si>
  <si>
    <t>Přehled plnění PL - Preskripce léčivých přípravků - orientační přehled</t>
  </si>
  <si>
    <t>50115020 - laboratorní diagnostika-LEK (Z501)</t>
  </si>
  <si>
    <t>50115050 - obvazový materiál (Z502)</t>
  </si>
  <si>
    <t>50115060 - ZPr - ostatní (Z503)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</si>
  <si>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</si>
  <si>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</si>
  <si>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</si>
  <si>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</si>
  <si>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50115070 - ZPr - katetry ostatní (Z513)</t>
  </si>
  <si>
    <t>50115079 - ZPr - internzivní péče (Z542)</t>
  </si>
  <si>
    <t>50115020</t>
  </si>
  <si>
    <t>laboratorní diagnostika-LEK (Z501)</t>
  </si>
  <si>
    <t>DG384</t>
  </si>
  <si>
    <t>Bactec- PEDS - PLUS/F - plastic</t>
  </si>
  <si>
    <t>DG379</t>
  </si>
  <si>
    <t>Doprava 21%</t>
  </si>
  <si>
    <t>DE022</t>
  </si>
  <si>
    <t>GlukĂłzovĂˇ membrĂˇnovĂˇ souprava</t>
  </si>
  <si>
    <t>Glukózová membránová souprava</t>
  </si>
  <si>
    <t>DG388</t>
  </si>
  <si>
    <t>JĂˇtrovĂ˝ bujon (10ml)- ĹˇroubovacĂ­ uzĂˇvÄ›r</t>
  </si>
  <si>
    <t>Játrový bujon (10ml)- šroubovací uzávěr</t>
  </si>
  <si>
    <t>DF171</t>
  </si>
  <si>
    <t>KALIBRAÄŚNĂŤ ROZTOK 1  S1820 (ABL 825)</t>
  </si>
  <si>
    <t>DF166</t>
  </si>
  <si>
    <t>KALIBRAÄŚNĂŤ ROZTOK 2  S1830 (ABL 825)</t>
  </si>
  <si>
    <t>DB437</t>
  </si>
  <si>
    <t>KALIBRACNI PLYN 1(10 bar)</t>
  </si>
  <si>
    <t>KALIBRAČNÍ ROZTOK 1  S1820 (ABL 825)</t>
  </si>
  <si>
    <t>KALIBRAČNÍ ROZTOK 2  S1830 (ABL 825)</t>
  </si>
  <si>
    <t>DD305</t>
  </si>
  <si>
    <t>KARTICKY TEST.SCREENING 45X70 á 100 ks</t>
  </si>
  <si>
    <t>KARTICKY TEST.SCREENING 45X70 Ăˇ 100 ks</t>
  </si>
  <si>
    <t>DD309</t>
  </si>
  <si>
    <t>LaktĂˇtovĂˇ membrĂˇnovĂˇ souprava</t>
  </si>
  <si>
    <t>Laktátová membránová souprava</t>
  </si>
  <si>
    <t>DD267</t>
  </si>
  <si>
    <t>MEMBRÁNOVÁ SOUPRAVA K+</t>
  </si>
  <si>
    <t>DB942</t>
  </si>
  <si>
    <t>MEMBRÁNOVÁ SOUPRAVA pCO2</t>
  </si>
  <si>
    <t>DD076</t>
  </si>
  <si>
    <t>MEMBRÁNOVÁ SOUPRAVA pO2</t>
  </si>
  <si>
    <t>DD075</t>
  </si>
  <si>
    <t>MEMBRÁNOVÁ SOUPRAVA REF.</t>
  </si>
  <si>
    <t>MEMBRĂNOVĂ SOUPRAVA REF.</t>
  </si>
  <si>
    <t>DF170</t>
  </si>
  <si>
    <t>NOVĂť ÄŚISTĂŤCĂŤ ROZTOK s aditivem, S8375 (ABL 825)</t>
  </si>
  <si>
    <t>NOVÝ ČISTÍCÍ ROZTOK s aditivem, S8375 (ABL 825)</t>
  </si>
  <si>
    <t>DF445</t>
  </si>
  <si>
    <t>Odpadni nadoba D512 600 ml</t>
  </si>
  <si>
    <t>DF169</t>
  </si>
  <si>
    <t>PROPLACHOVACĂŤ ROZTOK 600 ml S4980 (ABL 825)</t>
  </si>
  <si>
    <t>PROPLACHOVACÍ ROZTOK 600 ml S4980 (ABL 825)</t>
  </si>
  <si>
    <t>DH263</t>
  </si>
  <si>
    <t>Termo papĂ­r (8ks)</t>
  </si>
  <si>
    <t>Termo papír (8ks)</t>
  </si>
  <si>
    <t>DC634</t>
  </si>
  <si>
    <t>THB KALIBRAČNÍ ROZTOK,S7770</t>
  </si>
  <si>
    <t>DA376</t>
  </si>
  <si>
    <t>Zachycovače krevních sraženin, Clot Catchers ,250</t>
  </si>
  <si>
    <t>50115050</t>
  </si>
  <si>
    <t>obvazový materiál (Z502)</t>
  </si>
  <si>
    <t>ZL410</t>
  </si>
  <si>
    <t>Krytí gelové Hemagel 100 g A2681147</t>
  </si>
  <si>
    <t>ZA570</t>
  </si>
  <si>
    <t>Krytí transparentní tegaderm 4,4 cm x 4,4 cm bal. á 100 ks 1622W náhrada ZQ115 - povoleno pouze pro NOVO</t>
  </si>
  <si>
    <t>ZF225</t>
  </si>
  <si>
    <t>NĂˇplast derma plast sensitive hypoalergennĂ­ bal. Ăˇ 250 ks 5353811</t>
  </si>
  <si>
    <t>ZN366</t>
  </si>
  <si>
    <t>NĂˇplast poinjekÄŤnĂ­ elastickĂˇ tkanĂˇ jednotl. baleno 19 mm x 72 mm P-CURE1972ELAST</t>
  </si>
  <si>
    <t>Náplast derma plast sensitive hypoalergenní bal. á 250 ks 5353811</t>
  </si>
  <si>
    <t>ZA318</t>
  </si>
  <si>
    <t>Náplast transpore 1,25 cm x 9,14 m 1527-0</t>
  </si>
  <si>
    <t>ZL996</t>
  </si>
  <si>
    <t>Obinadlo hyrofilnĂ­ sterilnĂ­  8 cm x 5 m  004310182</t>
  </si>
  <si>
    <t>ZK522</t>
  </si>
  <si>
    <t>Tampon sterilnĂ­ z buniÄŤitĂ© vaty / 20 ks karton Ăˇ 9600 ks 1230216120</t>
  </si>
  <si>
    <t>Tampon sterilní z buničité vaty / 20 ks karton á 9600 ks 1230216120</t>
  </si>
  <si>
    <t>ZA467</t>
  </si>
  <si>
    <t>TyÄŤinka vatovĂˇ nesterilnĂ­ 15 cm bal. Ăˇ 100 ks 9679369</t>
  </si>
  <si>
    <t>Tyčinka vatová nesterilní 15 cm bal. á 100 ks 9679369</t>
  </si>
  <si>
    <t>ZA446</t>
  </si>
  <si>
    <t>Vata buniÄŤitĂˇ pĹ™Ă­Ĺ™ezy 20 x 30 cm 1230200129</t>
  </si>
  <si>
    <t>Vata buničitá přířezy 20 x 30 cm 1230200129</t>
  </si>
  <si>
    <t>ZM000</t>
  </si>
  <si>
    <t>Vata obvazovĂˇ sklĂˇdanĂˇ 50 g 1102323</t>
  </si>
  <si>
    <t>50115060</t>
  </si>
  <si>
    <t>ZPr - ostatní (Z503)</t>
  </si>
  <si>
    <t>ZO492</t>
  </si>
  <si>
    <t>ÄŚidlo saturaÄŤnĂ­ masimo jednorĂˇzovĂ© pro novorozence bal. Ăˇ 20 ks RD SET Neo 4003 -  n. 15-8-0000057</t>
  </si>
  <si>
    <t>ZA674</t>
  </si>
  <si>
    <t>CĂ©vka CN-01, bal.Ăˇ 40 ks, 646959</t>
  </si>
  <si>
    <t>ZD662</t>
  </si>
  <si>
    <t>CĂ©vka odsĂˇvacĂ­ CH8 s pĹ™eruĹˇovaÄŤem sĂˇnĂ­, dĂ©lka 60 cm,  bal. Ăˇ 50 ks ZAR-CO-A08-60</t>
  </si>
  <si>
    <t>Cévka CN-01, bal.á 40 ks, 646959</t>
  </si>
  <si>
    <t>Čidlo saturační masimo jednorázové pro novorozence bal. á 20 ks RD SET Neo 4003 -  n. 15-8-0000057</t>
  </si>
  <si>
    <t>ZB675</t>
  </si>
  <si>
    <t>Elektroda EKG pro novorozence bal. á 150 ks 19.000.00.916</t>
  </si>
  <si>
    <t>ZD892</t>
  </si>
  <si>
    <t>Filtr akustickĂ˝ echo screen bal. Ăˇ 5 ks 1770</t>
  </si>
  <si>
    <t>ZA737</t>
  </si>
  <si>
    <t>Filtr mini spike modrý 4550234</t>
  </si>
  <si>
    <t>ZC837</t>
  </si>
  <si>
    <t>Fonendoskop neonatální dvoustranný modrý P00202</t>
  </si>
  <si>
    <t>ZA744</t>
  </si>
  <si>
    <t>Kanyla neoflon 24G žlutá BDC391350</t>
  </si>
  <si>
    <t>ZB898</t>
  </si>
  <si>
    <t>KlobouÄŤek kojĂ­cĂ­ kontaktnĂ­ vel. S 16 mm K200.1628</t>
  </si>
  <si>
    <t>ZM221</t>
  </si>
  <si>
    <t>Klobouček kojící kontaktní Tulips M bal. á 10 párů 63.00.15</t>
  </si>
  <si>
    <t>ZN692</t>
  </si>
  <si>
    <t>Lanceta Solace modrĂˇ bezpeÄŤnostnĂ­ 26G/1,8 mm bal. Ăˇ 100 ks NT-PA26-100</t>
  </si>
  <si>
    <t>ZN691</t>
  </si>
  <si>
    <t>Lanceta Solace zelená bezpečnostní 21G/2,2 mm bal. á 100 ks NT-PA21-100</t>
  </si>
  <si>
    <t>Lanceta Solace zelenĂˇ bezpeÄŤnostnĂ­ 21G/2,2 mm bal. Ăˇ 100 ks NT-PA21-100</t>
  </si>
  <si>
    <t>ZN206</t>
  </si>
  <si>
    <t>Lopatka ĂşstnĂ­ dĹ™evÄ›nĂˇ lĂ©kaĹ™skĂˇ sterilnĂ­ 150 x 17 mm bal. Ăˇ 5 x 100 ks 4002/SG/CS/L</t>
  </si>
  <si>
    <t>Lopatka ústní dřevěná lékařská sterilní 150 x 17 mm bal. á 5 x 100 ks 4002/SG/CS/L</t>
  </si>
  <si>
    <t>ZF159</t>
  </si>
  <si>
    <t>NĂˇdoba na kontaminovanĂ˝ odpad 1 l 15-0002</t>
  </si>
  <si>
    <t>ZD784</t>
  </si>
  <si>
    <t>NĂˇstavec uĹˇnĂ­ echoscreen 4,0 mm modrĂ˝ bal. Ăˇ 10 ks 1908</t>
  </si>
  <si>
    <t>ZO776</t>
  </si>
  <si>
    <t>NĂˇstavec uĹˇnĂ­ echoscreen Tree Tip ĹľlutĂ˝ bal. Ăˇ 10 ks 1918</t>
  </si>
  <si>
    <t>Nádoba na kontaminovaný odpad 1 l 15-0002</t>
  </si>
  <si>
    <t>ZO777</t>
  </si>
  <si>
    <t>Nástroj čistící echoscreen bal. á 10 ks 1040</t>
  </si>
  <si>
    <t>ZB439</t>
  </si>
  <si>
    <t>OdstraĹovaÄŤ nĂˇplastĂ­ Convacare Ăˇ 100 ks 0011279 37443</t>
  </si>
  <si>
    <t>Odstraňovač náplastí Convacare á 100 ks 0011279 37443</t>
  </si>
  <si>
    <t>ZC722</t>
  </si>
  <si>
    <t>PĂˇska fixaÄŤnĂ­ bal. Ăˇ 12 ks LNOP 1053</t>
  </si>
  <si>
    <t>ZP509</t>
  </si>
  <si>
    <t>Pinzeta UH sterilnĂ­ I0600</t>
  </si>
  <si>
    <t>ZH760</t>
  </si>
  <si>
    <t>PopisovaÄŤ na kĹŻĹľi sterilnĂ­, chirurgickĂ˝, BLAYCO RQ-01, 13 cm, s jednĂ­m hrotem, gen. violeĹĄ + PVC pravĂ­tko 15 cm TCH02</t>
  </si>
  <si>
    <t>Popisovač na kůži sterilní, chirurgický, BLAYCO RQ-01, 13 cm, s jedním hrotem, gen. violeť + PVC pravítko 15 cm TCH02</t>
  </si>
  <si>
    <t>ZL688</t>
  </si>
  <si>
    <t>ProuĹľky diagnostickĂ© Accu-Check Inform II Strip 50 EU1 Ăˇ 50 ks 05942861041</t>
  </si>
  <si>
    <t>Proužky Accu-Check Inform II Strip 50 EU1 á 50 ks 05942861041</t>
  </si>
  <si>
    <t>ZL689</t>
  </si>
  <si>
    <t>Roztok Accu-Check Performa Int´l Controls 1+2 level 04861736001</t>
  </si>
  <si>
    <t>Roztok Accu-Check Performa IntÂ´l Controls 1+2 level 04861736001</t>
  </si>
  <si>
    <t>ZA400</t>
  </si>
  <si>
    <t>SĂˇÄŤek jĂ­macĂ­ dÄ›tskĂ˝ sterilnĂ­ bal. Ăˇ 10 ks 4425030</t>
  </si>
  <si>
    <t>Sáček jímací dětský sterilní bal. á 10 ks 4425030</t>
  </si>
  <si>
    <t>ZF672</t>
  </si>
  <si>
    <t>Set resuscitační neonatální 1,2 m s variabilním PEEP 6431000</t>
  </si>
  <si>
    <t>ZA787</t>
  </si>
  <si>
    <t>StĹ™Ă­kaÄŤka injekÄŤnĂ­ 2-dĂ­lnĂˇ 10 ml L Inject Solo 4606108V - nahrazuje ZR397</t>
  </si>
  <si>
    <t>ZA789</t>
  </si>
  <si>
    <t>StĹ™Ă­kaÄŤka injekÄŤnĂ­ 2-dĂ­lnĂˇ 2 ml L Inject Solo 4606027V</t>
  </si>
  <si>
    <t>StĹ™Ă­kaÄŤka injekÄŤnĂ­ 2-dĂ­lnĂˇ 2 ml L Inject Solo 4606027V - nahrazuje ZR395</t>
  </si>
  <si>
    <t>ZR398</t>
  </si>
  <si>
    <t>StĹ™Ă­kaÄŤka injekÄŤnĂ­ 2-dĂ­lnĂˇ 20 ml L DISCARDIT LE bal. Ăˇ 80 ks 300296</t>
  </si>
  <si>
    <t>ZA788</t>
  </si>
  <si>
    <t>StĹ™Ă­kaÄŤka injekÄŤnĂ­ 2-dĂ­lnĂˇ 20 ml L Inject Solo 4606205V - nahrazuje ZR398</t>
  </si>
  <si>
    <t>ZA790</t>
  </si>
  <si>
    <t>StĹ™Ă­kaÄŤka injekÄŤnĂ­ 2-dĂ­lnĂˇ 5 ml L Inject Solo4606051V - nahrazuje ZR396</t>
  </si>
  <si>
    <t>ZA746</t>
  </si>
  <si>
    <t>StĹ™Ă­kaÄŤka injekÄŤnĂ­ 3-dĂ­lnĂˇ 1 ml L tuberculin Omnifix Solo 9161406V</t>
  </si>
  <si>
    <t>Stříkačka injekční 2-dílná 10 ml L Inject Solo 4606108V</t>
  </si>
  <si>
    <t>Stříkačka injekční 2-dílná 2 ml L Inject Solo 4606027V</t>
  </si>
  <si>
    <t>Stříkačka injekční 2-dílná 20 ml L Inject Solo 4606205V</t>
  </si>
  <si>
    <t>Stříkačka injekční 2-dílná 5 ml L Inject Solo4606051V</t>
  </si>
  <si>
    <t>Stříkačka injekční 3-dílná 1 ml L tuberculin Omnifix Solo 9161406V</t>
  </si>
  <si>
    <t>ZB384</t>
  </si>
  <si>
    <t>Stříkačka injekční 3-dílná 20 ml LL Omnifix Solo se závitem bal. á 100 ks 4617207V</t>
  </si>
  <si>
    <t>ZH286</t>
  </si>
  <si>
    <t>Teploměr digitální s ohebným hrotem Thermoval Kids flex - voděodolný, nárazuvzdorný (91925) 9250532</t>
  </si>
  <si>
    <t>ZQ486</t>
  </si>
  <si>
    <t>TyÄŤinka vatovĂˇ sterilnĂ­ 14 cm po jednotlivÄ› balenĂˇ velkĂˇ 1 bal/100 ks 4791911</t>
  </si>
  <si>
    <t>Tyčinka vatová sterilní 14 cm po jednotlivě balená velká 1 bal/100 ks 4791911</t>
  </si>
  <si>
    <t>ZI931</t>
  </si>
  <si>
    <t>UzĂˇvÄ›r dezinfekÄŤnĂ­ k bezjehlovĂ©mu vstupu se 70% IPA  bal. 250 ks NCF-004</t>
  </si>
  <si>
    <t>ZM517</t>
  </si>
  <si>
    <t>Ventil vÄŤetnÄ› 6 bĂ­lĂ˝ch membrĂˇn K800.0727</t>
  </si>
  <si>
    <t>ZK799</t>
  </si>
  <si>
    <t>ZĂˇtka combi ÄŤervenĂˇ 4495101</t>
  </si>
  <si>
    <t>Zátka combi červená 4495101</t>
  </si>
  <si>
    <t>ZB755</t>
  </si>
  <si>
    <t>Zkumavka 1,0 ml K3 edta fialová 454034</t>
  </si>
  <si>
    <t>ZP077</t>
  </si>
  <si>
    <t>Zkumavka 15 ml PP 101/16,5 mm bĂ­lĂ˝ ĹˇroubovĂ˝ uzĂˇvÄ›r sterilnĂ­ jednotlivÄ› balenĂˇ, tekutĂ˝ materiĂˇl na bakteriolog. vyĹˇetĹ™enĂ­ 10362/MO/SG/CS</t>
  </si>
  <si>
    <t>Zkumavka 15 ml PP 101/16,5 mm bílý šroubový uzávěr sterilní jednotlivě balená, tekutý materiál na bakteriolog. vyšetření 10362/MO/SG/CS</t>
  </si>
  <si>
    <t>ZB760</t>
  </si>
  <si>
    <t>Zkumavka ÄŤervenĂˇ 3 ml 454095</t>
  </si>
  <si>
    <t>ZI182</t>
  </si>
  <si>
    <t>Zkumavka moÄŤovĂˇ + aplikĂˇtor s chem.stabilizĂˇtorem UriSwab ĹľlutĂˇ 802CE.A</t>
  </si>
  <si>
    <t>Zkumavka močová + aplikátor s chem.stabilizátorem UriSwab žlutá 802CE.A</t>
  </si>
  <si>
    <t>ZA743</t>
  </si>
  <si>
    <t>Zkumavka odbÄ›rovĂˇ 0,5 ml tapval fialovĂˇ (Aquisel) 11170</t>
  </si>
  <si>
    <t>ZA888</t>
  </si>
  <si>
    <t>Zkumavka odbÄ›rovĂˇ s gelem tapval bĂ­lĂˇ (Aquisel) 19860</t>
  </si>
  <si>
    <t>Zkumavka odběrová 0,5 ml tapval fialová (Aquisel) 11170</t>
  </si>
  <si>
    <t>Zkumavka odběrová s gelem tapval bílá (Aquisel) 19860</t>
  </si>
  <si>
    <t>ZI179</t>
  </si>
  <si>
    <t>Zkumavka s mediem+ flovakovaný tampon eSwab růžový nos,krk,vagina,konečník,rány,fekální vzo) 490CE.A</t>
  </si>
  <si>
    <t>50115065</t>
  </si>
  <si>
    <t>ZPr - vpichovací materiál (Z530)</t>
  </si>
  <si>
    <t>ZA999</t>
  </si>
  <si>
    <t>Jehla injekÄŤnĂ­ 0,5 x 16 mm oranĹľovĂˇ 4657853</t>
  </si>
  <si>
    <t>ZF925</t>
  </si>
  <si>
    <t>Jehla injekÄŤnĂ­ 0,9 x 25 mm ĹľlutĂˇ Ăˇ 100 ks 4657500</t>
  </si>
  <si>
    <t>ZB556</t>
  </si>
  <si>
    <t>Jehla injekÄŤnĂ­ 1,2 x 40 mm rĹŻĹľovĂˇ 4665120</t>
  </si>
  <si>
    <t>ZA834</t>
  </si>
  <si>
    <t>Jehla injekční 0,7 x 40 mm černá 4660021</t>
  </si>
  <si>
    <t>Jehla injekční 0,9 x 25 mm žlutá á 100 ks 4657500</t>
  </si>
  <si>
    <t>ZA832</t>
  </si>
  <si>
    <t>Jehla injekční 0,9 x 40 mm žlutá 4657519</t>
  </si>
  <si>
    <t>50115067</t>
  </si>
  <si>
    <t>ZPr - rukavice (Z532)</t>
  </si>
  <si>
    <t>ZN041</t>
  </si>
  <si>
    <t>Rukavice operaÄŤnĂ­ latex bez pudru sterilnĂ­  PF ansell gammex vel. 6,5 330048065</t>
  </si>
  <si>
    <t>ZN126</t>
  </si>
  <si>
    <t>Rukavice operaÄŤnĂ­ latex bez pudru sterilnĂ­  PF ansell gammex vel. 7,0 330048070</t>
  </si>
  <si>
    <t>Rukavice operační latex bez pudru sterilní  PF ansell gammex vel. 6,5 330048065</t>
  </si>
  <si>
    <t>Rukavice operační latex bez pudru sterilní  PF ansell gammex vel. 7,0 330048070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</si>
  <si>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</si>
  <si>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</si>
  <si>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</si>
  <si>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</si>
  <si>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ZO256</t>
  </si>
  <si>
    <t>Rukavice vyĹˇetĹ™ovacĂ­ nitril bez pudru nesterilnĂ­ sempercare Soft rĹŻĹľovĂ© bal. Ăˇ 200 ks vel. M 34432 - pouze pro novorozence</t>
  </si>
  <si>
    <t>Rukavice vyšetřovací nitril basic bez pudru modré L bal. á 200 ks 44752</t>
  </si>
  <si>
    <t>Rukavice vyšetřovací nitril basic bez pudru modré M bal. á 200 ks 44751</t>
  </si>
  <si>
    <t>Rukavice vyšetřovací nitril bez pudru nesterilní sempercare Soft růžové bal. á 200 ks vel. M 34432 - pouze pro novorozence</t>
  </si>
  <si>
    <t>ZO257</t>
  </si>
  <si>
    <t>Rukavice vyšetřovací nitril sempercare bez pudru Soft růžové bal. á 200 ks vel. L 34433 - pouze pro novorozence</t>
  </si>
  <si>
    <t>ZO255</t>
  </si>
  <si>
    <t>Rukavice vyšetřovací nitril sempercare bez pudru Soft růžové bal. á 200 ks vel. S 34431 - pouze pro novorozence</t>
  </si>
  <si>
    <t>DC319</t>
  </si>
  <si>
    <t>AUTOCHECK TM5+/LEVEL1/S7735</t>
  </si>
  <si>
    <t>DC402</t>
  </si>
  <si>
    <t>AUTOCHECK TM5+/LEVEL2/S7745</t>
  </si>
  <si>
    <t>DC320</t>
  </si>
  <si>
    <t>AUTOCHECK TM5+/LEVEL3/S7755</t>
  </si>
  <si>
    <t>DC321</t>
  </si>
  <si>
    <t>AUTOCHECK TM5+/LEVEL4/,S7765</t>
  </si>
  <si>
    <t>DG395</t>
  </si>
  <si>
    <t>DiagnostickĂˇ souprava AB0 set monoklonĂˇlnĂ­ na 30</t>
  </si>
  <si>
    <t>DC853</t>
  </si>
  <si>
    <t>KALIBRACNI PLYN 2</t>
  </si>
  <si>
    <t>DC959</t>
  </si>
  <si>
    <t>MEMBRÁNOVÁ SOUPRAVA  Na+</t>
  </si>
  <si>
    <t>DD268</t>
  </si>
  <si>
    <t>MEMBRÁNOVÁ SOUPRAVA Ca</t>
  </si>
  <si>
    <t>DD269</t>
  </si>
  <si>
    <t>MEMBRÁNOVÁ SOUPRAVA Cl</t>
  </si>
  <si>
    <t>MEMBRĂNOVĂ SOUPRAVA pCO2</t>
  </si>
  <si>
    <t>DG191</t>
  </si>
  <si>
    <t>UNIV.INDIK.PAPIRKY pH 0-12</t>
  </si>
  <si>
    <t>ZO123</t>
  </si>
  <si>
    <t>Fixace nosnĂ­ch katetrĹŻ nasofix niko M â€“ I dÄ›tskĂ˝ bal. Ăˇ 100 ks 49-625M-I</t>
  </si>
  <si>
    <t>Fixace nosních katetrů nasofix niko M – I dětský bal. á 100 ks 49-625M-I</t>
  </si>
  <si>
    <t>ZC845</t>
  </si>
  <si>
    <t>Kompresa NT 10 x 20 cm/5 ks sterilnĂ­ 26621</t>
  </si>
  <si>
    <t>Kompresa NT 10 x 20 cm/5 ks sterilní 26621</t>
  </si>
  <si>
    <t>ZA516</t>
  </si>
  <si>
    <t>Kompresa NT 7,5 x 7,5 cm/10 ks sterilkompres sterilnĂ­ karton Ăˇ 1000 ks 1325020266</t>
  </si>
  <si>
    <t>Kompresa NT 7,5 x 7,5 cm/10 ks sterilkompres sterilní karton á 1000 ks 1325020266</t>
  </si>
  <si>
    <t>ZK087</t>
  </si>
  <si>
    <t>KrĂ©m cavilon ochrannĂ˝ bariĂ©rovĂ˝ Ăˇ 28 g bal. Ăˇ 12 ks 3391E</t>
  </si>
  <si>
    <t>ZA485</t>
  </si>
  <si>
    <t>KrytĂ­ bioclusive 10 x 12 cm bal. Ăˇ 10 ks BIP1012 SYS (2463)</t>
  </si>
  <si>
    <t>KrytĂ­ gelovĂ© Hemagel 100 g A2681147</t>
  </si>
  <si>
    <t>ZN814</t>
  </si>
  <si>
    <t>KrytĂ­ gelovĂ© na rĂˇny ActiMaris bal. Ăˇ 20g 3097749</t>
  </si>
  <si>
    <t>ZA627</t>
  </si>
  <si>
    <t>KrytĂ­ granuflex extra thin 5 x 10 cm Ăˇ 10 ks 0021661 187959</t>
  </si>
  <si>
    <t>ZK405</t>
  </si>
  <si>
    <t>KrytĂ­ hemostatickĂ© gelitaspon standard 80 x 50 mm x 10 mm bal. Ăˇ 10 ks A2107861</t>
  </si>
  <si>
    <t>ZA544</t>
  </si>
  <si>
    <t>KrytĂ­ inadine nepĹ™ilnavĂ© 5,0 x 5,0 cm 1/10 SYS01481EE</t>
  </si>
  <si>
    <t>ZE396</t>
  </si>
  <si>
    <t>KrytĂ­ mastnĂ˝ tyl grassolind 7,5 x 10 cm bal. Ăˇ 10 ks 499313</t>
  </si>
  <si>
    <t>ZE108</t>
  </si>
  <si>
    <t>KrytĂ­ mepilex lite 10 x 10 cm bal. Ăˇ 5 ks 284100-01</t>
  </si>
  <si>
    <t>ZF108</t>
  </si>
  <si>
    <t>KrytĂ­ mepilex lite 6 x  8,5 cm bal. Ăˇ 5 ks 284000-01</t>
  </si>
  <si>
    <t>ZG613</t>
  </si>
  <si>
    <t>KrytĂ­ mepitel one 8 x 10 cm  bal. Ăˇ 5 ks 289200-00</t>
  </si>
  <si>
    <t>ZQ965</t>
  </si>
  <si>
    <t>KrytĂ­ octenilin gel na rĂˇny 20 ml 121602</t>
  </si>
  <si>
    <t>ZQ966</t>
  </si>
  <si>
    <t>KrytĂ­ octenilin roztok oplachovĂ˝ na rĂˇny 350 ml 121701</t>
  </si>
  <si>
    <t>ZK404</t>
  </si>
  <si>
    <t>KrytĂ­ prontosan roztok 350 ml 400416</t>
  </si>
  <si>
    <t>ZN816</t>
  </si>
  <si>
    <t>KrytĂ­ roztok k vĂ˝plachu a ÄŤiĹˇtÄ›nĂ­ ran ActiMaris Sensitiv 300 ml 3098093</t>
  </si>
  <si>
    <t>ZR242</t>
  </si>
  <si>
    <t>KrytĂ­ Tegaderm DIAMOND I.V. (4,4 cm Ă— 4,4 cm)bal. Ăˇ 100 ks 1674 - povoleno pouze pro NOVO</t>
  </si>
  <si>
    <t>KrytĂ­ transparentnĂ­ tegaderm 4,4 cm x 4,4 cm bal. Ăˇ 100 ks 1622W nĂˇhrada ZQ115 - povoleno pouze pro NOVO</t>
  </si>
  <si>
    <t>Krytí bioclusive 10 x 12 cm bal. á 10 ks BIP1012 SYS (2463)</t>
  </si>
  <si>
    <t>Krytí granuflex extra thin 5 x 10 cm á 10 ks 0021661 187959</t>
  </si>
  <si>
    <t>Krytí hemostatické gelitaspon standard 80 x 50 mm x 10 mm bal. á 10 ks A2107861</t>
  </si>
  <si>
    <t>ZA550</t>
  </si>
  <si>
    <t>Krytí hydrogelové nu-gel 25 g bal. á 6 ks MNG425</t>
  </si>
  <si>
    <t>Krytí inadine nepřilnavé 5,0 x 5,0 cm 1/10 SYS01481EE</t>
  </si>
  <si>
    <t>Krytí mastný tyl grassolind 7,5 x 10 cm bal. á 10 ks 499313</t>
  </si>
  <si>
    <t>ZE748</t>
  </si>
  <si>
    <t>Krytí melgisorb Ag alginátové absorpční 10 x 10 cm bal. á 10 ks 256105</t>
  </si>
  <si>
    <t>Krytí mepilex lite 10 x 10 cm bal. á 5 ks 284100-01</t>
  </si>
  <si>
    <t>Krytí mepilex lite 6 x  8,5 cm bal. á 5 ks 284000-01</t>
  </si>
  <si>
    <t>Krytí mepitel one 8 x 10 cm  bal. á 5 ks 289200-00</t>
  </si>
  <si>
    <t>Krytí roztok k výplachu a čištění ran ActiMaris Sensitiv 300 ml 3098093</t>
  </si>
  <si>
    <t>ZP131</t>
  </si>
  <si>
    <t>Krytí tegaderm i.v. advanced 3,8 cm x 4,5 cm bal. á 100 ks 1680 (náhrada ZG829) - povoleno pouze pro NOVO</t>
  </si>
  <si>
    <t>ZR241</t>
  </si>
  <si>
    <t>Krytí tegaderm i.v. advanced 5,0 cm x 5,7 cm bal. á 100 ks 1682  - povoleno pouze pro NOVO</t>
  </si>
  <si>
    <t>ZI558</t>
  </si>
  <si>
    <t>NĂˇplast curapor   7 x   5 cm 32912  (22120,  nĂˇhrada za cosmopor )</t>
  </si>
  <si>
    <t>ZI599</t>
  </si>
  <si>
    <t>NĂˇplast curapor 10 x   8 cm 32913 ( 22121,  nĂˇhrada za cosmopor )</t>
  </si>
  <si>
    <t>ZN101</t>
  </si>
  <si>
    <t>NĂˇplast Neo Smile k mÄ›Ĺ™enĂ­ teploty v inkubĂˇtoru GIRAFFE bal. Ăˇ 150 ks N731</t>
  </si>
  <si>
    <t>ZN100</t>
  </si>
  <si>
    <t>NĂˇplast reflexnĂ­ k mÄ›Ĺ™enĂ­ teploty v inkubĂˇtoru GIRAFFE Ăˇ 50 ks 0203-1980-300</t>
  </si>
  <si>
    <t>NĂˇplast transpore 1,25 cm x 9,14 m 1527-0</t>
  </si>
  <si>
    <t>ZF351</t>
  </si>
  <si>
    <t>NĂˇplast transpore bĂ­lĂˇ 1,25 cm x 9,14 m bal. Ăˇ 24 ks 1534-0</t>
  </si>
  <si>
    <t>Náplast curapor   7 x   5 cm 32912  (22120,  náhrada za cosmopor )</t>
  </si>
  <si>
    <t>Náplast curapor 10 x   8 cm 32913 ( 22121,  náhrada za cosmopor )</t>
  </si>
  <si>
    <t>Náplast reflexní k měření teploty v inkubátoru GIRAFFE á 50 ks 0203-1980-300</t>
  </si>
  <si>
    <t>Náplast transpore bílá 1,25 cm x 9,14 m bal. á 24 ks 1534-0</t>
  </si>
  <si>
    <t>ZA415</t>
  </si>
  <si>
    <t>Obinadlo idealast-haft 6 cm x 10 m 931114</t>
  </si>
  <si>
    <t>ZQ114</t>
  </si>
  <si>
    <t>Steh náplasťový pevný Pharmastrip 4 mm x 76mm 1 obálka á 8 stehů bal. á 100 obálek (náhrada za steri-strip) P-PHST476</t>
  </si>
  <si>
    <t>ZA441</t>
  </si>
  <si>
    <t>Steh náplasťový Steri-strip 6 x 38 mm bal. á 50 ks R1542</t>
  </si>
  <si>
    <t>ZA615</t>
  </si>
  <si>
    <t>Tampón cavilon 1 ml bal. á 25 ks 3343E</t>
  </si>
  <si>
    <t>ZA444</t>
  </si>
  <si>
    <t>Tampon nesterilnĂ­ stĂˇÄŤenĂ˝ 20 x 19 cm bez RTG nitĂ­ bal. Ăˇ 100 ks 1320300404</t>
  </si>
  <si>
    <t>Tampon nesterilní stáčený 20 x 19 cm bez RTG nití bal. á 100 ks 1320300404</t>
  </si>
  <si>
    <t>ZA593</t>
  </si>
  <si>
    <t>Tampon sterilnĂ­ stĂˇÄŤenĂ˝ 20 x 20 cm / 5 ks 28003+</t>
  </si>
  <si>
    <t>Tampon sterilní stáčený 20 x 20 cm / 5 ks 28003+</t>
  </si>
  <si>
    <t>ZA630</t>
  </si>
  <si>
    <t>Tampon sterilní stáčený 9 x 9 cm / 5 ks karton á 650 ks 1230110421</t>
  </si>
  <si>
    <t>ZM769</t>
  </si>
  <si>
    <t>Ubrousky cavilon pro pĂ©ÄŤi pĹ™i inkontinenci 8 ubrouskĹŻ 20 x 30 cm bal. Ăˇ 96 ks 9274 DH888843488</t>
  </si>
  <si>
    <t>Ubrousky cavilon pro péči při inkontinenci 8 ubrousků 20 x 30 cm bal. á 96 ks 9274 DH888843488</t>
  </si>
  <si>
    <t>ZC683</t>
  </si>
  <si>
    <t>Ambuvak pro děti silikonový - sólo P00114 - AKCE 1290 Kč bez DPH do konce března</t>
  </si>
  <si>
    <t>ZR348</t>
  </si>
  <si>
    <t>AplikĂˇtor hlavovĂ˝ k maskĂˇm a nostrilkĂˇm s magnetem a tlakovĂ˝m tÄ›snĂ˝m krytem k plicnĂ­m ventilĂˇtorĹŻm DrĂ¤ger Babylog VN 500  sterilnĂ­, jednorĂˇzovĂ˝, bal. Ăˇ 5 ks 170161161</t>
  </si>
  <si>
    <t>ZR315</t>
  </si>
  <si>
    <t>ÄŚepiÄŤka neonatĂˇlnĂ­ k plicnĂ­m ventilĂˇtorĹŻm DrĂ¤ger Babylog VN 500, vel. L s ÄŤelnĂ­ podloĹľkou a 2 fixaÄŤnĂ­mi pĂˇsky zelenĂˇ 170161022</t>
  </si>
  <si>
    <t>ZR314</t>
  </si>
  <si>
    <t>ÄŚepiÄŤka neonatĂˇlnĂ­ k plicnĂ­m ventilĂˇtorĹŻm DrĂ¤ger Babylog VN 500, vel. M s ÄŤelnĂ­ podloĹľkou a 2 fixaÄŤnĂ­mi pĂˇsky ÄŤervenĂˇ 170161021</t>
  </si>
  <si>
    <t>ZR313</t>
  </si>
  <si>
    <t>ÄŚepiÄŤka neonatĂˇlnĂ­ k plicnĂ­m ventilĂˇtorĹŻm DrĂ¤ger Babylog VN 500, vel. S s ÄŤelnĂ­ podloĹľkou a 2 fixaÄŤnĂ­mi pĂˇsky ĹľlutĂˇ 170161020</t>
  </si>
  <si>
    <t>ZR316</t>
  </si>
  <si>
    <t>ÄŚepiÄŤka neonatĂˇlnĂ­ k plicnĂ­m ventilĂˇtorĹŻm DrĂ¤ger Babylog VN 500, vel. XL s ÄŤelnĂ­ podloĹľkou a 2 fixaÄŤnĂ­mi pĂˇsky sv.modrĂˇ 170161023</t>
  </si>
  <si>
    <t>ZR312</t>
  </si>
  <si>
    <t>ÄŚepiÄŤka neonatĂˇlnĂ­ k plicnĂ­m ventilĂˇtorĹŻm DrĂ¤ger Babylog VN 500, vel. XS s ÄŤelnĂ­ podloĹľkou a 2 fixaÄŤnĂ­mi pĂˇsky rĹŻĹľovĂˇ 170161019</t>
  </si>
  <si>
    <t>ZD992</t>
  </si>
  <si>
    <t>ÄŚidlo saturaÄŤnĂ­ masimo jednorĂˇzovĂ© pro novorozence k monitoru Mindray bal. Ăˇ 20 ks 2329LHL</t>
  </si>
  <si>
    <t>ZL537</t>
  </si>
  <si>
    <t>ÄŚidlo teplotnĂ­ jednorĂˇzovĂ© bal. Ăˇ 10 ks 2074817-001</t>
  </si>
  <si>
    <t>Cévka odsávací CH8 s přerušovačem sání, délka 60 cm,  bal. á 50 ks ZAR-CO-A08-60</t>
  </si>
  <si>
    <t>ZA675</t>
  </si>
  <si>
    <t>Cévka pupeční CP-01 GAM646958</t>
  </si>
  <si>
    <t>ZA210</t>
  </si>
  <si>
    <t>Cévka vyživovací CV-01 GAMV686415 (GAM646957)</t>
  </si>
  <si>
    <t>Čepička neonatální k plicním ventilátorům Dräger Babylog VN 500, vel. L s čelní podložkou a 2 fixačními pásky zelená 170161022</t>
  </si>
  <si>
    <t>Čepička neonatální k plicním ventilátorům Dräger Babylog VN 500, vel. M s čelní podložkou a 2 fixačními pásky červená 170161021</t>
  </si>
  <si>
    <t>Čepička neonatální k plicním ventilátorům Dräger Babylog VN 500, vel. S s čelní podložkou a 2 fixačními pásky žlutá 170161020</t>
  </si>
  <si>
    <t>Čepička neonatální k plicním ventilátorům Dräger Babylog VN 500, vel. XL s čelní podložkou a 2 fixačními pásky sv.modrá 170161023</t>
  </si>
  <si>
    <t>Čepička neonatální k plicním ventilátorům Dräger Babylog VN 500, vel. XS s čelní podložkou a 2 fixačními pásky růžová 170161019</t>
  </si>
  <si>
    <t>Čidlo saturační masimo jednorázové pro novorozence k monitoru Mindray bal. á 20 ks 2329LHL</t>
  </si>
  <si>
    <t>Čidlo teplotní jednorázové bal. á 10 ks 2074817-001</t>
  </si>
  <si>
    <t>ZI683</t>
  </si>
  <si>
    <t>Drátek míchací á 500 ks 110009</t>
  </si>
  <si>
    <t>ZD271</t>
  </si>
  <si>
    <t>DrĹľĂˇk lĂˇhve flovac-plast 100 11-5121 (300 970-010-210)</t>
  </si>
  <si>
    <t>ZR510</t>
  </si>
  <si>
    <t>DrĹľĂˇk ramp infuznĂ­ch Vygon bal. Ăˇ 3 ks 870.01</t>
  </si>
  <si>
    <t>ZN575</t>
  </si>
  <si>
    <t>DudlĂ­k ÄŤervenĂ˝ 1-rychlostnĂ­ s ochrannĂ˝m krytem novorozenci bal. Ăˇ 180 ks 37589</t>
  </si>
  <si>
    <t>ZN574</t>
  </si>
  <si>
    <t>DudlĂ­k modrĂ˝ 3-rychlostnĂ­ s ochrannĂ˝m krytem novorozenci a starĹˇĂ­ bal. Ăˇ 180 ks 37587</t>
  </si>
  <si>
    <t>ZN573</t>
  </si>
  <si>
    <t>DudlĂ­k rĹŻĹľovĂ˝ 3-rychlostnĂ­ s ochrannĂ˝m krytem pĹ™edÄŤasnÄ› narozenĂ© dÄ›ti bal. Ăˇ 180 ks 37585</t>
  </si>
  <si>
    <t>Dudlík červený 1-rychlostní s ochranným krytem novorozenci bal. á 180 ks 37589</t>
  </si>
  <si>
    <t>Dudlík modrý 3-rychlostní s ochranným krytem novorozenci a starší bal. á 180 ks 37587</t>
  </si>
  <si>
    <t>Dudlík růžový 3-rychlostní s ochranným krytem předčasně narozené děti bal. á 180 ks 37585</t>
  </si>
  <si>
    <t>ZA980</t>
  </si>
  <si>
    <t>Elektroda EEG subdermalní needle PRO-E3 bal. á 30 ks 62056</t>
  </si>
  <si>
    <t>Filtr mini spike modrĂ˝ 4550234</t>
  </si>
  <si>
    <t>ZR326</t>
  </si>
  <si>
    <t>HadiÄŤka propojovacĂ­ vrapovanĂˇ k propojenĂ­ okruhu plicnĂ­ch ventilĂˇtorĹŻ DrĂ¤ger Babylog VN 500 s maskami a nostrilkami, prĹŻm. 10 mm,  sterilnĂ­,  bal. Ăˇ 5 ks 170163408</t>
  </si>
  <si>
    <t>ZB338</t>
  </si>
  <si>
    <t>HadiÄŤka spojovacĂ­ tlakovĂˇ biocath 1,0 mm x 200 cm PB 3120 M</t>
  </si>
  <si>
    <t>ZB668</t>
  </si>
  <si>
    <t>HadiÄŤka spojovacĂ­ tlakovĂˇ biocath pr. 1,0 mm x   50 cm Ăˇ 40 ks PB 3105 M</t>
  </si>
  <si>
    <t>ZR240</t>
  </si>
  <si>
    <t>Hadice ventilaÄŤnĂ­ VentStar Helix Dual Heated (N) vÄŤ komory pro Babylog VN 500 MP02650</t>
  </si>
  <si>
    <t>Hadice ventilační VentStar Helix Dual Heated (N) vč komory pro Babylog VN 500 MP02650</t>
  </si>
  <si>
    <t>Hadička propojovací vrapovaná k propojení okruhu plicních ventilátorů Dräger Babylog VN 500 s maskami a nostrilkami, prům. 10 mm,  sterilní,  bal. á 5 ks 170163408</t>
  </si>
  <si>
    <t>ZQ250</t>
  </si>
  <si>
    <t>Hadička spojovací HS 1,8 x 450 mm UNIV DEPH free 2201 045ND</t>
  </si>
  <si>
    <t>Hadička spojovací tlaková biocath 1,0 mm x 200 cm PB 3120 M</t>
  </si>
  <si>
    <t>ZB908</t>
  </si>
  <si>
    <t>Hadička spojovací žlutá 1 mm x 1500 mm pro světlocitlivé léky bal. á 20 ks 1100 1150ND</t>
  </si>
  <si>
    <t>ZR319</t>
  </si>
  <si>
    <t>Hlavový pás neonatální k plicním ventilátorům Dräger Babylog VN 500, maxi, s čelní opěrou a 2 fix pásky 36-48 cm 170161042</t>
  </si>
  <si>
    <t>ZR317</t>
  </si>
  <si>
    <t>Hlavový pás neonatální k plicním ventilátorům Dräger Babylog VN 500, mikro s čelní opěrou a 2 fix pásky 20-28 cm 170161040</t>
  </si>
  <si>
    <t>ZR318</t>
  </si>
  <si>
    <t>Hlavový pás neonatální k plicním ventilátorům Dräger Babylog VN 500, mini, s čelní opěrou a 2 fix pásky 28-36 cm 170161041</t>
  </si>
  <si>
    <t>ZQ076</t>
  </si>
  <si>
    <t>Jehelec neurochirurgickĂ˝ 130 mm 397132170021</t>
  </si>
  <si>
    <t>Jehelec neurochirurgický 130 mm 397132170021</t>
  </si>
  <si>
    <t>ZN156</t>
  </si>
  <si>
    <t>Kanyla ET 2,0 bez manĹľety bal. Ăˇ 10 ks 100/111/020</t>
  </si>
  <si>
    <t>ZB428</t>
  </si>
  <si>
    <t>Kanyla ET 2,5 bez manžety bal. á 10 ks 9325E</t>
  </si>
  <si>
    <t>Kanyla neoflon 24G ĹľlutĂˇ BDC391350</t>
  </si>
  <si>
    <t>ZB199</t>
  </si>
  <si>
    <t>Kanyla neoflon 26G fialová BDC391349</t>
  </si>
  <si>
    <t>Kanyla neoflon 26G fialovĂˇ BDC391349</t>
  </si>
  <si>
    <t>ZI681</t>
  </si>
  <si>
    <t>KapilĂˇra heparin litnĂ˝ 140 ul / 2,35 x 90 mm UH bal. Ăˇ 100 ks 102090</t>
  </si>
  <si>
    <t>Kapilára heparin litný 140 ul / 2,35 x 90 mm UH bal. á 100 ks 102090</t>
  </si>
  <si>
    <t>ZK884</t>
  </si>
  <si>
    <t>Kohout trojcestnĂ˝ discofix modrĂ˝ 4095111</t>
  </si>
  <si>
    <t>Kohout trojcestný discofix modrý 4095111</t>
  </si>
  <si>
    <t>ZJ659</t>
  </si>
  <si>
    <t>Kohout trojcestný s bezjehlovým konektorem Discofix C bal. á 100 ks 16494CSF</t>
  </si>
  <si>
    <t>ZB334</t>
  </si>
  <si>
    <t>Konektor bezjehlovĂ˝ bionecteur Ăˇ 50 ks 896.03 povoleno pouze pro HOK, DK a NOVOR</t>
  </si>
  <si>
    <t>ZE784</t>
  </si>
  <si>
    <t>Konektor bezjehlovĂ˝ pro ĹľilnĂ­ i arteriĂˇlnĂ­ linky smartsite modrĂ˝ 2000E7D</t>
  </si>
  <si>
    <t>ZB299</t>
  </si>
  <si>
    <t>Konektor bezjehlovĂ˝ safeflow s prodl.hadiÄŤkou, bal.Ăˇ 100 ks, 4097154</t>
  </si>
  <si>
    <t>Konektor bezjehlový bionecteur á 50 ks 896.03 povoleno pouze pro HOK, DK a NOVOR</t>
  </si>
  <si>
    <t>Konektor bezjehlový safeflow s prodl.hadičkou, bal.á 100 ks, 4097154</t>
  </si>
  <si>
    <t>ZB503</t>
  </si>
  <si>
    <t>Konektor pĹ™Ă­mĂ˝ 22 M-22 M 1960</t>
  </si>
  <si>
    <t>ZQ783</t>
  </si>
  <si>
    <t>Konektor Upgrade kit pro hadičky vzduchové Philips M1596B k propojení s manžetami TK Philips M186xC, M187xC, bal. á 10 ks 989803167521</t>
  </si>
  <si>
    <t>ZD903</t>
  </si>
  <si>
    <t>Kontejner+ lopatka 30 ml nesterilnĂ­ FLME25133</t>
  </si>
  <si>
    <t>ZE799</t>
  </si>
  <si>
    <t>Kyveta k mÄ›Ĺ™enĂ­ COâ‚‚, k ventilĂˇtoru DrĂ¤ger, dÄ›tskĂˇ, jednorĂˇzovĂˇ  (P), bal. Ăˇ 10 ks MP01063</t>
  </si>
  <si>
    <t>ZI026</t>
  </si>
  <si>
    <t>Ĺ idĂ­tko dÄ›tskĂ© Flora 03 kytiÄŤka bal. Ăˇ 30 ks 1001</t>
  </si>
  <si>
    <t>ZP814</t>
  </si>
  <si>
    <t>Ĺ idĂ­tko pro nezralĂ© novorozence do 30.tĂ˝dne ÄŤirĂ© Wee Thumbie â€“ Aqua 1046741</t>
  </si>
  <si>
    <t>ZB102</t>
  </si>
  <si>
    <t>LĂˇhev k odsĂˇvaÄŤce flovac 1l hadice 1,8 m Ăˇ 45 ks 000-036-020</t>
  </si>
  <si>
    <t>ZQ082</t>
  </si>
  <si>
    <t>LĂˇhev kojeneckĂˇ jednorĂˇzovĂˇ se Ĺˇroub.vĂ­ÄŤkem 130 ml multipack bal. Ăˇ 50 ks 14001</t>
  </si>
  <si>
    <t>ZQ081</t>
  </si>
  <si>
    <t>LĂˇhev kojeneckĂˇ jednorĂˇzovĂˇ se Ĺˇroub.vĂ­ÄŤkem 250 ml multipack bal. Ăˇ 50 ks 14002 (objednĂˇvat 2 bal. - 100 ks)</t>
  </si>
  <si>
    <t>ZQ083</t>
  </si>
  <si>
    <t>LĂˇhev kojeneckĂˇ jednorĂˇzovĂˇ se Ĺˇroub.vĂ­ÄŤkem 50 ml multipack bal. Ăˇ 50 ks 14000</t>
  </si>
  <si>
    <t>Láhev k odsávačce flovac 1l hadice 1,8 m á 45 ks 000-036-020</t>
  </si>
  <si>
    <t>Láhev kojenecká jednorázová se šroub.víčkem 130 ml multipack bal. á 50 ks 14001</t>
  </si>
  <si>
    <t>Láhev kojenecká jednorázová se šroub.víčkem 250 ml multipack bal. á 50 ks 14002</t>
  </si>
  <si>
    <t>Láhev kojenecká jednorázová se šroub.víčkem 250 ml multipack bal. á 50 ks 14002 (objednávat 2 bal. - 100 ks)</t>
  </si>
  <si>
    <t>Láhev kojenecká jednorázová se šroub.víčkem 50 ml multipack bal. á 50 ks 14000</t>
  </si>
  <si>
    <t>Lanceta Solace modrá bezpečnostní 26G/1,8 mm bal. á 100 ks NT-PA26-100</t>
  </si>
  <si>
    <t>ZQ782</t>
  </si>
  <si>
    <t>Manžeta TK k monitoru Philips neonatální jednorázová, vinyl, vel. 1, obvod 3,1 - 5,7 cm, bal. á 10 ks M1866B-10</t>
  </si>
  <si>
    <t>ZI119</t>
  </si>
  <si>
    <t>Manžeta TK novorozenecká č. 2 M1868B  (dřív.kč.M1868A se již nevyrábí)</t>
  </si>
  <si>
    <t>ZC134</t>
  </si>
  <si>
    <t>Manžeta TK novorozenecká č. 3 M1870B + konektor (M1870A se již nevyrábí)</t>
  </si>
  <si>
    <t>ZR325</t>
  </si>
  <si>
    <t>Maska neonatĂˇlnĂ­ nosnĂ­ nCPAP, k plicnĂ­m ventilĂˇtorĹŻm DrĂ¤ger Babylog VN 500, vel. L, sterilnĂ­, bal. Ăˇ 5 ks 17016104</t>
  </si>
  <si>
    <t>ZR324</t>
  </si>
  <si>
    <t>Maska neonatĂˇlnĂ­ nosnĂ­ nCPAP, k plicnĂ­m ventilĂˇtorĹŻm DrĂ¤ger Babylog VN 500, vel. M, sterilnĂ­, bal. Ăˇ 5 ks 170161013</t>
  </si>
  <si>
    <t>ZR372</t>
  </si>
  <si>
    <t>Maska neonatĂˇlnĂ­ nosnĂ­ nCPAP, k plicnĂ­m ventilĂˇtorĹŻm DrĂ¤ger Babylog VN 500, vel. S , sterilnĂ­, bal. Ăˇ 5 ks 170161012</t>
  </si>
  <si>
    <t>ZR402</t>
  </si>
  <si>
    <t>Maska neonatĂˇlnĂ­ nosnĂ­ nCPAP, k plicnĂ­m ventilĂˇtorĹŻm DrĂ¤ger Babylog VN 500, vel. XS , sterilnĂ­, bal. Ăˇ 5 ks 170161005</t>
  </si>
  <si>
    <t>Maska neonatální nosní nCPAP, k plicním ventilátorům Dräger Babylog VN 500, vel. L, sterilní, bal. á 5 ks 17016104</t>
  </si>
  <si>
    <t>Maska neonatální nosní nCPAP, k plicním ventilátorům Dräger Babylog VN 500, vel. M, sterilní, bal. á 5 ks 170161013</t>
  </si>
  <si>
    <t>ZR323</t>
  </si>
  <si>
    <t>Nostrila neonatĂˇlnĂ­ k plicnĂ­m ventilĂˇtorĹŻm DrĂ¤ger Babylog VN 500, vel. L, sterilnĂ­, bal. Ăˇ 5 ks 170161003</t>
  </si>
  <si>
    <t>ZR322</t>
  </si>
  <si>
    <t>Nostrila neonatĂˇlnĂ­ k plicnĂ­m ventilĂˇtorĹŻm DrĂ¤ger Babylog VN 500, vel. M, sterilnĂ­, bal. Ăˇ 5 ks 170161002</t>
  </si>
  <si>
    <t>ZR321</t>
  </si>
  <si>
    <t>Nostrila neonatĂˇlnĂ­ k plicnĂ­m ventilĂˇtorĹŻm DrĂ¤ger Babylog VN 500, vel. S, sterilnĂ­, bal. Ăˇ 5 ks 170161001</t>
  </si>
  <si>
    <t>ZR320</t>
  </si>
  <si>
    <t>Nostrila neonatĂˇlnĂ­ k plicnĂ­m ventilĂˇtorĹŻm DrĂ¤ger Babylog VN 500, vel. XS, sterilnĂ­, bal. Ăˇ 5 ks 170161006</t>
  </si>
  <si>
    <t>Nostrila neonatální k plicním ventilátorům Dräger Babylog VN 500, vel. L, sterilní, bal. á 5 ks 170161003</t>
  </si>
  <si>
    <t>Nostrila neonatální k plicním ventilátorům Dräger Babylog VN 500, vel. M, sterilní, bal. á 5 ks 170161002</t>
  </si>
  <si>
    <t>Nostrila neonatální k plicním ventilátorům Dräger Babylog VN 500, vel. S, sterilní, bal. á 5 ks 170161001</t>
  </si>
  <si>
    <t>Nostrila neonatální k plicním ventilátorům Dräger Babylog VN 500, vel. XS, sterilní, bal. á 5 ks 170161006</t>
  </si>
  <si>
    <t>Páska fixační bal. á 12 ks LNOP 1053</t>
  </si>
  <si>
    <t>ZR304</t>
  </si>
  <si>
    <t>Páska tejpovací  KIRA - Sports Tape pro novorozence hypoalergenní 100% bavlna 5 cm x 5 m barva bílá 8099456705010</t>
  </si>
  <si>
    <t>ZQ141</t>
  </si>
  <si>
    <t>PeĂˇn svorka na cĂ©vy rovnĂˇ 160 mm TK-BC 060-16</t>
  </si>
  <si>
    <t>ZF912</t>
  </si>
  <si>
    <t>Pinzeta chirurgickĂˇ rovnĂˇ 1 x 2 zuby jemnĂˇ 145 mm B397114920027</t>
  </si>
  <si>
    <t>Pinzeta UH sterilní I0600</t>
  </si>
  <si>
    <t>ZR238</t>
  </si>
  <si>
    <t>Plíce testovací pro Babylog VN 5008409742</t>
  </si>
  <si>
    <t>ZB501</t>
  </si>
  <si>
    <t>PĹ™eruĹˇovaÄŤ sĂˇnĂ­ fingertip sterilnĂ­ bal. Ăˇ 100 ks 07.031.00.000</t>
  </si>
  <si>
    <t>Přerušovač sání fingertip sterilní bal. á 100 ks 07.031.00.000</t>
  </si>
  <si>
    <t>ZR509</t>
  </si>
  <si>
    <t>Rampa 2 kohouty  infuznĂ­ Vygon bal. Ăˇ 25 ks 5827.92</t>
  </si>
  <si>
    <t>ZA691</t>
  </si>
  <si>
    <t>Rampa 3 kohouty discofix 16600C/4085434/</t>
  </si>
  <si>
    <t>ZB301</t>
  </si>
  <si>
    <t>Rampa 5 kohoutů bez PVC lipidorezistentní bal. á 20 ks RP 5000 M</t>
  </si>
  <si>
    <t>ZB360</t>
  </si>
  <si>
    <t>Rourka rektĂˇlnĂ­ CH12 dĂ©lka 12 cm sterilnĂ­ bal. Ăˇ 20 ks 646699</t>
  </si>
  <si>
    <t>Rourka rektální CH12 délka 12 cm sterilní bal. á 20 ks 646699</t>
  </si>
  <si>
    <t>ZK456</t>
  </si>
  <si>
    <t>SĂˇÄŤek moÄŤovĂ˝ lepĂ­cĂ­ dÄ›tskĂ˝ bez vypouĹˇtÄ›cĂ­ho ventilu 76.38042.000</t>
  </si>
  <si>
    <t>ZA687</t>
  </si>
  <si>
    <t>SĂˇÄŤek moÄŤovĂ˝ s hodinovou diurĂ©zou curity 200 ml, 2000 ml, hadiÄŤka 150 cm 6502</t>
  </si>
  <si>
    <t>Sáček močový lepící dětský bez vypouštěcího ventilu 76.38042.000</t>
  </si>
  <si>
    <t>ZA775</t>
  </si>
  <si>
    <t>Sáček močový lepicí dětský pro novoroz. 80 x 220 mm d744988 - nahrazen ZK456</t>
  </si>
  <si>
    <t>Sáček močový s hodinovou diurézou curity 200 ml, 2000 ml, hadička 150 cm 6502</t>
  </si>
  <si>
    <t>ZM753</t>
  </si>
  <si>
    <t>Sada Infant Flow LP nCPAP aolikĂˇtor. okruh, komora zvlhÄŤovaÄŤe s automatickĂ˝m plnÄ›nĂ­m bal. Ăˇ 10 ks 7772011AK</t>
  </si>
  <si>
    <t>Sada Infant Flow LP nCPAP aolikátor. okruh, komora zvlhčovače s automatickým plněním bal. á 10 ks 7772011AK</t>
  </si>
  <si>
    <t>ZN771</t>
  </si>
  <si>
    <t>Sada k pĹ™Ă­stroji NO-A pro pediatrickĂ© pouĹľitĂ­ 10002076</t>
  </si>
  <si>
    <t>Sada k přístroji NO-A pro pediatrické použití 10002076</t>
  </si>
  <si>
    <t>ZI035</t>
  </si>
  <si>
    <t>Savička náhradní kulatá k šidítkům Flora kytička 100N</t>
  </si>
  <si>
    <t>ZL525</t>
  </si>
  <si>
    <t>Senzor k mÄ›Ĺ™enĂ­ cerebrĂˇlnĂ­ oxymetrie somasensor INVOS pro dospÄ›lĂ© bal. Ăˇ 10 ks SAFB- SM</t>
  </si>
  <si>
    <t>ZN890</t>
  </si>
  <si>
    <t>Sonda pro enterĂˇlnĂ­ vĂ˝Ĺľivu graduovanĂˇ 4F /40 cm PVC 310.04</t>
  </si>
  <si>
    <t>ZN891</t>
  </si>
  <si>
    <t>Sonda pro enterĂˇlnĂ­ vĂ˝Ĺľivu graduovanĂˇ 5F /40 cm PVC 310.05</t>
  </si>
  <si>
    <t>ZN892</t>
  </si>
  <si>
    <t>Sonda pro enterĂˇlnĂ­ vĂ˝Ĺľivu graduovanĂˇ 6F /40 cm PVC 310.06</t>
  </si>
  <si>
    <t>Sonda pro enterální výživu graduovaná 4F /40 cm PVC 310.04</t>
  </si>
  <si>
    <t>Sonda pro enterální výživu graduovaná 5F /40 cm PVC 310.05</t>
  </si>
  <si>
    <t>Sonda pro enterální výživu graduovaná 6F /40 cm PVC 310.06</t>
  </si>
  <si>
    <t>ZJ356</t>
  </si>
  <si>
    <t>Sonda žaludeční CH10 1200 mm s RTG linkou bal. á 50 ks 412010</t>
  </si>
  <si>
    <t>ZJ703</t>
  </si>
  <si>
    <t>Sonda žaludeční CH8 1200mm s RTG linkou bal. á 50 ks 412008</t>
  </si>
  <si>
    <t>ZB543</t>
  </si>
  <si>
    <t>Souprava odbÄ›rovĂˇ tracheĂˇlnĂ­ na odbÄ›r sekretu G05206</t>
  </si>
  <si>
    <t>Souprava odběrová tracheální na odběr sekretu G05206</t>
  </si>
  <si>
    <t>ZD293</t>
  </si>
  <si>
    <t>Spojka heimlich na napoj. pediatr. drĂ©nĹŻ bal. Ăˇ 50 ks 800.01</t>
  </si>
  <si>
    <t>ZG724</t>
  </si>
  <si>
    <t>Spojka proplachovacĂ­ urologickĂˇ bal. Ăˇ 50 ks LCF</t>
  </si>
  <si>
    <t>ZB488</t>
  </si>
  <si>
    <t>Sprej cavilon 28 ml bal. á 12 ks 3346E</t>
  </si>
  <si>
    <t>Sprej cavilon 28 ml bal. Ăˇ 12 ks 3346E - dlouhodobĂ˝ vĂ˝padek</t>
  </si>
  <si>
    <t>ZR397</t>
  </si>
  <si>
    <t>StĹ™Ă­kaÄŤka injekÄŤnĂ­ 2-dĂ­lnĂˇ 10 ml L DISCARDIT LE 309110</t>
  </si>
  <si>
    <t>StĹ™Ă­kaÄŤka injekÄŤnĂ­ 2-dĂ­lnĂˇ 2 ml L Inject Solo 4606027V - povoleno pouze PRO NOVOROZENECKĂ‰ oddÄ›lenĂ­ a KNM</t>
  </si>
  <si>
    <t>ZR396</t>
  </si>
  <si>
    <t>StĹ™Ă­kaÄŤka injekÄŤnĂ­ 2-dĂ­lnĂˇ 5 ml L DISCARDIT LE 309050</t>
  </si>
  <si>
    <t>ZH168</t>
  </si>
  <si>
    <t>StĹ™Ă­kaÄŤka injekÄŤnĂ­ 3-dĂ­lnĂˇ 1 ml L tuberculin s jehlou KD-JECT III 26G x 1/2" 0,45 x 12 mm 831786</t>
  </si>
  <si>
    <t>ZE308</t>
  </si>
  <si>
    <t>StĹ™Ă­kaÄŤka injekÄŤnĂ­ 3-dĂ­lnĂˇ 5 ml LL Omnifix Solo se zĂˇvitem 4617053V</t>
  </si>
  <si>
    <t>ZA749</t>
  </si>
  <si>
    <t>StĹ™Ă­kaÄŤka injekÄŤnĂ­ 3-dĂ­lnĂˇ 50 ml LL Omnifix Solo 4617509F</t>
  </si>
  <si>
    <t>ZN854</t>
  </si>
  <si>
    <t>StĹ™Ă­kaÄŤka injekÄŤnĂ­ arteriĂˇlnĂ­ 3 ml bez jehly s heparinem bal. Ăˇ 100 ks safePICO Aspirator 956-622</t>
  </si>
  <si>
    <t>ZO543</t>
  </si>
  <si>
    <t>StĹ™Ă­kaÄŤka injekÄŤnĂ­ pĹ™edplnÄ›nĂˇ 0,9% NaCl 10 ml BD PosiFlush SP EMA bal. Ăˇ 30 ks 306585</t>
  </si>
  <si>
    <t>ZA754</t>
  </si>
  <si>
    <t>Stříkačka injekční 3-dílná 10 ml LL Omnifix Solo se závitem 4617100V</t>
  </si>
  <si>
    <t>Stříkačka injekční 3-dílná 5 ml LL Omnifix Solo se závitem 4617053V</t>
  </si>
  <si>
    <t>Stříkačka injekční 3-dílná 50 ml LL Omnifix Solo 4617509F</t>
  </si>
  <si>
    <t>Stříkačka injekční arteriální 3 ml bez jehly s heparinem bal. á 100 ks safePICO Aspirator 956-622</t>
  </si>
  <si>
    <t>Stříkačka injekční předplněná 0,9% NaCl 10 ml BD PosiFlush SP EMA bal. á 30 ks 306585</t>
  </si>
  <si>
    <t>ZA964</t>
  </si>
  <si>
    <t>Stříkačka janett 3-dílná 60 ml sterilní vyplachovací 050ML3CZ-CEW (MRG564)</t>
  </si>
  <si>
    <t>ZD492</t>
  </si>
  <si>
    <t>SvÄ›rka drĹľĂˇku flovac-plast 100 11-5122 (230-500)</t>
  </si>
  <si>
    <t>ZB095</t>
  </si>
  <si>
    <t>SystĂ©m odsĂˇvacĂ­ uzavĹ™enĂ˝ TC CH6 neo / pedi 30,5 cm ,bal.Ăˇ 10 ks, 196-5</t>
  </si>
  <si>
    <t>SystĂ©m odsĂˇvacĂ­ uzavĹ™enĂ˝ TC CH6 neo / pedi 30,5 cm bal. Ăˇ 10 ks 196-5</t>
  </si>
  <si>
    <t>ZB228</t>
  </si>
  <si>
    <t>Systém hrudní drenáže Pleur-evac bal. á 6 ks pro děti A-6020-08LF</t>
  </si>
  <si>
    <t>ZB195</t>
  </si>
  <si>
    <t>Systém odsávací uzavřený TC CH8 neo / pedi 30,5 cm 198-5</t>
  </si>
  <si>
    <t>Šidítko dětské Flora 03 kytička bal. á 30 ks 1001</t>
  </si>
  <si>
    <t>Šidítko pro nezralé novorozence do 30.týdne čiré Wee Thumbie – Aqua 1046741</t>
  </si>
  <si>
    <t>TeplomÄ›r digitĂˇlnĂ­ s ohebnĂ˝m hrotem Thermoval Kids flex - vodÄ›odolnĂ˝, nĂˇrazuvzdornĂ˝ (91925) 9250532</t>
  </si>
  <si>
    <t>ZE783</t>
  </si>
  <si>
    <t>Trn na vak jednosmÄ›rnĂ˝ 2309E</t>
  </si>
  <si>
    <t>ZD147</t>
  </si>
  <si>
    <t>Trokar hrudní 8F 8 cm pro novor.s kon.hrotem, RTG kontrastní bal. á 15 ks 625.08</t>
  </si>
  <si>
    <t>ZR290</t>
  </si>
  <si>
    <t>TyÄŤinka vatovĂˇ zvlhÄŤujĂ­cĂ­ na hygienu dutiny ĂşstnĂ­ 10 cm dlouhĂˇ bal. Ăˇ 75 ks 32.000.00.020</t>
  </si>
  <si>
    <t>ZP357</t>
  </si>
  <si>
    <t>Tyčinka vatová zvlhčující glycerín + citron bal. á 75 ks FTL-LS-15 - firma již nedodává</t>
  </si>
  <si>
    <t>Tyčinka vatová zvlhčující na hygienu dutiny ústní 10 cm dlouhá bal. á 75 ks 32.000.00.020</t>
  </si>
  <si>
    <t>ZA812</t>
  </si>
  <si>
    <t>UzĂˇvÄ›r do katetrĹŻ 4435001</t>
  </si>
  <si>
    <t>Uzávěr dezinfekční k bezjehlovému vstupu se 70% IPA  bal. 250 ks NCF-004</t>
  </si>
  <si>
    <t>ZR239</t>
  </si>
  <si>
    <t>Ventil  exp.  pro Babylog VN 500, sterilizovatelný 8415270</t>
  </si>
  <si>
    <t>Ventil včetně 6 bílých membrán K800.0727</t>
  </si>
  <si>
    <t>ZB620</t>
  </si>
  <si>
    <t>Víko kompaktní odsávací s poj.ventilem bal. á 3 ks P01102</t>
  </si>
  <si>
    <t>ZB452</t>
  </si>
  <si>
    <t>Víko kompletní kompaktní podtl. odsáv. P00341</t>
  </si>
  <si>
    <t>ZF940</t>
  </si>
  <si>
    <t>Vzduchovod nosní 3,5 mm bal. á 10 ks 321035</t>
  </si>
  <si>
    <t>ZI682</t>
  </si>
  <si>
    <t>ZĂˇtka ke kapilĂˇĹ™e Ăˇ 500 ks (8153) 110180</t>
  </si>
  <si>
    <t>Zátka ke kapiláře á 500 ks (8153) 110180</t>
  </si>
  <si>
    <t>Zkumavka 1,0 ml K3 edta fialovĂˇ 454034</t>
  </si>
  <si>
    <t>Zkumavka červená 3 ml 454095</t>
  </si>
  <si>
    <t>ZB763</t>
  </si>
  <si>
    <t>Zkumavka červená 9 ml 455092</t>
  </si>
  <si>
    <t>ZB773</t>
  </si>
  <si>
    <t>Zkumavka ĹˇedĂˇ-glykemie 454085</t>
  </si>
  <si>
    <t>ZO939</t>
  </si>
  <si>
    <t>Zkumavka liquor PP 10 ml 15,3 x 92 ml ĹˇroubovacĂ­ vĂ­ÄŤko sterilnĂ­ s popisem bal.Ăˇ 100 ks 62.610.018</t>
  </si>
  <si>
    <t>Zkumavka liquor PP 10 ml 15,3 x 92 ml šroubovací víčko sterilní s popisem bal.á 100 ks 62.610.018</t>
  </si>
  <si>
    <t>ZB985</t>
  </si>
  <si>
    <t>Zkumavka moÄŤovĂˇ urin-monovette s pĂ­stem 10 ml sterilnĂ­ bal. Ăˇ 100 ks 10.252.020</t>
  </si>
  <si>
    <t>Zkumavka močová urin-monovette s pístem 10 ml sterilní bal. á 100 ks 10.252.020</t>
  </si>
  <si>
    <t>ZB533</t>
  </si>
  <si>
    <t>Zkumavka na kovy 6 ml 456080</t>
  </si>
  <si>
    <t>ZB336</t>
  </si>
  <si>
    <t>Zkumavka odbÄ›rovĂˇ 1 ml tapval modrĂˇ bal. Ăˇ 50 ks (Aquisel) 13060</t>
  </si>
  <si>
    <t>Zkumavka odběrová 1 ml tapval modrá bal. á 50 ks (Aquisel) 13060</t>
  </si>
  <si>
    <t>Zkumavka s mediem+ flovakovanĂ˝ tampon eSwab rĹŻĹľovĂ˝ nos,krk,vagina,koneÄŤnĂ­k,rĂˇny,fekĂˇlnĂ­ vzo) 490CE.A</t>
  </si>
  <si>
    <t>Zkumavka šedá-glykemie 454085</t>
  </si>
  <si>
    <t>ZB776</t>
  </si>
  <si>
    <t>Zkumavka zelená 3 ml 454082</t>
  </si>
  <si>
    <t>50115063</t>
  </si>
  <si>
    <t>ZPr - vaky, sety (Z528)</t>
  </si>
  <si>
    <t>ZA716</t>
  </si>
  <si>
    <t>Set infuznĂ­ intrafix air bez PVC 180 cm 4063002</t>
  </si>
  <si>
    <t>Set infuzní intrafix air bez PVC 180 cm 4063002</t>
  </si>
  <si>
    <t>ZE079</t>
  </si>
  <si>
    <t>Set transfĂşznĂ­ non PVC s odvzduĹˇnÄ›nĂ­m a bakteriĂˇlnĂ­m filtrem ZAR-I-TS</t>
  </si>
  <si>
    <t>Set transfúzní non PVC s odvzdušněním a bakteriálním filtrem ZAR-I-TS</t>
  </si>
  <si>
    <t>50115064</t>
  </si>
  <si>
    <t>ZPr - šicí materiál (Z529)</t>
  </si>
  <si>
    <t>ZA878</t>
  </si>
  <si>
    <t>Ĺ itĂ­ ethilon bl 4-0 bal. Ăˇ 12 ks (W319) 662G</t>
  </si>
  <si>
    <t>Šití ethilon bl 4-0 bal. á 12 ks (W319) 662G</t>
  </si>
  <si>
    <t>Jehla injekÄŤnĂ­ 0,9 x 40 mm ĹľlutĂˇ 4657519</t>
  </si>
  <si>
    <t>Jehla injekční 0,5 x 16 mm oranžová 4657853</t>
  </si>
  <si>
    <t>Jehla injekční 1,2 x 40 mm růžová 4665120</t>
  </si>
  <si>
    <t>ZN108</t>
  </si>
  <si>
    <t>Rukavice operaÄŤnĂ­ latex bez pudru sterilnĂ­  PF ansell gammex vel. 8,0 330048080</t>
  </si>
  <si>
    <t>ZN125</t>
  </si>
  <si>
    <t>Rukavice operaÄŤnĂ­ latex bez pudru sterilnĂ­  PF ansell gammex vel.7,5 330048075</t>
  </si>
  <si>
    <t>Rukavice operační latex bez pudru sterilní  PF ansell gammex vel. 8,0 330048080</t>
  </si>
  <si>
    <t>ZN040</t>
  </si>
  <si>
    <t>Rukavice operační latex bez pudru sterilní  PF ansell gammex vel. 8,5 330048085</t>
  </si>
  <si>
    <t>Rukavice operační latex bez pudru sterilní  PF ansell gammex vel.7,5 330048075</t>
  </si>
  <si>
    <t>ZP949</t>
  </si>
  <si>
    <t>Rukavice vyĹˇetĹ™ovacĂ­ nitril basic bez pudru modrĂ© XL bal. Ăˇ 170 ks 44753</t>
  </si>
  <si>
    <t>50115070</t>
  </si>
  <si>
    <t>ZPr - katetry ostatní (Z513)</t>
  </si>
  <si>
    <t>ZL818</t>
  </si>
  <si>
    <t>Katetr pupeÄŤnĂ­ dvoucestnĂ˝ 1272.14</t>
  </si>
  <si>
    <t>ZP084</t>
  </si>
  <si>
    <t>Katetr pupeÄŤnĂ­ jednocestnĂ˝ 3,5 Fr x 40 cm 1270.03</t>
  </si>
  <si>
    <t>Katetr pupeční dvoucestný 1272.14</t>
  </si>
  <si>
    <t>Katetr pupeční jednocestný 3,5 Fr x 40 cm 1270.03</t>
  </si>
  <si>
    <t>ZN982</t>
  </si>
  <si>
    <t>Mikrokatetr dvoucestný Nutriline 2F 24G/ 30 cm se zaváděcím drátem (neonatál. k parent. výživě PUR) 1252.230</t>
  </si>
  <si>
    <t>ZC618</t>
  </si>
  <si>
    <t>Mikrokatetr jednocestný premicath 1F 28G/20 cm neonatál. k parent. výživě PUR 1261.203</t>
  </si>
  <si>
    <t>50115079</t>
  </si>
  <si>
    <t>ZPr - internzivní péče (Z542)</t>
  </si>
  <si>
    <t>ZM999</t>
  </si>
  <si>
    <t>Adaptér HFO autoklávovatelný k ventilátoru Fabian 7209</t>
  </si>
  <si>
    <t>ZM997</t>
  </si>
  <si>
    <t>Blok výdechový autoklávovatelný k ventilátoru Fabian 7360</t>
  </si>
  <si>
    <t>ZC905</t>
  </si>
  <si>
    <t>Hadice silikon 7 x 11,0 x 2,00 mm á 10 m pro drenáž těl.dutin KVS60-070110</t>
  </si>
  <si>
    <t>ZK465</t>
  </si>
  <si>
    <t>Hadička spojovací propojovací ventilátor/zvlhčovač jednorázová k ventilátoru Fabian bal. á 10 ks 270.520</t>
  </si>
  <si>
    <t>ZI235</t>
  </si>
  <si>
    <t>Komora pro zvlhčovače jednorázová k ventilátoru Fabian bal. á 10 ks 500.300 (500380)</t>
  </si>
  <si>
    <t>ZR674</t>
  </si>
  <si>
    <t>MikronebulizĂˇtor Aerogen Solo, pro podĂˇvĂˇnĂ­ lĂ©kĹŻ formou aerosolu, vibraÄŤnĂ­,  jednorĂˇzovĂ˝  P07070</t>
  </si>
  <si>
    <t>ZQ043</t>
  </si>
  <si>
    <t>Okruh dýchací jednorázový BTS1181A vyhř. okruh 120 cm AIRcon, HFO k ventilátoru Fabian bal. á 10 ks 270.754</t>
  </si>
  <si>
    <t>ZR311</t>
  </si>
  <si>
    <t>Okruh dýchací nevyhřívaný  BTS100, pro pro  transportní ventilátor  Fabian nCPAP Evolution 120 cm, jednorázový, bal. á 10 ks 270.330</t>
  </si>
  <si>
    <t>ZN141</t>
  </si>
  <si>
    <t>Okruh dýchací vyhřívaný s přívodní hadicí komorou nízkoprůtokovou zvlhčovací patronou Vapotherm pro rozsah průtoku 2-8 l/min. bal. á 5 ks PF-DPC-Low</t>
  </si>
  <si>
    <t>ZP783</t>
  </si>
  <si>
    <t>PĹ™evodnĂ­k tlakovĂ˝ arteriĂˇlnĂ­ 158 cm jednokomorovĂ˝ 2 ml 1 linka pediatrickĂ˝ uzavĹ™enĂ˝ systĂ©m Argon Safedraw P set bal. Ăˇ 5 ks ARG:688600</t>
  </si>
  <si>
    <t>ZD478</t>
  </si>
  <si>
    <t>Převodník tlakový arteriální 90 cm jednokom. pediatrický 1 linka bal. á 20 ks T432105A</t>
  </si>
  <si>
    <t>ZM993</t>
  </si>
  <si>
    <t>Senzor průtokový novorozenecký autoklávovatelný k ventilátoru Fabian 1031</t>
  </si>
  <si>
    <t>Spotřeba zdravotnického materiálu - orientační přehled</t>
  </si>
  <si>
    <t>3 NLZP</t>
  </si>
  <si>
    <t>4 THP</t>
  </si>
  <si>
    <t>5 Dohody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</si>
  <si>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</si>
  <si>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</si>
  <si>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</si>
  <si>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</si>
  <si>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</si>
  <si>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</si>
  <si>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</si>
  <si>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</si>
  <si>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</si>
  <si>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ON Data</t>
  </si>
  <si>
    <t>lékaři pod odborným dozorem</t>
  </si>
  <si>
    <t>lékaři pod odborným dohledem</t>
  </si>
  <si>
    <t>lékaři specialisté</t>
  </si>
  <si>
    <t>všeobecné sestry bez dohl.</t>
  </si>
  <si>
    <t>porodní asistenti</t>
  </si>
  <si>
    <t>dětské sestry §5/D4</t>
  </si>
  <si>
    <t>dětské sestry §5/D2</t>
  </si>
  <si>
    <t>dětské sestry §5/D3</t>
  </si>
  <si>
    <t>sanitáři</t>
  </si>
  <si>
    <t>THP</t>
  </si>
  <si>
    <t>dohody</t>
  </si>
  <si>
    <t>Specializovaná ambulantní péče</t>
  </si>
  <si>
    <t>301 - Pracoviště pediatrie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</si>
  <si>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</si>
  <si>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</si>
  <si>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</si>
  <si>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</si>
  <si>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</si>
  <si>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Bahúlová Michaela</t>
  </si>
  <si>
    <t>ZedníčkováŠkodová Hana</t>
  </si>
  <si>
    <t>Zdravotní výkony vykázané na pracovišti v rámci ambulantní péče dle lékařů *</t>
  </si>
  <si>
    <t>06</t>
  </si>
  <si>
    <t>301</t>
  </si>
  <si>
    <t>(prázdné)</t>
  </si>
  <si>
    <t>1</t>
  </si>
  <si>
    <t>0210115</t>
  </si>
  <si>
    <t>SYNAGI</t>
  </si>
  <si>
    <t>0210114</t>
  </si>
  <si>
    <t>SYNAGIS</t>
  </si>
  <si>
    <t>2</t>
  </si>
  <si>
    <t>0007957</t>
  </si>
  <si>
    <t>Erytrocyty deleukotizované</t>
  </si>
  <si>
    <t>0407942</t>
  </si>
  <si>
    <t>Poíplatek za ozáoení</t>
  </si>
  <si>
    <t>09111</t>
  </si>
  <si>
    <t>ODBĚR KAPILÁRNÍ KRVE</t>
  </si>
  <si>
    <t>09117</t>
  </si>
  <si>
    <t>ODBĚR KRVE ZE ŽÍLY U DÍTĚTĚ DO 10 LET</t>
  </si>
  <si>
    <t>09227</t>
  </si>
  <si>
    <t>I. V. APLIKACE KRVE NEBO KREVNÍCH DERIVÁTŮ</t>
  </si>
  <si>
    <t>09511</t>
  </si>
  <si>
    <t>MINIMÁLNÍ KONTAKT LÉKAŘE S PACIENTEM</t>
  </si>
  <si>
    <t>31023</t>
  </si>
  <si>
    <t>KONTROLNÍ VYŠETŘENÍ DĚTSKÝM LÉKAŘEM</t>
  </si>
  <si>
    <t>73028</t>
  </si>
  <si>
    <t>SCREENING SLUCHU U NOVOROZENCŮ</t>
  </si>
  <si>
    <t>99991</t>
  </si>
  <si>
    <t>(VZP) KÓD POUZE PRO CENTRA DLE VYHL. 368/2006 - SL</t>
  </si>
  <si>
    <t>09555</t>
  </si>
  <si>
    <t>OŠETŘENÍ DÍTĚTE DO 6 LET</t>
  </si>
  <si>
    <t>09215</t>
  </si>
  <si>
    <t>INJEKCE I. M., S. C., I. D.</t>
  </si>
  <si>
    <t>31022</t>
  </si>
  <si>
    <t>CÍLENÉ VYŠETŘENÍ DĚTSKÝM LÉKAŘEM</t>
  </si>
  <si>
    <t>09513</t>
  </si>
  <si>
    <t>TELEFONICKÁ KONZULTACE OŠETŘUJÍCÍHO LÉKAŘE PACIENT</t>
  </si>
  <si>
    <t>31021</t>
  </si>
  <si>
    <t>KOMPLEXNÍ VYŠETŘENÍ DĚTSKÝM LÉKAŘEM</t>
  </si>
  <si>
    <t>09115</t>
  </si>
  <si>
    <t>ODBĚR BIOLOGICKÉHO MATERIÁLU JINÉHO NEŽ KREV NA KV</t>
  </si>
  <si>
    <t>02210</t>
  </si>
  <si>
    <t>ODBĚR PRO NOVOROZENECKÝ SCREENING NEBO RESCREENING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</si>
  <si>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</si>
  <si>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</si>
  <si>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10 - DK: Dětská klinika</t>
  </si>
  <si>
    <t>09561</t>
  </si>
  <si>
    <t>VYBAVENÍ PACIENTA PRO PÉČI MIMO ZDRAVOTNICKÉ ZAŘÍZ</t>
  </si>
  <si>
    <t>3F4</t>
  </si>
  <si>
    <t>0005114</t>
  </si>
  <si>
    <t>TARGOCID</t>
  </si>
  <si>
    <t>0016600</t>
  </si>
  <si>
    <t>UNASYN</t>
  </si>
  <si>
    <t>0026039</t>
  </si>
  <si>
    <t>KIOVIG</t>
  </si>
  <si>
    <t>0064831</t>
  </si>
  <si>
    <t>0065989</t>
  </si>
  <si>
    <t>MYCOMAX</t>
  </si>
  <si>
    <t>0068999</t>
  </si>
  <si>
    <t>0072972</t>
  </si>
  <si>
    <t>AMOKSIKLAV 1,2 G</t>
  </si>
  <si>
    <t>0072973</t>
  </si>
  <si>
    <t>0083487</t>
  </si>
  <si>
    <t>MERONEM</t>
  </si>
  <si>
    <t>0092206</t>
  </si>
  <si>
    <t>AUGMENTIN 600 MG</t>
  </si>
  <si>
    <t>0096413</t>
  </si>
  <si>
    <t>GENTAMICIN LEK</t>
  </si>
  <si>
    <t>0096414</t>
  </si>
  <si>
    <t>0142077</t>
  </si>
  <si>
    <t>0156258</t>
  </si>
  <si>
    <t>VANCOMYCIN KABI</t>
  </si>
  <si>
    <t>0162496</t>
  </si>
  <si>
    <t>TAZIP</t>
  </si>
  <si>
    <t>0201030</t>
  </si>
  <si>
    <t>0064835</t>
  </si>
  <si>
    <t>0113453</t>
  </si>
  <si>
    <t>0166265</t>
  </si>
  <si>
    <t>0201958</t>
  </si>
  <si>
    <t>0107959</t>
  </si>
  <si>
    <t>Trombocyty z aferézy deleukotizované</t>
  </si>
  <si>
    <t>3</t>
  </si>
  <si>
    <t>0056344</t>
  </si>
  <si>
    <t>SADA PUNKČNÍ SUPRAPUBICKÁ - EASYCYST, 170718..1707</t>
  </si>
  <si>
    <t>0067885</t>
  </si>
  <si>
    <t>IMPLANTÁT KOSTNÍ UMĚLÁ NÁHRADA DURÁLNÍ TVRDÉ PLENY</t>
  </si>
  <si>
    <t>00631</t>
  </si>
  <si>
    <t>OD TYPU 31 - PRO NEMOCNICE TYPU 3, (KATEGORIE 6)</t>
  </si>
  <si>
    <t>17261</t>
  </si>
  <si>
    <t>SPECIALIZOVANÉ ECHOKARDIOGRAFICKÉ VYŠETŘENÍ</t>
  </si>
  <si>
    <t>00880</t>
  </si>
  <si>
    <t>ROZLIŠENÍ VYKÁZANÉ HOSPITALIZACE JAKO: = NOVÁ HOSP</t>
  </si>
  <si>
    <t>00881</t>
  </si>
  <si>
    <t>ROZLIŠENÍ VYKÁZANÉ HOSPITALIZACE JAKO: = POKRAČOVÁ</t>
  </si>
  <si>
    <t>34454</t>
  </si>
  <si>
    <t>(VZP) PORODNÍ VÁHA NOVOROZENCE OD 2000 DO 2499 GRA</t>
  </si>
  <si>
    <t>34455</t>
  </si>
  <si>
    <t>(VZP) PORODNÍ VÁHA NOVOROZENCE NAD 2499 GRAMŮ</t>
  </si>
  <si>
    <t>09135</t>
  </si>
  <si>
    <t>UZ VYŠETŘENÍ POUZE JEDNOHO ORGÁNU V NĚKOLIKA ROVIN</t>
  </si>
  <si>
    <t>99999</t>
  </si>
  <si>
    <t>Nespecifikovany vykon</t>
  </si>
  <si>
    <t>51386</t>
  </si>
  <si>
    <t>SUTURA EV. EXCIZE A SUTURA LÉZE STĚNY ŽALUDKU NEBO</t>
  </si>
  <si>
    <t>66031</t>
  </si>
  <si>
    <t>PREVENTIVNÍ VYŠETŘENÍ KYČELNÍCH KLOUBŮ U KOJENCE</t>
  </si>
  <si>
    <t>34453</t>
  </si>
  <si>
    <t>(VZP) PORODNÍ VÁHA NOVOROZENCE OD 1500 DO 1999 GRA</t>
  </si>
  <si>
    <t>31130</t>
  </si>
  <si>
    <t>PŘIJETÍ DOPROVODU DÍTĚTE</t>
  </si>
  <si>
    <t>00612</t>
  </si>
  <si>
    <t>OD TYPU 12 - PRO NEMOCNICE TYPU 3, (KATEGORIE 6)</t>
  </si>
  <si>
    <t>76365</t>
  </si>
  <si>
    <t>PUNKČNÍ EPICYSTOSTOMIE</t>
  </si>
  <si>
    <t>34451</t>
  </si>
  <si>
    <t>(VZP) PORODNÍ VÁHA NOVOROZENCE OD 750 DO 999 GRAMŮ</t>
  </si>
  <si>
    <t>91905</t>
  </si>
  <si>
    <t>(DRG) GESTAČNÍ STÁŘÍ NOVOROZENCE OD 37. TÝDNE + 0.</t>
  </si>
  <si>
    <t>34046</t>
  </si>
  <si>
    <t>SCREENING VROZENÉ KATARAKTY</t>
  </si>
  <si>
    <t>91904</t>
  </si>
  <si>
    <t>(DRG) GESTAČNÍ STÁŘÍ NOVOROZENCE OD 34. TÝDNE + 0.</t>
  </si>
  <si>
    <t>91903</t>
  </si>
  <si>
    <t>(DRG) GESTAČNÍ STÁŘÍ NOVOROZENCE OD 31. TÝDNE + 0.</t>
  </si>
  <si>
    <t>91901</t>
  </si>
  <si>
    <t>(DRG) GESTAČNÍ STÁŘÍ NOVOROZENCE OD 25. TÝDNE + 0.</t>
  </si>
  <si>
    <t>91902</t>
  </si>
  <si>
    <t>(DRG) GESTAČNÍ STÁŘÍ NOVOROZENCE OD 28. TÝDNE + 0.</t>
  </si>
  <si>
    <t>3T4</t>
  </si>
  <si>
    <t>0003952</t>
  </si>
  <si>
    <t>AMIKIN 500 MG</t>
  </si>
  <si>
    <t>0011592</t>
  </si>
  <si>
    <t>0016547</t>
  </si>
  <si>
    <t>CYMEVENE</t>
  </si>
  <si>
    <t>0042144</t>
  </si>
  <si>
    <t>HUMAN ALBUMIN GRIFOLS 20%</t>
  </si>
  <si>
    <t>0076353</t>
  </si>
  <si>
    <t>FORTUM</t>
  </si>
  <si>
    <t>0087226</t>
  </si>
  <si>
    <t>0092289</t>
  </si>
  <si>
    <t>EDICIN</t>
  </si>
  <si>
    <t>0094176</t>
  </si>
  <si>
    <t>CEFOTAXIME LEK</t>
  </si>
  <si>
    <t>0131654</t>
  </si>
  <si>
    <t>CEFTAZIDIM KABI</t>
  </si>
  <si>
    <t>0137484</t>
  </si>
  <si>
    <t>ANBINEX</t>
  </si>
  <si>
    <t>0137499</t>
  </si>
  <si>
    <t>0164401</t>
  </si>
  <si>
    <t>FLUCONAZOL KABI</t>
  </si>
  <si>
    <t>0500720</t>
  </si>
  <si>
    <t>MYCAMINE</t>
  </si>
  <si>
    <t>0129056</t>
  </si>
  <si>
    <t>0141836</t>
  </si>
  <si>
    <t>AMIKACIN B. BRAUN</t>
  </si>
  <si>
    <t>0195147</t>
  </si>
  <si>
    <t>0183812</t>
  </si>
  <si>
    <t>0183817</t>
  </si>
  <si>
    <t>0147640</t>
  </si>
  <si>
    <t>METHOTREXAT EBEWE</t>
  </si>
  <si>
    <t>0025670</t>
  </si>
  <si>
    <t>INOMAX</t>
  </si>
  <si>
    <t>0076355</t>
  </si>
  <si>
    <t>0007955</t>
  </si>
  <si>
    <t>0107960</t>
  </si>
  <si>
    <t>0207921</t>
  </si>
  <si>
    <t>Plazma čerstvá zmrazená</t>
  </si>
  <si>
    <t>0207922</t>
  </si>
  <si>
    <t>Plazma patogen-inaktivovaná</t>
  </si>
  <si>
    <t>0012996</t>
  </si>
  <si>
    <t>ZÁSOBNÍK PRO STAPLER LIN. S NOŽEM - TCR,TVR,TRT 55</t>
  </si>
  <si>
    <t>0012999</t>
  </si>
  <si>
    <t>STAPLER LINEÁRNÍ S NOŽEM - TCT55; TLC55 (S PZT 001</t>
  </si>
  <si>
    <t>0029784</t>
  </si>
  <si>
    <t>SOUPRAVA K SUPRAPUBICKÉ DRENÁŽI 4441036</t>
  </si>
  <si>
    <t>0068197</t>
  </si>
  <si>
    <t>SYSTÉM HYDROCEPHALNÍ DRENÁŽNÍ</t>
  </si>
  <si>
    <t>0069500</t>
  </si>
  <si>
    <t>KANYLA TRACHEOSTOMICKÁ S NÍZKOTLAKOU MANŽETOU</t>
  </si>
  <si>
    <t>0069598</t>
  </si>
  <si>
    <t>SYSTÉM HYDROCEPHALNÍ DRENÁŽNÍ-SHUNT</t>
  </si>
  <si>
    <t>0055779</t>
  </si>
  <si>
    <t>KATETR BROVIAC JEDNOLUMENOVÝ ZAVÁDĚCÍ SET 0600520</t>
  </si>
  <si>
    <t>00671</t>
  </si>
  <si>
    <t>OD TYPU 71 - PRO NEMOCNICE TYPU 3, (KATEGORIE 6) -</t>
  </si>
  <si>
    <t>00675</t>
  </si>
  <si>
    <t>OD TYPU 75 - PRO NEMOCNICE TYPU 3, (KATEGORIE 6) -</t>
  </si>
  <si>
    <t>90901</t>
  </si>
  <si>
    <t>(DRG) DOBA TRVÁNÍ UMĚLÉ PLICNÍ VENTILACE DO 24 HOD</t>
  </si>
  <si>
    <t>90902</t>
  </si>
  <si>
    <t xml:space="preserve">(DRG) DOBA TRVÁNÍ UMĚLÉ PLICNÍ VENTILACE VÍCE NEŽ </t>
  </si>
  <si>
    <t>34450</t>
  </si>
  <si>
    <t>(VZP) PORODNÍ VÁHA NOVOROZENCE POD 750 GRAMŮ</t>
  </si>
  <si>
    <t>90906</t>
  </si>
  <si>
    <t>90907</t>
  </si>
  <si>
    <t>90903</t>
  </si>
  <si>
    <t>90904</t>
  </si>
  <si>
    <t>00678</t>
  </si>
  <si>
    <t>OD TYPU 78 - PRO NEMOCNICE TYPU 3, (KATEGORIE 6) -</t>
  </si>
  <si>
    <t>00672</t>
  </si>
  <si>
    <t>OD TYPU 72 - PRO NEMOCNICE TYPU 3, (KATEGORIE 6) -</t>
  </si>
  <si>
    <t>34452</t>
  </si>
  <si>
    <t>(VZP) PORODNÍ VÁHA NOVOROZENCE OD 1000 DO 1499 GRA</t>
  </si>
  <si>
    <t>78310</t>
  </si>
  <si>
    <t xml:space="preserve">NEODKLADNÁ KARDIOPULMONÁLNÍ RESUSCITACE ROZŠÍŘENÁ </t>
  </si>
  <si>
    <t>90905</t>
  </si>
  <si>
    <t>90955</t>
  </si>
  <si>
    <t>(DRG) VENTILAČNÍ PODPORA U NOVOROZENCŮ</t>
  </si>
  <si>
    <t>34320</t>
  </si>
  <si>
    <t>SELEKTIVNÍ PLICNÍ VAZODILATACE POMOCÍ OXIDU DUSNAT</t>
  </si>
  <si>
    <t>91900</t>
  </si>
  <si>
    <t>(DRG) GESTAČNÍ STÁŘÍ NOVOROZENCE DO 24. TÝDNE + 6.</t>
  </si>
  <si>
    <t>34045</t>
  </si>
  <si>
    <t>CELOTĚLOVÁ HYPOTERMIE NOVOROZENCE</t>
  </si>
  <si>
    <t>5F1</t>
  </si>
  <si>
    <t>32510</t>
  </si>
  <si>
    <t>ZAVEDENÍ DLOUHODOBÉ KANYLACE CENTRÁLNÍHO ŽILNÍHO S</t>
  </si>
  <si>
    <t>51353</t>
  </si>
  <si>
    <t>PUNKCE, ODSÁTÍ TENKÉHO STŘEVA, MANIPULACE SE STŘEV</t>
  </si>
  <si>
    <t>51359</t>
  </si>
  <si>
    <t>RESEKCE A ANASTOMÓZA TLUSTÉHO STŘEVA NEBO REKTOSIG</t>
  </si>
  <si>
    <t>51363</t>
  </si>
  <si>
    <t>KOLEKTOMIE TOTÁLNÍ S ILEÁLNÍM POUCHEM A ILEOANÁLNÍ</t>
  </si>
  <si>
    <t>51423</t>
  </si>
  <si>
    <t>MINIMÁLNÍ ANÁLNÍ VÝKON</t>
  </si>
  <si>
    <t>51623</t>
  </si>
  <si>
    <t>POUŽITÍ ULTRAZVUKOVÉHO SKALPELU</t>
  </si>
  <si>
    <t>63589</t>
  </si>
  <si>
    <t>SALPINGEKTOMIE NEBO ADNEXEKTOMIE A NEBO RESEKCE OV</t>
  </si>
  <si>
    <t>61125</t>
  </si>
  <si>
    <t>EXCIZE KOŽNÍ LÉZE NAD 10 CM^2, BEZ UZAVŘENÍ VZNIKL</t>
  </si>
  <si>
    <t>51367</t>
  </si>
  <si>
    <t>APENDEKTOMIE NEBO OPERAČNÍ DRENÁŽ PERIAPENDIKULÁRN</t>
  </si>
  <si>
    <t>51357</t>
  </si>
  <si>
    <t>JEJUNOSTOMIE, ILEOSTOMIE NEBO KOLOSTOMIE, ANTEPOZI</t>
  </si>
  <si>
    <t>52311</t>
  </si>
  <si>
    <t xml:space="preserve">OPERACE TŘÍSELNÉ NEBO FEMORÁLNÍ NEBO PUPEČNÍ KÝLY </t>
  </si>
  <si>
    <t>51355</t>
  </si>
  <si>
    <t>DVOJ - A VÍCENÁSOBNÁ RESEKCE A (NEBO) ANASTOMÓZA T</t>
  </si>
  <si>
    <t>52221</t>
  </si>
  <si>
    <t>ATRESIE TENKÉHO STŘEVA VČETNĚ DUODENA U NOVOROZENC</t>
  </si>
  <si>
    <t>51361</t>
  </si>
  <si>
    <t>KOLEKTOMIE SUBTOTÁLNÍ S ILEOSTOMIÍ A UZÁVĚREM REKT</t>
  </si>
  <si>
    <t>52231</t>
  </si>
  <si>
    <t>OPERACE OMFALOKÉLY NEBO GASTROSCHÍZY</t>
  </si>
  <si>
    <t>52239</t>
  </si>
  <si>
    <t>KOREKCE VYSOKÉ ANOREKTÁLNÍ MALFORMACE</t>
  </si>
  <si>
    <t>5F6</t>
  </si>
  <si>
    <t>56133</t>
  </si>
  <si>
    <t>VENTRIKULOSTOMIE III. - STOOCKEY- SCARFF</t>
  </si>
  <si>
    <t>56163</t>
  </si>
  <si>
    <t>ZEVNÍ KOMOROVÁ DRENÁŽ NEBO ZAVEDENÍ ČIDLA NA MĚŘEN</t>
  </si>
  <si>
    <t>56169</t>
  </si>
  <si>
    <t>VENTRIKULOSKOPIE</t>
  </si>
  <si>
    <t>56151</t>
  </si>
  <si>
    <t>TREPANACE PRO EXTRACEREBRÁLNÍ HEMATOM NEBO KRANIOT</t>
  </si>
  <si>
    <t>56167</t>
  </si>
  <si>
    <t>VENTRIKULÁRNÍ PUNKCE</t>
  </si>
  <si>
    <t>56125</t>
  </si>
  <si>
    <t>OPERAČNÍ REVIZE NEBO ZAVEDENÍ DRENÁŽE MOZKOMÍŠNÍHO</t>
  </si>
  <si>
    <t>91711</t>
  </si>
  <si>
    <t>(DRG) ENDOSKOPICKÁ VENTRIKULOCISTERNOSTOMIE</t>
  </si>
  <si>
    <t>606</t>
  </si>
  <si>
    <t>66021</t>
  </si>
  <si>
    <t>KOMPLEXNÍ VYŠETŘENÍ ORTOPEDEM</t>
  </si>
  <si>
    <t>702</t>
  </si>
  <si>
    <t>7F1</t>
  </si>
  <si>
    <t>71717</t>
  </si>
  <si>
    <t>TRACHEOTOMIE</t>
  </si>
  <si>
    <t>09233</t>
  </si>
  <si>
    <t>INJEKČNÍ OKRSKOVÁ ANESTÉZIE</t>
  </si>
  <si>
    <t>7F6</t>
  </si>
  <si>
    <t>10</t>
  </si>
  <si>
    <t>Zdravotní výkony vykázané na pracovišti pro pacienty hospitalizované ve FNOL - orientační přehled</t>
  </si>
  <si>
    <t>00043</t>
  </si>
  <si>
    <t>A</t>
  </si>
  <si>
    <t xml:space="preserve">DLOUHODOBÁ MECHANICKÁ VENTILACE &gt; 240 HODIN (11-21 DNÍ) S MCC                                       </t>
  </si>
  <si>
    <t>00051</t>
  </si>
  <si>
    <t xml:space="preserve">DLOUHODOBÁ MECHANICKÁ VENTILACE &gt; 96 HODIN (5-10 DNÍ) BEZ CC                                        </t>
  </si>
  <si>
    <t>01411</t>
  </si>
  <si>
    <t xml:space="preserve">NETRAUMATICKÁ PORUCHA VĚDOMÍ A KÓMA BEZ CC                                                          </t>
  </si>
  <si>
    <t>01412</t>
  </si>
  <si>
    <t xml:space="preserve">NETRAUMATICKÁ PORUCHA VĚDOMÍ A KÓMA S CC                                                            </t>
  </si>
  <si>
    <t>04411</t>
  </si>
  <si>
    <t xml:space="preserve">PŘÍZNAKY, SYMPTOMY A JINÉ DIAGNÓZY DÝCHACÍHO SYSTÉMU BEZ CC                                         </t>
  </si>
  <si>
    <t>05412</t>
  </si>
  <si>
    <t xml:space="preserve">VROZENÉ SRDEČNÍ A CHLOPENNÍ PORUCHY S CC                                                            </t>
  </si>
  <si>
    <t>05413</t>
  </si>
  <si>
    <t xml:space="preserve">VROZENÉ SRDEČNÍ A CHLOPENNÍ PORUCHY S MCC                                                           </t>
  </si>
  <si>
    <t>05471</t>
  </si>
  <si>
    <t xml:space="preserve">JINÉ PORUCHY OBĚHOVÉHO SYSTÉMU BEZ CC                                                               </t>
  </si>
  <si>
    <t>15601</t>
  </si>
  <si>
    <t xml:space="preserve">NOVOROZENEC, MRTVÝ NEBO PŘELOŽENÝ &lt;= 5 DNÍ BEZ CC                                                   </t>
  </si>
  <si>
    <t>15602</t>
  </si>
  <si>
    <t xml:space="preserve">NOVOROZENEC, MRTVÝ NEBO PŘELOŽENÝ &lt;= 5 DNÍ S CC                                                     </t>
  </si>
  <si>
    <t>15603</t>
  </si>
  <si>
    <t xml:space="preserve">NOVOROZENEC, MRTVÝ NEBO PŘELOŽENÝ &lt;= 5 DNÍ S MCC                                                    </t>
  </si>
  <si>
    <t>15623</t>
  </si>
  <si>
    <t>B</t>
  </si>
  <si>
    <t xml:space="preserve">NOVOROZENEC, VÁHA PŘI PORODU &lt;=1000G, SE ZÁKLADNÍM VÝKONEM S                                        </t>
  </si>
  <si>
    <t>15633</t>
  </si>
  <si>
    <t xml:space="preserve">NOVOROZENEC, VÁHA PŘI PORODU &lt;=1000G, BEZ ZÁKLADNÍHO VÝKONU S                                       </t>
  </si>
  <si>
    <t>15643</t>
  </si>
  <si>
    <t xml:space="preserve">NOVOROZENEC, VÁHA PŘI PORODU 1000-1499G, SE ZÁKLADNÍM VÝKONEM                                       </t>
  </si>
  <si>
    <t>15651</t>
  </si>
  <si>
    <t xml:space="preserve">NOVOROZENEC, VÁHA PŘI PORODU 1000-1499G, BEZ ZÁKLADNÍHO VÝKON                                       </t>
  </si>
  <si>
    <t>15652</t>
  </si>
  <si>
    <t>15662</t>
  </si>
  <si>
    <t xml:space="preserve">NOVOROZENEC, VÁHA PŘI PORODU 1500-1999G, SE ZÁKLADNÍM VÝKONEM                                       </t>
  </si>
  <si>
    <t>15663</t>
  </si>
  <si>
    <t>15671</t>
  </si>
  <si>
    <t xml:space="preserve">NOVOROZENEC, VÁHA PŘI PORODU 1500-1999G, BEZ ZÁKLADNÍHO VÝKON                                       </t>
  </si>
  <si>
    <t>15672</t>
  </si>
  <si>
    <t>15673</t>
  </si>
  <si>
    <t>15682</t>
  </si>
  <si>
    <t xml:space="preserve">NOVOROZENEC, VÁHA PŘI PORODU 2000-2499G, SE ZÁKLADNÍM VÝKONEM                                       </t>
  </si>
  <si>
    <t>15683</t>
  </si>
  <si>
    <t>15691</t>
  </si>
  <si>
    <t xml:space="preserve">NOVOROZENEC, VÁHA PŘI PORODU 2000-2499G, BEZ ZÁKLADNÍHO VÝKON                                       </t>
  </si>
  <si>
    <t>15692</t>
  </si>
  <si>
    <t>15693</t>
  </si>
  <si>
    <t>15701</t>
  </si>
  <si>
    <t xml:space="preserve">NOVOROZENEC, VÁHA PŘI PORODU &gt;2499G, SE ZÁKLADNÍM VÝKONEM BEZ                                       </t>
  </si>
  <si>
    <t>15702</t>
  </si>
  <si>
    <t xml:space="preserve">NOVOROZENEC, VÁHA PŘI PORODU &gt;2499G, SE ZÁKLADNÍM VÝKONEM S C                                       </t>
  </si>
  <si>
    <t>15703</t>
  </si>
  <si>
    <t xml:space="preserve">NOVOROZENEC, VÁHA PŘI PORODU &gt;2499G, SE ZÁKLADNÍM VÝKONEM S M                                       </t>
  </si>
  <si>
    <t>15711</t>
  </si>
  <si>
    <t xml:space="preserve">NOVOROZENEC, VÁHA PŘI PORODU &gt;2499G, S VÁŽNOU ANOMÁLIÍ NEBO D                                       </t>
  </si>
  <si>
    <t>15712</t>
  </si>
  <si>
    <t>15713</t>
  </si>
  <si>
    <t>15720</t>
  </si>
  <si>
    <t xml:space="preserve">NOVOROZENEC, VÁHA PŘI PORODU &gt; 2499G, SE SYNDROMEM DÝCHACÍCH                                        </t>
  </si>
  <si>
    <t>15733</t>
  </si>
  <si>
    <t xml:space="preserve">NOVOROZENEC, VÁHA PŘI PORODU &gt; 2499G, S ASPIRAČNÍM SYNDROMEM                                        </t>
  </si>
  <si>
    <t>15741</t>
  </si>
  <si>
    <t xml:space="preserve">NOVOROZENEC, VÁHA PŘI PORODU &gt; 2499G, S VROZENOU NEBO PERINAT                                       </t>
  </si>
  <si>
    <t>15742</t>
  </si>
  <si>
    <t>15743</t>
  </si>
  <si>
    <t>15751</t>
  </si>
  <si>
    <t xml:space="preserve">NOVOROZENEC, VÁHA PŘI PORODU &gt; 2499G, BEZ ZÁKLADNÍHO VÝKONU B                                       </t>
  </si>
  <si>
    <t>15752</t>
  </si>
  <si>
    <t xml:space="preserve">NOVOROZENEC, VÁHA PŘI PORODU &gt; 2499G, BEZ ZÁKLADNÍHO VÝKONU S                                       </t>
  </si>
  <si>
    <t>15753</t>
  </si>
  <si>
    <t>16331</t>
  </si>
  <si>
    <t xml:space="preserve">PORUCHY ČERVENÝCH KRVINEK, KROMĚ SRPKOVITÉ CHUDOKREVNOSTI BEZ                                       </t>
  </si>
  <si>
    <t>23321</t>
  </si>
  <si>
    <t xml:space="preserve">JINÉ FAKTORY OVLIVŇUJÍCÍ ZDRAVOTNÍ STAV BEZ CC                                                      </t>
  </si>
  <si>
    <t>99980</t>
  </si>
  <si>
    <t xml:space="preserve">HLAVNÍ DIAGNÓZA NEPLATNÁ JAKO PROPOUŠTĚCÍ DIAGNÓZA                                                  </t>
  </si>
  <si>
    <t>99990</t>
  </si>
  <si>
    <t xml:space="preserve">NEZAŘADITELNÉ                                                                                       </t>
  </si>
  <si>
    <t>Porovnání jednotlivých IR DRG skupin</t>
  </si>
  <si>
    <t>28 - GEN: Ústav lékařské genetiky</t>
  </si>
  <si>
    <t>32 - HOK: Hemato-onkologická klinika</t>
  </si>
  <si>
    <t>33 - OKB: Oddělení klinické biochemie</t>
  </si>
  <si>
    <t>34 - RTG: Radiologická klinika</t>
  </si>
  <si>
    <t>35 - TO: Transfuzní oddělení</t>
  </si>
  <si>
    <t>37 - PATOL: Ústav patologie</t>
  </si>
  <si>
    <t>40 - MIKRO: Ústav mikrobiologie</t>
  </si>
  <si>
    <t>41 - IMUNO: Ústav imunologie</t>
  </si>
  <si>
    <t>28</t>
  </si>
  <si>
    <t>816</t>
  </si>
  <si>
    <t>94181</t>
  </si>
  <si>
    <t>ZHOTOVENÍ KARYOTYPU Z JEDNÉ MITÓZY</t>
  </si>
  <si>
    <t>94115</t>
  </si>
  <si>
    <t>IN SITU HYBRIDIZACE LIDSKÉ DNA SE ZNAČENOU SONDOU</t>
  </si>
  <si>
    <t>94129</t>
  </si>
  <si>
    <t>RUTINNÍ VYŠETŘENÍ CHROMOZOMU Z PERIFERNÍ KRVE</t>
  </si>
  <si>
    <t>94225</t>
  </si>
  <si>
    <t>IZOLACE A BANKING LIDSKÝCH NUKLEOVÝCH KYSELIN (DNA</t>
  </si>
  <si>
    <t>94331</t>
  </si>
  <si>
    <t>ANALÝZA LIDSKÉHO GERMINÁLNÍHO GENOMU METODOU MLPA</t>
  </si>
  <si>
    <t>94237</t>
  </si>
  <si>
    <t>FRAGMENTAČNÍ ANALÝZA LIDSKÉHO GERMINÁLNÍHO GENOMU</t>
  </si>
  <si>
    <t>94221</t>
  </si>
  <si>
    <t>PŘÍMÁ SEKVENACE DNA LIDSKÉHO GERMINÁLNÍHO GENOMU</t>
  </si>
  <si>
    <t>94967</t>
  </si>
  <si>
    <t>(VZP) ANEUPLOIDIE CHROMOZOMŮ 13,18,21, X A Y METOD</t>
  </si>
  <si>
    <t>94948</t>
  </si>
  <si>
    <t>(VZP) SIGNÁLNÍ VÝKON - DOVYŠETŘENÍ PACIENTA</t>
  </si>
  <si>
    <t>32</t>
  </si>
  <si>
    <t>818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</si>
  <si>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</si>
  <si>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</si>
  <si>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</si>
  <si>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</si>
  <si>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</si>
  <si>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</si>
  <si>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96197</t>
  </si>
  <si>
    <t>FAKTOR XI - STANOVENÍ AKTIVITY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</si>
  <si>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</si>
  <si>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</si>
  <si>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</si>
  <si>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</si>
  <si>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</si>
  <si>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</si>
  <si>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</si>
  <si>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</si>
  <si>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96811</t>
  </si>
  <si>
    <t>PINK TEST</t>
  </si>
  <si>
    <t>96837</t>
  </si>
  <si>
    <t>ERYTROPOETIN - STANOVENÍ HLADINY V SÉRU</t>
  </si>
  <si>
    <t>96857</t>
  </si>
  <si>
    <t>STANOVENÍ POČTU RETIKULOCYTŮ NA AUTOMATICKÉM ANALY</t>
  </si>
  <si>
    <t>91439</t>
  </si>
  <si>
    <t>IMUNOFENOTYPIZACE BUNĚČNÝCH SUBPOPULACÍ DLE POVRCH</t>
  </si>
  <si>
    <t>96315</t>
  </si>
  <si>
    <t>ANALÝZA KREVNÍHO NÁTĚRU PANOPTICKY OBARVENÉHO. IND</t>
  </si>
  <si>
    <t>96265</t>
  </si>
  <si>
    <t>PROTEIN S - VOLNÝ</t>
  </si>
  <si>
    <t>96813</t>
  </si>
  <si>
    <t>ANTITROMBIN III, CHROMOGENNÍ METODOU (SÉRIE)</t>
  </si>
  <si>
    <t>96163</t>
  </si>
  <si>
    <t>KREVNÍ OBRAZ</t>
  </si>
  <si>
    <t>96623</t>
  </si>
  <si>
    <t>PROTROMBINOVÝ TEST</t>
  </si>
  <si>
    <t>96515</t>
  </si>
  <si>
    <t>FIBRIN DEGRADAČNÍ PRODUKTY KVANTITATIVNĚ</t>
  </si>
  <si>
    <t>96113</t>
  </si>
  <si>
    <t>PLAZMINOGEN - AKTIVITA</t>
  </si>
  <si>
    <t>96713</t>
  </si>
  <si>
    <t>ZHOTOVENÍ NÁTĚRU</t>
  </si>
  <si>
    <t>96325</t>
  </si>
  <si>
    <t>FIBRINOGEN (SÉRIE)</t>
  </si>
  <si>
    <t>96613</t>
  </si>
  <si>
    <t>VYŠETŘENÍ NÁTĚRU NA SCHIZOCYTY</t>
  </si>
  <si>
    <t>96193</t>
  </si>
  <si>
    <t>FAKTOR IX - STANOVENÍ AKTIVITY</t>
  </si>
  <si>
    <t>96863</t>
  </si>
  <si>
    <t>STANOVENÍ POČTU ERYTROBLASTŮ NA AUTOMATICKÉM ANALY</t>
  </si>
  <si>
    <t>96185</t>
  </si>
  <si>
    <t>FAKTOR II. - STANOVENÍ AKTIVITY</t>
  </si>
  <si>
    <t>96199</t>
  </si>
  <si>
    <t>PROTEIN C - FUNKČNÍ AKTIVITA</t>
  </si>
  <si>
    <t>96215</t>
  </si>
  <si>
    <t>APC REZISTENCE</t>
  </si>
  <si>
    <t>96155</t>
  </si>
  <si>
    <t>VON WILLEBRANDŮV  FAKTOR KVANTITATIVNĚ</t>
  </si>
  <si>
    <t>96629</t>
  </si>
  <si>
    <t xml:space="preserve">VON WILLEBRANDOVŮV FAKTOR - RISTOCETIN KOFAKTOR - 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</si>
  <si>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</si>
  <si>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</si>
  <si>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</si>
  <si>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</si>
  <si>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</si>
  <si>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</si>
  <si>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</si>
  <si>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</si>
  <si>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</si>
  <si>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</si>
  <si>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</si>
  <si>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</si>
  <si>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</si>
  <si>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</si>
  <si>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</si>
  <si>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</si>
  <si>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81171</t>
  </si>
  <si>
    <t>KYSELINA MLÉČNÁ (LAKTÁT) STATIM</t>
  </si>
  <si>
    <t>81221</t>
  </si>
  <si>
    <t>POTNÍ TEST</t>
  </si>
  <si>
    <t>81231</t>
  </si>
  <si>
    <t>METHEMOGLOBIN - KVANTITATIVNÍ STANOVENÍ</t>
  </si>
  <si>
    <t>81237</t>
  </si>
  <si>
    <t>TROPONIN - T NEBO I ELISA</t>
  </si>
  <si>
    <t>81247</t>
  </si>
  <si>
    <t>BILIRUBIN NOVOROZENECKÝ</t>
  </si>
  <si>
    <t>81317</t>
  </si>
  <si>
    <t>INSULIN - LIKE GROWTH FACTOR - BINDING PROTEIN 3 (</t>
  </si>
  <si>
    <t>81341</t>
  </si>
  <si>
    <t>AMONIAK</t>
  </si>
  <si>
    <t>81351</t>
  </si>
  <si>
    <t>ANDROSTENDION</t>
  </si>
  <si>
    <t>81377</t>
  </si>
  <si>
    <t>SACHARIDY TENKOVRSTEVNOU CHROMATOGRAFIÍ V MOČI</t>
  </si>
  <si>
    <t>81391</t>
  </si>
  <si>
    <t>DISACHARIDY</t>
  </si>
  <si>
    <t>81397</t>
  </si>
  <si>
    <t>ELEKTROFORÉZA PROTEINŮ (SÉRUM)</t>
  </si>
  <si>
    <t>81427</t>
  </si>
  <si>
    <t>FOSFOR ANORGANICKÝ</t>
  </si>
  <si>
    <t>81461</t>
  </si>
  <si>
    <t>HOMOCYSTEIN CELKOVÝ</t>
  </si>
  <si>
    <t>81481</t>
  </si>
  <si>
    <t>AMYLÁZA PANKREATICKÁ</t>
  </si>
  <si>
    <t>81521</t>
  </si>
  <si>
    <t>LAKTÁT (KYSELINA MLÉČNÁ)</t>
  </si>
  <si>
    <t>81527</t>
  </si>
  <si>
    <t>CHOLESTEROL LDL</t>
  </si>
  <si>
    <t>81617</t>
  </si>
  <si>
    <t>TUKY NEBO ZBYTKY POTRAVY VE STOLICI</t>
  </si>
  <si>
    <t>81641</t>
  </si>
  <si>
    <t>ŽELEZO CELKOVÉ</t>
  </si>
  <si>
    <t>81651</t>
  </si>
  <si>
    <t xml:space="preserve">VYŠETŘENÍ DĚDIČNÝCH PORUCH METABOLISMU (DÁLE DPM) </t>
  </si>
  <si>
    <t>81681</t>
  </si>
  <si>
    <t>25-HYDROXYVITAMIN D (25 OHD)</t>
  </si>
  <si>
    <t>81707</t>
  </si>
  <si>
    <t>CHORIOGONADOTROPIN V SÉRU - VOLNÁ \BETA - PODJEDNO</t>
  </si>
  <si>
    <t>81717</t>
  </si>
  <si>
    <t>STANOVENÍ KONCENTRACE PROTEINU S-100B (S-100BB, S-</t>
  </si>
  <si>
    <t>81721</t>
  </si>
  <si>
    <t>IMUNOTURBIDIMETRICKÉ A/NEBO IMUNONEFELOMETRICKÉ ST</t>
  </si>
  <si>
    <t>81731</t>
  </si>
  <si>
    <t>STANOVENÍ NATRIURETICKÝCH PEPTIDŮ V SÉRU A V PLAZM</t>
  </si>
  <si>
    <t>81747</t>
  </si>
  <si>
    <t xml:space="preserve">VYŠETŘENÍ TANDEMOVOU HMOTNOSTNÍ SPEKTROMETRIÍ PRO </t>
  </si>
  <si>
    <t>91137</t>
  </si>
  <si>
    <t>STANOVENÍ TRANSFERINU</t>
  </si>
  <si>
    <t>91397</t>
  </si>
  <si>
    <t>ELEKTROFORESA S NÁSLEDNOU IMUNOFIXACÍ (KOMPLEX - I</t>
  </si>
  <si>
    <t>91481</t>
  </si>
  <si>
    <t>STANOVENÍ KONCENTRACE PROCALCITONINU</t>
  </si>
  <si>
    <t>93131</t>
  </si>
  <si>
    <t>KORTISOL</t>
  </si>
  <si>
    <t>93137</t>
  </si>
  <si>
    <t>93151</t>
  </si>
  <si>
    <t>FERRITIN</t>
  </si>
  <si>
    <t>93161</t>
  </si>
  <si>
    <t>INZULÍN</t>
  </si>
  <si>
    <t>93167</t>
  </si>
  <si>
    <t>NEURON - SPECIFICKÁ ENOLÁZA (NSE)</t>
  </si>
  <si>
    <t>93171</t>
  </si>
  <si>
    <t>PARATHORMON</t>
  </si>
  <si>
    <t>93181</t>
  </si>
  <si>
    <t>SOMATOTROPIN (STH, HGH)</t>
  </si>
  <si>
    <t>93187</t>
  </si>
  <si>
    <t>TYROXIN CELKOVÝ (TT4)</t>
  </si>
  <si>
    <t>93191</t>
  </si>
  <si>
    <t>TESTOSTERON</t>
  </si>
  <si>
    <t>93217</t>
  </si>
  <si>
    <t>AUTOPROTILÁTKY PROTI MIKROSOMÁLNÍMU ANTIGENU</t>
  </si>
  <si>
    <t>93227</t>
  </si>
  <si>
    <t>ANTIGEN SQUAMÓZNÍCH NÁDOROVÝCH BUNĚK (SCC)</t>
  </si>
  <si>
    <t>93247</t>
  </si>
  <si>
    <t>OSTEÁZA (KOSTNÍ FRAKCE ALKALICKÉ FOSFATÁZY)</t>
  </si>
  <si>
    <t>93267</t>
  </si>
  <si>
    <t>VOLNÝ TESTOSTERON</t>
  </si>
  <si>
    <t>81119</t>
  </si>
  <si>
    <t>AMONIAK STATIM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</si>
  <si>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</si>
  <si>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</si>
  <si>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</si>
  <si>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</si>
  <si>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</si>
  <si>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</si>
  <si>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</si>
  <si>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</si>
  <si>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</si>
  <si>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</si>
  <si>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</si>
  <si>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</si>
  <si>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</si>
  <si>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</si>
  <si>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</si>
  <si>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</si>
  <si>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</si>
  <si>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</si>
  <si>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</si>
  <si>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</si>
  <si>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93129</t>
  </si>
  <si>
    <t>FOLITROPIN (FSH)</t>
  </si>
  <si>
    <t>81383</t>
  </si>
  <si>
    <t>LAKTÁTDEHYDROGENÁZA (L D)</t>
  </si>
  <si>
    <t>81699</t>
  </si>
  <si>
    <t>STANOVENÍ IGF - I (INSULIN - LIKE GROWTH FACTOR)</t>
  </si>
  <si>
    <t>81169</t>
  </si>
  <si>
    <t>KREATININ STATIM</t>
  </si>
  <si>
    <t>81143</t>
  </si>
  <si>
    <t>LAKTÁTDEHYDROGENÁZA STATIM</t>
  </si>
  <si>
    <t>81495</t>
  </si>
  <si>
    <t>KREATINKINÁZA (CK)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</si>
  <si>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</si>
  <si>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</si>
  <si>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</si>
  <si>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</si>
  <si>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</si>
  <si>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</si>
  <si>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</si>
  <si>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</si>
  <si>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</si>
  <si>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</si>
  <si>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</si>
  <si>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</si>
  <si>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</si>
  <si>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</si>
  <si>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</si>
  <si>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</si>
  <si>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</si>
  <si>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</si>
  <si>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</si>
  <si>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</si>
  <si>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81729</t>
  </si>
  <si>
    <t>PAPP - A (TĚHOTENSKÝ PLASMATICKÝ PROTEIN - A)</t>
  </si>
  <si>
    <t>91129</t>
  </si>
  <si>
    <t>STANOVENÍ IgG</t>
  </si>
  <si>
    <t>81249</t>
  </si>
  <si>
    <t>CEA (MEIA)</t>
  </si>
  <si>
    <t>81703</t>
  </si>
  <si>
    <t>CYSTATIN C</t>
  </si>
  <si>
    <t>81139</t>
  </si>
  <si>
    <t>VÁPNÍK CELKOVÝ STATIM</t>
  </si>
  <si>
    <t>91143</t>
  </si>
  <si>
    <t>STANOVENÍ PREALBUMINU</t>
  </si>
  <si>
    <t>93149</t>
  </si>
  <si>
    <t>ESTRADIOL</t>
  </si>
  <si>
    <t>81363</t>
  </si>
  <si>
    <t>BILIRUBIN KONJUGOVANÝ</t>
  </si>
  <si>
    <t>81625</t>
  </si>
  <si>
    <t>VÁPNÍK CELKOVÝ</t>
  </si>
  <si>
    <t>81465</t>
  </si>
  <si>
    <t>HOŘČÍK</t>
  </si>
  <si>
    <t>93215</t>
  </si>
  <si>
    <t>ALFA - 1 - FETOPROTEIN (AFP)</t>
  </si>
  <si>
    <t>93159</t>
  </si>
  <si>
    <t>CHORIOGONADOTROPIN (HCG)</t>
  </si>
  <si>
    <t>91193</t>
  </si>
  <si>
    <t>STANOVENÍ B2 - MIKROGLOBULINU ELISA</t>
  </si>
  <si>
    <t>93133</t>
  </si>
  <si>
    <t>LUTROPIN (LH)</t>
  </si>
  <si>
    <t>81533</t>
  </si>
  <si>
    <t>LIPÁZA</t>
  </si>
  <si>
    <t>81339</t>
  </si>
  <si>
    <t>AMINOKYSELINY - STANOVENÍ CELKOVÉHO SPEKTRA V BIOL</t>
  </si>
  <si>
    <t>81629</t>
  </si>
  <si>
    <t>VAZEBNÁ KAPACITA ŽELEZA</t>
  </si>
  <si>
    <t>81369</t>
  </si>
  <si>
    <t>BÍLKOVINA KVANTITATIVNĚ (MOČ, MOZKOM. MOK, VÝPOTEK</t>
  </si>
  <si>
    <t>81265</t>
  </si>
  <si>
    <t>VYŠETŘENÍ DPM - STANOVENÍ AKTIVIT ENZYMŮ TECHNIKOU</t>
  </si>
  <si>
    <t>81125</t>
  </si>
  <si>
    <t>BÍLKOVINY CELKOVÉ (SÉRUM) STATIM</t>
  </si>
  <si>
    <t>81655</t>
  </si>
  <si>
    <t>VYŠETŘENÍ DP - FOTOMETRICKÉ ČI FLUORIMETRICKÉ VYŠ.</t>
  </si>
  <si>
    <t>93125</t>
  </si>
  <si>
    <t>ALDOSTERON</t>
  </si>
  <si>
    <t>81235</t>
  </si>
  <si>
    <t>TUMORMARKERY CA 19-9, CA 15-3, CA 72-4, CA 125</t>
  </si>
  <si>
    <t>94189</t>
  </si>
  <si>
    <t>HYBRIDIZACE DNA SE ZNAČENOU SONDOU</t>
  </si>
  <si>
    <t>93145</t>
  </si>
  <si>
    <t>C-PEPTID</t>
  </si>
  <si>
    <t>81665</t>
  </si>
  <si>
    <t>VYŠ. DPM - AKTIVITA LYZOSOMÁLNÍCH ENZYMŮ S NERADIO</t>
  </si>
  <si>
    <t>81675</t>
  </si>
  <si>
    <t>MIKROALBUMINURIE</t>
  </si>
  <si>
    <t>81423</t>
  </si>
  <si>
    <t>FOSFATÁZA ALKALICKÁ IZOENZYMY</t>
  </si>
  <si>
    <t>81123</t>
  </si>
  <si>
    <t>BILIRUBIN KONJUGOVANÝ STATIM</t>
  </si>
  <si>
    <t>93265</t>
  </si>
  <si>
    <t>CYFRA 21-1 (NÁDOROVÝ ANTIGEN, CYTOKERATIN FRAGMENT</t>
  </si>
  <si>
    <t>93249</t>
  </si>
  <si>
    <t>TELOPEPTID PROKOLAGENU I. TYPU: IC - TP</t>
  </si>
  <si>
    <t>93135</t>
  </si>
  <si>
    <t>MYOGLOBIN V SÉRII</t>
  </si>
  <si>
    <t>94195</t>
  </si>
  <si>
    <t>SYNTÉZA cDNA REVERZNÍ TRANSKRIPCÍ</t>
  </si>
  <si>
    <t>81165</t>
  </si>
  <si>
    <t>KREATINKINÁZA (CK) STATIM</t>
  </si>
  <si>
    <t>81749</t>
  </si>
  <si>
    <t>81389</t>
  </si>
  <si>
    <t>DEHYDROEPIANDROSTERON SULFÁT (DHEA-S)</t>
  </si>
  <si>
    <t>81233</t>
  </si>
  <si>
    <t>KARBONYLHEMOGLOBIN KVANTITATIVNĚ</t>
  </si>
  <si>
    <t>81659</t>
  </si>
  <si>
    <t>VYŠETŘENÍ DPM, STANOVENÍ METABOLITU PLYNOVOU CHROM</t>
  </si>
  <si>
    <t>81129</t>
  </si>
  <si>
    <t>BÍLKOVINA KVANTITATIVNĚ (MOČ, VÝPOTEK, CSF) STATIM</t>
  </si>
  <si>
    <t>81433</t>
  </si>
  <si>
    <t>GALAKTOSA-1-FOSFÁTURIDYLTRANSFERÁZA</t>
  </si>
  <si>
    <t>93175</t>
  </si>
  <si>
    <t>17-HYDROXYPROGESTERON</t>
  </si>
  <si>
    <t>81489</t>
  </si>
  <si>
    <t>KATECHOLAMIN A JEHO METABOLITY</t>
  </si>
  <si>
    <t>93179</t>
  </si>
  <si>
    <t>PLAZMATICKÁ RENINOVÁ AKTIVITA (PRA)</t>
  </si>
  <si>
    <t>81679</t>
  </si>
  <si>
    <t>1,25-DIHYDROXYVITAMIN D (1,25 (OH)2D)</t>
  </si>
  <si>
    <t>93139</t>
  </si>
  <si>
    <t>ADRENOKORTIKOTROPIN (ACTH)</t>
  </si>
  <si>
    <t>81373</t>
  </si>
  <si>
    <t>KYSELINA CITRONOVÁ</t>
  </si>
  <si>
    <t>81725</t>
  </si>
  <si>
    <t>KVANTITATIVNÍ STANOVENÍ ELASTÁSY 1 (PANKREATICKÉHO</t>
  </si>
  <si>
    <t>91151</t>
  </si>
  <si>
    <t>STANOVENÍ OROSOMUKOIDU</t>
  </si>
  <si>
    <t>81687</t>
  </si>
  <si>
    <t>DIHYDROTESTOSTERON</t>
  </si>
  <si>
    <t>81773</t>
  </si>
  <si>
    <t>KREATINKINÁZA IZOENZYMY CK-MB MASS</t>
  </si>
  <si>
    <t>81775</t>
  </si>
  <si>
    <t>KVANTITATIVNÍ ANALÝZA MOCE</t>
  </si>
  <si>
    <t>81353</t>
  </si>
  <si>
    <t>ANGIOTENSIN</t>
  </si>
  <si>
    <t>81777</t>
  </si>
  <si>
    <t>PÍSEMNÁ INTERPRETACE SOUBORU BIOCHEMICKÝCH LABORAT</t>
  </si>
  <si>
    <t>81755</t>
  </si>
  <si>
    <t xml:space="preserve">VYŠETŘENÍ METABOLITŮ KAPALINOVOU CHROMATOGRAFIÍ S </t>
  </si>
  <si>
    <t>81753</t>
  </si>
  <si>
    <t>VYŠETŘENÍ AKTIVITY BIOTINIDÁZY V RÁMCI NOVOROZENEC</t>
  </si>
  <si>
    <t>81763</t>
  </si>
  <si>
    <t>STANOVENÍ NGAL V MOČI</t>
  </si>
  <si>
    <t>81757</t>
  </si>
  <si>
    <t>SEMIKVANTITATIVNÍ FLUORIMETRICKÉ STANOVENÍ BIOTINI</t>
  </si>
  <si>
    <t>81735</t>
  </si>
  <si>
    <t>STANOVENÍ PRESEPSINU (SUBTYP SOLUBILNÍHO CD 14)</t>
  </si>
  <si>
    <t>813</t>
  </si>
  <si>
    <t>91197</t>
  </si>
  <si>
    <t>STANOVENÍ CYTOKINU ELISA</t>
  </si>
  <si>
    <t>34</t>
  </si>
  <si>
    <t>809</t>
  </si>
  <si>
    <t>0017039</t>
  </si>
  <si>
    <t>VISIPAQUE</t>
  </si>
  <si>
    <t>0042433</t>
  </si>
  <si>
    <t>0045119</t>
  </si>
  <si>
    <t>0045123</t>
  </si>
  <si>
    <t>0065978</t>
  </si>
  <si>
    <t>DOTAREM</t>
  </si>
  <si>
    <t>0077018</t>
  </si>
  <si>
    <t>ULTRAVIST 370</t>
  </si>
  <si>
    <t>0077019</t>
  </si>
  <si>
    <t>0077024</t>
  </si>
  <si>
    <t>ULTRAVIST 300</t>
  </si>
  <si>
    <t>0093626</t>
  </si>
  <si>
    <t>0151208</t>
  </si>
  <si>
    <t>0224716</t>
  </si>
  <si>
    <t>0224709</t>
  </si>
  <si>
    <t>0224696</t>
  </si>
  <si>
    <t>0224708</t>
  </si>
  <si>
    <t>0038462</t>
  </si>
  <si>
    <t>DRÁT VODÍCÍ GUIDE WIRE M</t>
  </si>
  <si>
    <t>0053563</t>
  </si>
  <si>
    <t>KATETR DIAGNOSTICKÝ TEMPO4F,5F</t>
  </si>
  <si>
    <t>0053643</t>
  </si>
  <si>
    <t>KATETR BALÓNKOVÝ PTA - QUADRIMATRIX/MARS</t>
  </si>
  <si>
    <t>0053925</t>
  </si>
  <si>
    <t>KATETR BALÓNKOVÝ PTA - SYMMETRY; MUSTANG</t>
  </si>
  <si>
    <t>0057823</t>
  </si>
  <si>
    <t>KATETR ANGIOGRAFICKÝ TORCON,PRŮMĚR 4.1 AŽ 7 FRENCH</t>
  </si>
  <si>
    <t>0059345</t>
  </si>
  <si>
    <t>INDEFLÁTOR - ZAŘÍZENÍ INSUFLAČNÍ - INFLATION DEVIC</t>
  </si>
  <si>
    <t>0092125</t>
  </si>
  <si>
    <t>MIKROKATETR PROGREAT PC2411-2813, PP27111-27131</t>
  </si>
  <si>
    <t>0047493</t>
  </si>
  <si>
    <t>DRÁT VODÍCÍ THRUWAY,JOURNEY</t>
  </si>
  <si>
    <t>89119</t>
  </si>
  <si>
    <t>RTG HRUDNÍ NEBO BEDERNÍ PÁTEŘE</t>
  </si>
  <si>
    <t>89127</t>
  </si>
  <si>
    <t>RTG KOSTÍ A KLOUBŮ KONČETIN</t>
  </si>
  <si>
    <t>89143</t>
  </si>
  <si>
    <t>RTG BŘICHA</t>
  </si>
  <si>
    <t>89147</t>
  </si>
  <si>
    <t>RTG ŽALUDKU A DUODENA</t>
  </si>
  <si>
    <t>89167</t>
  </si>
  <si>
    <t>CYSTOGRAFIE</t>
  </si>
  <si>
    <t>89198</t>
  </si>
  <si>
    <t>SKIASKOPIE</t>
  </si>
  <si>
    <t>89337</t>
  </si>
  <si>
    <t xml:space="preserve">DILATACE STENÓZ JÍCNU, GASTROINTESTINÁLNÍ TRUBICE </t>
  </si>
  <si>
    <t>89517</t>
  </si>
  <si>
    <t>UZ DUPLEXNÍ VYŠETŘENÍ DVOU A VÍCE CÉV, T. J. MORFO</t>
  </si>
  <si>
    <t>89713</t>
  </si>
  <si>
    <t>MR ZOBRAZENÍ HLAVY, KONČETIN, KLOUBU, JEDNOHO ÚSEK</t>
  </si>
  <si>
    <t>89723</t>
  </si>
  <si>
    <t>MR ANGIOGRAFIE</t>
  </si>
  <si>
    <t>89131</t>
  </si>
  <si>
    <t>RTG HRUDNÍKU</t>
  </si>
  <si>
    <t>89725</t>
  </si>
  <si>
    <t>OPAKOVANÉ ČI DOPLŇUJÍCÍ VYŠETŘENÍ MR</t>
  </si>
  <si>
    <t>89715</t>
  </si>
  <si>
    <t>MR ZOBRAZENÍ KRKU, HRUDNÍKU, BŘICHA, PÁNVE (VČETNĚ</t>
  </si>
  <si>
    <t>89151</t>
  </si>
  <si>
    <t>PASÁŽ TRÁVICÍ TRUBICÍ</t>
  </si>
  <si>
    <t>89169</t>
  </si>
  <si>
    <t>CYSTOURETROGRAFIE</t>
  </si>
  <si>
    <t>89111</t>
  </si>
  <si>
    <t>RTG PRSTŮ A ZÁPRSTNÍCH KŮSTEK RUKY NEBO NOHY</t>
  </si>
  <si>
    <t>89201</t>
  </si>
  <si>
    <t>SKIASKOPIE NA OPERAČNÍM ČI ZÁKROKOVÉM SÁLE MOBILNÍ</t>
  </si>
  <si>
    <t>89145</t>
  </si>
  <si>
    <t>RTG JÍCNU</t>
  </si>
  <si>
    <t>89161</t>
  </si>
  <si>
    <t>CHOLANGIOGRAFIE PEROPERAČNÍ NEBO T-DRÉNEM</t>
  </si>
  <si>
    <t>89611</t>
  </si>
  <si>
    <t>CT VYŠETŘENÍ HLAVY NEBO TĚLA NATIVNÍ A KONTRASTNÍ</t>
  </si>
  <si>
    <t>89155</t>
  </si>
  <si>
    <t>RTG VYŠETŘENÍ TLUSTÉHO STŘEVA</t>
  </si>
  <si>
    <t>89411</t>
  </si>
  <si>
    <t>PŘEHLEDNÁ  ČI SELEKTIVNÍ ANGIOGRAFIE</t>
  </si>
  <si>
    <t>35</t>
  </si>
  <si>
    <t>222</t>
  </si>
  <si>
    <t>22119</t>
  </si>
  <si>
    <t>VYŠETŘENÍ KOMPATIBILITY TRANSFÚZNÍHO PŘÍPRAVKU OBS</t>
  </si>
  <si>
    <t>22129</t>
  </si>
  <si>
    <t xml:space="preserve">VYŠETŘENÍ JEDNOHO ERYTROCYTÁRNÍHO ANTIGENU (KROMĚ </t>
  </si>
  <si>
    <t>22134</t>
  </si>
  <si>
    <t>UPŘESNĚNÍ TYPU SENZIBILIZACE ERYTROCYTŮ</t>
  </si>
  <si>
    <t>22135</t>
  </si>
  <si>
    <t>PŘÍMÝ ANTIGLOBULINOVÝ TEST - KVANTITATIVNÍ VYŠETŘE</t>
  </si>
  <si>
    <t>22214</t>
  </si>
  <si>
    <t>SCREENING ANTIERYTROCYTÁRNÍCH PROTILÁTEK - V SÉRII</t>
  </si>
  <si>
    <t>22219</t>
  </si>
  <si>
    <t>22319</t>
  </si>
  <si>
    <t>ELUCE ANTIERYTROCYTÁRNÍCH PROTILÁTEK METODOU MRAZO</t>
  </si>
  <si>
    <t>22325</t>
  </si>
  <si>
    <t>ABSORPCE PROTILÁTEK PROTI ERYTROCYTUM PŘI URČOVÁNÍ</t>
  </si>
  <si>
    <t>22339</t>
  </si>
  <si>
    <t>TITRACE ANTIERYTROCYTÁRNÍCH PROTILÁTEK</t>
  </si>
  <si>
    <t>22355</t>
  </si>
  <si>
    <t>KONZULTACE ODBORNÉHO TRANSFÚZIOLOGA - IMUNOHEMATOL</t>
  </si>
  <si>
    <t>82077</t>
  </si>
  <si>
    <t>STANOVENÍ PROTILÁTEK CELKOVÝCH I IGM PROTI ANTIGEN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</si>
  <si>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</si>
  <si>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</si>
  <si>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</si>
  <si>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</si>
  <si>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</si>
  <si>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</si>
  <si>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</si>
  <si>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</si>
  <si>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(KROMĚ H</t>
  </si>
  <si>
    <t>22112</t>
  </si>
  <si>
    <t>VYŠETŘENÍ KREVNÍ SKUPINY ABO, RH (D) V SÉRII</t>
  </si>
  <si>
    <t>22117</t>
  </si>
  <si>
    <t>22347</t>
  </si>
  <si>
    <t>IDENTIFIKACE ANTIERYTROCYTÁRNÍCH PROTILÁTEK - SLOU</t>
  </si>
  <si>
    <t>22133</t>
  </si>
  <si>
    <t>PŘÍMÝ ANTIGLOBULINOVÝ TEST</t>
  </si>
  <si>
    <t>22113</t>
  </si>
  <si>
    <t>VYŠETŘENÍ KREVNÍ SKUPINY ABO RH (D) U NOVOROZENCE</t>
  </si>
  <si>
    <t>22317</t>
  </si>
  <si>
    <t>ELUCE ANTIERYTROCYTÁRNÍCH PROTILÁTEK - POUŽITÍ KOM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</si>
  <si>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</si>
  <si>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</si>
  <si>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</si>
  <si>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</si>
  <si>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</si>
  <si>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</si>
  <si>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</si>
  <si>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</si>
  <si>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</si>
  <si>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</si>
  <si>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</si>
  <si>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</si>
  <si>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87231</t>
  </si>
  <si>
    <t>IMUNOHISTOCHEMIE (ZA KAŽDÝ MARKER Z 1 BLOKU)</t>
  </si>
  <si>
    <t>87413</t>
  </si>
  <si>
    <t>CYTOLOGICKÉ OTISKY A STĚRY -  ZA 1-3 PREPARÁTY</t>
  </si>
  <si>
    <t>87433</t>
  </si>
  <si>
    <t>STANDARDNÍ CYTOLOGICKÉ BARVENÍ,  ZA 1-3 PREPARÁTY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</si>
  <si>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</si>
  <si>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</si>
  <si>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</si>
  <si>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</si>
  <si>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</si>
  <si>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</si>
  <si>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</si>
  <si>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</si>
  <si>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</si>
  <si>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</si>
  <si>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</si>
  <si>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</si>
  <si>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87215</t>
  </si>
  <si>
    <t>DALŠÍ BLOK SE STANDARTNÍM PREPARÁTEM (OD 3. BIOPTI</t>
  </si>
  <si>
    <t>87519</t>
  </si>
  <si>
    <t>STANOVENÍ CYTOLOGICKÉ DIAGNÓZY II. STUPNĚ OBTÍŽNOS</t>
  </si>
  <si>
    <t>87411</t>
  </si>
  <si>
    <t>PEROPERAČNÍ CYTOLOGIE (TECHNICKÁ KOMPONENTA ZA KAŽ</t>
  </si>
  <si>
    <t>87611</t>
  </si>
  <si>
    <t>TECHNICKÁ KOMPONENTA MIKROSKOPICKÉHO VYŠETŘENÍ PIT</t>
  </si>
  <si>
    <t>87011</t>
  </si>
  <si>
    <t>KONZULTACE NÁLEZU PATOLOGEM CÍLENÁ NA ŽÁDOST OŠETŘ</t>
  </si>
  <si>
    <t>40</t>
  </si>
  <si>
    <t>802</t>
  </si>
  <si>
    <t>82001</t>
  </si>
  <si>
    <t>KONZULTACE K MIKROBIOLOGICKÉMU, PARAZITOLOGICKÉMU,</t>
  </si>
  <si>
    <t>82011</t>
  </si>
  <si>
    <t>ZÁKLADNÍ KULTIVAČNÍ VYŠETŘENÍ KLINICKÉHO MATERIÁLU</t>
  </si>
  <si>
    <t>82041</t>
  </si>
  <si>
    <t>AMPLIFIKACE EXTRAHUMÁNNÍHO GENOMU METODOU POLYMERÁ</t>
  </si>
  <si>
    <t>82057</t>
  </si>
  <si>
    <t>IDENTIFIKACE KMENE ORIENTAČNÍ JEDNODUCHÝM TESTEM</t>
  </si>
  <si>
    <t>82087</t>
  </si>
  <si>
    <t>STANOVENÍ PROTILÁTEK AGLUTINACÍ</t>
  </si>
  <si>
    <t>82097</t>
  </si>
  <si>
    <t>STANOVENÍ PROTILÁTEK PROTI EBV A DALŠÍM VIRŮM (CMV</t>
  </si>
  <si>
    <t>82117</t>
  </si>
  <si>
    <t>PRŮKAZ ANTIGENU VIRU (MIMO VIRY HEPATITID), BAKTER</t>
  </si>
  <si>
    <t>82131</t>
  </si>
  <si>
    <t>IDENTIFIKACE BAKTERIÁLNÍHO KMENE V KULTUŘE (POMNOŽ</t>
  </si>
  <si>
    <t>82231</t>
  </si>
  <si>
    <t>KULTIVAČNÍ VYŠETŘENÍ MYKOPLASMAT A L-FOREM BAKTÉRI</t>
  </si>
  <si>
    <t>98111</t>
  </si>
  <si>
    <t>MYKOLOGICKÉ VYŠETŘENÍ KULTIVAČNÍ</t>
  </si>
  <si>
    <t>98117</t>
  </si>
  <si>
    <t>CÍLENÁ IDENTIFIKACE CANDIDA ALBICANS</t>
  </si>
  <si>
    <t>82029</t>
  </si>
  <si>
    <t>KULTIVACE CÍLENÁ AEROBNÍ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</si>
  <si>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</si>
  <si>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</si>
  <si>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</si>
  <si>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</si>
  <si>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</si>
  <si>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</si>
  <si>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</si>
  <si>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</si>
  <si>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82015</t>
  </si>
  <si>
    <t>KVANTITATIVNÍ KULTIVAČNÍ VYŠETŘENÍ MOČI</t>
  </si>
  <si>
    <t>82063</t>
  </si>
  <si>
    <t>STANOVENÍ CITLIVOSTI NA ATB KVALITATIVNÍ METODOU</t>
  </si>
  <si>
    <t>82049</t>
  </si>
  <si>
    <t xml:space="preserve">MIKROSKOPICKÉ VYŠETŘENÍ PO BĚŽNÉM OBARVENÍ (GRAM, </t>
  </si>
  <si>
    <t>98119</t>
  </si>
  <si>
    <t>IDENTIFIKACE VLÁKNITÝCH HUB</t>
  </si>
  <si>
    <t>82083</t>
  </si>
  <si>
    <t>PRŮKAZ BAKTERIÁLNÍHO TOXINU NEBO ANTIGENU</t>
  </si>
  <si>
    <t>82013</t>
  </si>
  <si>
    <t>ZÁKLADNÍ KULTIVAČNÍ VYŠETŘENÍ STOLICE</t>
  </si>
  <si>
    <t>82233</t>
  </si>
  <si>
    <t>IDENTIFIKACE MYKOPLASMAT</t>
  </si>
  <si>
    <t>82149</t>
  </si>
  <si>
    <t>SEROTYPIZACE STŘEVNÍCH A JINÝCH PATOGENŮ</t>
  </si>
  <si>
    <t>82129</t>
  </si>
  <si>
    <t xml:space="preserve">PŘÍMÁ IDENTIFIKACE BAKTERIÁLNÍHO NEBO MYKOTICKÉHO </t>
  </si>
  <si>
    <t>82036</t>
  </si>
  <si>
    <t>AMPLIFIKACE EXTRAHUMÁNNÍHO GENOMU METODOU MULTIPLE</t>
  </si>
  <si>
    <t>82034</t>
  </si>
  <si>
    <t>IZOLACE DNA PRO VYŠETŘENÍ EXTRAHUMÁNNÍHO GENOMU</t>
  </si>
  <si>
    <t>82040</t>
  </si>
  <si>
    <t>IZOLACE RNA A TRANSKRIPCE PRO VYŠETŘENÍ EXTRAHUMÁN</t>
  </si>
  <si>
    <t>82060</t>
  </si>
  <si>
    <t>ANALÝZA HMOTOVÉHO SPEKTRA</t>
  </si>
  <si>
    <t>82066</t>
  </si>
  <si>
    <t>STANOVENÍ CITLIVOSTI NA ATB E-TESTEM</t>
  </si>
  <si>
    <t>41</t>
  </si>
  <si>
    <t>91237</t>
  </si>
  <si>
    <t>STANOVENÍ SPECIFICKÉHO IMUNOGLOBULINU E (IgE) PROT</t>
  </si>
  <si>
    <t>91261</t>
  </si>
  <si>
    <t>STANOVENÍ ANTI ENA Ab ELISA</t>
  </si>
  <si>
    <t>91267</t>
  </si>
  <si>
    <t>STANOVENÍ ANTI Sm Ab ELISA</t>
  </si>
  <si>
    <t>91271</t>
  </si>
  <si>
    <t>STANOVENÍ ANTI Scl-70 Ab ELISA</t>
  </si>
  <si>
    <t>91277</t>
  </si>
  <si>
    <t>STANOVENÍ ANTI-MPO ELISA</t>
  </si>
  <si>
    <t>91567</t>
  </si>
  <si>
    <t>IMUNOANALYTICKÉ STANOVENÍ AUTOPROTILÁTEK</t>
  </si>
  <si>
    <t>94191</t>
  </si>
  <si>
    <t>FOTOGRAFIE GELU</t>
  </si>
  <si>
    <t>91323</t>
  </si>
  <si>
    <t>PRŮKAZ ANCA IF</t>
  </si>
  <si>
    <t>22321</t>
  </si>
  <si>
    <t>URČENÍ SPECIFITY TROMBOCYTÁRNÍ PROTILÁTKY</t>
  </si>
  <si>
    <t>91259</t>
  </si>
  <si>
    <t>STANOVENÍ ANTI NUKLEOHISTON Ab ELISA</t>
  </si>
  <si>
    <t>91189</t>
  </si>
  <si>
    <t>STANOVENÍ IgE</t>
  </si>
  <si>
    <t>91265</t>
  </si>
  <si>
    <t>STANOVENÍ ANTI SS-B/La Ab ELISA</t>
  </si>
  <si>
    <t>91263</t>
  </si>
  <si>
    <t>STANOVENÍ ANTI SS-A/Ro Ab ELISA</t>
  </si>
  <si>
    <t>94193</t>
  </si>
  <si>
    <t>ELEKTROFORÉZA NUKLEOVÝCH KYSELIN</t>
  </si>
  <si>
    <t>91279</t>
  </si>
  <si>
    <t>STANOVENÍ ANTI-PR3 ELISA</t>
  </si>
  <si>
    <t>91235</t>
  </si>
  <si>
    <t>STANOVENÍ SPECIFICKÉHO IgE PROTI JEDNOTLIVÝM ALERG</t>
  </si>
  <si>
    <t>91269</t>
  </si>
  <si>
    <t>STANOVENÍ ANTI U1-RNP Ab ELISA</t>
  </si>
  <si>
    <t>22217</t>
  </si>
  <si>
    <t xml:space="preserve">SCREENINGOVÉ VYŠETŘENÍ TROMBOCYTÁRNÍCH PROTILÁTEK </t>
  </si>
  <si>
    <t>91149</t>
  </si>
  <si>
    <t>STANOVENÍ A1 - ANTITRYPSINU</t>
  </si>
  <si>
    <t>Zdravotní výkony (vybraných odborností) vyžádané pro pacienty hospitalizované na vlastním pracovišti - orientační přehled</t>
  </si>
  <si>
    <t>Ošetřovací den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</si>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</sst>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6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  <numFmt numFmtId="178" formatCode="#,##0.000"/>
  </numFmts>
  <fonts count="7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7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1018">
    <xf numFmtId="0" fontId="0" fillId="0" borderId="0" xfId="0"/>
    <xf numFmtId="0" fontId="29" fillId="2" borderId="20" xfId="81" applyFont="1" applyFill="1" applyBorder="1"/>
    <xf numFmtId="0" fontId="30" fillId="2" borderId="21" xfId="81" applyFont="1" applyFill="1" applyBorder="1"/>
    <xf numFmtId="3" fontId="30" fillId="2" borderId="22" xfId="81" applyNumberFormat="1" applyFont="1" applyFill="1" applyBorder="1"/>
    <xf numFmtId="0" fontId="30" fillId="4" borderId="21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1" fillId="0" borderId="28" xfId="26" applyNumberFormat="1" applyFont="1" applyFill="1" applyBorder="1" applyAlignment="1">
      <alignment horizontal="center"/>
    </xf>
    <xf numFmtId="3" fontId="30" fillId="4" borderId="22" xfId="81" applyNumberFormat="1" applyFont="1" applyFill="1" applyBorder="1"/>
    <xf numFmtId="171" fontId="30" fillId="3" borderId="22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7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6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8" fillId="2" borderId="37" xfId="0" applyFont="1" applyFill="1" applyBorder="1" applyAlignment="1">
      <alignment vertical="top"/>
    </xf>
    <xf numFmtId="0" fontId="36" fillId="2" borderId="38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2" xfId="81" applyNumberFormat="1" applyFont="1" applyFill="1" applyBorder="1"/>
    <xf numFmtId="3" fontId="29" fillId="5" borderId="28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30" xfId="81" applyNumberFormat="1" applyFont="1" applyFill="1" applyBorder="1"/>
    <xf numFmtId="3" fontId="30" fillId="2" borderId="23" xfId="81" applyNumberFormat="1" applyFont="1" applyFill="1" applyBorder="1"/>
    <xf numFmtId="3" fontId="30" fillId="4" borderId="30" xfId="81" applyNumberFormat="1" applyFont="1" applyFill="1" applyBorder="1"/>
    <xf numFmtId="3" fontId="30" fillId="4" borderId="23" xfId="81" applyNumberFormat="1" applyFont="1" applyFill="1" applyBorder="1"/>
    <xf numFmtId="171" fontId="30" fillId="3" borderId="30" xfId="81" applyNumberFormat="1" applyFont="1" applyFill="1" applyBorder="1"/>
    <xf numFmtId="171" fontId="30" fillId="3" borderId="23" xfId="81" applyNumberFormat="1" applyFont="1" applyFill="1" applyBorder="1"/>
    <xf numFmtId="0" fontId="33" fillId="2" borderId="28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30" xfId="78" applyNumberFormat="1" applyFont="1" applyFill="1" applyBorder="1" applyAlignment="1">
      <alignment horizontal="right"/>
    </xf>
    <xf numFmtId="9" fontId="30" fillId="0" borderId="30" xfId="78" applyNumberFormat="1" applyFont="1" applyFill="1" applyBorder="1" applyAlignment="1">
      <alignment horizontal="right"/>
    </xf>
    <xf numFmtId="3" fontId="30" fillId="0" borderId="23" xfId="78" applyNumberFormat="1" applyFont="1" applyFill="1" applyBorder="1" applyAlignment="1">
      <alignment horizontal="right"/>
    </xf>
    <xf numFmtId="0" fontId="34" fillId="0" borderId="47" xfId="0" applyFont="1" applyFill="1" applyBorder="1" applyAlignment="1"/>
    <xf numFmtId="0" fontId="43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5" xfId="0" applyNumberFormat="1" applyFont="1" applyFill="1" applyBorder="1" applyAlignment="1">
      <alignment horizontal="right" vertical="top"/>
    </xf>
    <xf numFmtId="3" fontId="35" fillId="0" borderId="26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7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5" xfId="79" applyNumberFormat="1" applyFont="1" applyFill="1" applyBorder="1"/>
    <xf numFmtId="9" fontId="3" fillId="0" borderId="45" xfId="79" applyNumberFormat="1" applyFont="1" applyFill="1" applyBorder="1"/>
    <xf numFmtId="9" fontId="3" fillId="0" borderId="46" xfId="79" applyNumberFormat="1" applyFont="1" applyFill="1" applyBorder="1"/>
    <xf numFmtId="0" fontId="3" fillId="0" borderId="40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1" xfId="79" applyFont="1" applyFill="1" applyBorder="1"/>
    <xf numFmtId="0" fontId="3" fillId="0" borderId="42" xfId="79" applyFont="1" applyFill="1" applyBorder="1"/>
    <xf numFmtId="164" fontId="3" fillId="0" borderId="76" xfId="53" applyNumberFormat="1" applyFont="1" applyFill="1" applyBorder="1"/>
    <xf numFmtId="9" fontId="3" fillId="0" borderId="76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55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7" xfId="26" applyNumberFormat="1" applyFont="1" applyFill="1" applyBorder="1"/>
    <xf numFmtId="9" fontId="31" fillId="0" borderId="28" xfId="26" applyNumberFormat="1" applyFont="1" applyFill="1" applyBorder="1"/>
    <xf numFmtId="170" fontId="31" fillId="0" borderId="52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9" xfId="26" applyNumberFormat="1" applyFont="1" applyFill="1" applyBorder="1"/>
    <xf numFmtId="170" fontId="31" fillId="0" borderId="24" xfId="26" applyNumberFormat="1" applyFont="1" applyFill="1" applyBorder="1"/>
    <xf numFmtId="9" fontId="31" fillId="0" borderId="25" xfId="26" applyNumberFormat="1" applyFont="1" applyFill="1" applyBorder="1"/>
    <xf numFmtId="170" fontId="31" fillId="0" borderId="5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3" xfId="0" applyFont="1" applyFill="1" applyBorder="1" applyAlignment="1"/>
    <xf numFmtId="0" fontId="34" fillId="0" borderId="34" xfId="0" applyFont="1" applyFill="1" applyBorder="1" applyAlignment="1"/>
    <xf numFmtId="0" fontId="34" fillId="0" borderId="68" xfId="0" applyFont="1" applyFill="1" applyBorder="1" applyAlignment="1"/>
    <xf numFmtId="0" fontId="30" fillId="2" borderId="29" xfId="78" applyFont="1" applyFill="1" applyBorder="1" applyAlignment="1">
      <alignment horizontal="right"/>
    </xf>
    <xf numFmtId="3" fontId="30" fillId="2" borderId="67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2" borderId="44" xfId="79" applyFont="1" applyFill="1" applyBorder="1"/>
    <xf numFmtId="0" fontId="3" fillId="2" borderId="43" xfId="79" applyFont="1" applyFill="1" applyBorder="1"/>
    <xf numFmtId="0" fontId="3" fillId="2" borderId="74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2" xfId="26" applyNumberFormat="1" applyFont="1" applyFill="1" applyBorder="1"/>
    <xf numFmtId="3" fontId="33" fillId="2" borderId="30" xfId="26" applyNumberFormat="1" applyFont="1" applyFill="1" applyBorder="1"/>
    <xf numFmtId="3" fontId="33" fillId="2" borderId="21" xfId="26" applyNumberFormat="1" applyFont="1" applyFill="1" applyBorder="1"/>
    <xf numFmtId="3" fontId="33" fillId="4" borderId="22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8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2" xfId="26" applyNumberFormat="1" applyFont="1" applyFill="1" applyBorder="1" applyAlignment="1">
      <alignment horizontal="center"/>
    </xf>
    <xf numFmtId="167" fontId="33" fillId="2" borderId="23" xfId="26" applyNumberFormat="1" applyFont="1" applyFill="1" applyBorder="1" applyAlignment="1">
      <alignment horizontal="center"/>
    </xf>
    <xf numFmtId="167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6" applyNumberFormat="1" applyFont="1" applyFill="1" applyBorder="1"/>
    <xf numFmtId="167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6" applyNumberFormat="1" applyFont="1" applyFill="1" applyBorder="1"/>
    <xf numFmtId="167" fontId="33" fillId="2" borderId="23" xfId="86" applyNumberFormat="1" applyFont="1" applyFill="1" applyBorder="1" applyAlignment="1">
      <alignment horizontal="right"/>
    </xf>
    <xf numFmtId="3" fontId="33" fillId="2" borderId="31" xfId="26" applyNumberFormat="1" applyFont="1" applyFill="1" applyBorder="1"/>
    <xf numFmtId="167" fontId="33" fillId="2" borderId="23" xfId="86" applyNumberFormat="1" applyFont="1" applyFill="1" applyBorder="1"/>
    <xf numFmtId="3" fontId="33" fillId="2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 applyAlignment="1">
      <alignment horizontal="center"/>
    </xf>
    <xf numFmtId="167" fontId="33" fillId="3" borderId="23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28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/>
    <xf numFmtId="3" fontId="33" fillId="3" borderId="30" xfId="26" applyNumberFormat="1" applyFont="1" applyFill="1" applyBorder="1"/>
    <xf numFmtId="167" fontId="33" fillId="3" borderId="23" xfId="86" applyNumberFormat="1" applyFont="1" applyFill="1" applyBorder="1" applyAlignment="1">
      <alignment horizontal="right"/>
    </xf>
    <xf numFmtId="167" fontId="33" fillId="3" borderId="23" xfId="86" applyNumberFormat="1" applyFont="1" applyFill="1" applyBorder="1"/>
    <xf numFmtId="3" fontId="33" fillId="3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2" xfId="26" applyNumberFormat="1" applyFont="1" applyFill="1" applyBorder="1" applyAlignment="1">
      <alignment horizontal="center"/>
    </xf>
    <xf numFmtId="167" fontId="33" fillId="4" borderId="23" xfId="26" applyNumberFormat="1" applyFont="1" applyFill="1" applyBorder="1" applyAlignment="1">
      <alignment horizontal="center"/>
    </xf>
    <xf numFmtId="3" fontId="33" fillId="4" borderId="30" xfId="26" applyNumberFormat="1" applyFont="1" applyFill="1" applyBorder="1"/>
    <xf numFmtId="167" fontId="33" fillId="4" borderId="23" xfId="86" applyNumberFormat="1" applyFont="1" applyFill="1" applyBorder="1" applyAlignment="1">
      <alignment horizontal="right"/>
    </xf>
    <xf numFmtId="3" fontId="33" fillId="4" borderId="31" xfId="26" applyNumberFormat="1" applyFont="1" applyFill="1" applyBorder="1"/>
    <xf numFmtId="167" fontId="33" fillId="4" borderId="23" xfId="86" applyNumberFormat="1" applyFont="1" applyFill="1" applyBorder="1"/>
    <xf numFmtId="3" fontId="33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51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53" xfId="26" quotePrefix="1" applyNumberFormat="1" applyFont="1" applyFill="1" applyBorder="1" applyAlignment="1">
      <alignment horizontal="center"/>
    </xf>
    <xf numFmtId="0" fontId="31" fillId="2" borderId="33" xfId="26" applyFont="1" applyFill="1" applyBorder="1"/>
    <xf numFmtId="0" fontId="3" fillId="2" borderId="68" xfId="33" applyFont="1" applyFill="1" applyBorder="1" applyAlignment="1">
      <alignment horizontal="center" vertical="center"/>
    </xf>
    <xf numFmtId="9" fontId="3" fillId="0" borderId="75" xfId="53" applyNumberFormat="1" applyFont="1" applyFill="1" applyBorder="1"/>
    <xf numFmtId="0" fontId="34" fillId="0" borderId="28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5" xfId="0" applyFont="1" applyFill="1" applyBorder="1"/>
    <xf numFmtId="0" fontId="34" fillId="5" borderId="47" xfId="0" applyFont="1" applyFill="1" applyBorder="1"/>
    <xf numFmtId="0" fontId="34" fillId="5" borderId="55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5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74" xfId="53" applyFont="1" applyFill="1" applyBorder="1" applyAlignment="1">
      <alignment horizontal="right"/>
    </xf>
    <xf numFmtId="164" fontId="33" fillId="0" borderId="79" xfId="53" applyNumberFormat="1" applyFont="1" applyFill="1" applyBorder="1"/>
    <xf numFmtId="164" fontId="33" fillId="0" borderId="80" xfId="53" applyNumberFormat="1" applyFont="1" applyFill="1" applyBorder="1"/>
    <xf numFmtId="9" fontId="33" fillId="0" borderId="81" xfId="83" applyNumberFormat="1" applyFont="1" applyFill="1" applyBorder="1"/>
    <xf numFmtId="3" fontId="33" fillId="0" borderId="81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55" xfId="26" applyFont="1" applyFill="1" applyBorder="1" applyAlignment="1">
      <alignment horizontal="right"/>
    </xf>
    <xf numFmtId="170" fontId="31" fillId="0" borderId="51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53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2" xfId="53" applyNumberFormat="1" applyFont="1" applyFill="1" applyBorder="1"/>
    <xf numFmtId="3" fontId="33" fillId="0" borderId="28" xfId="53" applyNumberFormat="1" applyFont="1" applyFill="1" applyBorder="1"/>
    <xf numFmtId="0" fontId="30" fillId="0" borderId="3" xfId="78" applyFont="1" applyFill="1" applyBorder="1" applyAlignment="1">
      <alignment horizontal="left"/>
    </xf>
    <xf numFmtId="0" fontId="33" fillId="2" borderId="55" xfId="0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3" fontId="3" fillId="0" borderId="77" xfId="53" applyNumberFormat="1" applyFont="1" applyFill="1" applyBorder="1"/>
    <xf numFmtId="0" fontId="33" fillId="2" borderId="55" xfId="0" applyNumberFormat="1" applyFont="1" applyFill="1" applyBorder="1" applyAlignment="1">
      <alignment horizontal="center"/>
    </xf>
    <xf numFmtId="3" fontId="3" fillId="0" borderId="78" xfId="53" applyNumberFormat="1" applyFont="1" applyFill="1" applyBorder="1"/>
    <xf numFmtId="3" fontId="3" fillId="0" borderId="83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51" xfId="74" applyFont="1" applyFill="1" applyBorder="1" applyAlignment="1">
      <alignment horizontal="center"/>
    </xf>
    <xf numFmtId="0" fontId="29" fillId="5" borderId="47" xfId="81" applyFont="1" applyFill="1" applyBorder="1"/>
    <xf numFmtId="0" fontId="33" fillId="2" borderId="26" xfId="81" applyFont="1" applyFill="1" applyBorder="1" applyAlignment="1">
      <alignment horizontal="center"/>
    </xf>
    <xf numFmtId="0" fontId="33" fillId="2" borderId="25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4" fillId="0" borderId="32" xfId="0" applyNumberFormat="1" applyFont="1" applyFill="1" applyBorder="1"/>
    <xf numFmtId="3" fontId="34" fillId="0" borderId="27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8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3" xfId="81" applyNumberFormat="1" applyFont="1" applyFill="1" applyBorder="1"/>
    <xf numFmtId="9" fontId="30" fillId="4" borderId="23" xfId="81" applyNumberFormat="1" applyFont="1" applyFill="1" applyBorder="1"/>
    <xf numFmtId="9" fontId="30" fillId="3" borderId="23" xfId="81" applyNumberFormat="1" applyFont="1" applyFill="1" applyBorder="1"/>
    <xf numFmtId="0" fontId="33" fillId="2" borderId="24" xfId="81" applyFont="1" applyFill="1" applyBorder="1" applyAlignment="1">
      <alignment horizontal="center"/>
    </xf>
    <xf numFmtId="3" fontId="31" fillId="7" borderId="85" xfId="26" applyNumberFormat="1" applyFont="1" applyFill="1" applyBorder="1"/>
    <xf numFmtId="3" fontId="31" fillId="7" borderId="65" xfId="26" applyNumberFormat="1" applyFont="1" applyFill="1" applyBorder="1"/>
    <xf numFmtId="167" fontId="33" fillId="7" borderId="73" xfId="86" applyNumberFormat="1" applyFont="1" applyFill="1" applyBorder="1" applyAlignment="1">
      <alignment horizontal="right"/>
    </xf>
    <xf numFmtId="3" fontId="31" fillId="7" borderId="86" xfId="26" applyNumberFormat="1" applyFont="1" applyFill="1" applyBorder="1"/>
    <xf numFmtId="167" fontId="33" fillId="7" borderId="73" xfId="86" applyNumberFormat="1" applyFont="1" applyFill="1" applyBorder="1"/>
    <xf numFmtId="3" fontId="31" fillId="0" borderId="85" xfId="26" applyNumberFormat="1" applyFont="1" applyFill="1" applyBorder="1" applyAlignment="1">
      <alignment horizontal="center"/>
    </xf>
    <xf numFmtId="3" fontId="31" fillId="0" borderId="73" xfId="26" applyNumberFormat="1" applyFont="1" applyFill="1" applyBorder="1" applyAlignment="1">
      <alignment horizontal="center"/>
    </xf>
    <xf numFmtId="3" fontId="31" fillId="7" borderId="85" xfId="26" applyNumberFormat="1" applyFont="1" applyFill="1" applyBorder="1" applyAlignment="1">
      <alignment horizontal="center"/>
    </xf>
    <xf numFmtId="3" fontId="31" fillId="7" borderId="73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55" xfId="0" applyFont="1" applyFill="1" applyBorder="1" applyAlignment="1"/>
    <xf numFmtId="0" fontId="34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4" fontId="33" fillId="2" borderId="27" xfId="53" applyNumberFormat="1" applyFont="1" applyFill="1" applyBorder="1" applyAlignment="1">
      <alignment horizontal="right"/>
    </xf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6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8" xfId="0" applyNumberFormat="1" applyFont="1" applyFill="1" applyBorder="1"/>
    <xf numFmtId="3" fontId="41" fillId="2" borderId="60" xfId="0" applyNumberFormat="1" applyFont="1" applyFill="1" applyBorder="1"/>
    <xf numFmtId="9" fontId="41" fillId="2" borderId="67" xfId="0" applyNumberFormat="1" applyFont="1" applyFill="1" applyBorder="1"/>
    <xf numFmtId="0" fontId="53" fillId="2" borderId="21" xfId="1" applyFont="1" applyFill="1" applyBorder="1" applyAlignment="1"/>
    <xf numFmtId="0" fontId="34" fillId="2" borderId="31" xfId="0" applyFont="1" applyFill="1" applyBorder="1" applyAlignment="1"/>
    <xf numFmtId="3" fontId="34" fillId="2" borderId="30" xfId="0" applyNumberFormat="1" applyFont="1" applyFill="1" applyBorder="1" applyAlignment="1"/>
    <xf numFmtId="9" fontId="34" fillId="2" borderId="23" xfId="0" applyNumberFormat="1" applyFont="1" applyFill="1" applyBorder="1" applyAlignment="1"/>
    <xf numFmtId="0" fontId="41" fillId="2" borderId="64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7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7" xfId="0" applyFont="1" applyFill="1" applyBorder="1" applyAlignment="1">
      <alignment horizontal="left" indent="2"/>
    </xf>
    <xf numFmtId="0" fontId="33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4" fillId="0" borderId="35" xfId="0" applyFont="1" applyBorder="1" applyAlignment="1"/>
    <xf numFmtId="3" fontId="34" fillId="0" borderId="26" xfId="0" applyNumberFormat="1" applyFont="1" applyBorder="1" applyAlignment="1"/>
    <xf numFmtId="9" fontId="34" fillId="0" borderId="25" xfId="0" applyNumberFormat="1" applyFont="1" applyBorder="1" applyAlignment="1"/>
    <xf numFmtId="0" fontId="41" fillId="0" borderId="47" xfId="0" applyFont="1" applyFill="1" applyBorder="1" applyAlignment="1">
      <alignment horizontal="left" indent="2"/>
    </xf>
    <xf numFmtId="0" fontId="34" fillId="0" borderId="47" xfId="0" applyFont="1" applyBorder="1" applyAlignment="1"/>
    <xf numFmtId="3" fontId="34" fillId="0" borderId="47" xfId="0" applyNumberFormat="1" applyFont="1" applyBorder="1" applyAlignment="1"/>
    <xf numFmtId="9" fontId="34" fillId="0" borderId="47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4" fillId="4" borderId="31" xfId="0" applyFont="1" applyFill="1" applyBorder="1" applyAlignment="1"/>
    <xf numFmtId="3" fontId="34" fillId="4" borderId="30" xfId="0" applyNumberFormat="1" applyFont="1" applyFill="1" applyBorder="1" applyAlignment="1"/>
    <xf numFmtId="9" fontId="34" fillId="4" borderId="23" xfId="0" applyNumberFormat="1" applyFont="1" applyFill="1" applyBorder="1" applyAlignment="1"/>
    <xf numFmtId="0" fontId="53" fillId="4" borderId="64" xfId="1" applyFont="1" applyFill="1" applyBorder="1" applyAlignment="1">
      <alignment horizontal="left"/>
    </xf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9" fontId="34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4" fillId="4" borderId="38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55" xfId="0" applyNumberFormat="1" applyFont="1" applyBorder="1" applyAlignment="1"/>
    <xf numFmtId="0" fontId="41" fillId="3" borderId="21" xfId="0" applyFont="1" applyFill="1" applyBorder="1" applyAlignment="1"/>
    <xf numFmtId="0" fontId="34" fillId="3" borderId="31" xfId="0" applyFont="1" applyFill="1" applyBorder="1" applyAlignment="1"/>
    <xf numFmtId="3" fontId="34" fillId="3" borderId="30" xfId="0" applyNumberFormat="1" applyFont="1" applyFill="1" applyBorder="1" applyAlignment="1"/>
    <xf numFmtId="9" fontId="34" fillId="3" borderId="23" xfId="0" applyNumberFormat="1" applyFont="1" applyFill="1" applyBorder="1" applyAlignment="1"/>
    <xf numFmtId="0" fontId="42" fillId="0" borderId="0" xfId="0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7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4" fillId="0" borderId="0" xfId="0" applyFont="1" applyFill="1" applyAlignment="1">
      <alignment horizontal="right"/>
    </xf>
    <xf numFmtId="165" fontId="34" fillId="0" borderId="0" xfId="0" applyNumberFormat="1" applyFont="1" applyFill="1"/>
    <xf numFmtId="0" fontId="41" fillId="2" borderId="29" xfId="0" applyFont="1" applyFill="1" applyBorder="1" applyAlignment="1">
      <alignment horizontal="right"/>
    </xf>
    <xf numFmtId="16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23" xfId="0" applyNumberFormat="1" applyFont="1" applyFill="1" applyBorder="1" applyAlignment="1"/>
    <xf numFmtId="169" fontId="41" fillId="0" borderId="31" xfId="0" applyNumberFormat="1" applyFont="1" applyFill="1" applyBorder="1" applyAlignment="1"/>
    <xf numFmtId="9" fontId="41" fillId="0" borderId="57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55" xfId="0" applyNumberFormat="1" applyFont="1" applyFill="1" applyBorder="1" applyAlignment="1"/>
    <xf numFmtId="9" fontId="34" fillId="0" borderId="55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7" xfId="26" applyFont="1" applyFill="1" applyBorder="1" applyAlignment="1">
      <alignment vertical="center"/>
    </xf>
    <xf numFmtId="168" fontId="3" fillId="0" borderId="47" xfId="26" applyNumberFormat="1" applyFont="1" applyFill="1" applyBorder="1" applyAlignment="1">
      <alignment vertical="center"/>
    </xf>
    <xf numFmtId="166" fontId="3" fillId="0" borderId="47" xfId="26" applyNumberFormat="1" applyFont="1" applyFill="1" applyBorder="1" applyAlignment="1">
      <alignment vertical="center"/>
    </xf>
    <xf numFmtId="3" fontId="0" fillId="0" borderId="0" xfId="0" applyNumberFormat="1"/>
    <xf numFmtId="0" fontId="60" fillId="0" borderId="0" xfId="1" applyFont="1" applyFill="1"/>
    <xf numFmtId="3" fontId="55" fillId="0" borderId="0" xfId="26" applyNumberFormat="1" applyFont="1" applyFill="1" applyBorder="1" applyAlignment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0" fontId="33" fillId="2" borderId="111" xfId="74" applyFont="1" applyFill="1" applyBorder="1" applyAlignment="1">
      <alignment horizontal="center"/>
    </xf>
    <xf numFmtId="0" fontId="33" fillId="2" borderId="92" xfId="81" applyFont="1" applyFill="1" applyBorder="1" applyAlignment="1">
      <alignment horizontal="center"/>
    </xf>
    <xf numFmtId="0" fontId="33" fillId="2" borderId="93" xfId="81" applyFont="1" applyFill="1" applyBorder="1" applyAlignment="1">
      <alignment horizontal="center"/>
    </xf>
    <xf numFmtId="0" fontId="33" fillId="2" borderId="94" xfId="81" applyFont="1" applyFill="1" applyBorder="1" applyAlignment="1">
      <alignment horizontal="center"/>
    </xf>
    <xf numFmtId="0" fontId="33" fillId="2" borderId="95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1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79" xfId="53" applyNumberFormat="1" applyFont="1" applyFill="1" applyBorder="1"/>
    <xf numFmtId="3" fontId="33" fillId="0" borderId="80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4" fillId="0" borderId="30" xfId="0" applyNumberFormat="1" applyFont="1" applyFill="1" applyBorder="1"/>
    <xf numFmtId="9" fontId="34" fillId="0" borderId="23" xfId="0" applyNumberFormat="1" applyFont="1" applyFill="1" applyBorder="1"/>
    <xf numFmtId="9" fontId="34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4" fillId="5" borderId="100" xfId="0" applyFont="1" applyFill="1" applyBorder="1"/>
    <xf numFmtId="0" fontId="34" fillId="0" borderId="101" xfId="0" applyFont="1" applyBorder="1" applyAlignment="1"/>
    <xf numFmtId="9" fontId="34" fillId="0" borderId="99" xfId="0" applyNumberFormat="1" applyFont="1" applyBorder="1" applyAlignment="1"/>
    <xf numFmtId="0" fontId="27" fillId="2" borderId="37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3" fontId="41" fillId="0" borderId="22" xfId="0" applyNumberFormat="1" applyFont="1" applyFill="1" applyBorder="1" applyAlignment="1"/>
    <xf numFmtId="3" fontId="41" fillId="0" borderId="30" xfId="0" applyNumberFormat="1" applyFont="1" applyFill="1" applyBorder="1" applyAlignment="1"/>
    <xf numFmtId="169" fontId="41" fillId="0" borderId="23" xfId="0" applyNumberFormat="1" applyFont="1" applyFill="1" applyBorder="1" applyAlignment="1"/>
    <xf numFmtId="49" fontId="39" fillId="2" borderId="99" xfId="0" quotePrefix="1" applyNumberFormat="1" applyFont="1" applyFill="1" applyBorder="1" applyAlignment="1">
      <alignment horizontal="center" vertical="center"/>
    </xf>
    <xf numFmtId="0" fontId="33" fillId="10" borderId="1" xfId="26" applyNumberFormat="1" applyFont="1" applyFill="1" applyBorder="1" applyAlignment="1">
      <alignment horizontal="center"/>
    </xf>
    <xf numFmtId="0" fontId="33" fillId="10" borderId="2" xfId="26" applyNumberFormat="1" applyFont="1" applyFill="1" applyBorder="1" applyAlignment="1">
      <alignment horizontal="center"/>
    </xf>
    <xf numFmtId="167" fontId="33" fillId="10" borderId="3" xfId="26" applyNumberFormat="1" applyFont="1" applyFill="1" applyBorder="1" applyAlignment="1">
      <alignment horizontal="center"/>
    </xf>
    <xf numFmtId="3" fontId="33" fillId="10" borderId="22" xfId="26" applyNumberFormat="1" applyFont="1" applyFill="1" applyBorder="1"/>
    <xf numFmtId="3" fontId="33" fillId="10" borderId="30" xfId="26" applyNumberFormat="1" applyFont="1" applyFill="1" applyBorder="1"/>
    <xf numFmtId="167" fontId="33" fillId="10" borderId="23" xfId="86" applyNumberFormat="1" applyFont="1" applyFill="1" applyBorder="1" applyAlignment="1">
      <alignment horizontal="right"/>
    </xf>
    <xf numFmtId="3" fontId="33" fillId="10" borderId="31" xfId="26" applyNumberFormat="1" applyFont="1" applyFill="1" applyBorder="1"/>
    <xf numFmtId="167" fontId="33" fillId="10" borderId="23" xfId="86" applyNumberFormat="1" applyFont="1" applyFill="1" applyBorder="1"/>
    <xf numFmtId="3" fontId="33" fillId="10" borderId="22" xfId="26" applyNumberFormat="1" applyFont="1" applyFill="1" applyBorder="1" applyAlignment="1">
      <alignment horizontal="center"/>
    </xf>
    <xf numFmtId="3" fontId="33" fillId="10" borderId="23" xfId="26" applyNumberFormat="1" applyFont="1" applyFill="1" applyBorder="1" applyAlignment="1">
      <alignment horizontal="center"/>
    </xf>
    <xf numFmtId="167" fontId="33" fillId="10" borderId="23" xfId="26" applyNumberFormat="1" applyFont="1" applyFill="1" applyBorder="1" applyAlignment="1">
      <alignment horizontal="center"/>
    </xf>
    <xf numFmtId="0" fontId="33" fillId="2" borderId="2" xfId="26" quotePrefix="1" applyNumberFormat="1" applyFont="1" applyFill="1" applyBorder="1" applyAlignment="1">
      <alignment horizontal="center"/>
    </xf>
    <xf numFmtId="167" fontId="33" fillId="2" borderId="3" xfId="26" quotePrefix="1" applyNumberFormat="1" applyFont="1" applyFill="1" applyBorder="1" applyAlignment="1">
      <alignment horizontal="center"/>
    </xf>
    <xf numFmtId="167" fontId="33" fillId="2" borderId="57" xfId="26" applyNumberFormat="1" applyFont="1" applyFill="1" applyBorder="1"/>
    <xf numFmtId="167" fontId="33" fillId="3" borderId="57" xfId="26" applyNumberFormat="1" applyFont="1" applyFill="1" applyBorder="1"/>
    <xf numFmtId="167" fontId="33" fillId="4" borderId="57" xfId="26" applyNumberFormat="1" applyFont="1" applyFill="1" applyBorder="1"/>
    <xf numFmtId="167" fontId="33" fillId="10" borderId="57" xfId="26" applyNumberFormat="1" applyFont="1" applyFill="1" applyBorder="1"/>
    <xf numFmtId="167" fontId="31" fillId="7" borderId="17" xfId="26" applyNumberFormat="1" applyFont="1" applyFill="1" applyBorder="1"/>
    <xf numFmtId="167" fontId="31" fillId="7" borderId="108" xfId="26" applyNumberFormat="1" applyFont="1" applyFill="1" applyBorder="1"/>
    <xf numFmtId="167" fontId="31" fillId="7" borderId="115" xfId="26" applyNumberFormat="1" applyFont="1" applyFill="1" applyBorder="1"/>
    <xf numFmtId="0" fontId="27" fillId="4" borderId="9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2"/>
    </xf>
    <xf numFmtId="0" fontId="34" fillId="0" borderId="98" xfId="0" applyFont="1" applyBorder="1"/>
    <xf numFmtId="0" fontId="33" fillId="2" borderId="88" xfId="0" applyFont="1" applyFill="1" applyBorder="1" applyAlignment="1">
      <alignment horizontal="center" vertical="top" wrapText="1"/>
    </xf>
    <xf numFmtId="0" fontId="27" fillId="6" borderId="5" xfId="1" applyFill="1" applyBorder="1"/>
    <xf numFmtId="0" fontId="33" fillId="2" borderId="49" xfId="81" applyFont="1" applyFill="1" applyBorder="1" applyAlignment="1">
      <alignment horizontal="center"/>
    </xf>
    <xf numFmtId="0" fontId="33" fillId="2" borderId="50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33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1" fillId="0" borderId="23" xfId="0" applyNumberFormat="1" applyFont="1" applyFill="1" applyBorder="1" applyAlignment="1"/>
    <xf numFmtId="0" fontId="41" fillId="2" borderId="21" xfId="0" applyFont="1" applyFill="1" applyBorder="1" applyAlignment="1">
      <alignment horizontal="right"/>
    </xf>
    <xf numFmtId="3" fontId="33" fillId="7" borderId="64" xfId="26" applyNumberFormat="1" applyFont="1" applyFill="1" applyBorder="1"/>
    <xf numFmtId="3" fontId="33" fillId="7" borderId="97" xfId="26" applyNumberFormat="1" applyFont="1" applyFill="1" applyBorder="1"/>
    <xf numFmtId="3" fontId="33" fillId="7" borderId="34" xfId="26" applyNumberFormat="1" applyFont="1" applyFill="1" applyBorder="1"/>
    <xf numFmtId="3" fontId="33" fillId="10" borderId="21" xfId="26" applyNumberFormat="1" applyFont="1" applyFill="1" applyBorder="1"/>
    <xf numFmtId="3" fontId="33" fillId="4" borderId="21" xfId="26" applyNumberFormat="1" applyFont="1" applyFill="1" applyBorder="1"/>
    <xf numFmtId="3" fontId="33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0" fontId="29" fillId="0" borderId="0" xfId="78" applyNumberFormat="1" applyFont="1" applyFill="1" applyBorder="1" applyAlignment="1"/>
    <xf numFmtId="0" fontId="34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51" fillId="0" borderId="0" xfId="0" applyFont="1" applyFill="1" applyAlignment="1">
      <alignment horizontal="left" indent="2"/>
    </xf>
    <xf numFmtId="176" fontId="41" fillId="0" borderId="18" xfId="0" applyNumberFormat="1" applyFont="1" applyBorder="1" applyAlignment="1">
      <alignment vertical="center"/>
    </xf>
    <xf numFmtId="173" fontId="41" fillId="0" borderId="34" xfId="0" applyNumberFormat="1" applyFont="1" applyBorder="1" applyAlignment="1">
      <alignment vertical="center"/>
    </xf>
    <xf numFmtId="173" fontId="34" fillId="0" borderId="19" xfId="0" applyNumberFormat="1" applyFont="1" applyBorder="1" applyAlignment="1">
      <alignment vertical="center"/>
    </xf>
    <xf numFmtId="173" fontId="34" fillId="0" borderId="0" xfId="0" applyNumberFormat="1" applyFont="1" applyBorder="1" applyAlignment="1">
      <alignment vertical="center"/>
    </xf>
    <xf numFmtId="173" fontId="34" fillId="0" borderId="18" xfId="0" applyNumberFormat="1" applyFont="1" applyBorder="1" applyAlignment="1">
      <alignment vertical="center"/>
    </xf>
    <xf numFmtId="174" fontId="34" fillId="0" borderId="0" xfId="0" applyNumberFormat="1" applyFont="1" applyBorder="1" applyAlignment="1">
      <alignment vertical="center"/>
    </xf>
    <xf numFmtId="0" fontId="61" fillId="0" borderId="19" xfId="0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center" vertical="center"/>
    </xf>
    <xf numFmtId="173" fontId="34" fillId="0" borderId="0" xfId="0" applyNumberFormat="1" applyFont="1" applyBorder="1" applyAlignment="1">
      <alignment horizontal="right" vertical="center"/>
    </xf>
    <xf numFmtId="175" fontId="34" fillId="0" borderId="0" xfId="0" applyNumberFormat="1" applyFont="1" applyBorder="1" applyAlignment="1">
      <alignment horizontal="right" vertical="center"/>
    </xf>
    <xf numFmtId="3" fontId="41" fillId="0" borderId="73" xfId="0" applyNumberFormat="1" applyFont="1" applyBorder="1" applyAlignment="1">
      <alignment horizontal="right" vertical="center"/>
    </xf>
    <xf numFmtId="9" fontId="41" fillId="0" borderId="119" xfId="0" applyNumberFormat="1" applyFont="1" applyBorder="1" applyAlignment="1">
      <alignment horizontal="right" vertical="center"/>
    </xf>
    <xf numFmtId="173" fontId="41" fillId="0" borderId="119" xfId="0" applyNumberFormat="1" applyFont="1" applyBorder="1" applyAlignment="1">
      <alignment horizontal="right" vertical="center"/>
    </xf>
    <xf numFmtId="173" fontId="41" fillId="0" borderId="86" xfId="0" applyNumberFormat="1" applyFont="1" applyBorder="1" applyAlignment="1">
      <alignment horizontal="right" vertical="center"/>
    </xf>
    <xf numFmtId="173" fontId="41" fillId="0" borderId="88" xfId="0" applyNumberFormat="1" applyFont="1" applyBorder="1" applyAlignment="1">
      <alignment vertical="center"/>
    </xf>
    <xf numFmtId="173" fontId="41" fillId="0" borderId="120" xfId="0" applyNumberFormat="1" applyFont="1" applyBorder="1" applyAlignment="1">
      <alignment vertical="center"/>
    </xf>
    <xf numFmtId="173" fontId="41" fillId="0" borderId="119" xfId="0" applyNumberFormat="1" applyFont="1" applyBorder="1" applyAlignment="1">
      <alignment vertical="center"/>
    </xf>
    <xf numFmtId="173" fontId="41" fillId="0" borderId="86" xfId="0" applyNumberFormat="1" applyFont="1" applyBorder="1" applyAlignment="1">
      <alignment vertical="center"/>
    </xf>
    <xf numFmtId="173" fontId="41" fillId="0" borderId="121" xfId="0" applyNumberFormat="1" applyFont="1" applyBorder="1" applyAlignment="1">
      <alignment vertical="center"/>
    </xf>
    <xf numFmtId="174" fontId="41" fillId="0" borderId="122" xfId="0" applyNumberFormat="1" applyFont="1" applyBorder="1" applyAlignment="1">
      <alignment vertical="center"/>
    </xf>
    <xf numFmtId="174" fontId="41" fillId="0" borderId="119" xfId="0" applyNumberFormat="1" applyFont="1" applyBorder="1" applyAlignment="1">
      <alignment vertical="center"/>
    </xf>
    <xf numFmtId="174" fontId="41" fillId="0" borderId="86" xfId="0" applyNumberFormat="1" applyFont="1" applyBorder="1" applyAlignment="1">
      <alignment vertical="center"/>
    </xf>
    <xf numFmtId="168" fontId="41" fillId="0" borderId="112" xfId="0" applyNumberFormat="1" applyFont="1" applyBorder="1" applyAlignment="1">
      <alignment vertical="center"/>
    </xf>
    <xf numFmtId="0" fontId="34" fillId="0" borderId="120" xfId="0" applyFont="1" applyBorder="1" applyAlignment="1">
      <alignment horizontal="center" vertical="center"/>
    </xf>
    <xf numFmtId="166" fontId="41" fillId="2" borderId="86" xfId="0" applyNumberFormat="1" applyFont="1" applyFill="1" applyBorder="1" applyAlignment="1">
      <alignment horizontal="center" vertical="center"/>
    </xf>
    <xf numFmtId="173" fontId="41" fillId="0" borderId="95" xfId="0" applyNumberFormat="1" applyFont="1" applyBorder="1" applyAlignment="1">
      <alignment horizontal="right" vertical="center"/>
    </xf>
    <xf numFmtId="175" fontId="41" fillId="0" borderId="94" xfId="0" applyNumberFormat="1" applyFont="1" applyBorder="1" applyAlignment="1">
      <alignment horizontal="right" vertical="center"/>
    </xf>
    <xf numFmtId="173" fontId="41" fillId="0" borderId="94" xfId="0" applyNumberFormat="1" applyFont="1" applyBorder="1" applyAlignment="1">
      <alignment horizontal="right" vertical="center"/>
    </xf>
    <xf numFmtId="173" fontId="41" fillId="0" borderId="95" xfId="0" applyNumberFormat="1" applyFont="1" applyBorder="1" applyAlignment="1">
      <alignment vertical="center"/>
    </xf>
    <xf numFmtId="173" fontId="41" fillId="0" borderId="94" xfId="0" applyNumberFormat="1" applyFont="1" applyBorder="1" applyAlignment="1">
      <alignment vertical="center"/>
    </xf>
    <xf numFmtId="173" fontId="41" fillId="0" borderId="93" xfId="0" applyNumberFormat="1" applyFont="1" applyBorder="1" applyAlignment="1">
      <alignment vertical="center"/>
    </xf>
    <xf numFmtId="176" fontId="41" fillId="0" borderId="93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61" fillId="11" borderId="99" xfId="0" quotePrefix="1" applyFont="1" applyFill="1" applyBorder="1" applyAlignment="1">
      <alignment horizontal="center" vertical="center" wrapText="1"/>
    </xf>
    <xf numFmtId="0" fontId="42" fillId="11" borderId="99" xfId="0" quotePrefix="1" applyFont="1" applyFill="1" applyBorder="1" applyAlignment="1">
      <alignment horizontal="center" vertical="center" wrapText="1"/>
    </xf>
    <xf numFmtId="0" fontId="42" fillId="11" borderId="98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8" borderId="128" xfId="0" applyNumberFormat="1" applyFont="1" applyFill="1" applyBorder="1"/>
    <xf numFmtId="3" fontId="0" fillId="8" borderId="87" xfId="0" applyNumberFormat="1" applyFont="1" applyFill="1" applyBorder="1"/>
    <xf numFmtId="0" fontId="0" fillId="0" borderId="129" xfId="0" applyNumberFormat="1" applyFont="1" applyBorder="1"/>
    <xf numFmtId="3" fontId="0" fillId="0" borderId="130" xfId="0" applyNumberFormat="1" applyFont="1" applyBorder="1"/>
    <xf numFmtId="0" fontId="0" fillId="8" borderId="129" xfId="0" applyNumberFormat="1" applyFont="1" applyFill="1" applyBorder="1"/>
    <xf numFmtId="3" fontId="0" fillId="8" borderId="130" xfId="0" applyNumberFormat="1" applyFont="1" applyFill="1" applyBorder="1"/>
    <xf numFmtId="0" fontId="59" fillId="9" borderId="129" xfId="0" applyNumberFormat="1" applyFont="1" applyFill="1" applyBorder="1"/>
    <xf numFmtId="3" fontId="59" fillId="9" borderId="130" xfId="0" applyNumberFormat="1" applyFont="1" applyFill="1" applyBorder="1"/>
    <xf numFmtId="0" fontId="41" fillId="3" borderId="29" xfId="0" applyFont="1" applyFill="1" applyBorder="1" applyAlignment="1"/>
    <xf numFmtId="0" fontId="34" fillId="0" borderId="48" xfId="0" applyFont="1" applyBorder="1" applyAlignment="1"/>
    <xf numFmtId="0" fontId="41" fillId="2" borderId="29" xfId="0" applyFont="1" applyFill="1" applyBorder="1" applyAlignment="1"/>
    <xf numFmtId="0" fontId="41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2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3" fillId="2" borderId="53" xfId="81" applyFont="1" applyFill="1" applyBorder="1" applyAlignment="1">
      <alignment horizontal="center"/>
    </xf>
    <xf numFmtId="0" fontId="33" fillId="2" borderId="54" xfId="81" applyFont="1" applyFill="1" applyBorder="1" applyAlignment="1">
      <alignment horizontal="center"/>
    </xf>
    <xf numFmtId="0" fontId="33" fillId="2" borderId="51" xfId="81" applyFont="1" applyFill="1" applyBorder="1" applyAlignment="1">
      <alignment horizontal="center"/>
    </xf>
    <xf numFmtId="0" fontId="33" fillId="2" borderId="84" xfId="81" applyFont="1" applyFill="1" applyBorder="1" applyAlignment="1">
      <alignment horizontal="center"/>
    </xf>
    <xf numFmtId="0" fontId="33" fillId="2" borderId="52" xfId="81" applyFont="1" applyFill="1" applyBorder="1" applyAlignment="1">
      <alignment horizontal="center"/>
    </xf>
    <xf numFmtId="0" fontId="33" fillId="2" borderId="111" xfId="81" applyFont="1" applyFill="1" applyBorder="1" applyAlignment="1">
      <alignment horizontal="center"/>
    </xf>
    <xf numFmtId="0" fontId="33" fillId="2" borderId="96" xfId="81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7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2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3" fillId="2" borderId="109" xfId="81" applyFont="1" applyFill="1" applyBorder="1" applyAlignment="1">
      <alignment horizontal="center"/>
    </xf>
    <xf numFmtId="0" fontId="33" fillId="2" borderId="110" xfId="81" applyFont="1" applyFill="1" applyBorder="1" applyAlignment="1">
      <alignment horizontal="center"/>
    </xf>
    <xf numFmtId="0" fontId="33" fillId="2" borderId="104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7" xfId="53" applyNumberFormat="1" applyFont="1" applyFill="1" applyBorder="1" applyAlignment="1">
      <alignment horizontal="right"/>
    </xf>
    <xf numFmtId="164" fontId="31" fillId="2" borderId="32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9" xfId="78" applyNumberFormat="1" applyFont="1" applyFill="1" applyBorder="1" applyAlignment="1">
      <alignment horizontal="left"/>
    </xf>
    <xf numFmtId="0" fontId="34" fillId="2" borderId="59" xfId="0" applyFont="1" applyFill="1" applyBorder="1" applyAlignment="1"/>
    <xf numFmtId="3" fontId="30" fillId="2" borderId="61" xfId="78" applyNumberFormat="1" applyFont="1" applyFill="1" applyBorder="1" applyAlignment="1"/>
    <xf numFmtId="0" fontId="41" fillId="2" borderId="69" xfId="0" applyFont="1" applyFill="1" applyBorder="1" applyAlignment="1">
      <alignment horizontal="left"/>
    </xf>
    <xf numFmtId="0" fontId="34" fillId="2" borderId="55" xfId="0" applyFont="1" applyFill="1" applyBorder="1" applyAlignment="1">
      <alignment horizontal="left"/>
    </xf>
    <xf numFmtId="0" fontId="34" fillId="2" borderId="59" xfId="0" applyFont="1" applyFill="1" applyBorder="1" applyAlignment="1">
      <alignment horizontal="left"/>
    </xf>
    <xf numFmtId="0" fontId="41" fillId="2" borderId="61" xfId="0" applyFont="1" applyFill="1" applyBorder="1" applyAlignment="1">
      <alignment horizontal="left"/>
    </xf>
    <xf numFmtId="3" fontId="41" fillId="2" borderId="61" xfId="0" applyNumberFormat="1" applyFont="1" applyFill="1" applyBorder="1" applyAlignment="1">
      <alignment horizontal="left"/>
    </xf>
    <xf numFmtId="3" fontId="34" fillId="2" borderId="56" xfId="0" applyNumberFormat="1" applyFont="1" applyFill="1" applyBorder="1" applyAlignment="1">
      <alignment horizontal="left"/>
    </xf>
    <xf numFmtId="9" fontId="3" fillId="2" borderId="114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13" xfId="80" applyNumberFormat="1" applyFont="1" applyFill="1" applyBorder="1" applyAlignment="1">
      <alignment horizontal="left"/>
    </xf>
    <xf numFmtId="3" fontId="3" fillId="2" borderId="106" xfId="80" applyNumberFormat="1" applyFont="1" applyFill="1" applyBorder="1" applyAlignment="1">
      <alignment horizontal="left"/>
    </xf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62" xfId="80" applyFont="1" applyFill="1" applyBorder="1" applyAlignment="1">
      <alignment horizontal="left"/>
    </xf>
    <xf numFmtId="0" fontId="3" fillId="2" borderId="43" xfId="79" applyFont="1" applyFill="1" applyBorder="1" applyAlignment="1"/>
    <xf numFmtId="0" fontId="5" fillId="2" borderId="43" xfId="79" applyFont="1" applyFill="1" applyBorder="1" applyAlignment="1"/>
    <xf numFmtId="0" fontId="5" fillId="2" borderId="72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70" xfId="53" applyFont="1" applyFill="1" applyBorder="1" applyAlignment="1">
      <alignment horizontal="right"/>
    </xf>
    <xf numFmtId="0" fontId="5" fillId="2" borderId="71" xfId="79" applyFont="1" applyFill="1" applyBorder="1" applyAlignment="1"/>
    <xf numFmtId="0" fontId="3" fillId="2" borderId="44" xfId="79" applyFont="1" applyFill="1" applyBorder="1" applyAlignment="1">
      <alignment horizontal="left"/>
    </xf>
    <xf numFmtId="0" fontId="5" fillId="2" borderId="43" xfId="79" applyFont="1" applyFill="1" applyBorder="1" applyAlignment="1">
      <alignment horizontal="left"/>
    </xf>
    <xf numFmtId="0" fontId="3" fillId="2" borderId="43" xfId="79" applyFont="1" applyFill="1" applyBorder="1" applyAlignment="1">
      <alignment horizontal="left"/>
    </xf>
    <xf numFmtId="0" fontId="5" fillId="2" borderId="72" xfId="79" applyFont="1" applyFill="1" applyBorder="1" applyAlignment="1">
      <alignment horizontal="left"/>
    </xf>
    <xf numFmtId="166" fontId="41" fillId="2" borderId="93" xfId="0" applyNumberFormat="1" applyFont="1" applyFill="1" applyBorder="1" applyAlignment="1">
      <alignment horizontal="center" vertical="center"/>
    </xf>
    <xf numFmtId="0" fontId="34" fillId="0" borderId="123" xfId="0" applyFont="1" applyBorder="1" applyAlignment="1">
      <alignment horizontal="center" vertical="center"/>
    </xf>
    <xf numFmtId="0" fontId="61" fillId="4" borderId="116" xfId="0" applyFont="1" applyFill="1" applyBorder="1" applyAlignment="1">
      <alignment horizontal="center" vertical="center" wrapText="1"/>
    </xf>
    <xf numFmtId="0" fontId="61" fillId="4" borderId="124" xfId="0" applyFont="1" applyFill="1" applyBorder="1" applyAlignment="1">
      <alignment horizontal="center" vertical="center" wrapText="1"/>
    </xf>
    <xf numFmtId="0" fontId="61" fillId="4" borderId="102" xfId="0" applyFont="1" applyFill="1" applyBorder="1" applyAlignment="1">
      <alignment horizontal="center" vertical="center" wrapText="1"/>
    </xf>
    <xf numFmtId="0" fontId="61" fillId="4" borderId="117" xfId="0" applyFont="1" applyFill="1" applyBorder="1" applyAlignment="1">
      <alignment horizontal="center" vertical="center" wrapText="1"/>
    </xf>
    <xf numFmtId="0" fontId="61" fillId="4" borderId="103" xfId="0" applyFont="1" applyFill="1" applyBorder="1" applyAlignment="1">
      <alignment horizontal="center" vertical="center" wrapText="1"/>
    </xf>
    <xf numFmtId="0" fontId="61" fillId="4" borderId="118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168" fontId="61" fillId="2" borderId="116" xfId="0" applyNumberFormat="1" applyFont="1" applyFill="1" applyBorder="1" applyAlignment="1">
      <alignment horizontal="center" vertical="center" wrapText="1"/>
    </xf>
    <xf numFmtId="168" fontId="61" fillId="2" borderId="124" xfId="0" applyNumberFormat="1" applyFont="1" applyFill="1" applyBorder="1" applyAlignment="1">
      <alignment horizontal="center" vertical="center" wrapText="1"/>
    </xf>
    <xf numFmtId="0" fontId="61" fillId="2" borderId="102" xfId="0" applyFont="1" applyFill="1" applyBorder="1" applyAlignment="1">
      <alignment horizontal="center" vertical="center" wrapText="1"/>
    </xf>
    <xf numFmtId="0" fontId="61" fillId="2" borderId="117" xfId="0" applyFont="1" applyFill="1" applyBorder="1" applyAlignment="1">
      <alignment horizontal="center" vertical="center" wrapText="1"/>
    </xf>
    <xf numFmtId="0" fontId="61" fillId="2" borderId="103" xfId="0" applyFont="1" applyFill="1" applyBorder="1" applyAlignment="1">
      <alignment horizontal="center" vertical="center" wrapText="1"/>
    </xf>
    <xf numFmtId="0" fontId="61" fillId="2" borderId="118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61" fillId="4" borderId="102" xfId="0" applyNumberFormat="1" applyFont="1" applyFill="1" applyBorder="1" applyAlignment="1">
      <alignment horizontal="center" vertical="center"/>
    </xf>
    <xf numFmtId="3" fontId="61" fillId="4" borderId="117" xfId="0" applyNumberFormat="1" applyFont="1" applyFill="1" applyBorder="1" applyAlignment="1">
      <alignment horizontal="center" vertical="center"/>
    </xf>
    <xf numFmtId="9" fontId="61" fillId="4" borderId="102" xfId="0" applyNumberFormat="1" applyFont="1" applyFill="1" applyBorder="1" applyAlignment="1">
      <alignment horizontal="center" vertical="center"/>
    </xf>
    <xf numFmtId="9" fontId="61" fillId="4" borderId="117" xfId="0" applyNumberFormat="1" applyFont="1" applyFill="1" applyBorder="1" applyAlignment="1">
      <alignment horizontal="center" vertical="center"/>
    </xf>
    <xf numFmtId="3" fontId="61" fillId="4" borderId="103" xfId="0" applyNumberFormat="1" applyFont="1" applyFill="1" applyBorder="1" applyAlignment="1">
      <alignment horizontal="center" vertical="center" wrapText="1"/>
    </xf>
    <xf numFmtId="3" fontId="61" fillId="4" borderId="118" xfId="0" applyNumberFormat="1" applyFont="1" applyFill="1" applyBorder="1" applyAlignment="1">
      <alignment horizontal="center" vertical="center" wrapText="1"/>
    </xf>
    <xf numFmtId="0" fontId="41" fillId="2" borderId="125" xfId="0" applyFont="1" applyFill="1" applyBorder="1" applyAlignment="1">
      <alignment horizontal="center" vertical="center" wrapText="1"/>
    </xf>
    <xf numFmtId="0" fontId="41" fillId="2" borderId="106" xfId="0" applyFont="1" applyFill="1" applyBorder="1" applyAlignment="1">
      <alignment horizontal="center" vertical="center" wrapText="1"/>
    </xf>
    <xf numFmtId="0" fontId="61" fillId="11" borderId="127" xfId="0" applyFont="1" applyFill="1" applyBorder="1" applyAlignment="1">
      <alignment horizontal="center"/>
    </xf>
    <xf numFmtId="0" fontId="61" fillId="11" borderId="126" xfId="0" applyFont="1" applyFill="1" applyBorder="1" applyAlignment="1">
      <alignment horizontal="center"/>
    </xf>
    <xf numFmtId="0" fontId="61" fillId="11" borderId="101" xfId="0" applyFont="1" applyFill="1" applyBorder="1" applyAlignment="1">
      <alignment horizontal="center"/>
    </xf>
    <xf numFmtId="0" fontId="41" fillId="4" borderId="112" xfId="0" applyFont="1" applyFill="1" applyBorder="1" applyAlignment="1">
      <alignment horizontal="center" vertical="center" wrapText="1"/>
    </xf>
    <xf numFmtId="0" fontId="41" fillId="4" borderId="89" xfId="0" applyFont="1" applyFill="1" applyBorder="1" applyAlignment="1">
      <alignment horizontal="center" vertical="center" wrapText="1"/>
    </xf>
    <xf numFmtId="0" fontId="66" fillId="2" borderId="51" xfId="0" applyFont="1" applyFill="1" applyBorder="1" applyAlignment="1">
      <alignment horizontal="center"/>
    </xf>
    <xf numFmtId="0" fontId="66" fillId="2" borderId="109" xfId="0" applyFont="1" applyFill="1" applyBorder="1" applyAlignment="1">
      <alignment horizontal="center"/>
    </xf>
    <xf numFmtId="0" fontId="66" fillId="2" borderId="96" xfId="0" applyFont="1" applyFill="1" applyBorder="1" applyAlignment="1">
      <alignment horizontal="center"/>
    </xf>
    <xf numFmtId="0" fontId="66" fillId="4" borderId="27" xfId="0" applyFont="1" applyFill="1" applyBorder="1" applyAlignment="1">
      <alignment horizontal="center"/>
    </xf>
    <xf numFmtId="0" fontId="66" fillId="4" borderId="91" xfId="0" applyFont="1" applyFill="1" applyBorder="1" applyAlignment="1">
      <alignment horizontal="center"/>
    </xf>
    <xf numFmtId="0" fontId="66" fillId="4" borderId="92" xfId="0" applyFont="1" applyFill="1" applyBorder="1" applyAlignment="1">
      <alignment horizontal="center"/>
    </xf>
    <xf numFmtId="0" fontId="66" fillId="2" borderId="27" xfId="0" applyFont="1" applyFill="1" applyBorder="1" applyAlignment="1">
      <alignment horizontal="center"/>
    </xf>
    <xf numFmtId="0" fontId="66" fillId="2" borderId="91" xfId="0" applyFont="1" applyFill="1" applyBorder="1" applyAlignment="1">
      <alignment horizontal="center"/>
    </xf>
    <xf numFmtId="0" fontId="66" fillId="2" borderId="92" xfId="0" applyFont="1" applyFill="1" applyBorder="1" applyAlignment="1">
      <alignment horizontal="center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1" fillId="2" borderId="67" xfId="0" applyFont="1" applyFill="1" applyBorder="1" applyAlignment="1">
      <alignment vertical="center"/>
    </xf>
    <xf numFmtId="3" fontId="33" fillId="2" borderId="69" xfId="26" applyNumberFormat="1" applyFont="1" applyFill="1" applyBorder="1" applyAlignment="1">
      <alignment horizontal="center"/>
    </xf>
    <xf numFmtId="3" fontId="33" fillId="2" borderId="55" xfId="26" applyNumberFormat="1" applyFont="1" applyFill="1" applyBorder="1" applyAlignment="1">
      <alignment horizontal="center"/>
    </xf>
    <xf numFmtId="3" fontId="33" fillId="2" borderId="107" xfId="26" applyNumberFormat="1" applyFont="1" applyFill="1" applyBorder="1" applyAlignment="1">
      <alignment horizontal="center"/>
    </xf>
    <xf numFmtId="3" fontId="33" fillId="2" borderId="56" xfId="26" applyNumberFormat="1" applyFont="1" applyFill="1" applyBorder="1" applyAlignment="1">
      <alignment horizontal="center"/>
    </xf>
    <xf numFmtId="3" fontId="33" fillId="2" borderId="112" xfId="26" applyNumberFormat="1" applyFont="1" applyFill="1" applyBorder="1" applyAlignment="1">
      <alignment horizontal="center"/>
    </xf>
    <xf numFmtId="3" fontId="33" fillId="2" borderId="89" xfId="26" applyNumberFormat="1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 vertical="top" wrapText="1"/>
    </xf>
    <xf numFmtId="3" fontId="33" fillId="2" borderId="56" xfId="0" applyNumberFormat="1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0" fontId="33" fillId="2" borderId="69" xfId="0" quotePrefix="1" applyFont="1" applyFill="1" applyBorder="1" applyAlignment="1">
      <alignment horizontal="center"/>
    </xf>
    <xf numFmtId="0" fontId="33" fillId="2" borderId="56" xfId="0" applyFont="1" applyFill="1" applyBorder="1" applyAlignment="1">
      <alignment horizontal="center"/>
    </xf>
    <xf numFmtId="9" fontId="46" fillId="2" borderId="56" xfId="0" applyNumberFormat="1" applyFont="1" applyFill="1" applyBorder="1" applyAlignment="1">
      <alignment horizontal="center" vertical="top"/>
    </xf>
    <xf numFmtId="0" fontId="33" fillId="2" borderId="88" xfId="0" applyNumberFormat="1" applyFont="1" applyFill="1" applyBorder="1" applyAlignment="1">
      <alignment horizontal="center" vertical="top"/>
    </xf>
    <xf numFmtId="0" fontId="33" fillId="2" borderId="88" xfId="0" applyFont="1" applyFill="1" applyBorder="1" applyAlignment="1">
      <alignment horizontal="center" vertical="top" wrapText="1"/>
    </xf>
    <xf numFmtId="0" fontId="33" fillId="2" borderId="69" xfId="0" quotePrefix="1" applyNumberFormat="1" applyFont="1" applyFill="1" applyBorder="1" applyAlignment="1">
      <alignment horizontal="center"/>
    </xf>
    <xf numFmtId="0" fontId="33" fillId="2" borderId="56" xfId="0" applyNumberFormat="1" applyFont="1" applyFill="1" applyBorder="1" applyAlignment="1">
      <alignment horizontal="center"/>
    </xf>
    <xf numFmtId="49" fontId="33" fillId="2" borderId="33" xfId="0" applyNumberFormat="1" applyFont="1" applyFill="1" applyBorder="1" applyAlignment="1">
      <alignment horizontal="center" vertical="top"/>
    </xf>
    <xf numFmtId="0" fontId="46" fillId="2" borderId="56" xfId="0" applyNumberFormat="1" applyFont="1" applyFill="1" applyBorder="1" applyAlignment="1">
      <alignment horizontal="center" vertical="top"/>
    </xf>
    <xf numFmtId="3" fontId="33" fillId="0" borderId="18" xfId="26" applyNumberFormat="1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167" fontId="31" fillId="5" borderId="18" xfId="26" applyNumberFormat="1" applyFont="1" applyFill="1" applyBorder="1" applyAlignment="1">
      <alignment horizontal="center"/>
    </xf>
    <xf numFmtId="0" fontId="34" fillId="0" borderId="19" xfId="98" applyFont="1" applyBorder="1" applyAlignment="1">
      <alignment horizontal="center"/>
    </xf>
    <xf numFmtId="3" fontId="33" fillId="2" borderId="88" xfId="26" applyNumberFormat="1" applyFont="1" applyFill="1" applyBorder="1" applyAlignment="1">
      <alignment horizontal="center" vertical="center"/>
    </xf>
    <xf numFmtId="3" fontId="33" fillId="2" borderId="68" xfId="26" applyNumberFormat="1" applyFont="1" applyFill="1" applyBorder="1" applyAlignment="1">
      <alignment horizontal="center" vertical="center"/>
    </xf>
    <xf numFmtId="3" fontId="33" fillId="0" borderId="55" xfId="26" applyNumberFormat="1" applyFont="1" applyFill="1" applyBorder="1" applyAlignment="1">
      <alignment horizontal="right" vertical="top"/>
    </xf>
    <xf numFmtId="3" fontId="33" fillId="0" borderId="107" xfId="26" applyNumberFormat="1" applyFont="1" applyFill="1" applyBorder="1" applyAlignment="1">
      <alignment horizontal="right" vertical="top"/>
    </xf>
    <xf numFmtId="3" fontId="33" fillId="3" borderId="88" xfId="26" applyNumberFormat="1" applyFont="1" applyFill="1" applyBorder="1" applyAlignment="1">
      <alignment horizontal="center" vertical="center" wrapText="1"/>
    </xf>
    <xf numFmtId="3" fontId="33" fillId="3" borderId="68" xfId="26" applyNumberFormat="1" applyFont="1" applyFill="1" applyBorder="1" applyAlignment="1">
      <alignment horizontal="center" vertical="center" wrapText="1"/>
    </xf>
    <xf numFmtId="3" fontId="33" fillId="3" borderId="69" xfId="26" applyNumberFormat="1" applyFont="1" applyFill="1" applyBorder="1" applyAlignment="1">
      <alignment horizontal="center"/>
    </xf>
    <xf numFmtId="3" fontId="33" fillId="3" borderId="55" xfId="26" applyNumberFormat="1" applyFont="1" applyFill="1" applyBorder="1" applyAlignment="1">
      <alignment horizontal="center"/>
    </xf>
    <xf numFmtId="3" fontId="33" fillId="3" borderId="107" xfId="26" applyNumberFormat="1" applyFont="1" applyFill="1" applyBorder="1" applyAlignment="1">
      <alignment horizontal="center"/>
    </xf>
    <xf numFmtId="3" fontId="33" fillId="3" borderId="56" xfId="26" applyNumberFormat="1" applyFont="1" applyFill="1" applyBorder="1" applyAlignment="1">
      <alignment horizontal="center"/>
    </xf>
    <xf numFmtId="0" fontId="6" fillId="0" borderId="2" xfId="26" applyFont="1" applyFill="1" applyBorder="1" applyAlignment="1">
      <alignment horizontal="left"/>
    </xf>
    <xf numFmtId="0" fontId="34" fillId="0" borderId="55" xfId="0" applyFont="1" applyFill="1" applyBorder="1" applyAlignment="1">
      <alignment horizontal="right" vertical="top"/>
    </xf>
    <xf numFmtId="0" fontId="34" fillId="0" borderId="107" xfId="0" applyFont="1" applyFill="1" applyBorder="1" applyAlignment="1">
      <alignment horizontal="right" vertical="top"/>
    </xf>
    <xf numFmtId="3" fontId="33" fillId="10" borderId="88" xfId="26" applyNumberFormat="1" applyFont="1" applyFill="1" applyBorder="1" applyAlignment="1">
      <alignment horizontal="center" vertical="center" wrapText="1"/>
    </xf>
    <xf numFmtId="3" fontId="33" fillId="10" borderId="68" xfId="26" applyNumberFormat="1" applyFont="1" applyFill="1" applyBorder="1" applyAlignment="1">
      <alignment horizontal="center" vertical="center" wrapText="1"/>
    </xf>
    <xf numFmtId="3" fontId="33" fillId="10" borderId="69" xfId="26" applyNumberFormat="1" applyFont="1" applyFill="1" applyBorder="1" applyAlignment="1">
      <alignment horizontal="center"/>
    </xf>
    <xf numFmtId="3" fontId="33" fillId="10" borderId="55" xfId="26" applyNumberFormat="1" applyFont="1" applyFill="1" applyBorder="1" applyAlignment="1">
      <alignment horizontal="center"/>
    </xf>
    <xf numFmtId="3" fontId="33" fillId="10" borderId="107" xfId="26" applyNumberFormat="1" applyFont="1" applyFill="1" applyBorder="1" applyAlignment="1">
      <alignment horizontal="center"/>
    </xf>
    <xf numFmtId="3" fontId="33" fillId="10" borderId="56" xfId="26" applyNumberFormat="1" applyFont="1" applyFill="1" applyBorder="1" applyAlignment="1">
      <alignment horizontal="center"/>
    </xf>
    <xf numFmtId="3" fontId="33" fillId="4" borderId="88" xfId="26" applyNumberFormat="1" applyFont="1" applyFill="1" applyBorder="1" applyAlignment="1">
      <alignment horizontal="center" vertical="center" wrapText="1"/>
    </xf>
    <xf numFmtId="3" fontId="33" fillId="4" borderId="68" xfId="26" applyNumberFormat="1" applyFont="1" applyFill="1" applyBorder="1" applyAlignment="1">
      <alignment horizontal="center" vertical="center" wrapText="1"/>
    </xf>
    <xf numFmtId="3" fontId="33" fillId="4" borderId="69" xfId="26" applyNumberFormat="1" applyFont="1" applyFill="1" applyBorder="1" applyAlignment="1">
      <alignment horizontal="center"/>
    </xf>
    <xf numFmtId="3" fontId="33" fillId="4" borderId="55" xfId="26" applyNumberFormat="1" applyFont="1" applyFill="1" applyBorder="1" applyAlignment="1">
      <alignment horizontal="center"/>
    </xf>
    <xf numFmtId="3" fontId="33" fillId="4" borderId="107" xfId="26" applyNumberFormat="1" applyFont="1" applyFill="1" applyBorder="1" applyAlignment="1">
      <alignment horizontal="center"/>
    </xf>
    <xf numFmtId="3" fontId="33" fillId="4" borderId="56" xfId="26" applyNumberFormat="1" applyFont="1" applyFill="1" applyBorder="1" applyAlignment="1">
      <alignment horizontal="center"/>
    </xf>
    <xf numFmtId="3" fontId="33" fillId="5" borderId="18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" fillId="2" borderId="69" xfId="27" applyNumberFormat="1" applyFont="1" applyFill="1" applyBorder="1" applyAlignment="1">
      <alignment horizontal="center"/>
    </xf>
    <xf numFmtId="0" fontId="34" fillId="2" borderId="55" xfId="14" applyFont="1" applyFill="1" applyBorder="1" applyAlignment="1">
      <alignment horizontal="center"/>
    </xf>
    <xf numFmtId="0" fontId="34" fillId="2" borderId="56" xfId="14" applyFont="1" applyFill="1" applyBorder="1" applyAlignment="1">
      <alignment horizontal="center"/>
    </xf>
    <xf numFmtId="3" fontId="3" fillId="2" borderId="69" xfId="24" applyNumberFormat="1" applyFont="1" applyFill="1" applyBorder="1" applyAlignment="1">
      <alignment horizontal="center"/>
    </xf>
    <xf numFmtId="0" fontId="4" fillId="2" borderId="55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9" xfId="26" applyNumberFormat="1" applyFont="1" applyFill="1" applyBorder="1" applyAlignment="1">
      <alignment horizontal="center"/>
    </xf>
    <xf numFmtId="3" fontId="3" fillId="2" borderId="56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9" xfId="26" quotePrefix="1" applyNumberFormat="1" applyFont="1" applyFill="1" applyBorder="1" applyAlignment="1">
      <alignment horizontal="center" vertical="top"/>
    </xf>
    <xf numFmtId="0" fontId="3" fillId="2" borderId="55" xfId="26" applyNumberFormat="1" applyFont="1" applyFill="1" applyBorder="1" applyAlignment="1">
      <alignment horizontal="center" vertical="top"/>
    </xf>
    <xf numFmtId="0" fontId="3" fillId="2" borderId="56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3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3" fillId="2" borderId="58" xfId="76" applyNumberFormat="1" applyFont="1" applyFill="1" applyBorder="1" applyAlignment="1">
      <alignment horizontal="center" vertical="center"/>
    </xf>
    <xf numFmtId="3" fontId="33" fillId="2" borderId="60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82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3" fontId="35" fillId="12" borderId="132" xfId="0" applyNumberFormat="1" applyFont="1" applyFill="1" applyBorder="1" applyAlignment="1">
      <alignment horizontal="right" vertical="top"/>
    </xf>
    <xf numFmtId="3" fontId="35" fillId="12" borderId="133" xfId="0" applyNumberFormat="1" applyFont="1" applyFill="1" applyBorder="1" applyAlignment="1">
      <alignment horizontal="right" vertical="top"/>
    </xf>
    <xf numFmtId="177" fontId="35" fillId="12" borderId="134" xfId="0" applyNumberFormat="1" applyFont="1" applyFill="1" applyBorder="1" applyAlignment="1">
      <alignment horizontal="right" vertical="top"/>
    </xf>
    <xf numFmtId="3" fontId="35" fillId="0" borderId="132" xfId="0" applyNumberFormat="1" applyFont="1" applyBorder="1" applyAlignment="1">
      <alignment horizontal="right" vertical="top"/>
    </xf>
    <xf numFmtId="177" fontId="35" fillId="12" borderId="135" xfId="0" applyNumberFormat="1" applyFont="1" applyFill="1" applyBorder="1" applyAlignment="1">
      <alignment horizontal="right" vertical="top"/>
    </xf>
    <xf numFmtId="3" fontId="37" fillId="12" borderId="137" xfId="0" applyNumberFormat="1" applyFont="1" applyFill="1" applyBorder="1" applyAlignment="1">
      <alignment horizontal="right" vertical="top"/>
    </xf>
    <xf numFmtId="3" fontId="37" fillId="12" borderId="138" xfId="0" applyNumberFormat="1" applyFont="1" applyFill="1" applyBorder="1" applyAlignment="1">
      <alignment horizontal="right" vertical="top"/>
    </xf>
    <xf numFmtId="0" fontId="37" fillId="12" borderId="139" xfId="0" applyFont="1" applyFill="1" applyBorder="1" applyAlignment="1">
      <alignment horizontal="right" vertical="top"/>
    </xf>
    <xf numFmtId="3" fontId="37" fillId="0" borderId="137" xfId="0" applyNumberFormat="1" applyFont="1" applyBorder="1" applyAlignment="1">
      <alignment horizontal="right" vertical="top"/>
    </xf>
    <xf numFmtId="0" fontId="37" fillId="12" borderId="140" xfId="0" applyFont="1" applyFill="1" applyBorder="1" applyAlignment="1">
      <alignment horizontal="right" vertical="top"/>
    </xf>
    <xf numFmtId="0" fontId="35" fillId="12" borderId="134" xfId="0" applyFont="1" applyFill="1" applyBorder="1" applyAlignment="1">
      <alignment horizontal="right" vertical="top"/>
    </xf>
    <xf numFmtId="0" fontId="35" fillId="12" borderId="135" xfId="0" applyFont="1" applyFill="1" applyBorder="1" applyAlignment="1">
      <alignment horizontal="right" vertical="top"/>
    </xf>
    <xf numFmtId="177" fontId="37" fillId="12" borderId="139" xfId="0" applyNumberFormat="1" applyFont="1" applyFill="1" applyBorder="1" applyAlignment="1">
      <alignment horizontal="right" vertical="top"/>
    </xf>
    <xf numFmtId="177" fontId="37" fillId="12" borderId="140" xfId="0" applyNumberFormat="1" applyFont="1" applyFill="1" applyBorder="1" applyAlignment="1">
      <alignment horizontal="right" vertical="top"/>
    </xf>
    <xf numFmtId="3" fontId="37" fillId="0" borderId="141" xfId="0" applyNumberFormat="1" applyFont="1" applyBorder="1" applyAlignment="1">
      <alignment horizontal="right" vertical="top"/>
    </xf>
    <xf numFmtId="3" fontId="37" fillId="0" borderId="142" xfId="0" applyNumberFormat="1" applyFont="1" applyBorder="1" applyAlignment="1">
      <alignment horizontal="right" vertical="top"/>
    </xf>
    <xf numFmtId="0" fontId="37" fillId="0" borderId="143" xfId="0" applyFont="1" applyBorder="1" applyAlignment="1">
      <alignment horizontal="right" vertical="top"/>
    </xf>
    <xf numFmtId="177" fontId="37" fillId="12" borderId="144" xfId="0" applyNumberFormat="1" applyFont="1" applyFill="1" applyBorder="1" applyAlignment="1">
      <alignment horizontal="right" vertical="top"/>
    </xf>
    <xf numFmtId="0" fontId="39" fillId="13" borderId="131" xfId="0" applyFont="1" applyFill="1" applyBorder="1" applyAlignment="1">
      <alignment vertical="top"/>
    </xf>
    <xf numFmtId="0" fontId="39" fillId="13" borderId="131" xfId="0" applyFont="1" applyFill="1" applyBorder="1" applyAlignment="1">
      <alignment vertical="top" indent="2"/>
    </xf>
    <xf numFmtId="0" fontId="39" fillId="13" borderId="131" xfId="0" applyFont="1" applyFill="1" applyBorder="1" applyAlignment="1">
      <alignment vertical="top" indent="4"/>
    </xf>
    <xf numFmtId="0" fontId="40" fillId="13" borderId="136" xfId="0" applyFont="1" applyFill="1" applyBorder="1" applyAlignment="1">
      <alignment vertical="top" indent="6"/>
    </xf>
    <xf numFmtId="0" fontId="39" fillId="13" borderId="131" xfId="0" applyFont="1" applyFill="1" applyBorder="1" applyAlignment="1">
      <alignment vertical="top" indent="8"/>
    </xf>
    <xf numFmtId="0" fontId="40" fillId="13" borderId="136" xfId="0" applyFont="1" applyFill="1" applyBorder="1" applyAlignment="1">
      <alignment vertical="top" indent="2"/>
    </xf>
    <xf numFmtId="0" fontId="39" fillId="13" borderId="131" xfId="0" applyFont="1" applyFill="1" applyBorder="1" applyAlignment="1">
      <alignment vertical="top" indent="6"/>
    </xf>
    <xf numFmtId="0" fontId="40" fillId="13" borderId="136" xfId="0" applyFont="1" applyFill="1" applyBorder="1" applyAlignment="1">
      <alignment vertical="top" indent="4"/>
    </xf>
    <xf numFmtId="0" fontId="34" fillId="13" borderId="131" xfId="0" applyFont="1" applyFill="1" applyBorder="1"/>
    <xf numFmtId="0" fontId="40" fillId="13" borderId="21" xfId="0" applyFont="1" applyFill="1" applyBorder="1" applyAlignment="1">
      <alignment vertical="top"/>
    </xf>
    <xf numFmtId="0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right"/>
    </xf>
    <xf numFmtId="9" fontId="31" fillId="0" borderId="0" xfId="0" applyNumberFormat="1" applyFont="1" applyFill="1" applyBorder="1" applyAlignment="1">
      <alignment horizontal="right"/>
    </xf>
    <xf numFmtId="3" fontId="31" fillId="0" borderId="0" xfId="0" applyNumberFormat="1" applyFont="1" applyFill="1" applyBorder="1"/>
    <xf numFmtId="164" fontId="33" fillId="2" borderId="121" xfId="53" applyNumberFormat="1" applyFont="1" applyFill="1" applyBorder="1" applyAlignment="1">
      <alignment horizontal="left"/>
    </xf>
    <xf numFmtId="164" fontId="33" fillId="2" borderId="145" xfId="53" applyNumberFormat="1" applyFont="1" applyFill="1" applyBorder="1" applyAlignment="1">
      <alignment horizontal="left"/>
    </xf>
    <xf numFmtId="0" fontId="33" fillId="2" borderId="145" xfId="53" applyNumberFormat="1" applyFont="1" applyFill="1" applyBorder="1" applyAlignment="1">
      <alignment horizontal="left"/>
    </xf>
    <xf numFmtId="164" fontId="33" fillId="2" borderId="119" xfId="53" applyNumberFormat="1" applyFont="1" applyFill="1" applyBorder="1" applyAlignment="1">
      <alignment horizontal="left"/>
    </xf>
    <xf numFmtId="3" fontId="33" fillId="2" borderId="119" xfId="53" applyNumberFormat="1" applyFont="1" applyFill="1" applyBorder="1" applyAlignment="1">
      <alignment horizontal="left"/>
    </xf>
    <xf numFmtId="3" fontId="33" fillId="2" borderId="73" xfId="53" applyNumberFormat="1" applyFont="1" applyFill="1" applyBorder="1" applyAlignment="1">
      <alignment horizontal="left"/>
    </xf>
    <xf numFmtId="0" fontId="34" fillId="0" borderId="90" xfId="0" applyFont="1" applyFill="1" applyBorder="1"/>
    <xf numFmtId="0" fontId="34" fillId="0" borderId="91" xfId="0" applyFont="1" applyFill="1" applyBorder="1"/>
    <xf numFmtId="164" fontId="34" fillId="0" borderId="91" xfId="0" applyNumberFormat="1" applyFont="1" applyFill="1" applyBorder="1"/>
    <xf numFmtId="164" fontId="34" fillId="0" borderId="91" xfId="0" applyNumberFormat="1" applyFont="1" applyFill="1" applyBorder="1" applyAlignment="1">
      <alignment horizontal="right"/>
    </xf>
    <xf numFmtId="0" fontId="34" fillId="0" borderId="91" xfId="0" applyNumberFormat="1" applyFont="1" applyFill="1" applyBorder="1"/>
    <xf numFmtId="3" fontId="34" fillId="0" borderId="91" xfId="0" applyNumberFormat="1" applyFont="1" applyFill="1" applyBorder="1"/>
    <xf numFmtId="3" fontId="34" fillId="0" borderId="92" xfId="0" applyNumberFormat="1" applyFont="1" applyFill="1" applyBorder="1"/>
    <xf numFmtId="0" fontId="34" fillId="0" borderId="98" xfId="0" applyFont="1" applyFill="1" applyBorder="1"/>
    <xf numFmtId="0" fontId="34" fillId="0" borderId="99" xfId="0" applyFont="1" applyFill="1" applyBorder="1"/>
    <xf numFmtId="164" fontId="34" fillId="0" borderId="99" xfId="0" applyNumberFormat="1" applyFont="1" applyFill="1" applyBorder="1"/>
    <xf numFmtId="164" fontId="34" fillId="0" borderId="99" xfId="0" applyNumberFormat="1" applyFont="1" applyFill="1" applyBorder="1" applyAlignment="1">
      <alignment horizontal="right"/>
    </xf>
    <xf numFmtId="0" fontId="34" fillId="0" borderId="99" xfId="0" applyNumberFormat="1" applyFont="1" applyFill="1" applyBorder="1"/>
    <xf numFmtId="3" fontId="34" fillId="0" borderId="99" xfId="0" applyNumberFormat="1" applyFont="1" applyFill="1" applyBorder="1"/>
    <xf numFmtId="3" fontId="34" fillId="0" borderId="100" xfId="0" applyNumberFormat="1" applyFont="1" applyFill="1" applyBorder="1"/>
    <xf numFmtId="0" fontId="34" fillId="0" borderId="93" xfId="0" applyFont="1" applyFill="1" applyBorder="1"/>
    <xf numFmtId="0" fontId="34" fillId="0" borderId="94" xfId="0" applyFont="1" applyFill="1" applyBorder="1"/>
    <xf numFmtId="164" fontId="34" fillId="0" borderId="94" xfId="0" applyNumberFormat="1" applyFont="1" applyFill="1" applyBorder="1"/>
    <xf numFmtId="164" fontId="34" fillId="0" borderId="94" xfId="0" applyNumberFormat="1" applyFont="1" applyFill="1" applyBorder="1" applyAlignment="1">
      <alignment horizontal="right"/>
    </xf>
    <xf numFmtId="0" fontId="34" fillId="0" borderId="94" xfId="0" applyNumberFormat="1" applyFont="1" applyFill="1" applyBorder="1"/>
    <xf numFmtId="3" fontId="34" fillId="0" borderId="94" xfId="0" applyNumberFormat="1" applyFont="1" applyFill="1" applyBorder="1"/>
    <xf numFmtId="3" fontId="34" fillId="0" borderId="95" xfId="0" applyNumberFormat="1" applyFont="1" applyFill="1" applyBorder="1"/>
    <xf numFmtId="0" fontId="41" fillId="2" borderId="121" xfId="0" applyFont="1" applyFill="1" applyBorder="1"/>
    <xf numFmtId="3" fontId="41" fillId="2" borderId="122" xfId="0" applyNumberFormat="1" applyFont="1" applyFill="1" applyBorder="1"/>
    <xf numFmtId="9" fontId="41" fillId="2" borderId="86" xfId="0" applyNumberFormat="1" applyFont="1" applyFill="1" applyBorder="1"/>
    <xf numFmtId="3" fontId="41" fillId="2" borderId="73" xfId="0" applyNumberFormat="1" applyFont="1" applyFill="1" applyBorder="1"/>
    <xf numFmtId="9" fontId="34" fillId="0" borderId="91" xfId="0" applyNumberFormat="1" applyFont="1" applyFill="1" applyBorder="1"/>
    <xf numFmtId="9" fontId="34" fillId="0" borderId="99" xfId="0" applyNumberFormat="1" applyFont="1" applyFill="1" applyBorder="1"/>
    <xf numFmtId="9" fontId="34" fillId="0" borderId="94" xfId="0" applyNumberFormat="1" applyFont="1" applyFill="1" applyBorder="1"/>
    <xf numFmtId="3" fontId="34" fillId="0" borderId="102" xfId="0" applyNumberFormat="1" applyFont="1" applyFill="1" applyBorder="1"/>
    <xf numFmtId="9" fontId="34" fillId="0" borderId="102" xfId="0" applyNumberFormat="1" applyFont="1" applyFill="1" applyBorder="1"/>
    <xf numFmtId="3" fontId="34" fillId="0" borderId="103" xfId="0" applyNumberFormat="1" applyFont="1" applyFill="1" applyBorder="1"/>
    <xf numFmtId="0" fontId="41" fillId="13" borderId="22" xfId="0" applyFont="1" applyFill="1" applyBorder="1"/>
    <xf numFmtId="3" fontId="41" fillId="13" borderId="30" xfId="0" applyNumberFormat="1" applyFont="1" applyFill="1" applyBorder="1"/>
    <xf numFmtId="9" fontId="41" fillId="13" borderId="30" xfId="0" applyNumberFormat="1" applyFont="1" applyFill="1" applyBorder="1"/>
    <xf numFmtId="3" fontId="41" fillId="13" borderId="23" xfId="0" applyNumberFormat="1" applyFont="1" applyFill="1" applyBorder="1"/>
    <xf numFmtId="0" fontId="41" fillId="0" borderId="90" xfId="0" applyFont="1" applyFill="1" applyBorder="1"/>
    <xf numFmtId="0" fontId="41" fillId="0" borderId="116" xfId="0" applyFont="1" applyFill="1" applyBorder="1"/>
    <xf numFmtId="0" fontId="34" fillId="5" borderId="12" xfId="0" applyFont="1" applyFill="1" applyBorder="1" applyAlignment="1">
      <alignment wrapText="1"/>
    </xf>
    <xf numFmtId="0" fontId="41" fillId="0" borderId="98" xfId="0" applyFont="1" applyFill="1" applyBorder="1"/>
    <xf numFmtId="0" fontId="41" fillId="2" borderId="145" xfId="0" applyFont="1" applyFill="1" applyBorder="1"/>
    <xf numFmtId="3" fontId="41" fillId="2" borderId="0" xfId="0" applyNumberFormat="1" applyFont="1" applyFill="1" applyBorder="1"/>
    <xf numFmtId="3" fontId="41" fillId="2" borderId="19" xfId="0" applyNumberFormat="1" applyFont="1" applyFill="1" applyBorder="1"/>
    <xf numFmtId="0" fontId="3" fillId="2" borderId="121" xfId="79" applyFont="1" applyFill="1" applyBorder="1" applyAlignment="1">
      <alignment horizontal="left"/>
    </xf>
    <xf numFmtId="3" fontId="3" fillId="2" borderId="102" xfId="80" applyNumberFormat="1" applyFont="1" applyFill="1" applyBorder="1"/>
    <xf numFmtId="3" fontId="3" fillId="2" borderId="103" xfId="80" applyNumberFormat="1" applyFont="1" applyFill="1" applyBorder="1"/>
    <xf numFmtId="9" fontId="3" fillId="2" borderId="146" xfId="80" applyNumberFormat="1" applyFont="1" applyFill="1" applyBorder="1"/>
    <xf numFmtId="9" fontId="3" fillId="2" borderId="102" xfId="80" applyNumberFormat="1" applyFont="1" applyFill="1" applyBorder="1"/>
    <xf numFmtId="9" fontId="3" fillId="2" borderId="103" xfId="80" applyNumberFormat="1" applyFont="1" applyFill="1" applyBorder="1"/>
    <xf numFmtId="9" fontId="34" fillId="0" borderId="92" xfId="0" applyNumberFormat="1" applyFont="1" applyFill="1" applyBorder="1"/>
    <xf numFmtId="9" fontId="34" fillId="0" borderId="100" xfId="0" applyNumberFormat="1" applyFont="1" applyFill="1" applyBorder="1"/>
    <xf numFmtId="9" fontId="34" fillId="0" borderId="95" xfId="0" applyNumberFormat="1" applyFont="1" applyFill="1" applyBorder="1"/>
    <xf numFmtId="0" fontId="41" fillId="0" borderId="111" xfId="0" applyFont="1" applyFill="1" applyBorder="1"/>
    <xf numFmtId="0" fontId="41" fillId="0" borderId="127" xfId="0" applyFont="1" applyFill="1" applyBorder="1" applyAlignment="1">
      <alignment horizontal="left" indent="1"/>
    </xf>
    <xf numFmtId="0" fontId="41" fillId="0" borderId="110" xfId="0" applyFont="1" applyFill="1" applyBorder="1" applyAlignment="1">
      <alignment horizontal="left" indent="1"/>
    </xf>
    <xf numFmtId="9" fontId="34" fillId="0" borderId="147" xfId="0" applyNumberFormat="1" applyFont="1" applyFill="1" applyBorder="1"/>
    <xf numFmtId="9" fontId="34" fillId="0" borderId="101" xfId="0" applyNumberFormat="1" applyFont="1" applyFill="1" applyBorder="1"/>
    <xf numFmtId="9" fontId="34" fillId="0" borderId="105" xfId="0" applyNumberFormat="1" applyFont="1" applyFill="1" applyBorder="1"/>
    <xf numFmtId="3" fontId="34" fillId="0" borderId="90" xfId="0" applyNumberFormat="1" applyFont="1" applyFill="1" applyBorder="1"/>
    <xf numFmtId="3" fontId="34" fillId="0" borderId="98" xfId="0" applyNumberFormat="1" applyFont="1" applyFill="1" applyBorder="1"/>
    <xf numFmtId="3" fontId="34" fillId="0" borderId="93" xfId="0" applyNumberFormat="1" applyFont="1" applyFill="1" applyBorder="1"/>
    <xf numFmtId="9" fontId="34" fillId="0" borderId="148" xfId="0" applyNumberFormat="1" applyFont="1" applyFill="1" applyBorder="1"/>
    <xf numFmtId="9" fontId="34" fillId="0" borderId="108" xfId="0" applyNumberFormat="1" applyFont="1" applyFill="1" applyBorder="1"/>
    <xf numFmtId="9" fontId="34" fillId="0" borderId="123" xfId="0" applyNumberFormat="1" applyFont="1" applyFill="1" applyBorder="1"/>
    <xf numFmtId="9" fontId="31" fillId="0" borderId="0" xfId="0" applyNumberFormat="1" applyFont="1" applyFill="1" applyBorder="1"/>
    <xf numFmtId="0" fontId="67" fillId="0" borderId="0" xfId="0" applyFont="1" applyFill="1"/>
    <xf numFmtId="0" fontId="68" fillId="0" borderId="0" xfId="0" applyFont="1" applyFill="1"/>
    <xf numFmtId="0" fontId="41" fillId="13" borderId="111" xfId="0" applyFont="1" applyFill="1" applyBorder="1"/>
    <xf numFmtId="0" fontId="41" fillId="13" borderId="127" xfId="0" applyFont="1" applyFill="1" applyBorder="1"/>
    <xf numFmtId="0" fontId="41" fillId="13" borderId="110" xfId="0" applyFont="1" applyFill="1" applyBorder="1"/>
    <xf numFmtId="0" fontId="3" fillId="2" borderId="102" xfId="80" applyFont="1" applyFill="1" applyBorder="1"/>
    <xf numFmtId="3" fontId="34" fillId="0" borderId="148" xfId="0" applyNumberFormat="1" applyFont="1" applyFill="1" applyBorder="1"/>
    <xf numFmtId="3" fontId="34" fillId="0" borderId="108" xfId="0" applyNumberFormat="1" applyFont="1" applyFill="1" applyBorder="1"/>
    <xf numFmtId="3" fontId="34" fillId="0" borderId="123" xfId="0" applyNumberFormat="1" applyFont="1" applyFill="1" applyBorder="1"/>
    <xf numFmtId="0" fontId="34" fillId="0" borderId="111" xfId="0" applyFont="1" applyFill="1" applyBorder="1"/>
    <xf numFmtId="0" fontId="34" fillId="0" borderId="127" xfId="0" applyFont="1" applyFill="1" applyBorder="1"/>
    <xf numFmtId="0" fontId="34" fillId="0" borderId="110" xfId="0" applyFont="1" applyFill="1" applyBorder="1"/>
    <xf numFmtId="3" fontId="34" fillId="0" borderId="147" xfId="0" applyNumberFormat="1" applyFont="1" applyFill="1" applyBorder="1"/>
    <xf numFmtId="3" fontId="34" fillId="0" borderId="101" xfId="0" applyNumberFormat="1" applyFont="1" applyFill="1" applyBorder="1"/>
    <xf numFmtId="3" fontId="34" fillId="0" borderId="105" xfId="0" applyNumberFormat="1" applyFont="1" applyFill="1" applyBorder="1"/>
    <xf numFmtId="0" fontId="3" fillId="2" borderId="149" xfId="79" applyFont="1" applyFill="1" applyBorder="1" applyAlignment="1">
      <alignment horizontal="left"/>
    </xf>
    <xf numFmtId="0" fontId="3" fillId="2" borderId="150" xfId="79" applyFont="1" applyFill="1" applyBorder="1" applyAlignment="1">
      <alignment horizontal="left"/>
    </xf>
    <xf numFmtId="0" fontId="3" fillId="2" borderId="151" xfId="80" applyFont="1" applyFill="1" applyBorder="1" applyAlignment="1">
      <alignment horizontal="left"/>
    </xf>
    <xf numFmtId="0" fontId="3" fillId="2" borderId="151" xfId="79" applyFont="1" applyFill="1" applyBorder="1" applyAlignment="1">
      <alignment horizontal="left"/>
    </xf>
    <xf numFmtId="0" fontId="3" fillId="2" borderId="152" xfId="79" applyFont="1" applyFill="1" applyBorder="1" applyAlignment="1">
      <alignment horizontal="left"/>
    </xf>
    <xf numFmtId="0" fontId="34" fillId="0" borderId="27" xfId="0" applyFont="1" applyFill="1" applyBorder="1"/>
    <xf numFmtId="0" fontId="34" fillId="0" borderId="32" xfId="0" applyFont="1" applyFill="1" applyBorder="1"/>
    <xf numFmtId="0" fontId="34" fillId="0" borderId="32" xfId="0" applyFont="1" applyFill="1" applyBorder="1" applyAlignment="1">
      <alignment horizontal="right"/>
    </xf>
    <xf numFmtId="0" fontId="34" fillId="0" borderId="32" xfId="0" applyFont="1" applyFill="1" applyBorder="1" applyAlignment="1">
      <alignment horizontal="left"/>
    </xf>
    <xf numFmtId="164" fontId="34" fillId="0" borderId="32" xfId="0" applyNumberFormat="1" applyFont="1" applyFill="1" applyBorder="1"/>
    <xf numFmtId="165" fontId="34" fillId="0" borderId="32" xfId="0" applyNumberFormat="1" applyFont="1" applyFill="1" applyBorder="1"/>
    <xf numFmtId="9" fontId="34" fillId="0" borderId="32" xfId="0" applyNumberFormat="1" applyFont="1" applyFill="1" applyBorder="1"/>
    <xf numFmtId="0" fontId="34" fillId="0" borderId="153" xfId="0" applyFont="1" applyFill="1" applyBorder="1"/>
    <xf numFmtId="0" fontId="34" fillId="0" borderId="154" xfId="0" applyFont="1" applyFill="1" applyBorder="1"/>
    <xf numFmtId="0" fontId="34" fillId="0" borderId="154" xfId="0" applyFont="1" applyFill="1" applyBorder="1" applyAlignment="1">
      <alignment horizontal="right"/>
    </xf>
    <xf numFmtId="0" fontId="34" fillId="0" borderId="154" xfId="0" applyFont="1" applyFill="1" applyBorder="1" applyAlignment="1">
      <alignment horizontal="left"/>
    </xf>
    <xf numFmtId="164" fontId="34" fillId="0" borderId="154" xfId="0" applyNumberFormat="1" applyFont="1" applyFill="1" applyBorder="1"/>
    <xf numFmtId="165" fontId="34" fillId="0" borderId="154" xfId="0" applyNumberFormat="1" applyFont="1" applyFill="1" applyBorder="1"/>
    <xf numFmtId="9" fontId="34" fillId="0" borderId="154" xfId="0" applyNumberFormat="1" applyFont="1" applyFill="1" applyBorder="1"/>
    <xf numFmtId="9" fontId="34" fillId="0" borderId="155" xfId="0" applyNumberFormat="1" applyFont="1" applyFill="1" applyBorder="1"/>
    <xf numFmtId="0" fontId="34" fillId="0" borderId="156" xfId="0" applyFont="1" applyFill="1" applyBorder="1"/>
    <xf numFmtId="0" fontId="34" fillId="0" borderId="157" xfId="0" applyFont="1" applyFill="1" applyBorder="1"/>
    <xf numFmtId="0" fontId="34" fillId="0" borderId="157" xfId="0" applyFont="1" applyFill="1" applyBorder="1" applyAlignment="1">
      <alignment horizontal="right"/>
    </xf>
    <xf numFmtId="0" fontId="34" fillId="0" borderId="157" xfId="0" applyFont="1" applyFill="1" applyBorder="1" applyAlignment="1">
      <alignment horizontal="left"/>
    </xf>
    <xf numFmtId="164" fontId="34" fillId="0" borderId="157" xfId="0" applyNumberFormat="1" applyFont="1" applyFill="1" applyBorder="1"/>
    <xf numFmtId="165" fontId="34" fillId="0" borderId="157" xfId="0" applyNumberFormat="1" applyFont="1" applyFill="1" applyBorder="1"/>
    <xf numFmtId="9" fontId="34" fillId="0" borderId="157" xfId="0" applyNumberFormat="1" applyFont="1" applyFill="1" applyBorder="1"/>
    <xf numFmtId="9" fontId="34" fillId="0" borderId="158" xfId="0" applyNumberFormat="1" applyFont="1" applyFill="1" applyBorder="1"/>
    <xf numFmtId="0" fontId="41" fillId="2" borderId="58" xfId="0" applyFont="1" applyFill="1" applyBorder="1"/>
    <xf numFmtId="3" fontId="34" fillId="0" borderId="28" xfId="0" applyNumberFormat="1" applyFont="1" applyFill="1" applyBorder="1"/>
    <xf numFmtId="3" fontId="34" fillId="0" borderId="154" xfId="0" applyNumberFormat="1" applyFont="1" applyFill="1" applyBorder="1"/>
    <xf numFmtId="3" fontId="34" fillId="0" borderId="155" xfId="0" applyNumberFormat="1" applyFont="1" applyFill="1" applyBorder="1"/>
    <xf numFmtId="3" fontId="34" fillId="0" borderId="157" xfId="0" applyNumberFormat="1" applyFont="1" applyFill="1" applyBorder="1"/>
    <xf numFmtId="3" fontId="34" fillId="0" borderId="158" xfId="0" applyNumberFormat="1" applyFont="1" applyFill="1" applyBorder="1"/>
    <xf numFmtId="3" fontId="34" fillId="0" borderId="160" xfId="0" applyNumberFormat="1" applyFont="1" applyFill="1" applyBorder="1"/>
    <xf numFmtId="9" fontId="34" fillId="0" borderId="160" xfId="0" applyNumberFormat="1" applyFont="1" applyFill="1" applyBorder="1"/>
    <xf numFmtId="3" fontId="34" fillId="0" borderId="161" xfId="0" applyNumberFormat="1" applyFont="1" applyFill="1" applyBorder="1"/>
    <xf numFmtId="0" fontId="41" fillId="0" borderId="27" xfId="0" applyFont="1" applyFill="1" applyBorder="1"/>
    <xf numFmtId="0" fontId="41" fillId="0" borderId="153" xfId="0" applyFont="1" applyFill="1" applyBorder="1"/>
    <xf numFmtId="0" fontId="41" fillId="0" borderId="159" xfId="0" applyFont="1" applyFill="1" applyBorder="1"/>
    <xf numFmtId="0" fontId="41" fillId="2" borderId="60" xfId="0" applyFont="1" applyFill="1" applyBorder="1"/>
    <xf numFmtId="164" fontId="33" fillId="2" borderId="58" xfId="53" applyNumberFormat="1" applyFont="1" applyFill="1" applyBorder="1" applyAlignment="1">
      <alignment horizontal="left"/>
    </xf>
    <xf numFmtId="164" fontId="33" fillId="2" borderId="60" xfId="53" applyNumberFormat="1" applyFont="1" applyFill="1" applyBorder="1" applyAlignment="1">
      <alignment horizontal="left"/>
    </xf>
    <xf numFmtId="164" fontId="34" fillId="0" borderId="32" xfId="0" applyNumberFormat="1" applyFont="1" applyFill="1" applyBorder="1" applyAlignment="1">
      <alignment horizontal="right"/>
    </xf>
    <xf numFmtId="164" fontId="34" fillId="0" borderId="154" xfId="0" applyNumberFormat="1" applyFont="1" applyFill="1" applyBorder="1" applyAlignment="1">
      <alignment horizontal="right"/>
    </xf>
    <xf numFmtId="164" fontId="34" fillId="0" borderId="157" xfId="0" applyNumberFormat="1" applyFont="1" applyFill="1" applyBorder="1" applyAlignment="1">
      <alignment horizontal="right"/>
    </xf>
    <xf numFmtId="0" fontId="34" fillId="2" borderId="73" xfId="0" applyFont="1" applyFill="1" applyBorder="1" applyAlignment="1">
      <alignment vertical="center"/>
    </xf>
    <xf numFmtId="0" fontId="33" fillId="2" borderId="18" xfId="26" applyNumberFormat="1" applyFont="1" applyFill="1" applyBorder="1"/>
    <xf numFmtId="0" fontId="33" fillId="2" borderId="0" xfId="26" applyNumberFormat="1" applyFont="1" applyFill="1" applyBorder="1"/>
    <xf numFmtId="9" fontId="33" fillId="2" borderId="0" xfId="26" quotePrefix="1" applyNumberFormat="1" applyFont="1" applyFill="1" applyBorder="1" applyAlignment="1">
      <alignment horizontal="right"/>
    </xf>
    <xf numFmtId="9" fontId="33" fillId="2" borderId="19" xfId="26" applyNumberFormat="1" applyFont="1" applyFill="1" applyBorder="1" applyAlignment="1">
      <alignment horizontal="right"/>
    </xf>
    <xf numFmtId="0" fontId="66" fillId="4" borderId="27" xfId="0" applyFont="1" applyFill="1" applyBorder="1" applyAlignment="1">
      <alignment horizontal="left"/>
    </xf>
    <xf numFmtId="169" fontId="66" fillId="4" borderId="32" xfId="0" applyNumberFormat="1" applyFont="1" applyFill="1" applyBorder="1"/>
    <xf numFmtId="9" fontId="66" fillId="4" borderId="32" xfId="0" applyNumberFormat="1" applyFont="1" applyFill="1" applyBorder="1"/>
    <xf numFmtId="9" fontId="66" fillId="4" borderId="28" xfId="0" applyNumberFormat="1" applyFont="1" applyFill="1" applyBorder="1"/>
    <xf numFmtId="169" fontId="0" fillId="0" borderId="157" xfId="0" applyNumberFormat="1" applyBorder="1"/>
    <xf numFmtId="9" fontId="0" fillId="0" borderId="157" xfId="0" applyNumberFormat="1" applyBorder="1"/>
    <xf numFmtId="9" fontId="0" fillId="0" borderId="158" xfId="0" applyNumberFormat="1" applyBorder="1"/>
    <xf numFmtId="0" fontId="66" fillId="0" borderId="156" xfId="0" applyFont="1" applyBorder="1" applyAlignment="1">
      <alignment horizontal="left" indent="1"/>
    </xf>
    <xf numFmtId="169" fontId="0" fillId="0" borderId="154" xfId="0" applyNumberFormat="1" applyBorder="1"/>
    <xf numFmtId="9" fontId="0" fillId="0" borderId="154" xfId="0" applyNumberFormat="1" applyBorder="1"/>
    <xf numFmtId="9" fontId="0" fillId="0" borderId="155" xfId="0" applyNumberFormat="1" applyBorder="1"/>
    <xf numFmtId="0" fontId="66" fillId="0" borderId="153" xfId="0" applyFont="1" applyBorder="1" applyAlignment="1">
      <alignment horizontal="left" indent="1"/>
    </xf>
    <xf numFmtId="0" fontId="33" fillId="2" borderId="19" xfId="26" applyNumberFormat="1" applyFont="1" applyFill="1" applyBorder="1"/>
    <xf numFmtId="169" fontId="34" fillId="0" borderId="32" xfId="0" applyNumberFormat="1" applyFont="1" applyFill="1" applyBorder="1"/>
    <xf numFmtId="169" fontId="34" fillId="0" borderId="28" xfId="0" applyNumberFormat="1" applyFont="1" applyFill="1" applyBorder="1"/>
    <xf numFmtId="169" fontId="34" fillId="0" borderId="154" xfId="0" applyNumberFormat="1" applyFont="1" applyFill="1" applyBorder="1"/>
    <xf numFmtId="169" fontId="34" fillId="0" borderId="155" xfId="0" applyNumberFormat="1" applyFont="1" applyFill="1" applyBorder="1"/>
    <xf numFmtId="169" fontId="34" fillId="0" borderId="157" xfId="0" applyNumberFormat="1" applyFont="1" applyFill="1" applyBorder="1"/>
    <xf numFmtId="169" fontId="34" fillId="0" borderId="158" xfId="0" applyNumberFormat="1" applyFont="1" applyFill="1" applyBorder="1"/>
    <xf numFmtId="0" fontId="41" fillId="0" borderId="156" xfId="0" applyFont="1" applyFill="1" applyBorder="1"/>
    <xf numFmtId="0" fontId="34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center"/>
    </xf>
    <xf numFmtId="3" fontId="33" fillId="2" borderId="18" xfId="0" applyNumberFormat="1" applyFont="1" applyFill="1" applyBorder="1" applyAlignment="1">
      <alignment horizontal="left"/>
    </xf>
    <xf numFmtId="3" fontId="33" fillId="2" borderId="19" xfId="0" applyNumberFormat="1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center"/>
    </xf>
    <xf numFmtId="9" fontId="46" fillId="2" borderId="19" xfId="0" applyNumberFormat="1" applyFont="1" applyFill="1" applyBorder="1" applyAlignment="1">
      <alignment horizontal="center" vertical="top"/>
    </xf>
    <xf numFmtId="3" fontId="33" fillId="2" borderId="19" xfId="0" applyNumberFormat="1" applyFont="1" applyFill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top" wrapText="1"/>
    </xf>
    <xf numFmtId="0" fontId="33" fillId="2" borderId="19" xfId="26" applyNumberFormat="1" applyFont="1" applyFill="1" applyBorder="1" applyAlignment="1">
      <alignment horizontal="right"/>
    </xf>
    <xf numFmtId="49" fontId="33" fillId="2" borderId="34" xfId="0" applyNumberFormat="1" applyFont="1" applyFill="1" applyBorder="1" applyAlignment="1">
      <alignment horizontal="center" vertical="top"/>
    </xf>
    <xf numFmtId="0" fontId="33" fillId="2" borderId="18" xfId="0" applyNumberFormat="1" applyFont="1" applyFill="1" applyBorder="1" applyAlignment="1">
      <alignment horizontal="left"/>
    </xf>
    <xf numFmtId="0" fontId="33" fillId="2" borderId="19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166" fontId="5" fillId="0" borderId="164" xfId="0" applyNumberFormat="1" applyFont="1" applyBorder="1" applyAlignment="1">
      <alignment horizontal="right"/>
    </xf>
    <xf numFmtId="166" fontId="5" fillId="0" borderId="165" xfId="0" applyNumberFormat="1" applyFont="1" applyBorder="1" applyAlignment="1">
      <alignment horizontal="right"/>
    </xf>
    <xf numFmtId="3" fontId="69" fillId="0" borderId="164" xfId="0" applyNumberFormat="1" applyFont="1" applyBorder="1" applyAlignment="1">
      <alignment horizontal="right"/>
    </xf>
    <xf numFmtId="166" fontId="69" fillId="0" borderId="164" xfId="0" applyNumberFormat="1" applyFont="1" applyBorder="1" applyAlignment="1">
      <alignment horizontal="right"/>
    </xf>
    <xf numFmtId="166" fontId="69" fillId="0" borderId="165" xfId="0" applyNumberFormat="1" applyFont="1" applyBorder="1" applyAlignment="1">
      <alignment horizontal="right"/>
    </xf>
    <xf numFmtId="178" fontId="5" fillId="0" borderId="164" xfId="0" applyNumberFormat="1" applyFont="1" applyBorder="1" applyAlignment="1">
      <alignment horizontal="right"/>
    </xf>
    <xf numFmtId="3" fontId="5" fillId="0" borderId="164" xfId="0" applyNumberFormat="1" applyFont="1" applyBorder="1" applyAlignment="1">
      <alignment horizontal="right"/>
    </xf>
    <xf numFmtId="4" fontId="5" fillId="0" borderId="164" xfId="0" applyNumberFormat="1" applyFont="1" applyBorder="1" applyAlignment="1">
      <alignment horizontal="right"/>
    </xf>
    <xf numFmtId="3" fontId="5" fillId="0" borderId="164" xfId="0" applyNumberFormat="1" applyFont="1" applyBorder="1"/>
    <xf numFmtId="3" fontId="69" fillId="0" borderId="164" xfId="0" applyNumberFormat="1" applyFont="1" applyBorder="1"/>
    <xf numFmtId="166" fontId="69" fillId="0" borderId="164" xfId="0" applyNumberFormat="1" applyFont="1" applyBorder="1"/>
    <xf numFmtId="166" fontId="69" fillId="0" borderId="165" xfId="0" applyNumberFormat="1" applyFont="1" applyBorder="1"/>
    <xf numFmtId="166" fontId="69" fillId="0" borderId="19" xfId="0" applyNumberFormat="1" applyFont="1" applyBorder="1"/>
    <xf numFmtId="166" fontId="5" fillId="0" borderId="19" xfId="0" applyNumberFormat="1" applyFont="1" applyBorder="1" applyAlignment="1">
      <alignment horizontal="right"/>
    </xf>
    <xf numFmtId="166" fontId="69" fillId="0" borderId="19" xfId="0" applyNumberFormat="1" applyFont="1" applyBorder="1" applyAlignment="1">
      <alignment horizontal="right"/>
    </xf>
    <xf numFmtId="166" fontId="70" fillId="0" borderId="165" xfId="0" applyNumberFormat="1" applyFont="1" applyBorder="1" applyAlignment="1">
      <alignment horizontal="right"/>
    </xf>
    <xf numFmtId="166" fontId="70" fillId="0" borderId="19" xfId="0" applyNumberFormat="1" applyFont="1" applyBorder="1" applyAlignment="1">
      <alignment horizontal="right"/>
    </xf>
    <xf numFmtId="3" fontId="34" fillId="0" borderId="164" xfId="0" applyNumberFormat="1" applyFont="1" applyBorder="1"/>
    <xf numFmtId="166" fontId="34" fillId="0" borderId="164" xfId="0" applyNumberFormat="1" applyFont="1" applyBorder="1"/>
    <xf numFmtId="166" fontId="34" fillId="0" borderId="165" xfId="0" applyNumberFormat="1" applyFont="1" applyBorder="1"/>
    <xf numFmtId="3" fontId="34" fillId="0" borderId="164" xfId="0" applyNumberFormat="1" applyFont="1" applyBorder="1" applyAlignment="1">
      <alignment horizontal="right"/>
    </xf>
    <xf numFmtId="0" fontId="5" fillId="0" borderId="164" xfId="0" applyFont="1" applyBorder="1"/>
    <xf numFmtId="166" fontId="34" fillId="0" borderId="19" xfId="0" applyNumberFormat="1" applyFont="1" applyBorder="1"/>
    <xf numFmtId="3" fontId="69" fillId="0" borderId="0" xfId="0" applyNumberFormat="1" applyFont="1" applyBorder="1"/>
    <xf numFmtId="166" fontId="69" fillId="0" borderId="0" xfId="0" applyNumberFormat="1" applyFont="1" applyBorder="1"/>
    <xf numFmtId="3" fontId="34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34" fillId="0" borderId="0" xfId="0" applyNumberFormat="1" applyFont="1" applyBorder="1"/>
    <xf numFmtId="166" fontId="34" fillId="0" borderId="0" xfId="0" applyNumberFormat="1" applyFont="1" applyBorder="1"/>
    <xf numFmtId="3" fontId="69" fillId="0" borderId="0" xfId="0" applyNumberFormat="1" applyFont="1" applyBorder="1" applyAlignment="1">
      <alignment horizontal="right"/>
    </xf>
    <xf numFmtId="166" fontId="69" fillId="0" borderId="0" xfId="0" applyNumberFormat="1" applyFont="1" applyBorder="1" applyAlignment="1">
      <alignment horizontal="right"/>
    </xf>
    <xf numFmtId="49" fontId="3" fillId="0" borderId="166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3" fontId="34" fillId="0" borderId="55" xfId="0" applyNumberFormat="1" applyFont="1" applyBorder="1"/>
    <xf numFmtId="166" fontId="34" fillId="0" borderId="55" xfId="0" applyNumberFormat="1" applyFont="1" applyBorder="1"/>
    <xf numFmtId="166" fontId="34" fillId="0" borderId="56" xfId="0" applyNumberFormat="1" applyFont="1" applyBorder="1"/>
    <xf numFmtId="3" fontId="34" fillId="0" borderId="55" xfId="0" applyNumberFormat="1" applyFont="1" applyBorder="1" applyAlignment="1">
      <alignment horizontal="right"/>
    </xf>
    <xf numFmtId="166" fontId="5" fillId="0" borderId="55" xfId="0" applyNumberFormat="1" applyFont="1" applyBorder="1" applyAlignment="1">
      <alignment horizontal="right"/>
    </xf>
    <xf numFmtId="166" fontId="5" fillId="0" borderId="56" xfId="0" applyNumberFormat="1" applyFont="1" applyBorder="1" applyAlignment="1">
      <alignment horizontal="right"/>
    </xf>
    <xf numFmtId="3" fontId="69" fillId="0" borderId="55" xfId="0" applyNumberFormat="1" applyFont="1" applyBorder="1" applyAlignment="1">
      <alignment horizontal="right"/>
    </xf>
    <xf numFmtId="166" fontId="69" fillId="0" borderId="55" xfId="0" applyNumberFormat="1" applyFont="1" applyBorder="1" applyAlignment="1">
      <alignment horizontal="right"/>
    </xf>
    <xf numFmtId="166" fontId="69" fillId="0" borderId="56" xfId="0" applyNumberFormat="1" applyFont="1" applyBorder="1" applyAlignment="1">
      <alignment horizontal="right"/>
    </xf>
    <xf numFmtId="178" fontId="5" fillId="0" borderId="55" xfId="0" applyNumberFormat="1" applyFont="1" applyBorder="1" applyAlignment="1">
      <alignment horizontal="right"/>
    </xf>
    <xf numFmtId="3" fontId="5" fillId="0" borderId="55" xfId="0" applyNumberFormat="1" applyFont="1" applyBorder="1" applyAlignment="1">
      <alignment horizontal="right"/>
    </xf>
    <xf numFmtId="4" fontId="5" fillId="0" borderId="55" xfId="0" applyNumberFormat="1" applyFont="1" applyBorder="1" applyAlignment="1">
      <alignment horizontal="right"/>
    </xf>
    <xf numFmtId="0" fontId="5" fillId="0" borderId="55" xfId="0" applyFont="1" applyBorder="1"/>
    <xf numFmtId="3" fontId="5" fillId="0" borderId="55" xfId="0" applyNumberFormat="1" applyFont="1" applyBorder="1"/>
    <xf numFmtId="49" fontId="3" fillId="0" borderId="162" xfId="0" applyNumberFormat="1" applyFont="1" applyBorder="1" applyAlignment="1">
      <alignment horizontal="center"/>
    </xf>
    <xf numFmtId="3" fontId="34" fillId="0" borderId="167" xfId="0" applyNumberFormat="1" applyFont="1" applyBorder="1"/>
    <xf numFmtId="166" fontId="34" fillId="0" borderId="167" xfId="0" applyNumberFormat="1" applyFont="1" applyBorder="1"/>
    <xf numFmtId="166" fontId="34" fillId="0" borderId="168" xfId="0" applyNumberFormat="1" applyFont="1" applyBorder="1"/>
    <xf numFmtId="3" fontId="34" fillId="0" borderId="167" xfId="0" applyNumberFormat="1" applyFont="1" applyBorder="1" applyAlignment="1">
      <alignment horizontal="right"/>
    </xf>
    <xf numFmtId="166" fontId="5" fillId="0" borderId="167" xfId="0" applyNumberFormat="1" applyFont="1" applyBorder="1" applyAlignment="1">
      <alignment horizontal="right"/>
    </xf>
    <xf numFmtId="166" fontId="5" fillId="0" borderId="168" xfId="0" applyNumberFormat="1" applyFont="1" applyBorder="1" applyAlignment="1">
      <alignment horizontal="right"/>
    </xf>
    <xf numFmtId="3" fontId="69" fillId="0" borderId="167" xfId="0" applyNumberFormat="1" applyFont="1" applyBorder="1" applyAlignment="1">
      <alignment horizontal="right"/>
    </xf>
    <xf numFmtId="166" fontId="69" fillId="0" borderId="167" xfId="0" applyNumberFormat="1" applyFont="1" applyBorder="1" applyAlignment="1">
      <alignment horizontal="right"/>
    </xf>
    <xf numFmtId="166" fontId="70" fillId="0" borderId="168" xfId="0" applyNumberFormat="1" applyFont="1" applyBorder="1" applyAlignment="1">
      <alignment horizontal="right"/>
    </xf>
    <xf numFmtId="178" fontId="5" fillId="0" borderId="167" xfId="0" applyNumberFormat="1" applyFont="1" applyBorder="1" applyAlignment="1">
      <alignment horizontal="right"/>
    </xf>
    <xf numFmtId="3" fontId="5" fillId="0" borderId="167" xfId="0" applyNumberFormat="1" applyFont="1" applyBorder="1" applyAlignment="1">
      <alignment horizontal="right"/>
    </xf>
    <xf numFmtId="4" fontId="5" fillId="0" borderId="167" xfId="0" applyNumberFormat="1" applyFont="1" applyBorder="1" applyAlignment="1">
      <alignment horizontal="right"/>
    </xf>
    <xf numFmtId="0" fontId="5" fillId="0" borderId="167" xfId="0" applyFont="1" applyBorder="1"/>
    <xf numFmtId="3" fontId="5" fillId="0" borderId="167" xfId="0" applyNumberFormat="1" applyFont="1" applyBorder="1"/>
    <xf numFmtId="3" fontId="5" fillId="0" borderId="56" xfId="0" applyNumberFormat="1" applyFont="1" applyBorder="1"/>
    <xf numFmtId="3" fontId="5" fillId="0" borderId="165" xfId="0" applyNumberFormat="1" applyFont="1" applyBorder="1"/>
    <xf numFmtId="3" fontId="5" fillId="0" borderId="19" xfId="0" applyNumberFormat="1" applyFont="1" applyBorder="1"/>
    <xf numFmtId="3" fontId="5" fillId="0" borderId="168" xfId="0" applyNumberFormat="1" applyFont="1" applyBorder="1"/>
    <xf numFmtId="3" fontId="11" fillId="0" borderId="166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4" fillId="0" borderId="164" xfId="0" applyNumberFormat="1" applyFont="1" applyBorder="1"/>
    <xf numFmtId="9" fontId="34" fillId="0" borderId="0" xfId="0" applyNumberFormat="1" applyFont="1" applyBorder="1"/>
    <xf numFmtId="3" fontId="34" fillId="0" borderId="163" xfId="0" applyNumberFormat="1" applyFont="1" applyBorder="1"/>
    <xf numFmtId="3" fontId="34" fillId="0" borderId="18" xfId="0" applyNumberFormat="1" applyFont="1" applyBorder="1"/>
    <xf numFmtId="3" fontId="34" fillId="0" borderId="69" xfId="0" applyNumberFormat="1" applyFont="1" applyBorder="1"/>
    <xf numFmtId="9" fontId="34" fillId="0" borderId="55" xfId="0" applyNumberFormat="1" applyFont="1" applyBorder="1"/>
    <xf numFmtId="3" fontId="11" fillId="0" borderId="33" xfId="0" applyNumberFormat="1" applyFont="1" applyBorder="1" applyAlignment="1">
      <alignment horizontal="center"/>
    </xf>
    <xf numFmtId="3" fontId="34" fillId="0" borderId="170" xfId="0" applyNumberFormat="1" applyFont="1" applyBorder="1"/>
    <xf numFmtId="9" fontId="34" fillId="0" borderId="167" xfId="0" applyNumberFormat="1" applyFont="1" applyBorder="1"/>
    <xf numFmtId="3" fontId="11" fillId="0" borderId="162" xfId="0" applyNumberFormat="1" applyFont="1" applyBorder="1" applyAlignment="1">
      <alignment horizontal="center"/>
    </xf>
    <xf numFmtId="0" fontId="31" fillId="2" borderId="34" xfId="0" applyFont="1" applyFill="1" applyBorder="1" applyAlignment="1">
      <alignment vertical="center" wrapText="1"/>
    </xf>
    <xf numFmtId="0" fontId="33" fillId="2" borderId="18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3" fontId="33" fillId="2" borderId="85" xfId="76" applyNumberFormat="1" applyFont="1" applyFill="1" applyBorder="1" applyAlignment="1">
      <alignment horizontal="center" vertical="center"/>
    </xf>
    <xf numFmtId="3" fontId="33" fillId="2" borderId="119" xfId="76" applyNumberFormat="1" applyFont="1" applyFill="1" applyBorder="1" applyAlignment="1">
      <alignment horizontal="center" vertical="center"/>
    </xf>
    <xf numFmtId="0" fontId="31" fillId="0" borderId="27" xfId="76" applyFont="1" applyFill="1" applyBorder="1"/>
    <xf numFmtId="0" fontId="31" fillId="0" borderId="153" xfId="76" applyFont="1" applyFill="1" applyBorder="1"/>
    <xf numFmtId="0" fontId="31" fillId="0" borderId="156" xfId="76" applyFont="1" applyFill="1" applyBorder="1"/>
    <xf numFmtId="0" fontId="31" fillId="0" borderId="63" xfId="76" applyFont="1" applyFill="1" applyBorder="1"/>
    <xf numFmtId="0" fontId="31" fillId="0" borderId="171" xfId="76" applyFont="1" applyFill="1" applyBorder="1"/>
    <xf numFmtId="0" fontId="31" fillId="0" borderId="172" xfId="76" applyFont="1" applyFill="1" applyBorder="1"/>
    <xf numFmtId="0" fontId="33" fillId="2" borderId="160" xfId="76" applyNumberFormat="1" applyFont="1" applyFill="1" applyBorder="1" applyAlignment="1">
      <alignment horizontal="left"/>
    </xf>
    <xf numFmtId="0" fontId="33" fillId="2" borderId="173" xfId="76" applyNumberFormat="1" applyFont="1" applyFill="1" applyBorder="1" applyAlignment="1">
      <alignment horizontal="left"/>
    </xf>
    <xf numFmtId="3" fontId="31" fillId="0" borderId="27" xfId="76" applyNumberFormat="1" applyFont="1" applyFill="1" applyBorder="1"/>
    <xf numFmtId="3" fontId="31" fillId="0" borderId="32" xfId="76" applyNumberFormat="1" applyFont="1" applyFill="1" applyBorder="1"/>
    <xf numFmtId="3" fontId="31" fillId="0" borderId="153" xfId="76" applyNumberFormat="1" applyFont="1" applyFill="1" applyBorder="1"/>
    <xf numFmtId="3" fontId="31" fillId="0" borderId="154" xfId="76" applyNumberFormat="1" applyFont="1" applyFill="1" applyBorder="1"/>
    <xf numFmtId="3" fontId="31" fillId="0" borderId="156" xfId="76" applyNumberFormat="1" applyFont="1" applyFill="1" applyBorder="1"/>
    <xf numFmtId="3" fontId="31" fillId="0" borderId="157" xfId="76" applyNumberFormat="1" applyFont="1" applyFill="1" applyBorder="1"/>
    <xf numFmtId="9" fontId="31" fillId="0" borderId="63" xfId="76" applyNumberFormat="1" applyFont="1" applyFill="1" applyBorder="1"/>
    <xf numFmtId="9" fontId="31" fillId="0" borderId="171" xfId="76" applyNumberFormat="1" applyFont="1" applyFill="1" applyBorder="1"/>
    <xf numFmtId="9" fontId="31" fillId="0" borderId="172" xfId="76" applyNumberFormat="1" applyFont="1" applyFill="1" applyBorder="1"/>
    <xf numFmtId="0" fontId="33" fillId="2" borderId="169" xfId="76" applyNumberFormat="1" applyFont="1" applyFill="1" applyBorder="1" applyAlignment="1">
      <alignment horizontal="left"/>
    </xf>
    <xf numFmtId="0" fontId="33" fillId="2" borderId="161" xfId="76" applyNumberFormat="1" applyFont="1" applyFill="1" applyBorder="1" applyAlignment="1">
      <alignment horizontal="left"/>
    </xf>
    <xf numFmtId="3" fontId="31" fillId="0" borderId="28" xfId="76" applyNumberFormat="1" applyFont="1" applyFill="1" applyBorder="1"/>
    <xf numFmtId="3" fontId="31" fillId="0" borderId="155" xfId="76" applyNumberFormat="1" applyFont="1" applyFill="1" applyBorder="1"/>
    <xf numFmtId="3" fontId="31" fillId="0" borderId="158" xfId="76" applyNumberFormat="1" applyFont="1" applyFill="1" applyBorder="1"/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27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26"/>
      <tableStyleElement type="headerRow" dxfId="125"/>
      <tableStyleElement type="totalRow" dxfId="124"/>
      <tableStyleElement type="firstColumn" dxfId="123"/>
      <tableStyleElement type="lastColumn" dxfId="122"/>
      <tableStyleElement type="firstRowStripe" dxfId="121"/>
      <tableStyleElement type="firstColumnStripe" dxfId="120"/>
    </tableStyle>
    <tableStyle name="TableStyleMedium2 2" pivot="0" count="7" xr9:uid="{00000000-0011-0000-FFFF-FFFF01000000}">
      <tableStyleElement type="wholeTable" dxfId="119"/>
      <tableStyleElement type="headerRow" dxfId="118"/>
      <tableStyleElement type="totalRow" dxfId="117"/>
      <tableStyleElement type="firstColumn" dxfId="116"/>
      <tableStyleElement type="lastColumn" dxfId="115"/>
      <tableStyleElement type="firstRowStripe" dxfId="114"/>
      <tableStyleElement type="firstColumnStripe" dxfId="113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Graf'!$B$4:$J$4</c:f>
              <c:numCache>
                <c:formatCode>General</c:formatCode>
                <c:ptCount val="9"/>
                <c:pt idx="0">
                  <c:v>0.83298372832713019</c:v>
                </c:pt>
                <c:pt idx="1">
                  <c:v>0.89849223446322113</c:v>
                </c:pt>
                <c:pt idx="2">
                  <c:v>1.0012377306327267</c:v>
                </c:pt>
                <c:pt idx="3">
                  <c:v>0.86779620731437235</c:v>
                </c:pt>
                <c:pt idx="4">
                  <c:v>0.7799298080085092</c:v>
                </c:pt>
                <c:pt idx="5">
                  <c:v>0.8400150240329225</c:v>
                </c:pt>
                <c:pt idx="6">
                  <c:v>0.85446074243525805</c:v>
                </c:pt>
                <c:pt idx="7">
                  <c:v>0.8223811022381875</c:v>
                </c:pt>
                <c:pt idx="8">
                  <c:v>0.85444447119012357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0.83469600055485571</c:v>
                </c:pt>
                <c:pt idx="1">
                  <c:v>0.83469600055485571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ALOS!$E$33:$E$41</c:f>
              <c:numCache>
                <c:formatCode>0%</c:formatCode>
                <c:ptCount val="9"/>
                <c:pt idx="0">
                  <c:v>0.89900662251655628</c:v>
                </c:pt>
                <c:pt idx="1">
                  <c:v>0.9206721375537319</c:v>
                </c:pt>
                <c:pt idx="2">
                  <c:v>0.91167355371900827</c:v>
                </c:pt>
                <c:pt idx="3">
                  <c:v>0.91517227483376995</c:v>
                </c:pt>
                <c:pt idx="4">
                  <c:v>0.89972942861690275</c:v>
                </c:pt>
                <c:pt idx="5">
                  <c:v>0.9029262086513995</c:v>
                </c:pt>
                <c:pt idx="6">
                  <c:v>0.90743034055727556</c:v>
                </c:pt>
                <c:pt idx="7">
                  <c:v>0.90263563083054066</c:v>
                </c:pt>
                <c:pt idx="8">
                  <c:v>0.89502586549940311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5220576"/>
        <c:axId val="-585218944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8400"/>
        <c:axId val="-585217856"/>
      </c:scatterChart>
      <c:catAx>
        <c:axId val="-585220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1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1894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585220576"/>
        <c:crosses val="autoZero"/>
        <c:crossBetween val="between"/>
      </c:valAx>
      <c:valAx>
        <c:axId val="-5852184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17856"/>
        <c:crosses val="max"/>
        <c:crossBetween val="midCat"/>
      </c:valAx>
      <c:valAx>
        <c:axId val="-58521785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585218400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>
          <a:extLst>
            <a:ext uri="{FF2B5EF4-FFF2-40B4-BE49-F238E27FC236}">
              <a16:creationId xmlns:a16="http://schemas.microsoft.com/office/drawing/2014/main" id="{00000000-0008-0000-2B00-000056BC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2" totalsRowShown="0" headerRowDxfId="112" tableBorderDxfId="111">
  <autoFilter ref="A7:S22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110"/>
    <tableColumn id="2" xr3:uid="{00000000-0010-0000-0000-000002000000}" name="popis" dataDxfId="109"/>
    <tableColumn id="3" xr3:uid="{00000000-0010-0000-0000-000003000000}" name="01 uv_sk" dataDxfId="10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10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10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10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10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10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10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10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10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9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9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9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9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9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9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93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92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32" totalsRowShown="0">
  <autoFilter ref="C3:S132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7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247" bestFit="1" customWidth="1"/>
    <col min="2" max="2" width="102.28515625" style="247" bestFit="1" customWidth="1"/>
    <col min="3" max="3" width="16.140625" style="51" hidden="1" customWidth="1"/>
    <col min="4" max="16384" width="8.85546875" style="247"/>
  </cols>
  <sheetData>
    <row r="1" spans="1:3" ht="18.600000000000001" customHeight="1" thickBot="1" x14ac:dyDescent="0.35">
      <c r="A1" s="512" t="s">
        <v>131</v>
      </c>
      <c r="B1" s="512"/>
    </row>
    <row r="2" spans="1:3" ht="14.45" customHeight="1" thickBot="1" x14ac:dyDescent="0.25">
      <c r="A2" s="371" t="s">
        <v>328</v>
      </c>
      <c r="B2" s="50"/>
    </row>
    <row r="3" spans="1:3" ht="14.45" customHeight="1" thickBot="1" x14ac:dyDescent="0.25">
      <c r="A3" s="508" t="s">
        <v>181</v>
      </c>
      <c r="B3" s="509"/>
    </row>
    <row r="4" spans="1:3" ht="14.45" customHeight="1" x14ac:dyDescent="0.2">
      <c r="A4" s="264" t="str">
        <f t="shared" ref="A4:A8" si="0">HYPERLINK("#'"&amp;C4&amp;"'!A1",C4)</f>
        <v>Motivace</v>
      </c>
      <c r="B4" s="178" t="s">
        <v>150</v>
      </c>
      <c r="C4" s="51" t="s">
        <v>151</v>
      </c>
    </row>
    <row r="5" spans="1:3" ht="14.45" customHeight="1" x14ac:dyDescent="0.2">
      <c r="A5" s="265" t="str">
        <f t="shared" si="0"/>
        <v>HI</v>
      </c>
      <c r="B5" s="179" t="s">
        <v>174</v>
      </c>
      <c r="C5" s="51" t="s">
        <v>135</v>
      </c>
    </row>
    <row r="6" spans="1:3" ht="14.45" customHeight="1" x14ac:dyDescent="0.2">
      <c r="A6" s="266" t="str">
        <f t="shared" si="0"/>
        <v>HI Graf</v>
      </c>
      <c r="B6" s="180" t="s">
        <v>127</v>
      </c>
      <c r="C6" s="51" t="s">
        <v>136</v>
      </c>
    </row>
    <row r="7" spans="1:3" ht="14.45" customHeight="1" x14ac:dyDescent="0.2">
      <c r="A7" s="266" t="str">
        <f t="shared" si="0"/>
        <v>Man Tab</v>
      </c>
      <c r="B7" s="180" t="s">
        <v>330</v>
      </c>
      <c r="C7" s="51" t="s">
        <v>137</v>
      </c>
    </row>
    <row r="8" spans="1:3" ht="14.45" customHeight="1" thickBot="1" x14ac:dyDescent="0.25">
      <c r="A8" s="267" t="str">
        <f t="shared" si="0"/>
        <v>HV</v>
      </c>
      <c r="B8" s="181" t="s">
        <v>61</v>
      </c>
      <c r="C8" s="51" t="s">
        <v>66</v>
      </c>
    </row>
    <row r="9" spans="1:3" ht="14.45" customHeight="1" thickBot="1" x14ac:dyDescent="0.25">
      <c r="A9" s="182"/>
      <c r="B9" s="182"/>
    </row>
    <row r="10" spans="1:3" ht="14.45" customHeight="1" thickBot="1" x14ac:dyDescent="0.25">
      <c r="A10" s="510" t="s">
        <v>132</v>
      </c>
      <c r="B10" s="509"/>
    </row>
    <row r="11" spans="1:3" ht="14.45" customHeight="1" x14ac:dyDescent="0.2">
      <c r="A11" s="268" t="str">
        <f t="shared" ref="A11" si="1">HYPERLINK("#'"&amp;C11&amp;"'!A1",C11)</f>
        <v>Léky Žádanky</v>
      </c>
      <c r="B11" s="179" t="s">
        <v>175</v>
      </c>
      <c r="C11" s="51" t="s">
        <v>138</v>
      </c>
    </row>
    <row r="12" spans="1:3" ht="14.45" customHeight="1" x14ac:dyDescent="0.2">
      <c r="A12" s="266" t="str">
        <f t="shared" ref="A12:A23" si="2">HYPERLINK("#'"&amp;C12&amp;"'!A1",C12)</f>
        <v>LŽ Detail</v>
      </c>
      <c r="B12" s="180" t="s">
        <v>204</v>
      </c>
      <c r="C12" s="51" t="s">
        <v>139</v>
      </c>
    </row>
    <row r="13" spans="1:3" ht="28.9" customHeight="1" x14ac:dyDescent="0.2">
      <c r="A13" s="266" t="str">
        <f t="shared" si="2"/>
        <v>LŽ PL</v>
      </c>
      <c r="B13" s="777" t="s">
        <v>205</v>
      </c>
      <c r="C13" s="51" t="s">
        <v>185</v>
      </c>
    </row>
    <row r="14" spans="1:3" ht="14.45" customHeight="1" x14ac:dyDescent="0.2">
      <c r="A14" s="266" t="str">
        <f t="shared" si="2"/>
        <v>LŽ PL Detail</v>
      </c>
      <c r="B14" s="180" t="s">
        <v>1018</v>
      </c>
      <c r="C14" s="51" t="s">
        <v>187</v>
      </c>
    </row>
    <row r="15" spans="1:3" ht="14.45" customHeight="1" x14ac:dyDescent="0.2">
      <c r="A15" s="266" t="str">
        <f t="shared" si="2"/>
        <v>LŽ Statim</v>
      </c>
      <c r="B15" s="398" t="s">
        <v>241</v>
      </c>
      <c r="C15" s="51" t="s">
        <v>251</v>
      </c>
    </row>
    <row r="16" spans="1:3" ht="14.45" customHeight="1" x14ac:dyDescent="0.2">
      <c r="A16" s="266" t="str">
        <f t="shared" si="2"/>
        <v>Léky Recepty</v>
      </c>
      <c r="B16" s="180" t="s">
        <v>176</v>
      </c>
      <c r="C16" s="51" t="s">
        <v>140</v>
      </c>
    </row>
    <row r="17" spans="1:3" ht="14.45" customHeight="1" x14ac:dyDescent="0.2">
      <c r="A17" s="266" t="str">
        <f t="shared" si="2"/>
        <v>LRp Lékaři</v>
      </c>
      <c r="B17" s="180" t="s">
        <v>190</v>
      </c>
      <c r="C17" s="51" t="s">
        <v>191</v>
      </c>
    </row>
    <row r="18" spans="1:3" ht="14.45" customHeight="1" x14ac:dyDescent="0.2">
      <c r="A18" s="266" t="str">
        <f t="shared" si="2"/>
        <v>LRp Detail</v>
      </c>
      <c r="B18" s="180" t="s">
        <v>1568</v>
      </c>
      <c r="C18" s="51" t="s">
        <v>141</v>
      </c>
    </row>
    <row r="19" spans="1:3" ht="28.9" customHeight="1" x14ac:dyDescent="0.2">
      <c r="A19" s="266" t="str">
        <f t="shared" si="2"/>
        <v>LRp PL</v>
      </c>
      <c r="B19" s="777" t="s">
        <v>1569</v>
      </c>
      <c r="C19" s="51" t="s">
        <v>186</v>
      </c>
    </row>
    <row r="20" spans="1:3" ht="14.45" customHeight="1" x14ac:dyDescent="0.2">
      <c r="A20" s="266" t="str">
        <f>HYPERLINK("#'"&amp;C20&amp;"'!A1",C20)</f>
        <v>LRp PL Detail</v>
      </c>
      <c r="B20" s="180" t="s">
        <v>1602</v>
      </c>
      <c r="C20" s="51" t="s">
        <v>188</v>
      </c>
    </row>
    <row r="21" spans="1:3" ht="14.45" customHeight="1" x14ac:dyDescent="0.2">
      <c r="A21" s="268" t="str">
        <f t="shared" ref="A21" si="3">HYPERLINK("#'"&amp;C21&amp;"'!A1",C21)</f>
        <v>Materiál Žádanky</v>
      </c>
      <c r="B21" s="180" t="s">
        <v>177</v>
      </c>
      <c r="C21" s="51" t="s">
        <v>142</v>
      </c>
    </row>
    <row r="22" spans="1:3" ht="14.45" customHeight="1" x14ac:dyDescent="0.2">
      <c r="A22" s="266" t="str">
        <f t="shared" si="2"/>
        <v>MŽ Detail</v>
      </c>
      <c r="B22" s="180" t="s">
        <v>2304</v>
      </c>
      <c r="C22" s="51" t="s">
        <v>143</v>
      </c>
    </row>
    <row r="23" spans="1:3" ht="14.45" customHeight="1" thickBot="1" x14ac:dyDescent="0.25">
      <c r="A23" s="268" t="str">
        <f t="shared" si="2"/>
        <v>Osobní náklady</v>
      </c>
      <c r="B23" s="180" t="s">
        <v>129</v>
      </c>
      <c r="C23" s="51" t="s">
        <v>144</v>
      </c>
    </row>
    <row r="24" spans="1:3" ht="14.45" customHeight="1" thickBot="1" x14ac:dyDescent="0.25">
      <c r="A24" s="183"/>
      <c r="B24" s="183"/>
    </row>
    <row r="25" spans="1:3" ht="14.45" customHeight="1" thickBot="1" x14ac:dyDescent="0.25">
      <c r="A25" s="511" t="s">
        <v>133</v>
      </c>
      <c r="B25" s="509"/>
    </row>
    <row r="26" spans="1:3" ht="14.45" customHeight="1" x14ac:dyDescent="0.2">
      <c r="A26" s="269" t="str">
        <f t="shared" ref="A26:A37" si="4">HYPERLINK("#'"&amp;C26&amp;"'!A1",C26)</f>
        <v>ZV Vykáz.-A</v>
      </c>
      <c r="B26" s="179" t="s">
        <v>2331</v>
      </c>
      <c r="C26" s="51" t="s">
        <v>152</v>
      </c>
    </row>
    <row r="27" spans="1:3" ht="14.45" customHeight="1" x14ac:dyDescent="0.2">
      <c r="A27" s="266" t="str">
        <f t="shared" ref="A27" si="5">HYPERLINK("#'"&amp;C27&amp;"'!A1",C27)</f>
        <v>ZV Vykáz.-A Lékaři</v>
      </c>
      <c r="B27" s="180" t="s">
        <v>2338</v>
      </c>
      <c r="C27" s="51" t="s">
        <v>254</v>
      </c>
    </row>
    <row r="28" spans="1:3" ht="14.45" customHeight="1" x14ac:dyDescent="0.2">
      <c r="A28" s="266" t="str">
        <f t="shared" si="4"/>
        <v>ZV Vykáz.-A Detail</v>
      </c>
      <c r="B28" s="180" t="s">
        <v>2380</v>
      </c>
      <c r="C28" s="51" t="s">
        <v>153</v>
      </c>
    </row>
    <row r="29" spans="1:3" ht="14.45" customHeight="1" x14ac:dyDescent="0.25">
      <c r="A29" s="432" t="str">
        <f>HYPERLINK("#'"&amp;C29&amp;"'!A1",C29)</f>
        <v>ZV Vykáz.-A Det.Lék.</v>
      </c>
      <c r="B29" s="180" t="s">
        <v>2381</v>
      </c>
      <c r="C29" s="51" t="s">
        <v>262</v>
      </c>
    </row>
    <row r="30" spans="1:3" ht="14.45" customHeight="1" x14ac:dyDescent="0.2">
      <c r="A30" s="266" t="str">
        <f t="shared" si="4"/>
        <v>ZV Vykáz.-H</v>
      </c>
      <c r="B30" s="180" t="s">
        <v>156</v>
      </c>
      <c r="C30" s="51" t="s">
        <v>154</v>
      </c>
    </row>
    <row r="31" spans="1:3" ht="14.45" customHeight="1" x14ac:dyDescent="0.2">
      <c r="A31" s="266" t="str">
        <f t="shared" si="4"/>
        <v>ZV Vykáz.-H Detail</v>
      </c>
      <c r="B31" s="180" t="s">
        <v>2610</v>
      </c>
      <c r="C31" s="51" t="s">
        <v>155</v>
      </c>
    </row>
    <row r="32" spans="1:3" ht="14.45" customHeight="1" x14ac:dyDescent="0.2">
      <c r="A32" s="269" t="str">
        <f t="shared" si="4"/>
        <v>CaseMix</v>
      </c>
      <c r="B32" s="180" t="s">
        <v>134</v>
      </c>
      <c r="C32" s="51" t="s">
        <v>145</v>
      </c>
    </row>
    <row r="33" spans="1:3" ht="14.45" customHeight="1" x14ac:dyDescent="0.3">
      <c r="A33" s="266" t="str">
        <f t="shared" si="4"/>
        <v>ALOS</v>
      </c>
      <c r="B33" s="180" t="s">
        <v>114</v>
      </c>
      <c r="C33" s="51" t="s">
        <v>85</v>
      </c>
    </row>
    <row r="34" spans="1:3" ht="14.45" customHeight="1" x14ac:dyDescent="0.2">
      <c r="A34" s="266" t="str">
        <f t="shared" si="4"/>
        <v>Total</v>
      </c>
      <c r="B34" s="180" t="s">
        <v>2689</v>
      </c>
      <c r="C34" s="51" t="s">
        <v>146</v>
      </c>
    </row>
    <row r="35" spans="1:3" ht="14.45" customHeight="1" x14ac:dyDescent="0.2">
      <c r="A35" s="266" t="str">
        <f t="shared" si="4"/>
        <v>ZV Vyžád.</v>
      </c>
      <c r="B35" s="180" t="s">
        <v>157</v>
      </c>
      <c r="C35" s="51" t="s">
        <v>149</v>
      </c>
    </row>
    <row r="36" spans="1:3" ht="14.45" customHeight="1" x14ac:dyDescent="0.2">
      <c r="A36" s="266" t="str">
        <f t="shared" si="4"/>
        <v>ZV Vyžád. Detail</v>
      </c>
      <c r="B36" s="180" t="s">
        <v>3311</v>
      </c>
      <c r="C36" s="51" t="s">
        <v>148</v>
      </c>
    </row>
    <row r="37" spans="1:3" ht="14.45" customHeight="1" x14ac:dyDescent="0.2">
      <c r="A37" s="266" t="str">
        <f t="shared" si="4"/>
        <v>OD TISS</v>
      </c>
      <c r="B37" s="180" t="s">
        <v>180</v>
      </c>
      <c r="C37" s="51" t="s">
        <v>147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 xr:uid="{3AD5868B-F17A-43AD-BE21-D8DE27A7D975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2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247" bestFit="1" customWidth="1"/>
    <col min="2" max="2" width="8.85546875" style="247" bestFit="1" customWidth="1"/>
    <col min="3" max="3" width="7" style="247" bestFit="1" customWidth="1"/>
    <col min="4" max="4" width="53.42578125" style="247" bestFit="1" customWidth="1"/>
    <col min="5" max="5" width="28.42578125" style="247" bestFit="1" customWidth="1"/>
    <col min="6" max="6" width="6.7109375" style="329" customWidth="1"/>
    <col min="7" max="7" width="10" style="329" customWidth="1"/>
    <col min="8" max="8" width="6.7109375" style="332" bestFit="1" customWidth="1"/>
    <col min="9" max="9" width="6.7109375" style="329" customWidth="1"/>
    <col min="10" max="10" width="10.85546875" style="329" customWidth="1"/>
    <col min="11" max="11" width="6.7109375" style="332" bestFit="1" customWidth="1"/>
    <col min="12" max="12" width="6.7109375" style="329" customWidth="1"/>
    <col min="13" max="13" width="10.85546875" style="329" customWidth="1"/>
    <col min="14" max="16384" width="8.85546875" style="247"/>
  </cols>
  <sheetData>
    <row r="1" spans="1:13" ht="18.600000000000001" customHeight="1" thickBot="1" x14ac:dyDescent="0.35">
      <c r="A1" s="551" t="s">
        <v>1018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12"/>
      <c r="M1" s="512"/>
    </row>
    <row r="2" spans="1:13" ht="14.45" customHeight="1" thickBot="1" x14ac:dyDescent="0.25">
      <c r="A2" s="371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5" customHeight="1" thickBot="1" x14ac:dyDescent="0.25">
      <c r="E3" s="104" t="s">
        <v>158</v>
      </c>
      <c r="F3" s="47">
        <f>SUBTOTAL(9,F6:F1048576)</f>
        <v>79.099999999999994</v>
      </c>
      <c r="G3" s="47">
        <f>SUBTOTAL(9,G6:G1048576)</f>
        <v>37995.20446666667</v>
      </c>
      <c r="H3" s="48">
        <f>IF(M3=0,0,G3/M3)</f>
        <v>0.54047667317555104</v>
      </c>
      <c r="I3" s="47">
        <f>SUBTOTAL(9,I6:I1048576)</f>
        <v>164</v>
      </c>
      <c r="J3" s="47">
        <f>SUBTOTAL(9,J6:J1048576)</f>
        <v>32304.230000000003</v>
      </c>
      <c r="K3" s="48">
        <f>IF(M3=0,0,J3/M3)</f>
        <v>0.45952332682444896</v>
      </c>
      <c r="L3" s="47">
        <f>SUBTOTAL(9,L6:L1048576)</f>
        <v>243.1</v>
      </c>
      <c r="M3" s="49">
        <f>SUBTOTAL(9,M6:M1048576)</f>
        <v>70299.434466666673</v>
      </c>
    </row>
    <row r="4" spans="1:13" ht="14.45" customHeight="1" thickBot="1" x14ac:dyDescent="0.25">
      <c r="A4" s="45"/>
      <c r="B4" s="45"/>
      <c r="C4" s="45"/>
      <c r="D4" s="45"/>
      <c r="E4" s="46"/>
      <c r="F4" s="555" t="s">
        <v>160</v>
      </c>
      <c r="G4" s="556"/>
      <c r="H4" s="557"/>
      <c r="I4" s="558" t="s">
        <v>159</v>
      </c>
      <c r="J4" s="556"/>
      <c r="K4" s="557"/>
      <c r="L4" s="559" t="s">
        <v>3</v>
      </c>
      <c r="M4" s="560"/>
    </row>
    <row r="5" spans="1:13" ht="14.45" customHeight="1" thickBot="1" x14ac:dyDescent="0.25">
      <c r="A5" s="761" t="s">
        <v>161</v>
      </c>
      <c r="B5" s="779" t="s">
        <v>162</v>
      </c>
      <c r="C5" s="779" t="s">
        <v>89</v>
      </c>
      <c r="D5" s="779" t="s">
        <v>163</v>
      </c>
      <c r="E5" s="779" t="s">
        <v>164</v>
      </c>
      <c r="F5" s="780" t="s">
        <v>28</v>
      </c>
      <c r="G5" s="780" t="s">
        <v>14</v>
      </c>
      <c r="H5" s="763" t="s">
        <v>165</v>
      </c>
      <c r="I5" s="762" t="s">
        <v>28</v>
      </c>
      <c r="J5" s="780" t="s">
        <v>14</v>
      </c>
      <c r="K5" s="763" t="s">
        <v>165</v>
      </c>
      <c r="L5" s="762" t="s">
        <v>28</v>
      </c>
      <c r="M5" s="781" t="s">
        <v>14</v>
      </c>
    </row>
    <row r="6" spans="1:13" ht="14.45" customHeight="1" x14ac:dyDescent="0.2">
      <c r="A6" s="740" t="s">
        <v>590</v>
      </c>
      <c r="B6" s="741" t="s">
        <v>945</v>
      </c>
      <c r="C6" s="741" t="s">
        <v>946</v>
      </c>
      <c r="D6" s="741" t="s">
        <v>947</v>
      </c>
      <c r="E6" s="741" t="s">
        <v>948</v>
      </c>
      <c r="F6" s="745"/>
      <c r="G6" s="745"/>
      <c r="H6" s="765">
        <v>0</v>
      </c>
      <c r="I6" s="745">
        <v>1</v>
      </c>
      <c r="J6" s="745">
        <v>143.66</v>
      </c>
      <c r="K6" s="765">
        <v>1</v>
      </c>
      <c r="L6" s="745">
        <v>1</v>
      </c>
      <c r="M6" s="746">
        <v>143.66</v>
      </c>
    </row>
    <row r="7" spans="1:13" ht="14.45" customHeight="1" x14ac:dyDescent="0.2">
      <c r="A7" s="747" t="s">
        <v>590</v>
      </c>
      <c r="B7" s="748" t="s">
        <v>949</v>
      </c>
      <c r="C7" s="748" t="s">
        <v>950</v>
      </c>
      <c r="D7" s="748" t="s">
        <v>951</v>
      </c>
      <c r="E7" s="748" t="s">
        <v>952</v>
      </c>
      <c r="F7" s="752">
        <v>1</v>
      </c>
      <c r="G7" s="752">
        <v>1116.4999999999998</v>
      </c>
      <c r="H7" s="766">
        <v>1</v>
      </c>
      <c r="I7" s="752"/>
      <c r="J7" s="752"/>
      <c r="K7" s="766">
        <v>0</v>
      </c>
      <c r="L7" s="752">
        <v>1</v>
      </c>
      <c r="M7" s="753">
        <v>1116.4999999999998</v>
      </c>
    </row>
    <row r="8" spans="1:13" ht="14.45" customHeight="1" x14ac:dyDescent="0.2">
      <c r="A8" s="747" t="s">
        <v>596</v>
      </c>
      <c r="B8" s="748" t="s">
        <v>953</v>
      </c>
      <c r="C8" s="748" t="s">
        <v>954</v>
      </c>
      <c r="D8" s="748" t="s">
        <v>955</v>
      </c>
      <c r="E8" s="748" t="s">
        <v>956</v>
      </c>
      <c r="F8" s="752">
        <v>36</v>
      </c>
      <c r="G8" s="752">
        <v>2591.62</v>
      </c>
      <c r="H8" s="766">
        <v>1</v>
      </c>
      <c r="I8" s="752"/>
      <c r="J8" s="752"/>
      <c r="K8" s="766">
        <v>0</v>
      </c>
      <c r="L8" s="752">
        <v>36</v>
      </c>
      <c r="M8" s="753">
        <v>2591.62</v>
      </c>
    </row>
    <row r="9" spans="1:13" ht="14.45" customHeight="1" x14ac:dyDescent="0.2">
      <c r="A9" s="747" t="s">
        <v>596</v>
      </c>
      <c r="B9" s="748" t="s">
        <v>957</v>
      </c>
      <c r="C9" s="748" t="s">
        <v>958</v>
      </c>
      <c r="D9" s="748" t="s">
        <v>735</v>
      </c>
      <c r="E9" s="748" t="s">
        <v>736</v>
      </c>
      <c r="F9" s="752"/>
      <c r="G9" s="752"/>
      <c r="H9" s="766">
        <v>0</v>
      </c>
      <c r="I9" s="752">
        <v>5</v>
      </c>
      <c r="J9" s="752">
        <v>201.78999999999996</v>
      </c>
      <c r="K9" s="766">
        <v>1</v>
      </c>
      <c r="L9" s="752">
        <v>5</v>
      </c>
      <c r="M9" s="753">
        <v>201.78999999999996</v>
      </c>
    </row>
    <row r="10" spans="1:13" ht="14.45" customHeight="1" x14ac:dyDescent="0.2">
      <c r="A10" s="747" t="s">
        <v>596</v>
      </c>
      <c r="B10" s="748" t="s">
        <v>959</v>
      </c>
      <c r="C10" s="748" t="s">
        <v>960</v>
      </c>
      <c r="D10" s="748" t="s">
        <v>961</v>
      </c>
      <c r="E10" s="748" t="s">
        <v>962</v>
      </c>
      <c r="F10" s="752">
        <v>7</v>
      </c>
      <c r="G10" s="752">
        <v>514.48</v>
      </c>
      <c r="H10" s="766">
        <v>1</v>
      </c>
      <c r="I10" s="752"/>
      <c r="J10" s="752"/>
      <c r="K10" s="766">
        <v>0</v>
      </c>
      <c r="L10" s="752">
        <v>7</v>
      </c>
      <c r="M10" s="753">
        <v>514.48</v>
      </c>
    </row>
    <row r="11" spans="1:13" ht="14.45" customHeight="1" x14ac:dyDescent="0.2">
      <c r="A11" s="747" t="s">
        <v>596</v>
      </c>
      <c r="B11" s="748" t="s">
        <v>963</v>
      </c>
      <c r="C11" s="748" t="s">
        <v>964</v>
      </c>
      <c r="D11" s="748" t="s">
        <v>965</v>
      </c>
      <c r="E11" s="748" t="s">
        <v>966</v>
      </c>
      <c r="F11" s="752"/>
      <c r="G11" s="752"/>
      <c r="H11" s="766">
        <v>0</v>
      </c>
      <c r="I11" s="752">
        <v>2</v>
      </c>
      <c r="J11" s="752">
        <v>920.7</v>
      </c>
      <c r="K11" s="766">
        <v>1</v>
      </c>
      <c r="L11" s="752">
        <v>2</v>
      </c>
      <c r="M11" s="753">
        <v>920.7</v>
      </c>
    </row>
    <row r="12" spans="1:13" ht="14.45" customHeight="1" x14ac:dyDescent="0.2">
      <c r="A12" s="747" t="s">
        <v>596</v>
      </c>
      <c r="B12" s="748" t="s">
        <v>967</v>
      </c>
      <c r="C12" s="748" t="s">
        <v>968</v>
      </c>
      <c r="D12" s="748" t="s">
        <v>969</v>
      </c>
      <c r="E12" s="748" t="s">
        <v>970</v>
      </c>
      <c r="F12" s="752">
        <v>10</v>
      </c>
      <c r="G12" s="752">
        <v>266.10000000000002</v>
      </c>
      <c r="H12" s="766">
        <v>1</v>
      </c>
      <c r="I12" s="752"/>
      <c r="J12" s="752"/>
      <c r="K12" s="766">
        <v>0</v>
      </c>
      <c r="L12" s="752">
        <v>10</v>
      </c>
      <c r="M12" s="753">
        <v>266.10000000000002</v>
      </c>
    </row>
    <row r="13" spans="1:13" ht="14.45" customHeight="1" x14ac:dyDescent="0.2">
      <c r="A13" s="747" t="s">
        <v>596</v>
      </c>
      <c r="B13" s="748" t="s">
        <v>949</v>
      </c>
      <c r="C13" s="748" t="s">
        <v>950</v>
      </c>
      <c r="D13" s="748" t="s">
        <v>951</v>
      </c>
      <c r="E13" s="748" t="s">
        <v>952</v>
      </c>
      <c r="F13" s="752">
        <v>4</v>
      </c>
      <c r="G13" s="752">
        <v>4466</v>
      </c>
      <c r="H13" s="766">
        <v>1</v>
      </c>
      <c r="I13" s="752"/>
      <c r="J13" s="752"/>
      <c r="K13" s="766">
        <v>0</v>
      </c>
      <c r="L13" s="752">
        <v>4</v>
      </c>
      <c r="M13" s="753">
        <v>4466</v>
      </c>
    </row>
    <row r="14" spans="1:13" ht="14.45" customHeight="1" x14ac:dyDescent="0.2">
      <c r="A14" s="747" t="s">
        <v>596</v>
      </c>
      <c r="B14" s="748" t="s">
        <v>949</v>
      </c>
      <c r="C14" s="748" t="s">
        <v>971</v>
      </c>
      <c r="D14" s="748" t="s">
        <v>972</v>
      </c>
      <c r="E14" s="748" t="s">
        <v>952</v>
      </c>
      <c r="F14" s="752">
        <v>3</v>
      </c>
      <c r="G14" s="752">
        <v>3965.23</v>
      </c>
      <c r="H14" s="766">
        <v>1</v>
      </c>
      <c r="I14" s="752"/>
      <c r="J14" s="752"/>
      <c r="K14" s="766">
        <v>0</v>
      </c>
      <c r="L14" s="752">
        <v>3</v>
      </c>
      <c r="M14" s="753">
        <v>3965.23</v>
      </c>
    </row>
    <row r="15" spans="1:13" ht="14.45" customHeight="1" x14ac:dyDescent="0.2">
      <c r="A15" s="747" t="s">
        <v>596</v>
      </c>
      <c r="B15" s="748" t="s">
        <v>973</v>
      </c>
      <c r="C15" s="748" t="s">
        <v>974</v>
      </c>
      <c r="D15" s="748" t="s">
        <v>914</v>
      </c>
      <c r="E15" s="748" t="s">
        <v>975</v>
      </c>
      <c r="F15" s="752">
        <v>10</v>
      </c>
      <c r="G15" s="752">
        <v>22543.55</v>
      </c>
      <c r="H15" s="766">
        <v>1</v>
      </c>
      <c r="I15" s="752"/>
      <c r="J15" s="752"/>
      <c r="K15" s="766">
        <v>0</v>
      </c>
      <c r="L15" s="752">
        <v>10</v>
      </c>
      <c r="M15" s="753">
        <v>22543.55</v>
      </c>
    </row>
    <row r="16" spans="1:13" ht="14.45" customHeight="1" x14ac:dyDescent="0.2">
      <c r="A16" s="747" t="s">
        <v>596</v>
      </c>
      <c r="B16" s="748" t="s">
        <v>976</v>
      </c>
      <c r="C16" s="748" t="s">
        <v>977</v>
      </c>
      <c r="D16" s="748" t="s">
        <v>978</v>
      </c>
      <c r="E16" s="748" t="s">
        <v>979</v>
      </c>
      <c r="F16" s="752"/>
      <c r="G16" s="752"/>
      <c r="H16" s="766">
        <v>0</v>
      </c>
      <c r="I16" s="752">
        <v>3</v>
      </c>
      <c r="J16" s="752">
        <v>2041.88</v>
      </c>
      <c r="K16" s="766">
        <v>1</v>
      </c>
      <c r="L16" s="752">
        <v>3</v>
      </c>
      <c r="M16" s="753">
        <v>2041.88</v>
      </c>
    </row>
    <row r="17" spans="1:13" ht="14.45" customHeight="1" x14ac:dyDescent="0.2">
      <c r="A17" s="747" t="s">
        <v>596</v>
      </c>
      <c r="B17" s="748" t="s">
        <v>980</v>
      </c>
      <c r="C17" s="748" t="s">
        <v>981</v>
      </c>
      <c r="D17" s="748" t="s">
        <v>982</v>
      </c>
      <c r="E17" s="748" t="s">
        <v>983</v>
      </c>
      <c r="F17" s="752"/>
      <c r="G17" s="752"/>
      <c r="H17" s="766">
        <v>0</v>
      </c>
      <c r="I17" s="752">
        <v>20</v>
      </c>
      <c r="J17" s="752">
        <v>667.8</v>
      </c>
      <c r="K17" s="766">
        <v>1</v>
      </c>
      <c r="L17" s="752">
        <v>20</v>
      </c>
      <c r="M17" s="753">
        <v>667.8</v>
      </c>
    </row>
    <row r="18" spans="1:13" ht="14.45" customHeight="1" x14ac:dyDescent="0.2">
      <c r="A18" s="747" t="s">
        <v>596</v>
      </c>
      <c r="B18" s="748" t="s">
        <v>984</v>
      </c>
      <c r="C18" s="748" t="s">
        <v>985</v>
      </c>
      <c r="D18" s="748" t="s">
        <v>986</v>
      </c>
      <c r="E18" s="748" t="s">
        <v>987</v>
      </c>
      <c r="F18" s="752">
        <v>5.0999999999999996</v>
      </c>
      <c r="G18" s="752">
        <v>1895.1344666666669</v>
      </c>
      <c r="H18" s="766">
        <v>1</v>
      </c>
      <c r="I18" s="752"/>
      <c r="J18" s="752"/>
      <c r="K18" s="766">
        <v>0</v>
      </c>
      <c r="L18" s="752">
        <v>5.0999999999999996</v>
      </c>
      <c r="M18" s="753">
        <v>1895.1344666666669</v>
      </c>
    </row>
    <row r="19" spans="1:13" ht="14.45" customHeight="1" x14ac:dyDescent="0.2">
      <c r="A19" s="747" t="s">
        <v>596</v>
      </c>
      <c r="B19" s="748" t="s">
        <v>988</v>
      </c>
      <c r="C19" s="748" t="s">
        <v>989</v>
      </c>
      <c r="D19" s="748" t="s">
        <v>816</v>
      </c>
      <c r="E19" s="748" t="s">
        <v>817</v>
      </c>
      <c r="F19" s="752"/>
      <c r="G19" s="752"/>
      <c r="H19" s="766">
        <v>0</v>
      </c>
      <c r="I19" s="752">
        <v>1</v>
      </c>
      <c r="J19" s="752">
        <v>226.68</v>
      </c>
      <c r="K19" s="766">
        <v>1</v>
      </c>
      <c r="L19" s="752">
        <v>1</v>
      </c>
      <c r="M19" s="753">
        <v>226.68</v>
      </c>
    </row>
    <row r="20" spans="1:13" ht="14.45" customHeight="1" x14ac:dyDescent="0.2">
      <c r="A20" s="747" t="s">
        <v>596</v>
      </c>
      <c r="B20" s="748" t="s">
        <v>990</v>
      </c>
      <c r="C20" s="748" t="s">
        <v>991</v>
      </c>
      <c r="D20" s="748" t="s">
        <v>992</v>
      </c>
      <c r="E20" s="748" t="s">
        <v>993</v>
      </c>
      <c r="F20" s="752"/>
      <c r="G20" s="752"/>
      <c r="H20" s="766">
        <v>0</v>
      </c>
      <c r="I20" s="752">
        <v>100</v>
      </c>
      <c r="J20" s="752">
        <v>8205.6</v>
      </c>
      <c r="K20" s="766">
        <v>1</v>
      </c>
      <c r="L20" s="752">
        <v>100</v>
      </c>
      <c r="M20" s="753">
        <v>8205.6</v>
      </c>
    </row>
    <row r="21" spans="1:13" ht="14.45" customHeight="1" x14ac:dyDescent="0.2">
      <c r="A21" s="747" t="s">
        <v>596</v>
      </c>
      <c r="B21" s="748" t="s">
        <v>994</v>
      </c>
      <c r="C21" s="748" t="s">
        <v>995</v>
      </c>
      <c r="D21" s="748" t="s">
        <v>821</v>
      </c>
      <c r="E21" s="748" t="s">
        <v>996</v>
      </c>
      <c r="F21" s="752"/>
      <c r="G21" s="752"/>
      <c r="H21" s="766">
        <v>0</v>
      </c>
      <c r="I21" s="752">
        <v>1</v>
      </c>
      <c r="J21" s="752">
        <v>50.639999999999979</v>
      </c>
      <c r="K21" s="766">
        <v>1</v>
      </c>
      <c r="L21" s="752">
        <v>1</v>
      </c>
      <c r="M21" s="753">
        <v>50.639999999999979</v>
      </c>
    </row>
    <row r="22" spans="1:13" ht="14.45" customHeight="1" x14ac:dyDescent="0.2">
      <c r="A22" s="747" t="s">
        <v>596</v>
      </c>
      <c r="B22" s="748" t="s">
        <v>997</v>
      </c>
      <c r="C22" s="748" t="s">
        <v>998</v>
      </c>
      <c r="D22" s="748" t="s">
        <v>999</v>
      </c>
      <c r="E22" s="748" t="s">
        <v>1000</v>
      </c>
      <c r="F22" s="752"/>
      <c r="G22" s="752"/>
      <c r="H22" s="766">
        <v>0</v>
      </c>
      <c r="I22" s="752">
        <v>8</v>
      </c>
      <c r="J22" s="752">
        <v>1364</v>
      </c>
      <c r="K22" s="766">
        <v>1</v>
      </c>
      <c r="L22" s="752">
        <v>8</v>
      </c>
      <c r="M22" s="753">
        <v>1364</v>
      </c>
    </row>
    <row r="23" spans="1:13" ht="14.45" customHeight="1" x14ac:dyDescent="0.2">
      <c r="A23" s="747" t="s">
        <v>596</v>
      </c>
      <c r="B23" s="748" t="s">
        <v>1001</v>
      </c>
      <c r="C23" s="748" t="s">
        <v>1002</v>
      </c>
      <c r="D23" s="748" t="s">
        <v>1003</v>
      </c>
      <c r="E23" s="748" t="s">
        <v>807</v>
      </c>
      <c r="F23" s="752"/>
      <c r="G23" s="752"/>
      <c r="H23" s="766">
        <v>0</v>
      </c>
      <c r="I23" s="752">
        <v>1</v>
      </c>
      <c r="J23" s="752">
        <v>67.320000000000007</v>
      </c>
      <c r="K23" s="766">
        <v>1</v>
      </c>
      <c r="L23" s="752">
        <v>1</v>
      </c>
      <c r="M23" s="753">
        <v>67.320000000000007</v>
      </c>
    </row>
    <row r="24" spans="1:13" ht="14.45" customHeight="1" x14ac:dyDescent="0.2">
      <c r="A24" s="747" t="s">
        <v>596</v>
      </c>
      <c r="B24" s="748" t="s">
        <v>1001</v>
      </c>
      <c r="C24" s="748" t="s">
        <v>1004</v>
      </c>
      <c r="D24" s="748" t="s">
        <v>1003</v>
      </c>
      <c r="E24" s="748" t="s">
        <v>1005</v>
      </c>
      <c r="F24" s="752"/>
      <c r="G24" s="752"/>
      <c r="H24" s="766">
        <v>0</v>
      </c>
      <c r="I24" s="752">
        <v>10</v>
      </c>
      <c r="J24" s="752">
        <v>1080.9100000000001</v>
      </c>
      <c r="K24" s="766">
        <v>1</v>
      </c>
      <c r="L24" s="752">
        <v>10</v>
      </c>
      <c r="M24" s="753">
        <v>1080.9100000000001</v>
      </c>
    </row>
    <row r="25" spans="1:13" ht="14.45" customHeight="1" x14ac:dyDescent="0.2">
      <c r="A25" s="747" t="s">
        <v>596</v>
      </c>
      <c r="B25" s="748" t="s">
        <v>1001</v>
      </c>
      <c r="C25" s="748" t="s">
        <v>1006</v>
      </c>
      <c r="D25" s="748" t="s">
        <v>806</v>
      </c>
      <c r="E25" s="748" t="s">
        <v>807</v>
      </c>
      <c r="F25" s="752">
        <v>2</v>
      </c>
      <c r="G25" s="752">
        <v>448.22</v>
      </c>
      <c r="H25" s="766">
        <v>1</v>
      </c>
      <c r="I25" s="752"/>
      <c r="J25" s="752"/>
      <c r="K25" s="766">
        <v>0</v>
      </c>
      <c r="L25" s="752">
        <v>2</v>
      </c>
      <c r="M25" s="753">
        <v>448.22</v>
      </c>
    </row>
    <row r="26" spans="1:13" ht="14.45" customHeight="1" x14ac:dyDescent="0.2">
      <c r="A26" s="747" t="s">
        <v>596</v>
      </c>
      <c r="B26" s="748" t="s">
        <v>1007</v>
      </c>
      <c r="C26" s="748" t="s">
        <v>1008</v>
      </c>
      <c r="D26" s="748" t="s">
        <v>720</v>
      </c>
      <c r="E26" s="748" t="s">
        <v>721</v>
      </c>
      <c r="F26" s="752"/>
      <c r="G26" s="752"/>
      <c r="H26" s="766">
        <v>0</v>
      </c>
      <c r="I26" s="752">
        <v>2</v>
      </c>
      <c r="J26" s="752">
        <v>16716.400000000001</v>
      </c>
      <c r="K26" s="766">
        <v>1</v>
      </c>
      <c r="L26" s="752">
        <v>2</v>
      </c>
      <c r="M26" s="753">
        <v>16716.400000000001</v>
      </c>
    </row>
    <row r="27" spans="1:13" ht="14.45" customHeight="1" x14ac:dyDescent="0.2">
      <c r="A27" s="747" t="s">
        <v>596</v>
      </c>
      <c r="B27" s="748" t="s">
        <v>1009</v>
      </c>
      <c r="C27" s="748" t="s">
        <v>1010</v>
      </c>
      <c r="D27" s="748" t="s">
        <v>858</v>
      </c>
      <c r="E27" s="748" t="s">
        <v>859</v>
      </c>
      <c r="F27" s="752"/>
      <c r="G27" s="752"/>
      <c r="H27" s="766">
        <v>0</v>
      </c>
      <c r="I27" s="752">
        <v>7</v>
      </c>
      <c r="J27" s="752">
        <v>348.72</v>
      </c>
      <c r="K27" s="766">
        <v>1</v>
      </c>
      <c r="L27" s="752">
        <v>7</v>
      </c>
      <c r="M27" s="753">
        <v>348.72</v>
      </c>
    </row>
    <row r="28" spans="1:13" ht="14.45" customHeight="1" x14ac:dyDescent="0.2">
      <c r="A28" s="747" t="s">
        <v>596</v>
      </c>
      <c r="B28" s="748" t="s">
        <v>1011</v>
      </c>
      <c r="C28" s="748" t="s">
        <v>1012</v>
      </c>
      <c r="D28" s="748" t="s">
        <v>729</v>
      </c>
      <c r="E28" s="748" t="s">
        <v>1013</v>
      </c>
      <c r="F28" s="752"/>
      <c r="G28" s="752"/>
      <c r="H28" s="766">
        <v>0</v>
      </c>
      <c r="I28" s="752">
        <v>3</v>
      </c>
      <c r="J28" s="752">
        <v>268.13</v>
      </c>
      <c r="K28" s="766">
        <v>1</v>
      </c>
      <c r="L28" s="752">
        <v>3</v>
      </c>
      <c r="M28" s="753">
        <v>268.13</v>
      </c>
    </row>
    <row r="29" spans="1:13" ht="14.45" customHeight="1" thickBot="1" x14ac:dyDescent="0.25">
      <c r="A29" s="754" t="s">
        <v>596</v>
      </c>
      <c r="B29" s="755" t="s">
        <v>1014</v>
      </c>
      <c r="C29" s="755" t="s">
        <v>1015</v>
      </c>
      <c r="D29" s="755" t="s">
        <v>1016</v>
      </c>
      <c r="E29" s="755" t="s">
        <v>1017</v>
      </c>
      <c r="F29" s="759">
        <v>1</v>
      </c>
      <c r="G29" s="759">
        <v>188.37000000000003</v>
      </c>
      <c r="H29" s="767">
        <v>1</v>
      </c>
      <c r="I29" s="759"/>
      <c r="J29" s="759"/>
      <c r="K29" s="767">
        <v>0</v>
      </c>
      <c r="L29" s="759">
        <v>1</v>
      </c>
      <c r="M29" s="760">
        <v>188.37000000000003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58" priority="4" operator="greaterThan">
      <formula>0.1</formula>
    </cfRule>
  </conditionalFormatting>
  <hyperlinks>
    <hyperlink ref="A2" location="Obsah!A1" display="Zpět na Obsah  KL 01  1.-4.měsíc" xr:uid="{FEF2C622-F9D5-48F2-A9FD-D77949BE27AA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10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402" customWidth="1"/>
    <col min="2" max="2" width="5.42578125" style="329" bestFit="1" customWidth="1"/>
    <col min="3" max="3" width="6.140625" style="329" bestFit="1" customWidth="1"/>
    <col min="4" max="4" width="7.42578125" style="329" bestFit="1" customWidth="1"/>
    <col min="5" max="5" width="6.28515625" style="329" bestFit="1" customWidth="1"/>
    <col min="6" max="6" width="6.28515625" style="332" bestFit="1" customWidth="1"/>
    <col min="7" max="7" width="6.140625" style="332" bestFit="1" customWidth="1"/>
    <col min="8" max="8" width="7.42578125" style="332" bestFit="1" customWidth="1"/>
    <col min="9" max="9" width="6.28515625" style="332" bestFit="1" customWidth="1"/>
    <col min="10" max="10" width="5.42578125" style="329" bestFit="1" customWidth="1"/>
    <col min="11" max="11" width="6.140625" style="329" bestFit="1" customWidth="1"/>
    <col min="12" max="12" width="7.42578125" style="329" bestFit="1" customWidth="1"/>
    <col min="13" max="13" width="6.28515625" style="329" bestFit="1" customWidth="1"/>
    <col min="14" max="14" width="5.28515625" style="332" bestFit="1" customWidth="1"/>
    <col min="15" max="15" width="6.140625" style="332" bestFit="1" customWidth="1"/>
    <col min="16" max="16" width="7.42578125" style="332" bestFit="1" customWidth="1"/>
    <col min="17" max="17" width="6.28515625" style="332" bestFit="1" customWidth="1"/>
    <col min="18" max="16384" width="8.85546875" style="247"/>
  </cols>
  <sheetData>
    <row r="1" spans="1:17" ht="18.600000000000001" customHeight="1" thickBot="1" x14ac:dyDescent="0.35">
      <c r="A1" s="551" t="s">
        <v>241</v>
      </c>
      <c r="B1" s="551"/>
      <c r="C1" s="551"/>
      <c r="D1" s="551"/>
      <c r="E1" s="551"/>
      <c r="F1" s="513"/>
      <c r="G1" s="513"/>
      <c r="H1" s="513"/>
      <c r="I1" s="513"/>
      <c r="J1" s="544"/>
      <c r="K1" s="544"/>
      <c r="L1" s="544"/>
      <c r="M1" s="544"/>
      <c r="N1" s="544"/>
      <c r="O1" s="544"/>
      <c r="P1" s="544"/>
      <c r="Q1" s="544"/>
    </row>
    <row r="2" spans="1:17" ht="14.45" customHeight="1" thickBot="1" x14ac:dyDescent="0.25">
      <c r="A2" s="371" t="s">
        <v>328</v>
      </c>
      <c r="B2" s="336"/>
      <c r="C2" s="336"/>
      <c r="D2" s="336"/>
      <c r="E2" s="336"/>
    </row>
    <row r="3" spans="1:17" ht="14.45" customHeight="1" thickBot="1" x14ac:dyDescent="0.25">
      <c r="A3" s="391" t="s">
        <v>3</v>
      </c>
      <c r="B3" s="395">
        <f>SUM(B6:B1048576)</f>
        <v>1509</v>
      </c>
      <c r="C3" s="396">
        <f>SUM(C6:C1048576)</f>
        <v>423</v>
      </c>
      <c r="D3" s="396">
        <f>SUM(D6:D1048576)</f>
        <v>69</v>
      </c>
      <c r="E3" s="397">
        <f>SUM(E6:E1048576)</f>
        <v>4</v>
      </c>
      <c r="F3" s="394">
        <f>IF(SUM($B3:$E3)=0,"",B3/SUM($B3:$E3))</f>
        <v>0.75261845386533666</v>
      </c>
      <c r="G3" s="392">
        <f t="shared" ref="G3:I3" si="0">IF(SUM($B3:$E3)=0,"",C3/SUM($B3:$E3))</f>
        <v>0.21097256857855362</v>
      </c>
      <c r="H3" s="392">
        <f t="shared" si="0"/>
        <v>3.4413965087281798E-2</v>
      </c>
      <c r="I3" s="393">
        <f t="shared" si="0"/>
        <v>1.99501246882793E-3</v>
      </c>
      <c r="J3" s="396">
        <f>SUM(J6:J1048576)</f>
        <v>282</v>
      </c>
      <c r="K3" s="396">
        <f>SUM(K6:K1048576)</f>
        <v>296</v>
      </c>
      <c r="L3" s="396">
        <f>SUM(L6:L1048576)</f>
        <v>69</v>
      </c>
      <c r="M3" s="397">
        <f>SUM(M6:M1048576)</f>
        <v>2</v>
      </c>
      <c r="N3" s="394">
        <f>IF(SUM($J3:$M3)=0,"",J3/SUM($J3:$M3))</f>
        <v>0.43451463790446843</v>
      </c>
      <c r="O3" s="392">
        <f t="shared" ref="O3:Q3" si="1">IF(SUM($J3:$M3)=0,"",K3/SUM($J3:$M3))</f>
        <v>0.45608628659476119</v>
      </c>
      <c r="P3" s="392">
        <f t="shared" si="1"/>
        <v>0.10631741140215717</v>
      </c>
      <c r="Q3" s="393">
        <f t="shared" si="1"/>
        <v>3.0816640986132513E-3</v>
      </c>
    </row>
    <row r="4" spans="1:17" ht="14.45" customHeight="1" thickBot="1" x14ac:dyDescent="0.25">
      <c r="A4" s="390"/>
      <c r="B4" s="564" t="s">
        <v>243</v>
      </c>
      <c r="C4" s="565"/>
      <c r="D4" s="565"/>
      <c r="E4" s="566"/>
      <c r="F4" s="561" t="s">
        <v>248</v>
      </c>
      <c r="G4" s="562"/>
      <c r="H4" s="562"/>
      <c r="I4" s="563"/>
      <c r="J4" s="564" t="s">
        <v>249</v>
      </c>
      <c r="K4" s="565"/>
      <c r="L4" s="565"/>
      <c r="M4" s="566"/>
      <c r="N4" s="561" t="s">
        <v>250</v>
      </c>
      <c r="O4" s="562"/>
      <c r="P4" s="562"/>
      <c r="Q4" s="563"/>
    </row>
    <row r="5" spans="1:17" ht="14.45" customHeight="1" thickBot="1" x14ac:dyDescent="0.25">
      <c r="A5" s="782" t="s">
        <v>242</v>
      </c>
      <c r="B5" s="783" t="s">
        <v>244</v>
      </c>
      <c r="C5" s="783" t="s">
        <v>245</v>
      </c>
      <c r="D5" s="783" t="s">
        <v>246</v>
      </c>
      <c r="E5" s="784" t="s">
        <v>247</v>
      </c>
      <c r="F5" s="785" t="s">
        <v>244</v>
      </c>
      <c r="G5" s="786" t="s">
        <v>245</v>
      </c>
      <c r="H5" s="786" t="s">
        <v>246</v>
      </c>
      <c r="I5" s="787" t="s">
        <v>247</v>
      </c>
      <c r="J5" s="783" t="s">
        <v>244</v>
      </c>
      <c r="K5" s="783" t="s">
        <v>245</v>
      </c>
      <c r="L5" s="783" t="s">
        <v>246</v>
      </c>
      <c r="M5" s="784" t="s">
        <v>247</v>
      </c>
      <c r="N5" s="785" t="s">
        <v>244</v>
      </c>
      <c r="O5" s="786" t="s">
        <v>245</v>
      </c>
      <c r="P5" s="786" t="s">
        <v>246</v>
      </c>
      <c r="Q5" s="787" t="s">
        <v>247</v>
      </c>
    </row>
    <row r="6" spans="1:17" ht="14.45" customHeight="1" x14ac:dyDescent="0.2">
      <c r="A6" s="791" t="s">
        <v>1019</v>
      </c>
      <c r="B6" s="797"/>
      <c r="C6" s="745"/>
      <c r="D6" s="745"/>
      <c r="E6" s="746"/>
      <c r="F6" s="794"/>
      <c r="G6" s="765"/>
      <c r="H6" s="765"/>
      <c r="I6" s="800"/>
      <c r="J6" s="797"/>
      <c r="K6" s="745"/>
      <c r="L6" s="745"/>
      <c r="M6" s="746"/>
      <c r="N6" s="794"/>
      <c r="O6" s="765"/>
      <c r="P6" s="765"/>
      <c r="Q6" s="788"/>
    </row>
    <row r="7" spans="1:17" ht="14.45" customHeight="1" x14ac:dyDescent="0.2">
      <c r="A7" s="792" t="s">
        <v>1020</v>
      </c>
      <c r="B7" s="798">
        <v>355</v>
      </c>
      <c r="C7" s="752">
        <v>21</v>
      </c>
      <c r="D7" s="752">
        <v>7</v>
      </c>
      <c r="E7" s="753"/>
      <c r="F7" s="795">
        <v>0.92689295039164488</v>
      </c>
      <c r="G7" s="766">
        <v>5.4830287206266322E-2</v>
      </c>
      <c r="H7" s="766">
        <v>1.8276762402088774E-2</v>
      </c>
      <c r="I7" s="801">
        <v>0</v>
      </c>
      <c r="J7" s="798">
        <v>108</v>
      </c>
      <c r="K7" s="752">
        <v>18</v>
      </c>
      <c r="L7" s="752">
        <v>7</v>
      </c>
      <c r="M7" s="753"/>
      <c r="N7" s="795">
        <v>0.81203007518796988</v>
      </c>
      <c r="O7" s="766">
        <v>0.13533834586466165</v>
      </c>
      <c r="P7" s="766">
        <v>5.2631578947368418E-2</v>
      </c>
      <c r="Q7" s="789">
        <v>0</v>
      </c>
    </row>
    <row r="8" spans="1:17" ht="14.45" customHeight="1" x14ac:dyDescent="0.2">
      <c r="A8" s="792" t="s">
        <v>923</v>
      </c>
      <c r="B8" s="798"/>
      <c r="C8" s="752"/>
      <c r="D8" s="752">
        <v>2</v>
      </c>
      <c r="E8" s="753"/>
      <c r="F8" s="795">
        <v>0</v>
      </c>
      <c r="G8" s="766">
        <v>0</v>
      </c>
      <c r="H8" s="766">
        <v>1</v>
      </c>
      <c r="I8" s="801">
        <v>0</v>
      </c>
      <c r="J8" s="798"/>
      <c r="K8" s="752"/>
      <c r="L8" s="752">
        <v>2</v>
      </c>
      <c r="M8" s="753"/>
      <c r="N8" s="795">
        <v>0</v>
      </c>
      <c r="O8" s="766">
        <v>0</v>
      </c>
      <c r="P8" s="766">
        <v>1</v>
      </c>
      <c r="Q8" s="789">
        <v>0</v>
      </c>
    </row>
    <row r="9" spans="1:17" ht="14.45" customHeight="1" x14ac:dyDescent="0.2">
      <c r="A9" s="792" t="s">
        <v>924</v>
      </c>
      <c r="B9" s="798">
        <v>1154</v>
      </c>
      <c r="C9" s="752">
        <v>402</v>
      </c>
      <c r="D9" s="752">
        <v>60</v>
      </c>
      <c r="E9" s="753"/>
      <c r="F9" s="795">
        <v>0.71410891089108908</v>
      </c>
      <c r="G9" s="766">
        <v>0.24876237623762376</v>
      </c>
      <c r="H9" s="766">
        <v>3.7128712871287127E-2</v>
      </c>
      <c r="I9" s="801">
        <v>0</v>
      </c>
      <c r="J9" s="798">
        <v>174</v>
      </c>
      <c r="K9" s="752">
        <v>278</v>
      </c>
      <c r="L9" s="752">
        <v>60</v>
      </c>
      <c r="M9" s="753"/>
      <c r="N9" s="795">
        <v>0.33984375</v>
      </c>
      <c r="O9" s="766">
        <v>0.54296875</v>
      </c>
      <c r="P9" s="766">
        <v>0.1171875</v>
      </c>
      <c r="Q9" s="789">
        <v>0</v>
      </c>
    </row>
    <row r="10" spans="1:17" ht="14.45" customHeight="1" thickBot="1" x14ac:dyDescent="0.25">
      <c r="A10" s="793" t="s">
        <v>1021</v>
      </c>
      <c r="B10" s="799"/>
      <c r="C10" s="759"/>
      <c r="D10" s="759"/>
      <c r="E10" s="760">
        <v>4</v>
      </c>
      <c r="F10" s="796">
        <v>0</v>
      </c>
      <c r="G10" s="767">
        <v>0</v>
      </c>
      <c r="H10" s="767">
        <v>0</v>
      </c>
      <c r="I10" s="802">
        <v>1</v>
      </c>
      <c r="J10" s="799"/>
      <c r="K10" s="759"/>
      <c r="L10" s="759"/>
      <c r="M10" s="760">
        <v>2</v>
      </c>
      <c r="N10" s="796">
        <v>0</v>
      </c>
      <c r="O10" s="767">
        <v>0</v>
      </c>
      <c r="P10" s="767">
        <v>0</v>
      </c>
      <c r="Q10" s="790">
        <v>1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7" priority="1" operator="greaterThan">
      <formula>0.3</formula>
    </cfRule>
  </conditionalFormatting>
  <hyperlinks>
    <hyperlink ref="A2" location="Obsah!A1" display="Zpět na Obsah  KL 01  1.-4.měsíc" xr:uid="{DD020941-EAE9-40C1-B1B6-4C2340E642B6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24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247" customWidth="1"/>
    <col min="2" max="2" width="34.28515625" style="247" customWidth="1"/>
    <col min="3" max="3" width="11.140625" style="247" bestFit="1" customWidth="1"/>
    <col min="4" max="4" width="7.28515625" style="247" bestFit="1" customWidth="1"/>
    <col min="5" max="5" width="11.140625" style="247" bestFit="1" customWidth="1"/>
    <col min="6" max="6" width="5.28515625" style="247" customWidth="1"/>
    <col min="7" max="7" width="7.28515625" style="247" bestFit="1" customWidth="1"/>
    <col min="8" max="8" width="5.28515625" style="247" customWidth="1"/>
    <col min="9" max="9" width="11.140625" style="247" customWidth="1"/>
    <col min="10" max="10" width="5.28515625" style="247" customWidth="1"/>
    <col min="11" max="11" width="7.28515625" style="247" customWidth="1"/>
    <col min="12" max="12" width="5.28515625" style="247" customWidth="1"/>
    <col min="13" max="13" width="0" style="247" hidden="1" customWidth="1"/>
    <col min="14" max="16384" width="8.85546875" style="247"/>
  </cols>
  <sheetData>
    <row r="1" spans="1:14" ht="18.600000000000001" customHeight="1" thickBot="1" x14ac:dyDescent="0.35">
      <c r="A1" s="551" t="s">
        <v>176</v>
      </c>
      <c r="B1" s="551"/>
      <c r="C1" s="551"/>
      <c r="D1" s="551"/>
      <c r="E1" s="551"/>
      <c r="F1" s="551"/>
      <c r="G1" s="551"/>
      <c r="H1" s="551"/>
      <c r="I1" s="513"/>
      <c r="J1" s="513"/>
      <c r="K1" s="513"/>
      <c r="L1" s="513"/>
    </row>
    <row r="2" spans="1:14" ht="14.45" customHeight="1" thickBot="1" x14ac:dyDescent="0.25">
      <c r="A2" s="371" t="s">
        <v>328</v>
      </c>
      <c r="B2" s="328"/>
      <c r="C2" s="328"/>
      <c r="D2" s="328"/>
      <c r="E2" s="328"/>
      <c r="F2" s="328"/>
      <c r="G2" s="328"/>
      <c r="H2" s="328"/>
    </row>
    <row r="3" spans="1:14" ht="14.45" customHeight="1" thickBot="1" x14ac:dyDescent="0.25">
      <c r="A3" s="262"/>
      <c r="B3" s="262"/>
      <c r="C3" s="568" t="s">
        <v>15</v>
      </c>
      <c r="D3" s="567"/>
      <c r="E3" s="567" t="s">
        <v>16</v>
      </c>
      <c r="F3" s="567"/>
      <c r="G3" s="567"/>
      <c r="H3" s="567"/>
      <c r="I3" s="567" t="s">
        <v>189</v>
      </c>
      <c r="J3" s="567"/>
      <c r="K3" s="567"/>
      <c r="L3" s="569"/>
    </row>
    <row r="4" spans="1:14" ht="14.45" customHeight="1" thickBot="1" x14ac:dyDescent="0.2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5" customHeight="1" x14ac:dyDescent="0.2">
      <c r="A5" s="729">
        <v>9</v>
      </c>
      <c r="B5" s="730" t="s">
        <v>1022</v>
      </c>
      <c r="C5" s="733">
        <v>939229.01</v>
      </c>
      <c r="D5" s="733">
        <v>490</v>
      </c>
      <c r="E5" s="733">
        <v>455224.38000000012</v>
      </c>
      <c r="F5" s="803">
        <v>0.48467878989385149</v>
      </c>
      <c r="G5" s="733">
        <v>239</v>
      </c>
      <c r="H5" s="803">
        <v>0.48775510204081635</v>
      </c>
      <c r="I5" s="733">
        <v>484004.62999999995</v>
      </c>
      <c r="J5" s="803">
        <v>0.51532121010614862</v>
      </c>
      <c r="K5" s="733">
        <v>251</v>
      </c>
      <c r="L5" s="803">
        <v>0.51224489795918371</v>
      </c>
      <c r="M5" s="733" t="s">
        <v>73</v>
      </c>
      <c r="N5" s="270"/>
    </row>
    <row r="6" spans="1:14" ht="14.45" customHeight="1" x14ac:dyDescent="0.2">
      <c r="A6" s="729">
        <v>9</v>
      </c>
      <c r="B6" s="730" t="s">
        <v>1023</v>
      </c>
      <c r="C6" s="733">
        <v>878014.43</v>
      </c>
      <c r="D6" s="733">
        <v>370</v>
      </c>
      <c r="E6" s="733">
        <v>451676.9800000001</v>
      </c>
      <c r="F6" s="803">
        <v>0.5144300191057225</v>
      </c>
      <c r="G6" s="733">
        <v>204</v>
      </c>
      <c r="H6" s="803">
        <v>0.55135135135135138</v>
      </c>
      <c r="I6" s="733">
        <v>426337.44999999995</v>
      </c>
      <c r="J6" s="803">
        <v>0.4855699808942775</v>
      </c>
      <c r="K6" s="733">
        <v>166</v>
      </c>
      <c r="L6" s="803">
        <v>0.44864864864864867</v>
      </c>
      <c r="M6" s="733" t="s">
        <v>1</v>
      </c>
      <c r="N6" s="270"/>
    </row>
    <row r="7" spans="1:14" ht="14.45" customHeight="1" x14ac:dyDescent="0.2">
      <c r="A7" s="729">
        <v>9</v>
      </c>
      <c r="B7" s="730" t="s">
        <v>1024</v>
      </c>
      <c r="C7" s="733">
        <v>0</v>
      </c>
      <c r="D7" s="733">
        <v>35</v>
      </c>
      <c r="E7" s="733">
        <v>0</v>
      </c>
      <c r="F7" s="803" t="s">
        <v>572</v>
      </c>
      <c r="G7" s="733">
        <v>31</v>
      </c>
      <c r="H7" s="803">
        <v>0.88571428571428568</v>
      </c>
      <c r="I7" s="733">
        <v>0</v>
      </c>
      <c r="J7" s="803" t="s">
        <v>572</v>
      </c>
      <c r="K7" s="733">
        <v>4</v>
      </c>
      <c r="L7" s="803">
        <v>0.11428571428571428</v>
      </c>
      <c r="M7" s="733" t="s">
        <v>1</v>
      </c>
      <c r="N7" s="270"/>
    </row>
    <row r="8" spans="1:14" ht="14.45" customHeight="1" x14ac:dyDescent="0.2">
      <c r="A8" s="729">
        <v>9</v>
      </c>
      <c r="B8" s="730" t="s">
        <v>1025</v>
      </c>
      <c r="C8" s="733">
        <v>61214.58</v>
      </c>
      <c r="D8" s="733">
        <v>85</v>
      </c>
      <c r="E8" s="733">
        <v>3547.4</v>
      </c>
      <c r="F8" s="803">
        <v>5.7950246493564117E-2</v>
      </c>
      <c r="G8" s="733">
        <v>4</v>
      </c>
      <c r="H8" s="803">
        <v>4.7058823529411764E-2</v>
      </c>
      <c r="I8" s="733">
        <v>57667.18</v>
      </c>
      <c r="J8" s="803">
        <v>0.94204975350643583</v>
      </c>
      <c r="K8" s="733">
        <v>81</v>
      </c>
      <c r="L8" s="803">
        <v>0.95294117647058818</v>
      </c>
      <c r="M8" s="733" t="s">
        <v>1</v>
      </c>
      <c r="N8" s="270"/>
    </row>
    <row r="9" spans="1:14" ht="14.45" customHeight="1" x14ac:dyDescent="0.2">
      <c r="A9" s="729" t="s">
        <v>1026</v>
      </c>
      <c r="B9" s="730" t="s">
        <v>3</v>
      </c>
      <c r="C9" s="733">
        <v>939229.01</v>
      </c>
      <c r="D9" s="733">
        <v>490</v>
      </c>
      <c r="E9" s="733">
        <v>455224.38000000012</v>
      </c>
      <c r="F9" s="803">
        <v>0.48467878989385149</v>
      </c>
      <c r="G9" s="733">
        <v>239</v>
      </c>
      <c r="H9" s="803">
        <v>0.48775510204081635</v>
      </c>
      <c r="I9" s="733">
        <v>484004.62999999995</v>
      </c>
      <c r="J9" s="803">
        <v>0.51532121010614862</v>
      </c>
      <c r="K9" s="733">
        <v>251</v>
      </c>
      <c r="L9" s="803">
        <v>0.51224489795918371</v>
      </c>
      <c r="M9" s="733" t="s">
        <v>584</v>
      </c>
      <c r="N9" s="270"/>
    </row>
    <row r="11" spans="1:14" ht="14.45" customHeight="1" x14ac:dyDescent="0.2">
      <c r="A11" s="729">
        <v>9</v>
      </c>
      <c r="B11" s="730" t="s">
        <v>1022</v>
      </c>
      <c r="C11" s="733" t="s">
        <v>572</v>
      </c>
      <c r="D11" s="733" t="s">
        <v>572</v>
      </c>
      <c r="E11" s="733" t="s">
        <v>572</v>
      </c>
      <c r="F11" s="803" t="s">
        <v>572</v>
      </c>
      <c r="G11" s="733" t="s">
        <v>572</v>
      </c>
      <c r="H11" s="803" t="s">
        <v>572</v>
      </c>
      <c r="I11" s="733" t="s">
        <v>572</v>
      </c>
      <c r="J11" s="803" t="s">
        <v>572</v>
      </c>
      <c r="K11" s="733" t="s">
        <v>572</v>
      </c>
      <c r="L11" s="803" t="s">
        <v>572</v>
      </c>
      <c r="M11" s="733" t="s">
        <v>73</v>
      </c>
      <c r="N11" s="270"/>
    </row>
    <row r="12" spans="1:14" ht="14.45" customHeight="1" x14ac:dyDescent="0.2">
      <c r="A12" s="729" t="s">
        <v>1027</v>
      </c>
      <c r="B12" s="730" t="s">
        <v>1023</v>
      </c>
      <c r="C12" s="733">
        <v>596.2700000000001</v>
      </c>
      <c r="D12" s="733">
        <v>4</v>
      </c>
      <c r="E12" s="733">
        <v>596.2700000000001</v>
      </c>
      <c r="F12" s="803">
        <v>1</v>
      </c>
      <c r="G12" s="733">
        <v>4</v>
      </c>
      <c r="H12" s="803">
        <v>1</v>
      </c>
      <c r="I12" s="733" t="s">
        <v>572</v>
      </c>
      <c r="J12" s="803">
        <v>0</v>
      </c>
      <c r="K12" s="733" t="s">
        <v>572</v>
      </c>
      <c r="L12" s="803">
        <v>0</v>
      </c>
      <c r="M12" s="733" t="s">
        <v>1</v>
      </c>
      <c r="N12" s="270"/>
    </row>
    <row r="13" spans="1:14" ht="14.45" customHeight="1" x14ac:dyDescent="0.2">
      <c r="A13" s="729" t="s">
        <v>1027</v>
      </c>
      <c r="B13" s="730" t="s">
        <v>1024</v>
      </c>
      <c r="C13" s="733">
        <v>0</v>
      </c>
      <c r="D13" s="733">
        <v>1</v>
      </c>
      <c r="E13" s="733">
        <v>0</v>
      </c>
      <c r="F13" s="803" t="s">
        <v>572</v>
      </c>
      <c r="G13" s="733">
        <v>1</v>
      </c>
      <c r="H13" s="803">
        <v>1</v>
      </c>
      <c r="I13" s="733" t="s">
        <v>572</v>
      </c>
      <c r="J13" s="803" t="s">
        <v>572</v>
      </c>
      <c r="K13" s="733" t="s">
        <v>572</v>
      </c>
      <c r="L13" s="803">
        <v>0</v>
      </c>
      <c r="M13" s="733" t="s">
        <v>1</v>
      </c>
      <c r="N13" s="270"/>
    </row>
    <row r="14" spans="1:14" ht="14.45" customHeight="1" x14ac:dyDescent="0.2">
      <c r="A14" s="729" t="s">
        <v>1027</v>
      </c>
      <c r="B14" s="730" t="s">
        <v>1028</v>
      </c>
      <c r="C14" s="733">
        <v>596.2700000000001</v>
      </c>
      <c r="D14" s="733">
        <v>5</v>
      </c>
      <c r="E14" s="733">
        <v>596.2700000000001</v>
      </c>
      <c r="F14" s="803">
        <v>1</v>
      </c>
      <c r="G14" s="733">
        <v>5</v>
      </c>
      <c r="H14" s="803">
        <v>1</v>
      </c>
      <c r="I14" s="733" t="s">
        <v>572</v>
      </c>
      <c r="J14" s="803">
        <v>0</v>
      </c>
      <c r="K14" s="733" t="s">
        <v>572</v>
      </c>
      <c r="L14" s="803">
        <v>0</v>
      </c>
      <c r="M14" s="733" t="s">
        <v>588</v>
      </c>
      <c r="N14" s="270"/>
    </row>
    <row r="15" spans="1:14" ht="14.45" customHeight="1" x14ac:dyDescent="0.2">
      <c r="A15" s="729" t="s">
        <v>572</v>
      </c>
      <c r="B15" s="730" t="s">
        <v>572</v>
      </c>
      <c r="C15" s="733" t="s">
        <v>572</v>
      </c>
      <c r="D15" s="733" t="s">
        <v>572</v>
      </c>
      <c r="E15" s="733" t="s">
        <v>572</v>
      </c>
      <c r="F15" s="803" t="s">
        <v>572</v>
      </c>
      <c r="G15" s="733" t="s">
        <v>572</v>
      </c>
      <c r="H15" s="803" t="s">
        <v>572</v>
      </c>
      <c r="I15" s="733" t="s">
        <v>572</v>
      </c>
      <c r="J15" s="803" t="s">
        <v>572</v>
      </c>
      <c r="K15" s="733" t="s">
        <v>572</v>
      </c>
      <c r="L15" s="803" t="s">
        <v>572</v>
      </c>
      <c r="M15" s="733" t="s">
        <v>589</v>
      </c>
      <c r="N15" s="270"/>
    </row>
    <row r="16" spans="1:14" ht="14.45" customHeight="1" x14ac:dyDescent="0.2">
      <c r="A16" s="729" t="s">
        <v>1029</v>
      </c>
      <c r="B16" s="730" t="s">
        <v>1023</v>
      </c>
      <c r="C16" s="733">
        <v>877418.16</v>
      </c>
      <c r="D16" s="733">
        <v>366</v>
      </c>
      <c r="E16" s="733">
        <v>451080.71000000008</v>
      </c>
      <c r="F16" s="803">
        <v>0.51410003868622922</v>
      </c>
      <c r="G16" s="733">
        <v>200</v>
      </c>
      <c r="H16" s="803">
        <v>0.54644808743169404</v>
      </c>
      <c r="I16" s="733">
        <v>426337.44999999995</v>
      </c>
      <c r="J16" s="803">
        <v>0.48589996131377078</v>
      </c>
      <c r="K16" s="733">
        <v>166</v>
      </c>
      <c r="L16" s="803">
        <v>0.45355191256830601</v>
      </c>
      <c r="M16" s="733" t="s">
        <v>1</v>
      </c>
      <c r="N16" s="270"/>
    </row>
    <row r="17" spans="1:14" ht="14.45" customHeight="1" x14ac:dyDescent="0.2">
      <c r="A17" s="729" t="s">
        <v>1029</v>
      </c>
      <c r="B17" s="730" t="s">
        <v>1024</v>
      </c>
      <c r="C17" s="733">
        <v>0</v>
      </c>
      <c r="D17" s="733">
        <v>34</v>
      </c>
      <c r="E17" s="733">
        <v>0</v>
      </c>
      <c r="F17" s="803" t="s">
        <v>572</v>
      </c>
      <c r="G17" s="733">
        <v>30</v>
      </c>
      <c r="H17" s="803">
        <v>0.88235294117647056</v>
      </c>
      <c r="I17" s="733">
        <v>0</v>
      </c>
      <c r="J17" s="803" t="s">
        <v>572</v>
      </c>
      <c r="K17" s="733">
        <v>4</v>
      </c>
      <c r="L17" s="803">
        <v>0.11764705882352941</v>
      </c>
      <c r="M17" s="733" t="s">
        <v>1</v>
      </c>
      <c r="N17" s="270"/>
    </row>
    <row r="18" spans="1:14" ht="14.45" customHeight="1" x14ac:dyDescent="0.2">
      <c r="A18" s="729" t="s">
        <v>1029</v>
      </c>
      <c r="B18" s="730" t="s">
        <v>1025</v>
      </c>
      <c r="C18" s="733">
        <v>61214.58</v>
      </c>
      <c r="D18" s="733">
        <v>85</v>
      </c>
      <c r="E18" s="733">
        <v>3547.4</v>
      </c>
      <c r="F18" s="803">
        <v>5.7950246493564117E-2</v>
      </c>
      <c r="G18" s="733">
        <v>4</v>
      </c>
      <c r="H18" s="803">
        <v>4.7058823529411764E-2</v>
      </c>
      <c r="I18" s="733">
        <v>57667.18</v>
      </c>
      <c r="J18" s="803">
        <v>0.94204975350643583</v>
      </c>
      <c r="K18" s="733">
        <v>81</v>
      </c>
      <c r="L18" s="803">
        <v>0.95294117647058818</v>
      </c>
      <c r="M18" s="733" t="s">
        <v>1</v>
      </c>
      <c r="N18" s="270"/>
    </row>
    <row r="19" spans="1:14" ht="14.45" customHeight="1" x14ac:dyDescent="0.2">
      <c r="A19" s="729" t="s">
        <v>1029</v>
      </c>
      <c r="B19" s="730" t="s">
        <v>1030</v>
      </c>
      <c r="C19" s="733">
        <v>938632.74</v>
      </c>
      <c r="D19" s="733">
        <v>485</v>
      </c>
      <c r="E19" s="733">
        <v>454628.1100000001</v>
      </c>
      <c r="F19" s="803">
        <v>0.48435143014508542</v>
      </c>
      <c r="G19" s="733">
        <v>234</v>
      </c>
      <c r="H19" s="803">
        <v>0.48247422680412372</v>
      </c>
      <c r="I19" s="733">
        <v>484004.62999999995</v>
      </c>
      <c r="J19" s="803">
        <v>0.5156485698549147</v>
      </c>
      <c r="K19" s="733">
        <v>251</v>
      </c>
      <c r="L19" s="803">
        <v>0.51752577319587634</v>
      </c>
      <c r="M19" s="733" t="s">
        <v>588</v>
      </c>
      <c r="N19" s="270"/>
    </row>
    <row r="20" spans="1:14" ht="14.45" customHeight="1" x14ac:dyDescent="0.2">
      <c r="A20" s="729" t="s">
        <v>572</v>
      </c>
      <c r="B20" s="730" t="s">
        <v>572</v>
      </c>
      <c r="C20" s="733" t="s">
        <v>572</v>
      </c>
      <c r="D20" s="733" t="s">
        <v>572</v>
      </c>
      <c r="E20" s="733" t="s">
        <v>572</v>
      </c>
      <c r="F20" s="803" t="s">
        <v>572</v>
      </c>
      <c r="G20" s="733" t="s">
        <v>572</v>
      </c>
      <c r="H20" s="803" t="s">
        <v>572</v>
      </c>
      <c r="I20" s="733" t="s">
        <v>572</v>
      </c>
      <c r="J20" s="803" t="s">
        <v>572</v>
      </c>
      <c r="K20" s="733" t="s">
        <v>572</v>
      </c>
      <c r="L20" s="803" t="s">
        <v>572</v>
      </c>
      <c r="M20" s="733" t="s">
        <v>589</v>
      </c>
      <c r="N20" s="270"/>
    </row>
    <row r="21" spans="1:14" ht="14.45" customHeight="1" x14ac:dyDescent="0.2">
      <c r="A21" s="729" t="s">
        <v>1026</v>
      </c>
      <c r="B21" s="730" t="s">
        <v>1031</v>
      </c>
      <c r="C21" s="733">
        <v>939229.01</v>
      </c>
      <c r="D21" s="733">
        <v>490</v>
      </c>
      <c r="E21" s="733">
        <v>455224.38000000012</v>
      </c>
      <c r="F21" s="803">
        <v>0.48467878989385149</v>
      </c>
      <c r="G21" s="733">
        <v>239</v>
      </c>
      <c r="H21" s="803">
        <v>0.48775510204081635</v>
      </c>
      <c r="I21" s="733">
        <v>484004.62999999995</v>
      </c>
      <c r="J21" s="803">
        <v>0.51532121010614862</v>
      </c>
      <c r="K21" s="733">
        <v>251</v>
      </c>
      <c r="L21" s="803">
        <v>0.51224489795918371</v>
      </c>
      <c r="M21" s="733" t="s">
        <v>584</v>
      </c>
      <c r="N21" s="270"/>
    </row>
    <row r="22" spans="1:14" ht="14.45" customHeight="1" x14ac:dyDescent="0.2">
      <c r="A22" s="804" t="s">
        <v>301</v>
      </c>
    </row>
    <row r="23" spans="1:14" ht="14.45" customHeight="1" x14ac:dyDescent="0.2">
      <c r="A23" s="805" t="s">
        <v>1032</v>
      </c>
    </row>
    <row r="24" spans="1:14" ht="14.45" customHeight="1" x14ac:dyDescent="0.2">
      <c r="A24" s="804" t="s">
        <v>1033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10 F22:F1048576">
    <cfRule type="cellIs" dxfId="56" priority="15" stopIfTrue="1" operator="lessThan">
      <formula>0.6</formula>
    </cfRule>
  </conditionalFormatting>
  <conditionalFormatting sqref="B5:B9">
    <cfRule type="expression" dxfId="55" priority="10">
      <formula>AND(LEFT(M5,6)&lt;&gt;"mezera",M5&lt;&gt;"")</formula>
    </cfRule>
  </conditionalFormatting>
  <conditionalFormatting sqref="A5:A9">
    <cfRule type="expression" dxfId="54" priority="8">
      <formula>AND(M5&lt;&gt;"",M5&lt;&gt;"mezeraKL")</formula>
    </cfRule>
  </conditionalFormatting>
  <conditionalFormatting sqref="F5:F9">
    <cfRule type="cellIs" dxfId="53" priority="7" operator="lessThan">
      <formula>0.6</formula>
    </cfRule>
  </conditionalFormatting>
  <conditionalFormatting sqref="B5:L9">
    <cfRule type="expression" dxfId="52" priority="9">
      <formula>OR($M5="KL",$M5="SumaKL")</formula>
    </cfRule>
    <cfRule type="expression" dxfId="51" priority="11">
      <formula>$M5="SumaNS"</formula>
    </cfRule>
  </conditionalFormatting>
  <conditionalFormatting sqref="A5:L9">
    <cfRule type="expression" dxfId="50" priority="12">
      <formula>$M5&lt;&gt;""</formula>
    </cfRule>
  </conditionalFormatting>
  <conditionalFormatting sqref="B11:B21">
    <cfRule type="expression" dxfId="49" priority="4">
      <formula>AND(LEFT(M11,6)&lt;&gt;"mezera",M11&lt;&gt;"")</formula>
    </cfRule>
  </conditionalFormatting>
  <conditionalFormatting sqref="A11:A21">
    <cfRule type="expression" dxfId="48" priority="2">
      <formula>AND(M11&lt;&gt;"",M11&lt;&gt;"mezeraKL")</formula>
    </cfRule>
  </conditionalFormatting>
  <conditionalFormatting sqref="F11:F21">
    <cfRule type="cellIs" dxfId="47" priority="1" operator="lessThan">
      <formula>0.6</formula>
    </cfRule>
  </conditionalFormatting>
  <conditionalFormatting sqref="B11:L21">
    <cfRule type="expression" dxfId="46" priority="3">
      <formula>OR($M11="KL",$M11="SumaKL")</formula>
    </cfRule>
    <cfRule type="expression" dxfId="45" priority="5">
      <formula>$M11="SumaNS"</formula>
    </cfRule>
  </conditionalFormatting>
  <conditionalFormatting sqref="A11:L21">
    <cfRule type="expression" dxfId="44" priority="6">
      <formula>$M11&lt;&gt;""</formula>
    </cfRule>
  </conditionalFormatting>
  <hyperlinks>
    <hyperlink ref="A2" location="Obsah!A1" display="Zpět na Obsah  KL 01  1.-4.měsíc" xr:uid="{3DE4D6D2-20F3-45C6-99BF-515DBF994D79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19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247" customWidth="1"/>
    <col min="2" max="2" width="11.140625" style="329" bestFit="1" customWidth="1"/>
    <col min="3" max="3" width="11.140625" style="247" hidden="1" customWidth="1"/>
    <col min="4" max="4" width="7.28515625" style="329" bestFit="1" customWidth="1"/>
    <col min="5" max="5" width="7.28515625" style="247" hidden="1" customWidth="1"/>
    <col min="6" max="6" width="11.140625" style="329" bestFit="1" customWidth="1"/>
    <col min="7" max="7" width="5.28515625" style="332" customWidth="1"/>
    <col min="8" max="8" width="7.28515625" style="329" bestFit="1" customWidth="1"/>
    <col min="9" max="9" width="5.28515625" style="332" customWidth="1"/>
    <col min="10" max="10" width="11.140625" style="329" customWidth="1"/>
    <col min="11" max="11" width="5.28515625" style="332" customWidth="1"/>
    <col min="12" max="12" width="7.28515625" style="329" customWidth="1"/>
    <col min="13" max="13" width="5.28515625" style="332" customWidth="1"/>
    <col min="14" max="14" width="0" style="247" hidden="1" customWidth="1"/>
    <col min="15" max="16384" width="8.85546875" style="247"/>
  </cols>
  <sheetData>
    <row r="1" spans="1:13" ht="18.600000000000001" customHeight="1" thickBot="1" x14ac:dyDescent="0.35">
      <c r="A1" s="551" t="s">
        <v>190</v>
      </c>
      <c r="B1" s="551"/>
      <c r="C1" s="551"/>
      <c r="D1" s="551"/>
      <c r="E1" s="551"/>
      <c r="F1" s="551"/>
      <c r="G1" s="551"/>
      <c r="H1" s="551"/>
      <c r="I1" s="551"/>
      <c r="J1" s="513"/>
      <c r="K1" s="513"/>
      <c r="L1" s="513"/>
      <c r="M1" s="513"/>
    </row>
    <row r="2" spans="1:13" ht="14.45" customHeight="1" thickBot="1" x14ac:dyDescent="0.25">
      <c r="A2" s="371" t="s">
        <v>328</v>
      </c>
      <c r="B2" s="336"/>
      <c r="C2" s="328"/>
      <c r="D2" s="336"/>
      <c r="E2" s="328"/>
      <c r="F2" s="336"/>
      <c r="G2" s="337"/>
      <c r="H2" s="336"/>
      <c r="I2" s="337"/>
    </row>
    <row r="3" spans="1:13" ht="14.45" customHeight="1" thickBot="1" x14ac:dyDescent="0.25">
      <c r="A3" s="262"/>
      <c r="B3" s="568" t="s">
        <v>15</v>
      </c>
      <c r="C3" s="570"/>
      <c r="D3" s="567"/>
      <c r="E3" s="261"/>
      <c r="F3" s="567" t="s">
        <v>16</v>
      </c>
      <c r="G3" s="567"/>
      <c r="H3" s="567"/>
      <c r="I3" s="567"/>
      <c r="J3" s="567" t="s">
        <v>189</v>
      </c>
      <c r="K3" s="567"/>
      <c r="L3" s="567"/>
      <c r="M3" s="569"/>
    </row>
    <row r="4" spans="1:13" ht="14.45" customHeight="1" thickBot="1" x14ac:dyDescent="0.25">
      <c r="A4" s="782" t="s">
        <v>166</v>
      </c>
      <c r="B4" s="783" t="s">
        <v>19</v>
      </c>
      <c r="C4" s="809"/>
      <c r="D4" s="783" t="s">
        <v>20</v>
      </c>
      <c r="E4" s="809"/>
      <c r="F4" s="783" t="s">
        <v>19</v>
      </c>
      <c r="G4" s="786" t="s">
        <v>2</v>
      </c>
      <c r="H4" s="783" t="s">
        <v>20</v>
      </c>
      <c r="I4" s="786" t="s">
        <v>2</v>
      </c>
      <c r="J4" s="783" t="s">
        <v>19</v>
      </c>
      <c r="K4" s="786" t="s">
        <v>2</v>
      </c>
      <c r="L4" s="783" t="s">
        <v>20</v>
      </c>
      <c r="M4" s="787" t="s">
        <v>2</v>
      </c>
    </row>
    <row r="5" spans="1:13" ht="14.45" customHeight="1" x14ac:dyDescent="0.2">
      <c r="A5" s="806" t="s">
        <v>1034</v>
      </c>
      <c r="B5" s="797">
        <v>86223.54</v>
      </c>
      <c r="C5" s="741">
        <v>1</v>
      </c>
      <c r="D5" s="810">
        <v>101</v>
      </c>
      <c r="E5" s="813" t="s">
        <v>1034</v>
      </c>
      <c r="F5" s="797">
        <v>26529.87</v>
      </c>
      <c r="G5" s="765">
        <v>0.30768708869990724</v>
      </c>
      <c r="H5" s="745">
        <v>18</v>
      </c>
      <c r="I5" s="788">
        <v>0.17821782178217821</v>
      </c>
      <c r="J5" s="816">
        <v>59693.67</v>
      </c>
      <c r="K5" s="765">
        <v>0.69231291130009276</v>
      </c>
      <c r="L5" s="745">
        <v>83</v>
      </c>
      <c r="M5" s="788">
        <v>0.82178217821782173</v>
      </c>
    </row>
    <row r="6" spans="1:13" ht="14.45" customHeight="1" x14ac:dyDescent="0.2">
      <c r="A6" s="807" t="s">
        <v>1035</v>
      </c>
      <c r="B6" s="798">
        <v>572.27</v>
      </c>
      <c r="C6" s="748">
        <v>1</v>
      </c>
      <c r="D6" s="811">
        <v>3</v>
      </c>
      <c r="E6" s="814" t="s">
        <v>1035</v>
      </c>
      <c r="F6" s="798">
        <v>450.51</v>
      </c>
      <c r="G6" s="766">
        <v>0.78723329896727068</v>
      </c>
      <c r="H6" s="752">
        <v>2</v>
      </c>
      <c r="I6" s="789">
        <v>0.66666666666666663</v>
      </c>
      <c r="J6" s="817">
        <v>121.76</v>
      </c>
      <c r="K6" s="766">
        <v>0.21276670103272932</v>
      </c>
      <c r="L6" s="752">
        <v>1</v>
      </c>
      <c r="M6" s="789">
        <v>0.33333333333333331</v>
      </c>
    </row>
    <row r="7" spans="1:13" ht="14.45" customHeight="1" x14ac:dyDescent="0.2">
      <c r="A7" s="807" t="s">
        <v>1036</v>
      </c>
      <c r="B7" s="798">
        <v>10484.290000000001</v>
      </c>
      <c r="C7" s="748">
        <v>1</v>
      </c>
      <c r="D7" s="811">
        <v>23</v>
      </c>
      <c r="E7" s="814" t="s">
        <v>1036</v>
      </c>
      <c r="F7" s="798">
        <v>3164.33</v>
      </c>
      <c r="G7" s="766">
        <v>0.30181633663319113</v>
      </c>
      <c r="H7" s="752">
        <v>15</v>
      </c>
      <c r="I7" s="789">
        <v>0.65217391304347827</v>
      </c>
      <c r="J7" s="817">
        <v>7319.96</v>
      </c>
      <c r="K7" s="766">
        <v>0.69818366336680882</v>
      </c>
      <c r="L7" s="752">
        <v>8</v>
      </c>
      <c r="M7" s="789">
        <v>0.34782608695652173</v>
      </c>
    </row>
    <row r="8" spans="1:13" ht="14.45" customHeight="1" x14ac:dyDescent="0.2">
      <c r="A8" s="807" t="s">
        <v>1037</v>
      </c>
      <c r="B8" s="798">
        <v>61.97</v>
      </c>
      <c r="C8" s="748">
        <v>1</v>
      </c>
      <c r="D8" s="811">
        <v>1</v>
      </c>
      <c r="E8" s="814" t="s">
        <v>1037</v>
      </c>
      <c r="F8" s="798"/>
      <c r="G8" s="766">
        <v>0</v>
      </c>
      <c r="H8" s="752"/>
      <c r="I8" s="789">
        <v>0</v>
      </c>
      <c r="J8" s="817">
        <v>61.97</v>
      </c>
      <c r="K8" s="766">
        <v>1</v>
      </c>
      <c r="L8" s="752">
        <v>1</v>
      </c>
      <c r="M8" s="789">
        <v>1</v>
      </c>
    </row>
    <row r="9" spans="1:13" ht="14.45" customHeight="1" x14ac:dyDescent="0.2">
      <c r="A9" s="807" t="s">
        <v>1038</v>
      </c>
      <c r="B9" s="798">
        <v>303891.57999999996</v>
      </c>
      <c r="C9" s="748">
        <v>1</v>
      </c>
      <c r="D9" s="811">
        <v>83</v>
      </c>
      <c r="E9" s="814" t="s">
        <v>1038</v>
      </c>
      <c r="F9" s="798">
        <v>139920.56</v>
      </c>
      <c r="G9" s="766">
        <v>0.46042920965431161</v>
      </c>
      <c r="H9" s="752">
        <v>33</v>
      </c>
      <c r="I9" s="789">
        <v>0.39759036144578314</v>
      </c>
      <c r="J9" s="817">
        <v>163971.01999999999</v>
      </c>
      <c r="K9" s="766">
        <v>0.53957079034568844</v>
      </c>
      <c r="L9" s="752">
        <v>50</v>
      </c>
      <c r="M9" s="789">
        <v>0.60240963855421692</v>
      </c>
    </row>
    <row r="10" spans="1:13" ht="14.45" customHeight="1" x14ac:dyDescent="0.2">
      <c r="A10" s="807" t="s">
        <v>1039</v>
      </c>
      <c r="B10" s="798">
        <v>1640.5</v>
      </c>
      <c r="C10" s="748">
        <v>1</v>
      </c>
      <c r="D10" s="811">
        <v>13</v>
      </c>
      <c r="E10" s="814" t="s">
        <v>1039</v>
      </c>
      <c r="F10" s="798">
        <v>708.05000000000007</v>
      </c>
      <c r="G10" s="766">
        <v>0.43160621761658036</v>
      </c>
      <c r="H10" s="752">
        <v>9</v>
      </c>
      <c r="I10" s="789">
        <v>0.69230769230769229</v>
      </c>
      <c r="J10" s="817">
        <v>932.45</v>
      </c>
      <c r="K10" s="766">
        <v>0.56839378238341975</v>
      </c>
      <c r="L10" s="752">
        <v>4</v>
      </c>
      <c r="M10" s="789">
        <v>0.30769230769230771</v>
      </c>
    </row>
    <row r="11" spans="1:13" ht="14.45" customHeight="1" x14ac:dyDescent="0.2">
      <c r="A11" s="807" t="s">
        <v>1040</v>
      </c>
      <c r="B11" s="798">
        <v>2653.47</v>
      </c>
      <c r="C11" s="748">
        <v>1</v>
      </c>
      <c r="D11" s="811">
        <v>8</v>
      </c>
      <c r="E11" s="814" t="s">
        <v>1040</v>
      </c>
      <c r="F11" s="798">
        <v>2238.7399999999998</v>
      </c>
      <c r="G11" s="766">
        <v>0.84370277410334393</v>
      </c>
      <c r="H11" s="752">
        <v>7</v>
      </c>
      <c r="I11" s="789">
        <v>0.875</v>
      </c>
      <c r="J11" s="817">
        <v>414.73</v>
      </c>
      <c r="K11" s="766">
        <v>0.15629722589665609</v>
      </c>
      <c r="L11" s="752">
        <v>1</v>
      </c>
      <c r="M11" s="789">
        <v>0.125</v>
      </c>
    </row>
    <row r="12" spans="1:13" ht="14.45" customHeight="1" x14ac:dyDescent="0.2">
      <c r="A12" s="807" t="s">
        <v>1041</v>
      </c>
      <c r="B12" s="798">
        <v>1802.5700000000002</v>
      </c>
      <c r="C12" s="748">
        <v>1</v>
      </c>
      <c r="D12" s="811">
        <v>3</v>
      </c>
      <c r="E12" s="814" t="s">
        <v>1041</v>
      </c>
      <c r="F12" s="798">
        <v>1768.8600000000001</v>
      </c>
      <c r="G12" s="766">
        <v>0.98129892320409196</v>
      </c>
      <c r="H12" s="752">
        <v>2</v>
      </c>
      <c r="I12" s="789">
        <v>0.66666666666666663</v>
      </c>
      <c r="J12" s="817">
        <v>33.71</v>
      </c>
      <c r="K12" s="766">
        <v>1.8701076795908062E-2</v>
      </c>
      <c r="L12" s="752">
        <v>1</v>
      </c>
      <c r="M12" s="789">
        <v>0.33333333333333331</v>
      </c>
    </row>
    <row r="13" spans="1:13" ht="14.45" customHeight="1" x14ac:dyDescent="0.2">
      <c r="A13" s="807" t="s">
        <v>1042</v>
      </c>
      <c r="B13" s="798">
        <v>15819.179999999997</v>
      </c>
      <c r="C13" s="748">
        <v>1</v>
      </c>
      <c r="D13" s="811">
        <v>34</v>
      </c>
      <c r="E13" s="814" t="s">
        <v>1042</v>
      </c>
      <c r="F13" s="798">
        <v>5555.0099999999993</v>
      </c>
      <c r="G13" s="766">
        <v>0.35115663390896373</v>
      </c>
      <c r="H13" s="752">
        <v>15</v>
      </c>
      <c r="I13" s="789">
        <v>0.44117647058823528</v>
      </c>
      <c r="J13" s="817">
        <v>10264.169999999998</v>
      </c>
      <c r="K13" s="766">
        <v>0.64884336609103632</v>
      </c>
      <c r="L13" s="752">
        <v>19</v>
      </c>
      <c r="M13" s="789">
        <v>0.55882352941176472</v>
      </c>
    </row>
    <row r="14" spans="1:13" ht="14.45" customHeight="1" x14ac:dyDescent="0.2">
      <c r="A14" s="807" t="s">
        <v>1043</v>
      </c>
      <c r="B14" s="798">
        <v>302317.32</v>
      </c>
      <c r="C14" s="748">
        <v>1</v>
      </c>
      <c r="D14" s="811">
        <v>115</v>
      </c>
      <c r="E14" s="814" t="s">
        <v>1043</v>
      </c>
      <c r="F14" s="798">
        <v>181329.63000000003</v>
      </c>
      <c r="G14" s="766">
        <v>0.599799012507785</v>
      </c>
      <c r="H14" s="752">
        <v>77</v>
      </c>
      <c r="I14" s="789">
        <v>0.66956521739130437</v>
      </c>
      <c r="J14" s="817">
        <v>120987.68999999999</v>
      </c>
      <c r="K14" s="766">
        <v>0.40020098749221511</v>
      </c>
      <c r="L14" s="752">
        <v>38</v>
      </c>
      <c r="M14" s="789">
        <v>0.33043478260869563</v>
      </c>
    </row>
    <row r="15" spans="1:13" ht="14.45" customHeight="1" x14ac:dyDescent="0.2">
      <c r="A15" s="807" t="s">
        <v>1044</v>
      </c>
      <c r="B15" s="798">
        <v>19863.900000000001</v>
      </c>
      <c r="C15" s="748">
        <v>1</v>
      </c>
      <c r="D15" s="811">
        <v>19</v>
      </c>
      <c r="E15" s="814" t="s">
        <v>1044</v>
      </c>
      <c r="F15" s="798">
        <v>17904</v>
      </c>
      <c r="G15" s="766">
        <v>0.90133357497772337</v>
      </c>
      <c r="H15" s="752">
        <v>12</v>
      </c>
      <c r="I15" s="789">
        <v>0.63157894736842102</v>
      </c>
      <c r="J15" s="817">
        <v>1959.9</v>
      </c>
      <c r="K15" s="766">
        <v>9.8666425022276585E-2</v>
      </c>
      <c r="L15" s="752">
        <v>7</v>
      </c>
      <c r="M15" s="789">
        <v>0.36842105263157893</v>
      </c>
    </row>
    <row r="16" spans="1:13" ht="14.45" customHeight="1" x14ac:dyDescent="0.2">
      <c r="A16" s="807" t="s">
        <v>1045</v>
      </c>
      <c r="B16" s="798">
        <v>4638.0700000000006</v>
      </c>
      <c r="C16" s="748">
        <v>1</v>
      </c>
      <c r="D16" s="811">
        <v>10</v>
      </c>
      <c r="E16" s="814" t="s">
        <v>1045</v>
      </c>
      <c r="F16" s="798">
        <v>2634.7300000000005</v>
      </c>
      <c r="G16" s="766">
        <v>0.5680660274640098</v>
      </c>
      <c r="H16" s="752">
        <v>7</v>
      </c>
      <c r="I16" s="789">
        <v>0.7</v>
      </c>
      <c r="J16" s="817">
        <v>2003.34</v>
      </c>
      <c r="K16" s="766">
        <v>0.43193397253599009</v>
      </c>
      <c r="L16" s="752">
        <v>3</v>
      </c>
      <c r="M16" s="789">
        <v>0.3</v>
      </c>
    </row>
    <row r="17" spans="1:13" ht="14.45" customHeight="1" x14ac:dyDescent="0.2">
      <c r="A17" s="807" t="s">
        <v>1046</v>
      </c>
      <c r="B17" s="798">
        <v>623.32999999999993</v>
      </c>
      <c r="C17" s="748">
        <v>1</v>
      </c>
      <c r="D17" s="811">
        <v>4</v>
      </c>
      <c r="E17" s="814" t="s">
        <v>1046</v>
      </c>
      <c r="F17" s="798">
        <v>623.32999999999993</v>
      </c>
      <c r="G17" s="766">
        <v>1</v>
      </c>
      <c r="H17" s="752">
        <v>3</v>
      </c>
      <c r="I17" s="789">
        <v>0.75</v>
      </c>
      <c r="J17" s="817">
        <v>0</v>
      </c>
      <c r="K17" s="766">
        <v>0</v>
      </c>
      <c r="L17" s="752">
        <v>1</v>
      </c>
      <c r="M17" s="789">
        <v>0.25</v>
      </c>
    </row>
    <row r="18" spans="1:13" ht="14.45" customHeight="1" x14ac:dyDescent="0.2">
      <c r="A18" s="807" t="s">
        <v>1047</v>
      </c>
      <c r="B18" s="798">
        <v>187128.62</v>
      </c>
      <c r="C18" s="748">
        <v>1</v>
      </c>
      <c r="D18" s="811">
        <v>70</v>
      </c>
      <c r="E18" s="814" t="s">
        <v>1047</v>
      </c>
      <c r="F18" s="798">
        <v>70922.070000000007</v>
      </c>
      <c r="G18" s="766">
        <v>0.37900172619239114</v>
      </c>
      <c r="H18" s="752">
        <v>37</v>
      </c>
      <c r="I18" s="789">
        <v>0.52857142857142858</v>
      </c>
      <c r="J18" s="817">
        <v>116206.55</v>
      </c>
      <c r="K18" s="766">
        <v>0.62099827380760897</v>
      </c>
      <c r="L18" s="752">
        <v>33</v>
      </c>
      <c r="M18" s="789">
        <v>0.47142857142857142</v>
      </c>
    </row>
    <row r="19" spans="1:13" ht="14.45" customHeight="1" thickBot="1" x14ac:dyDescent="0.25">
      <c r="A19" s="808" t="s">
        <v>1048</v>
      </c>
      <c r="B19" s="799">
        <v>1508.4</v>
      </c>
      <c r="C19" s="755">
        <v>1</v>
      </c>
      <c r="D19" s="812">
        <v>3</v>
      </c>
      <c r="E19" s="815" t="s">
        <v>1048</v>
      </c>
      <c r="F19" s="799">
        <v>1474.69</v>
      </c>
      <c r="G19" s="767">
        <v>0.97765181649429855</v>
      </c>
      <c r="H19" s="759">
        <v>2</v>
      </c>
      <c r="I19" s="790">
        <v>0.66666666666666663</v>
      </c>
      <c r="J19" s="818">
        <v>33.71</v>
      </c>
      <c r="K19" s="767">
        <v>2.2348183505701405E-2</v>
      </c>
      <c r="L19" s="759">
        <v>1</v>
      </c>
      <c r="M19" s="790">
        <v>0.33333333333333331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43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04769C15-D92C-4FA9-BD44-169E83761CB7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277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247" hidden="1" customWidth="1" outlineLevel="1"/>
    <col min="2" max="2" width="28.28515625" style="247" hidden="1" customWidth="1" outlineLevel="1"/>
    <col min="3" max="3" width="9" style="247" customWidth="1" collapsed="1"/>
    <col min="4" max="4" width="18.7109375" style="340" customWidth="1"/>
    <col min="5" max="5" width="13.5703125" style="330" customWidth="1"/>
    <col min="6" max="6" width="6" style="247" bestFit="1" customWidth="1"/>
    <col min="7" max="7" width="8.7109375" style="247" customWidth="1"/>
    <col min="8" max="8" width="5" style="247" bestFit="1" customWidth="1"/>
    <col min="9" max="9" width="8.5703125" style="247" hidden="1" customWidth="1" outlineLevel="1"/>
    <col min="10" max="10" width="25.7109375" style="247" customWidth="1" collapsed="1"/>
    <col min="11" max="11" width="8.7109375" style="247" customWidth="1"/>
    <col min="12" max="12" width="7.7109375" style="331" customWidth="1"/>
    <col min="13" max="13" width="11.140625" style="331" customWidth="1"/>
    <col min="14" max="14" width="7.7109375" style="247" customWidth="1"/>
    <col min="15" max="15" width="7.7109375" style="341" customWidth="1"/>
    <col min="16" max="16" width="11.140625" style="331" customWidth="1"/>
    <col min="17" max="17" width="5.42578125" style="332" bestFit="1" customWidth="1"/>
    <col min="18" max="18" width="7.7109375" style="247" customWidth="1"/>
    <col min="19" max="19" width="5.42578125" style="332" bestFit="1" customWidth="1"/>
    <col min="20" max="20" width="7.7109375" style="341" customWidth="1"/>
    <col min="21" max="21" width="5.42578125" style="332" bestFit="1" customWidth="1"/>
    <col min="22" max="16384" width="8.85546875" style="247"/>
  </cols>
  <sheetData>
    <row r="1" spans="1:21" ht="18.600000000000001" customHeight="1" thickBot="1" x14ac:dyDescent="0.35">
      <c r="A1" s="542" t="s">
        <v>1568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</row>
    <row r="2" spans="1:21" ht="14.45" customHeight="1" thickBot="1" x14ac:dyDescent="0.25">
      <c r="A2" s="371" t="s">
        <v>328</v>
      </c>
      <c r="B2" s="338"/>
      <c r="C2" s="328"/>
      <c r="D2" s="328"/>
      <c r="E2" s="339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</row>
    <row r="3" spans="1:21" ht="14.45" customHeight="1" thickBot="1" x14ac:dyDescent="0.25">
      <c r="A3" s="574"/>
      <c r="B3" s="575"/>
      <c r="C3" s="575"/>
      <c r="D3" s="575"/>
      <c r="E3" s="575"/>
      <c r="F3" s="575"/>
      <c r="G3" s="575"/>
      <c r="H3" s="575"/>
      <c r="I3" s="575"/>
      <c r="J3" s="575"/>
      <c r="K3" s="576" t="s">
        <v>158</v>
      </c>
      <c r="L3" s="577"/>
      <c r="M3" s="70">
        <f>SUBTOTAL(9,M7:M1048576)</f>
        <v>939229.01000000071</v>
      </c>
      <c r="N3" s="70">
        <f>SUBTOTAL(9,N7:N1048576)</f>
        <v>4805</v>
      </c>
      <c r="O3" s="70">
        <f>SUBTOTAL(9,O7:O1048576)</f>
        <v>490</v>
      </c>
      <c r="P3" s="70">
        <f>SUBTOTAL(9,P7:P1048576)</f>
        <v>455224.38000000012</v>
      </c>
      <c r="Q3" s="71">
        <f>IF(M3=0,0,P3/M3)</f>
        <v>0.4846787898938511</v>
      </c>
      <c r="R3" s="70">
        <f>SUBTOTAL(9,R7:R1048576)</f>
        <v>2351</v>
      </c>
      <c r="S3" s="71">
        <f>IF(N3=0,0,R3/N3)</f>
        <v>0.48928199791883453</v>
      </c>
      <c r="T3" s="70">
        <f>SUBTOTAL(9,T7:T1048576)</f>
        <v>239</v>
      </c>
      <c r="U3" s="72">
        <f>IF(O3=0,0,T3/O3)</f>
        <v>0.48775510204081635</v>
      </c>
    </row>
    <row r="4" spans="1:21" ht="14.45" customHeight="1" x14ac:dyDescent="0.2">
      <c r="A4" s="73"/>
      <c r="B4" s="74"/>
      <c r="C4" s="74"/>
      <c r="D4" s="75"/>
      <c r="E4" s="262"/>
      <c r="F4" s="74"/>
      <c r="G4" s="74"/>
      <c r="H4" s="74"/>
      <c r="I4" s="74"/>
      <c r="J4" s="74"/>
      <c r="K4" s="74"/>
      <c r="L4" s="74"/>
      <c r="M4" s="578" t="s">
        <v>15</v>
      </c>
      <c r="N4" s="579"/>
      <c r="O4" s="579"/>
      <c r="P4" s="580" t="s">
        <v>21</v>
      </c>
      <c r="Q4" s="579"/>
      <c r="R4" s="579"/>
      <c r="S4" s="579"/>
      <c r="T4" s="579"/>
      <c r="U4" s="581"/>
    </row>
    <row r="5" spans="1:21" ht="14.45" customHeight="1" thickBot="1" x14ac:dyDescent="0.25">
      <c r="A5" s="76"/>
      <c r="B5" s="77"/>
      <c r="C5" s="74"/>
      <c r="D5" s="75"/>
      <c r="E5" s="26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71" t="s">
        <v>22</v>
      </c>
      <c r="Q5" s="572"/>
      <c r="R5" s="571" t="s">
        <v>13</v>
      </c>
      <c r="S5" s="572"/>
      <c r="T5" s="571" t="s">
        <v>20</v>
      </c>
      <c r="U5" s="573"/>
    </row>
    <row r="6" spans="1:21" s="330" customFormat="1" ht="14.45" customHeight="1" thickBot="1" x14ac:dyDescent="0.25">
      <c r="A6" s="819" t="s">
        <v>23</v>
      </c>
      <c r="B6" s="820" t="s">
        <v>5</v>
      </c>
      <c r="C6" s="819" t="s">
        <v>24</v>
      </c>
      <c r="D6" s="820" t="s">
        <v>6</v>
      </c>
      <c r="E6" s="820" t="s">
        <v>192</v>
      </c>
      <c r="F6" s="820" t="s">
        <v>25</v>
      </c>
      <c r="G6" s="820" t="s">
        <v>26</v>
      </c>
      <c r="H6" s="820" t="s">
        <v>8</v>
      </c>
      <c r="I6" s="820" t="s">
        <v>10</v>
      </c>
      <c r="J6" s="820" t="s">
        <v>11</v>
      </c>
      <c r="K6" s="820" t="s">
        <v>12</v>
      </c>
      <c r="L6" s="820" t="s">
        <v>27</v>
      </c>
      <c r="M6" s="821" t="s">
        <v>14</v>
      </c>
      <c r="N6" s="822" t="s">
        <v>28</v>
      </c>
      <c r="O6" s="822" t="s">
        <v>28</v>
      </c>
      <c r="P6" s="822" t="s">
        <v>14</v>
      </c>
      <c r="Q6" s="822" t="s">
        <v>2</v>
      </c>
      <c r="R6" s="822" t="s">
        <v>28</v>
      </c>
      <c r="S6" s="822" t="s">
        <v>2</v>
      </c>
      <c r="T6" s="822" t="s">
        <v>28</v>
      </c>
      <c r="U6" s="823" t="s">
        <v>2</v>
      </c>
    </row>
    <row r="7" spans="1:21" ht="14.45" customHeight="1" x14ac:dyDescent="0.2">
      <c r="A7" s="824">
        <v>9</v>
      </c>
      <c r="B7" s="825" t="s">
        <v>1022</v>
      </c>
      <c r="C7" s="825" t="s">
        <v>1029</v>
      </c>
      <c r="D7" s="826" t="s">
        <v>1566</v>
      </c>
      <c r="E7" s="827" t="s">
        <v>1036</v>
      </c>
      <c r="F7" s="825" t="s">
        <v>1023</v>
      </c>
      <c r="G7" s="825" t="s">
        <v>1049</v>
      </c>
      <c r="H7" s="825" t="s">
        <v>572</v>
      </c>
      <c r="I7" s="825" t="s">
        <v>1050</v>
      </c>
      <c r="J7" s="825" t="s">
        <v>1051</v>
      </c>
      <c r="K7" s="825" t="s">
        <v>1052</v>
      </c>
      <c r="L7" s="828">
        <v>247.17</v>
      </c>
      <c r="M7" s="828">
        <v>247.17</v>
      </c>
      <c r="N7" s="825">
        <v>1</v>
      </c>
      <c r="O7" s="829">
        <v>0.5</v>
      </c>
      <c r="P7" s="828">
        <v>247.17</v>
      </c>
      <c r="Q7" s="830">
        <v>1</v>
      </c>
      <c r="R7" s="825">
        <v>1</v>
      </c>
      <c r="S7" s="830">
        <v>1</v>
      </c>
      <c r="T7" s="829">
        <v>0.5</v>
      </c>
      <c r="U7" s="231">
        <v>1</v>
      </c>
    </row>
    <row r="8" spans="1:21" ht="14.45" customHeight="1" x14ac:dyDescent="0.2">
      <c r="A8" s="831">
        <v>9</v>
      </c>
      <c r="B8" s="832" t="s">
        <v>1022</v>
      </c>
      <c r="C8" s="832" t="s">
        <v>1029</v>
      </c>
      <c r="D8" s="833" t="s">
        <v>1566</v>
      </c>
      <c r="E8" s="834" t="s">
        <v>1036</v>
      </c>
      <c r="F8" s="832" t="s">
        <v>1023</v>
      </c>
      <c r="G8" s="832" t="s">
        <v>1053</v>
      </c>
      <c r="H8" s="832" t="s">
        <v>572</v>
      </c>
      <c r="I8" s="832" t="s">
        <v>1054</v>
      </c>
      <c r="J8" s="832" t="s">
        <v>1055</v>
      </c>
      <c r="K8" s="832" t="s">
        <v>1056</v>
      </c>
      <c r="L8" s="835">
        <v>168.77</v>
      </c>
      <c r="M8" s="835">
        <v>506.31000000000006</v>
      </c>
      <c r="N8" s="832">
        <v>3</v>
      </c>
      <c r="O8" s="836">
        <v>1.5</v>
      </c>
      <c r="P8" s="835">
        <v>506.31000000000006</v>
      </c>
      <c r="Q8" s="837">
        <v>1</v>
      </c>
      <c r="R8" s="832">
        <v>3</v>
      </c>
      <c r="S8" s="837">
        <v>1</v>
      </c>
      <c r="T8" s="836">
        <v>1.5</v>
      </c>
      <c r="U8" s="838">
        <v>1</v>
      </c>
    </row>
    <row r="9" spans="1:21" ht="14.45" customHeight="1" x14ac:dyDescent="0.2">
      <c r="A9" s="831">
        <v>9</v>
      </c>
      <c r="B9" s="832" t="s">
        <v>1022</v>
      </c>
      <c r="C9" s="832" t="s">
        <v>1029</v>
      </c>
      <c r="D9" s="833" t="s">
        <v>1566</v>
      </c>
      <c r="E9" s="834" t="s">
        <v>1036</v>
      </c>
      <c r="F9" s="832" t="s">
        <v>1023</v>
      </c>
      <c r="G9" s="832" t="s">
        <v>1057</v>
      </c>
      <c r="H9" s="832" t="s">
        <v>572</v>
      </c>
      <c r="I9" s="832" t="s">
        <v>1058</v>
      </c>
      <c r="J9" s="832" t="s">
        <v>1059</v>
      </c>
      <c r="K9" s="832" t="s">
        <v>1060</v>
      </c>
      <c r="L9" s="835">
        <v>170.52</v>
      </c>
      <c r="M9" s="835">
        <v>682.08</v>
      </c>
      <c r="N9" s="832">
        <v>4</v>
      </c>
      <c r="O9" s="836">
        <v>1.5</v>
      </c>
      <c r="P9" s="835">
        <v>341.04</v>
      </c>
      <c r="Q9" s="837">
        <v>0.5</v>
      </c>
      <c r="R9" s="832">
        <v>2</v>
      </c>
      <c r="S9" s="837">
        <v>0.5</v>
      </c>
      <c r="T9" s="836">
        <v>0.5</v>
      </c>
      <c r="U9" s="838">
        <v>0.33333333333333331</v>
      </c>
    </row>
    <row r="10" spans="1:21" ht="14.45" customHeight="1" x14ac:dyDescent="0.2">
      <c r="A10" s="831">
        <v>9</v>
      </c>
      <c r="B10" s="832" t="s">
        <v>1022</v>
      </c>
      <c r="C10" s="832" t="s">
        <v>1029</v>
      </c>
      <c r="D10" s="833" t="s">
        <v>1566</v>
      </c>
      <c r="E10" s="834" t="s">
        <v>1036</v>
      </c>
      <c r="F10" s="832" t="s">
        <v>1023</v>
      </c>
      <c r="G10" s="832" t="s">
        <v>1061</v>
      </c>
      <c r="H10" s="832" t="s">
        <v>676</v>
      </c>
      <c r="I10" s="832" t="s">
        <v>1062</v>
      </c>
      <c r="J10" s="832" t="s">
        <v>1063</v>
      </c>
      <c r="K10" s="832" t="s">
        <v>1064</v>
      </c>
      <c r="L10" s="835">
        <v>176.32</v>
      </c>
      <c r="M10" s="835">
        <v>176.32</v>
      </c>
      <c r="N10" s="832">
        <v>1</v>
      </c>
      <c r="O10" s="836">
        <v>1</v>
      </c>
      <c r="P10" s="835"/>
      <c r="Q10" s="837">
        <v>0</v>
      </c>
      <c r="R10" s="832"/>
      <c r="S10" s="837">
        <v>0</v>
      </c>
      <c r="T10" s="836"/>
      <c r="U10" s="838">
        <v>0</v>
      </c>
    </row>
    <row r="11" spans="1:21" ht="14.45" customHeight="1" x14ac:dyDescent="0.2">
      <c r="A11" s="831">
        <v>9</v>
      </c>
      <c r="B11" s="832" t="s">
        <v>1022</v>
      </c>
      <c r="C11" s="832" t="s">
        <v>1029</v>
      </c>
      <c r="D11" s="833" t="s">
        <v>1566</v>
      </c>
      <c r="E11" s="834" t="s">
        <v>1036</v>
      </c>
      <c r="F11" s="832" t="s">
        <v>1023</v>
      </c>
      <c r="G11" s="832" t="s">
        <v>1065</v>
      </c>
      <c r="H11" s="832" t="s">
        <v>572</v>
      </c>
      <c r="I11" s="832" t="s">
        <v>1066</v>
      </c>
      <c r="J11" s="832" t="s">
        <v>1067</v>
      </c>
      <c r="K11" s="832" t="s">
        <v>1068</v>
      </c>
      <c r="L11" s="835">
        <v>103.67</v>
      </c>
      <c r="M11" s="835">
        <v>103.67</v>
      </c>
      <c r="N11" s="832">
        <v>1</v>
      </c>
      <c r="O11" s="836">
        <v>1</v>
      </c>
      <c r="P11" s="835">
        <v>103.67</v>
      </c>
      <c r="Q11" s="837">
        <v>1</v>
      </c>
      <c r="R11" s="832">
        <v>1</v>
      </c>
      <c r="S11" s="837">
        <v>1</v>
      </c>
      <c r="T11" s="836">
        <v>1</v>
      </c>
      <c r="U11" s="838">
        <v>1</v>
      </c>
    </row>
    <row r="12" spans="1:21" ht="14.45" customHeight="1" x14ac:dyDescent="0.2">
      <c r="A12" s="831">
        <v>9</v>
      </c>
      <c r="B12" s="832" t="s">
        <v>1022</v>
      </c>
      <c r="C12" s="832" t="s">
        <v>1029</v>
      </c>
      <c r="D12" s="833" t="s">
        <v>1566</v>
      </c>
      <c r="E12" s="834" t="s">
        <v>1036</v>
      </c>
      <c r="F12" s="832" t="s">
        <v>1023</v>
      </c>
      <c r="G12" s="832" t="s">
        <v>1069</v>
      </c>
      <c r="H12" s="832" t="s">
        <v>572</v>
      </c>
      <c r="I12" s="832" t="s">
        <v>1070</v>
      </c>
      <c r="J12" s="832" t="s">
        <v>1071</v>
      </c>
      <c r="K12" s="832" t="s">
        <v>1072</v>
      </c>
      <c r="L12" s="835">
        <v>611.59</v>
      </c>
      <c r="M12" s="835">
        <v>611.59</v>
      </c>
      <c r="N12" s="832">
        <v>1</v>
      </c>
      <c r="O12" s="836">
        <v>1</v>
      </c>
      <c r="P12" s="835"/>
      <c r="Q12" s="837">
        <v>0</v>
      </c>
      <c r="R12" s="832"/>
      <c r="S12" s="837">
        <v>0</v>
      </c>
      <c r="T12" s="836"/>
      <c r="U12" s="838">
        <v>0</v>
      </c>
    </row>
    <row r="13" spans="1:21" ht="14.45" customHeight="1" x14ac:dyDescent="0.2">
      <c r="A13" s="831">
        <v>9</v>
      </c>
      <c r="B13" s="832" t="s">
        <v>1022</v>
      </c>
      <c r="C13" s="832" t="s">
        <v>1029</v>
      </c>
      <c r="D13" s="833" t="s">
        <v>1566</v>
      </c>
      <c r="E13" s="834" t="s">
        <v>1036</v>
      </c>
      <c r="F13" s="832" t="s">
        <v>1023</v>
      </c>
      <c r="G13" s="832" t="s">
        <v>1073</v>
      </c>
      <c r="H13" s="832" t="s">
        <v>572</v>
      </c>
      <c r="I13" s="832" t="s">
        <v>1074</v>
      </c>
      <c r="J13" s="832" t="s">
        <v>651</v>
      </c>
      <c r="K13" s="832" t="s">
        <v>1075</v>
      </c>
      <c r="L13" s="835">
        <v>94.7</v>
      </c>
      <c r="M13" s="835">
        <v>94.7</v>
      </c>
      <c r="N13" s="832">
        <v>1</v>
      </c>
      <c r="O13" s="836">
        <v>0.5</v>
      </c>
      <c r="P13" s="835">
        <v>94.7</v>
      </c>
      <c r="Q13" s="837">
        <v>1</v>
      </c>
      <c r="R13" s="832">
        <v>1</v>
      </c>
      <c r="S13" s="837">
        <v>1</v>
      </c>
      <c r="T13" s="836">
        <v>0.5</v>
      </c>
      <c r="U13" s="838">
        <v>1</v>
      </c>
    </row>
    <row r="14" spans="1:21" ht="14.45" customHeight="1" x14ac:dyDescent="0.2">
      <c r="A14" s="831">
        <v>9</v>
      </c>
      <c r="B14" s="832" t="s">
        <v>1022</v>
      </c>
      <c r="C14" s="832" t="s">
        <v>1029</v>
      </c>
      <c r="D14" s="833" t="s">
        <v>1566</v>
      </c>
      <c r="E14" s="834" t="s">
        <v>1036</v>
      </c>
      <c r="F14" s="832" t="s">
        <v>1023</v>
      </c>
      <c r="G14" s="832" t="s">
        <v>1076</v>
      </c>
      <c r="H14" s="832" t="s">
        <v>572</v>
      </c>
      <c r="I14" s="832" t="s">
        <v>1077</v>
      </c>
      <c r="J14" s="832" t="s">
        <v>1078</v>
      </c>
      <c r="K14" s="832" t="s">
        <v>1079</v>
      </c>
      <c r="L14" s="835">
        <v>0</v>
      </c>
      <c r="M14" s="835">
        <v>0</v>
      </c>
      <c r="N14" s="832">
        <v>3</v>
      </c>
      <c r="O14" s="836">
        <v>3</v>
      </c>
      <c r="P14" s="835"/>
      <c r="Q14" s="837"/>
      <c r="R14" s="832"/>
      <c r="S14" s="837">
        <v>0</v>
      </c>
      <c r="T14" s="836"/>
      <c r="U14" s="838">
        <v>0</v>
      </c>
    </row>
    <row r="15" spans="1:21" ht="14.45" customHeight="1" x14ac:dyDescent="0.2">
      <c r="A15" s="831">
        <v>9</v>
      </c>
      <c r="B15" s="832" t="s">
        <v>1022</v>
      </c>
      <c r="C15" s="832" t="s">
        <v>1029</v>
      </c>
      <c r="D15" s="833" t="s">
        <v>1566</v>
      </c>
      <c r="E15" s="834" t="s">
        <v>1036</v>
      </c>
      <c r="F15" s="832" t="s">
        <v>1023</v>
      </c>
      <c r="G15" s="832" t="s">
        <v>1080</v>
      </c>
      <c r="H15" s="832" t="s">
        <v>572</v>
      </c>
      <c r="I15" s="832" t="s">
        <v>1081</v>
      </c>
      <c r="J15" s="832" t="s">
        <v>1082</v>
      </c>
      <c r="K15" s="832" t="s">
        <v>1083</v>
      </c>
      <c r="L15" s="835">
        <v>69.59</v>
      </c>
      <c r="M15" s="835">
        <v>69.59</v>
      </c>
      <c r="N15" s="832">
        <v>1</v>
      </c>
      <c r="O15" s="836">
        <v>0.5</v>
      </c>
      <c r="P15" s="835">
        <v>69.59</v>
      </c>
      <c r="Q15" s="837">
        <v>1</v>
      </c>
      <c r="R15" s="832">
        <v>1</v>
      </c>
      <c r="S15" s="837">
        <v>1</v>
      </c>
      <c r="T15" s="836">
        <v>0.5</v>
      </c>
      <c r="U15" s="838">
        <v>1</v>
      </c>
    </row>
    <row r="16" spans="1:21" ht="14.45" customHeight="1" x14ac:dyDescent="0.2">
      <c r="A16" s="831">
        <v>9</v>
      </c>
      <c r="B16" s="832" t="s">
        <v>1022</v>
      </c>
      <c r="C16" s="832" t="s">
        <v>1029</v>
      </c>
      <c r="D16" s="833" t="s">
        <v>1566</v>
      </c>
      <c r="E16" s="834" t="s">
        <v>1036</v>
      </c>
      <c r="F16" s="832" t="s">
        <v>1023</v>
      </c>
      <c r="G16" s="832" t="s">
        <v>1084</v>
      </c>
      <c r="H16" s="832" t="s">
        <v>572</v>
      </c>
      <c r="I16" s="832" t="s">
        <v>1085</v>
      </c>
      <c r="J16" s="832" t="s">
        <v>1086</v>
      </c>
      <c r="K16" s="832" t="s">
        <v>1087</v>
      </c>
      <c r="L16" s="835">
        <v>176.32</v>
      </c>
      <c r="M16" s="835">
        <v>352.64</v>
      </c>
      <c r="N16" s="832">
        <v>2</v>
      </c>
      <c r="O16" s="836">
        <v>1.5</v>
      </c>
      <c r="P16" s="835">
        <v>352.64</v>
      </c>
      <c r="Q16" s="837">
        <v>1</v>
      </c>
      <c r="R16" s="832">
        <v>2</v>
      </c>
      <c r="S16" s="837">
        <v>1</v>
      </c>
      <c r="T16" s="836">
        <v>1.5</v>
      </c>
      <c r="U16" s="838">
        <v>1</v>
      </c>
    </row>
    <row r="17" spans="1:21" ht="14.45" customHeight="1" x14ac:dyDescent="0.2">
      <c r="A17" s="831">
        <v>9</v>
      </c>
      <c r="B17" s="832" t="s">
        <v>1022</v>
      </c>
      <c r="C17" s="832" t="s">
        <v>1029</v>
      </c>
      <c r="D17" s="833" t="s">
        <v>1566</v>
      </c>
      <c r="E17" s="834" t="s">
        <v>1036</v>
      </c>
      <c r="F17" s="832" t="s">
        <v>1023</v>
      </c>
      <c r="G17" s="832" t="s">
        <v>1088</v>
      </c>
      <c r="H17" s="832" t="s">
        <v>572</v>
      </c>
      <c r="I17" s="832" t="s">
        <v>1089</v>
      </c>
      <c r="J17" s="832" t="s">
        <v>1090</v>
      </c>
      <c r="K17" s="832" t="s">
        <v>1091</v>
      </c>
      <c r="L17" s="835">
        <v>175.54</v>
      </c>
      <c r="M17" s="835">
        <v>175.54</v>
      </c>
      <c r="N17" s="832">
        <v>1</v>
      </c>
      <c r="O17" s="836">
        <v>0.5</v>
      </c>
      <c r="P17" s="835">
        <v>175.54</v>
      </c>
      <c r="Q17" s="837">
        <v>1</v>
      </c>
      <c r="R17" s="832">
        <v>1</v>
      </c>
      <c r="S17" s="837">
        <v>1</v>
      </c>
      <c r="T17" s="836">
        <v>0.5</v>
      </c>
      <c r="U17" s="838">
        <v>1</v>
      </c>
    </row>
    <row r="18" spans="1:21" ht="14.45" customHeight="1" x14ac:dyDescent="0.2">
      <c r="A18" s="831">
        <v>9</v>
      </c>
      <c r="B18" s="832" t="s">
        <v>1022</v>
      </c>
      <c r="C18" s="832" t="s">
        <v>1029</v>
      </c>
      <c r="D18" s="833" t="s">
        <v>1566</v>
      </c>
      <c r="E18" s="834" t="s">
        <v>1036</v>
      </c>
      <c r="F18" s="832" t="s">
        <v>1023</v>
      </c>
      <c r="G18" s="832" t="s">
        <v>1092</v>
      </c>
      <c r="H18" s="832" t="s">
        <v>572</v>
      </c>
      <c r="I18" s="832" t="s">
        <v>1093</v>
      </c>
      <c r="J18" s="832" t="s">
        <v>1094</v>
      </c>
      <c r="K18" s="832" t="s">
        <v>1095</v>
      </c>
      <c r="L18" s="835">
        <v>46.03</v>
      </c>
      <c r="M18" s="835">
        <v>46.03</v>
      </c>
      <c r="N18" s="832">
        <v>1</v>
      </c>
      <c r="O18" s="836">
        <v>1</v>
      </c>
      <c r="P18" s="835">
        <v>46.03</v>
      </c>
      <c r="Q18" s="837">
        <v>1</v>
      </c>
      <c r="R18" s="832">
        <v>1</v>
      </c>
      <c r="S18" s="837">
        <v>1</v>
      </c>
      <c r="T18" s="836">
        <v>1</v>
      </c>
      <c r="U18" s="838">
        <v>1</v>
      </c>
    </row>
    <row r="19" spans="1:21" ht="14.45" customHeight="1" x14ac:dyDescent="0.2">
      <c r="A19" s="831">
        <v>9</v>
      </c>
      <c r="B19" s="832" t="s">
        <v>1022</v>
      </c>
      <c r="C19" s="832" t="s">
        <v>1029</v>
      </c>
      <c r="D19" s="833" t="s">
        <v>1566</v>
      </c>
      <c r="E19" s="834" t="s">
        <v>1036</v>
      </c>
      <c r="F19" s="832" t="s">
        <v>1023</v>
      </c>
      <c r="G19" s="832" t="s">
        <v>1096</v>
      </c>
      <c r="H19" s="832" t="s">
        <v>676</v>
      </c>
      <c r="I19" s="832" t="s">
        <v>1097</v>
      </c>
      <c r="J19" s="832" t="s">
        <v>1098</v>
      </c>
      <c r="K19" s="832" t="s">
        <v>1099</v>
      </c>
      <c r="L19" s="835">
        <v>141.25</v>
      </c>
      <c r="M19" s="835">
        <v>282.5</v>
      </c>
      <c r="N19" s="832">
        <v>2</v>
      </c>
      <c r="O19" s="836">
        <v>1</v>
      </c>
      <c r="P19" s="835">
        <v>282.5</v>
      </c>
      <c r="Q19" s="837">
        <v>1</v>
      </c>
      <c r="R19" s="832">
        <v>2</v>
      </c>
      <c r="S19" s="837">
        <v>1</v>
      </c>
      <c r="T19" s="836">
        <v>1</v>
      </c>
      <c r="U19" s="838">
        <v>1</v>
      </c>
    </row>
    <row r="20" spans="1:21" ht="14.45" customHeight="1" x14ac:dyDescent="0.2">
      <c r="A20" s="831">
        <v>9</v>
      </c>
      <c r="B20" s="832" t="s">
        <v>1022</v>
      </c>
      <c r="C20" s="832" t="s">
        <v>1029</v>
      </c>
      <c r="D20" s="833" t="s">
        <v>1566</v>
      </c>
      <c r="E20" s="834" t="s">
        <v>1036</v>
      </c>
      <c r="F20" s="832" t="s">
        <v>1023</v>
      </c>
      <c r="G20" s="832" t="s">
        <v>1100</v>
      </c>
      <c r="H20" s="832" t="s">
        <v>572</v>
      </c>
      <c r="I20" s="832" t="s">
        <v>1101</v>
      </c>
      <c r="J20" s="832" t="s">
        <v>681</v>
      </c>
      <c r="K20" s="832" t="s">
        <v>1102</v>
      </c>
      <c r="L20" s="835">
        <v>33.71</v>
      </c>
      <c r="M20" s="835">
        <v>33.71</v>
      </c>
      <c r="N20" s="832">
        <v>1</v>
      </c>
      <c r="O20" s="836">
        <v>0.5</v>
      </c>
      <c r="P20" s="835">
        <v>33.71</v>
      </c>
      <c r="Q20" s="837">
        <v>1</v>
      </c>
      <c r="R20" s="832">
        <v>1</v>
      </c>
      <c r="S20" s="837">
        <v>1</v>
      </c>
      <c r="T20" s="836">
        <v>0.5</v>
      </c>
      <c r="U20" s="838">
        <v>1</v>
      </c>
    </row>
    <row r="21" spans="1:21" ht="14.45" customHeight="1" x14ac:dyDescent="0.2">
      <c r="A21" s="831">
        <v>9</v>
      </c>
      <c r="B21" s="832" t="s">
        <v>1022</v>
      </c>
      <c r="C21" s="832" t="s">
        <v>1029</v>
      </c>
      <c r="D21" s="833" t="s">
        <v>1566</v>
      </c>
      <c r="E21" s="834" t="s">
        <v>1036</v>
      </c>
      <c r="F21" s="832" t="s">
        <v>1023</v>
      </c>
      <c r="G21" s="832" t="s">
        <v>1103</v>
      </c>
      <c r="H21" s="832" t="s">
        <v>572</v>
      </c>
      <c r="I21" s="832" t="s">
        <v>1104</v>
      </c>
      <c r="J21" s="832" t="s">
        <v>1105</v>
      </c>
      <c r="K21" s="832" t="s">
        <v>1106</v>
      </c>
      <c r="L21" s="835">
        <v>0</v>
      </c>
      <c r="M21" s="835">
        <v>0</v>
      </c>
      <c r="N21" s="832">
        <v>1</v>
      </c>
      <c r="O21" s="836">
        <v>0.5</v>
      </c>
      <c r="P21" s="835"/>
      <c r="Q21" s="837"/>
      <c r="R21" s="832"/>
      <c r="S21" s="837">
        <v>0</v>
      </c>
      <c r="T21" s="836"/>
      <c r="U21" s="838">
        <v>0</v>
      </c>
    </row>
    <row r="22" spans="1:21" ht="14.45" customHeight="1" x14ac:dyDescent="0.2">
      <c r="A22" s="831">
        <v>9</v>
      </c>
      <c r="B22" s="832" t="s">
        <v>1022</v>
      </c>
      <c r="C22" s="832" t="s">
        <v>1029</v>
      </c>
      <c r="D22" s="833" t="s">
        <v>1566</v>
      </c>
      <c r="E22" s="834" t="s">
        <v>1036</v>
      </c>
      <c r="F22" s="832" t="s">
        <v>1023</v>
      </c>
      <c r="G22" s="832" t="s">
        <v>1107</v>
      </c>
      <c r="H22" s="832" t="s">
        <v>572</v>
      </c>
      <c r="I22" s="832" t="s">
        <v>1108</v>
      </c>
      <c r="J22" s="832" t="s">
        <v>1109</v>
      </c>
      <c r="K22" s="832" t="s">
        <v>1110</v>
      </c>
      <c r="L22" s="835">
        <v>0</v>
      </c>
      <c r="M22" s="835">
        <v>0</v>
      </c>
      <c r="N22" s="832">
        <v>2</v>
      </c>
      <c r="O22" s="836">
        <v>0.5</v>
      </c>
      <c r="P22" s="835"/>
      <c r="Q22" s="837"/>
      <c r="R22" s="832"/>
      <c r="S22" s="837">
        <v>0</v>
      </c>
      <c r="T22" s="836"/>
      <c r="U22" s="838">
        <v>0</v>
      </c>
    </row>
    <row r="23" spans="1:21" ht="14.45" customHeight="1" x14ac:dyDescent="0.2">
      <c r="A23" s="831">
        <v>9</v>
      </c>
      <c r="B23" s="832" t="s">
        <v>1022</v>
      </c>
      <c r="C23" s="832" t="s">
        <v>1029</v>
      </c>
      <c r="D23" s="833" t="s">
        <v>1566</v>
      </c>
      <c r="E23" s="834" t="s">
        <v>1036</v>
      </c>
      <c r="F23" s="832" t="s">
        <v>1023</v>
      </c>
      <c r="G23" s="832" t="s">
        <v>1111</v>
      </c>
      <c r="H23" s="832" t="s">
        <v>676</v>
      </c>
      <c r="I23" s="832" t="s">
        <v>1112</v>
      </c>
      <c r="J23" s="832" t="s">
        <v>1113</v>
      </c>
      <c r="K23" s="832" t="s">
        <v>1114</v>
      </c>
      <c r="L23" s="835">
        <v>294.81</v>
      </c>
      <c r="M23" s="835">
        <v>6780.63</v>
      </c>
      <c r="N23" s="832">
        <v>23</v>
      </c>
      <c r="O23" s="836">
        <v>2</v>
      </c>
      <c r="P23" s="835">
        <v>589.62</v>
      </c>
      <c r="Q23" s="837">
        <v>8.6956521739130432E-2</v>
      </c>
      <c r="R23" s="832">
        <v>2</v>
      </c>
      <c r="S23" s="837">
        <v>8.6956521739130432E-2</v>
      </c>
      <c r="T23" s="836">
        <v>1</v>
      </c>
      <c r="U23" s="838">
        <v>0.5</v>
      </c>
    </row>
    <row r="24" spans="1:21" ht="14.45" customHeight="1" x14ac:dyDescent="0.2">
      <c r="A24" s="831">
        <v>9</v>
      </c>
      <c r="B24" s="832" t="s">
        <v>1022</v>
      </c>
      <c r="C24" s="832" t="s">
        <v>1029</v>
      </c>
      <c r="D24" s="833" t="s">
        <v>1566</v>
      </c>
      <c r="E24" s="834" t="s">
        <v>1036</v>
      </c>
      <c r="F24" s="832" t="s">
        <v>1023</v>
      </c>
      <c r="G24" s="832" t="s">
        <v>1115</v>
      </c>
      <c r="H24" s="832" t="s">
        <v>572</v>
      </c>
      <c r="I24" s="832" t="s">
        <v>1116</v>
      </c>
      <c r="J24" s="832" t="s">
        <v>1117</v>
      </c>
      <c r="K24" s="832" t="s">
        <v>1118</v>
      </c>
      <c r="L24" s="835">
        <v>107.27</v>
      </c>
      <c r="M24" s="835">
        <v>321.81</v>
      </c>
      <c r="N24" s="832">
        <v>3</v>
      </c>
      <c r="O24" s="836">
        <v>2</v>
      </c>
      <c r="P24" s="835">
        <v>321.81</v>
      </c>
      <c r="Q24" s="837">
        <v>1</v>
      </c>
      <c r="R24" s="832">
        <v>3</v>
      </c>
      <c r="S24" s="837">
        <v>1</v>
      </c>
      <c r="T24" s="836">
        <v>2</v>
      </c>
      <c r="U24" s="838">
        <v>1</v>
      </c>
    </row>
    <row r="25" spans="1:21" ht="14.45" customHeight="1" x14ac:dyDescent="0.2">
      <c r="A25" s="831">
        <v>9</v>
      </c>
      <c r="B25" s="832" t="s">
        <v>1022</v>
      </c>
      <c r="C25" s="832" t="s">
        <v>1029</v>
      </c>
      <c r="D25" s="833" t="s">
        <v>1566</v>
      </c>
      <c r="E25" s="834" t="s">
        <v>1036</v>
      </c>
      <c r="F25" s="832" t="s">
        <v>1024</v>
      </c>
      <c r="G25" s="832" t="s">
        <v>1119</v>
      </c>
      <c r="H25" s="832" t="s">
        <v>572</v>
      </c>
      <c r="I25" s="832" t="s">
        <v>1120</v>
      </c>
      <c r="J25" s="832" t="s">
        <v>1121</v>
      </c>
      <c r="K25" s="832"/>
      <c r="L25" s="835">
        <v>0</v>
      </c>
      <c r="M25" s="835">
        <v>0</v>
      </c>
      <c r="N25" s="832">
        <v>1</v>
      </c>
      <c r="O25" s="836">
        <v>1</v>
      </c>
      <c r="P25" s="835">
        <v>0</v>
      </c>
      <c r="Q25" s="837"/>
      <c r="R25" s="832">
        <v>1</v>
      </c>
      <c r="S25" s="837">
        <v>1</v>
      </c>
      <c r="T25" s="836">
        <v>1</v>
      </c>
      <c r="U25" s="838">
        <v>1</v>
      </c>
    </row>
    <row r="26" spans="1:21" ht="14.45" customHeight="1" x14ac:dyDescent="0.2">
      <c r="A26" s="831">
        <v>9</v>
      </c>
      <c r="B26" s="832" t="s">
        <v>1022</v>
      </c>
      <c r="C26" s="832" t="s">
        <v>1029</v>
      </c>
      <c r="D26" s="833" t="s">
        <v>1566</v>
      </c>
      <c r="E26" s="834" t="s">
        <v>1036</v>
      </c>
      <c r="F26" s="832" t="s">
        <v>1024</v>
      </c>
      <c r="G26" s="832" t="s">
        <v>1119</v>
      </c>
      <c r="H26" s="832" t="s">
        <v>572</v>
      </c>
      <c r="I26" s="832" t="s">
        <v>1122</v>
      </c>
      <c r="J26" s="832" t="s">
        <v>1121</v>
      </c>
      <c r="K26" s="832"/>
      <c r="L26" s="835">
        <v>0</v>
      </c>
      <c r="M26" s="835">
        <v>0</v>
      </c>
      <c r="N26" s="832">
        <v>2</v>
      </c>
      <c r="O26" s="836">
        <v>2</v>
      </c>
      <c r="P26" s="835">
        <v>0</v>
      </c>
      <c r="Q26" s="837"/>
      <c r="R26" s="832">
        <v>2</v>
      </c>
      <c r="S26" s="837">
        <v>1</v>
      </c>
      <c r="T26" s="836">
        <v>2</v>
      </c>
      <c r="U26" s="838">
        <v>1</v>
      </c>
    </row>
    <row r="27" spans="1:21" ht="14.45" customHeight="1" x14ac:dyDescent="0.2">
      <c r="A27" s="831">
        <v>9</v>
      </c>
      <c r="B27" s="832" t="s">
        <v>1022</v>
      </c>
      <c r="C27" s="832" t="s">
        <v>1029</v>
      </c>
      <c r="D27" s="833" t="s">
        <v>1566</v>
      </c>
      <c r="E27" s="834" t="s">
        <v>1038</v>
      </c>
      <c r="F27" s="832" t="s">
        <v>1023</v>
      </c>
      <c r="G27" s="832" t="s">
        <v>1123</v>
      </c>
      <c r="H27" s="832" t="s">
        <v>572</v>
      </c>
      <c r="I27" s="832" t="s">
        <v>1124</v>
      </c>
      <c r="J27" s="832" t="s">
        <v>1125</v>
      </c>
      <c r="K27" s="832" t="s">
        <v>1126</v>
      </c>
      <c r="L27" s="835">
        <v>119.7</v>
      </c>
      <c r="M27" s="835">
        <v>598.5</v>
      </c>
      <c r="N27" s="832">
        <v>5</v>
      </c>
      <c r="O27" s="836">
        <v>1</v>
      </c>
      <c r="P27" s="835"/>
      <c r="Q27" s="837">
        <v>0</v>
      </c>
      <c r="R27" s="832"/>
      <c r="S27" s="837">
        <v>0</v>
      </c>
      <c r="T27" s="836"/>
      <c r="U27" s="838">
        <v>0</v>
      </c>
    </row>
    <row r="28" spans="1:21" ht="14.45" customHeight="1" x14ac:dyDescent="0.2">
      <c r="A28" s="831">
        <v>9</v>
      </c>
      <c r="B28" s="832" t="s">
        <v>1022</v>
      </c>
      <c r="C28" s="832" t="s">
        <v>1029</v>
      </c>
      <c r="D28" s="833" t="s">
        <v>1566</v>
      </c>
      <c r="E28" s="834" t="s">
        <v>1038</v>
      </c>
      <c r="F28" s="832" t="s">
        <v>1023</v>
      </c>
      <c r="G28" s="832" t="s">
        <v>1127</v>
      </c>
      <c r="H28" s="832" t="s">
        <v>572</v>
      </c>
      <c r="I28" s="832" t="s">
        <v>1128</v>
      </c>
      <c r="J28" s="832" t="s">
        <v>1129</v>
      </c>
      <c r="K28" s="832" t="s">
        <v>1130</v>
      </c>
      <c r="L28" s="835">
        <v>88.31</v>
      </c>
      <c r="M28" s="835">
        <v>88.31</v>
      </c>
      <c r="N28" s="832">
        <v>1</v>
      </c>
      <c r="O28" s="836">
        <v>1</v>
      </c>
      <c r="P28" s="835"/>
      <c r="Q28" s="837">
        <v>0</v>
      </c>
      <c r="R28" s="832"/>
      <c r="S28" s="837">
        <v>0</v>
      </c>
      <c r="T28" s="836"/>
      <c r="U28" s="838">
        <v>0</v>
      </c>
    </row>
    <row r="29" spans="1:21" ht="14.45" customHeight="1" x14ac:dyDescent="0.2">
      <c r="A29" s="831">
        <v>9</v>
      </c>
      <c r="B29" s="832" t="s">
        <v>1022</v>
      </c>
      <c r="C29" s="832" t="s">
        <v>1029</v>
      </c>
      <c r="D29" s="833" t="s">
        <v>1566</v>
      </c>
      <c r="E29" s="834" t="s">
        <v>1038</v>
      </c>
      <c r="F29" s="832" t="s">
        <v>1023</v>
      </c>
      <c r="G29" s="832" t="s">
        <v>1131</v>
      </c>
      <c r="H29" s="832" t="s">
        <v>572</v>
      </c>
      <c r="I29" s="832" t="s">
        <v>1132</v>
      </c>
      <c r="J29" s="832" t="s">
        <v>835</v>
      </c>
      <c r="K29" s="832" t="s">
        <v>1133</v>
      </c>
      <c r="L29" s="835">
        <v>19.89</v>
      </c>
      <c r="M29" s="835">
        <v>39.78</v>
      </c>
      <c r="N29" s="832">
        <v>2</v>
      </c>
      <c r="O29" s="836">
        <v>1</v>
      </c>
      <c r="P29" s="835">
        <v>39.78</v>
      </c>
      <c r="Q29" s="837">
        <v>1</v>
      </c>
      <c r="R29" s="832">
        <v>2</v>
      </c>
      <c r="S29" s="837">
        <v>1</v>
      </c>
      <c r="T29" s="836">
        <v>1</v>
      </c>
      <c r="U29" s="838">
        <v>1</v>
      </c>
    </row>
    <row r="30" spans="1:21" ht="14.45" customHeight="1" x14ac:dyDescent="0.2">
      <c r="A30" s="831">
        <v>9</v>
      </c>
      <c r="B30" s="832" t="s">
        <v>1022</v>
      </c>
      <c r="C30" s="832" t="s">
        <v>1029</v>
      </c>
      <c r="D30" s="833" t="s">
        <v>1566</v>
      </c>
      <c r="E30" s="834" t="s">
        <v>1038</v>
      </c>
      <c r="F30" s="832" t="s">
        <v>1023</v>
      </c>
      <c r="G30" s="832" t="s">
        <v>1073</v>
      </c>
      <c r="H30" s="832" t="s">
        <v>572</v>
      </c>
      <c r="I30" s="832" t="s">
        <v>1074</v>
      </c>
      <c r="J30" s="832" t="s">
        <v>651</v>
      </c>
      <c r="K30" s="832" t="s">
        <v>1075</v>
      </c>
      <c r="L30" s="835">
        <v>94.7</v>
      </c>
      <c r="M30" s="835">
        <v>189.4</v>
      </c>
      <c r="N30" s="832">
        <v>2</v>
      </c>
      <c r="O30" s="836">
        <v>1</v>
      </c>
      <c r="P30" s="835">
        <v>94.7</v>
      </c>
      <c r="Q30" s="837">
        <v>0.5</v>
      </c>
      <c r="R30" s="832">
        <v>1</v>
      </c>
      <c r="S30" s="837">
        <v>0.5</v>
      </c>
      <c r="T30" s="836">
        <v>0.5</v>
      </c>
      <c r="U30" s="838">
        <v>0.5</v>
      </c>
    </row>
    <row r="31" spans="1:21" ht="14.45" customHeight="1" x14ac:dyDescent="0.2">
      <c r="A31" s="831">
        <v>9</v>
      </c>
      <c r="B31" s="832" t="s">
        <v>1022</v>
      </c>
      <c r="C31" s="832" t="s">
        <v>1029</v>
      </c>
      <c r="D31" s="833" t="s">
        <v>1566</v>
      </c>
      <c r="E31" s="834" t="s">
        <v>1038</v>
      </c>
      <c r="F31" s="832" t="s">
        <v>1023</v>
      </c>
      <c r="G31" s="832" t="s">
        <v>1073</v>
      </c>
      <c r="H31" s="832" t="s">
        <v>572</v>
      </c>
      <c r="I31" s="832" t="s">
        <v>1134</v>
      </c>
      <c r="J31" s="832" t="s">
        <v>651</v>
      </c>
      <c r="K31" s="832" t="s">
        <v>1075</v>
      </c>
      <c r="L31" s="835">
        <v>94.7</v>
      </c>
      <c r="M31" s="835">
        <v>94.7</v>
      </c>
      <c r="N31" s="832">
        <v>1</v>
      </c>
      <c r="O31" s="836">
        <v>0.5</v>
      </c>
      <c r="P31" s="835">
        <v>94.7</v>
      </c>
      <c r="Q31" s="837">
        <v>1</v>
      </c>
      <c r="R31" s="832">
        <v>1</v>
      </c>
      <c r="S31" s="837">
        <v>1</v>
      </c>
      <c r="T31" s="836">
        <v>0.5</v>
      </c>
      <c r="U31" s="838">
        <v>1</v>
      </c>
    </row>
    <row r="32" spans="1:21" ht="14.45" customHeight="1" x14ac:dyDescent="0.2">
      <c r="A32" s="831">
        <v>9</v>
      </c>
      <c r="B32" s="832" t="s">
        <v>1022</v>
      </c>
      <c r="C32" s="832" t="s">
        <v>1029</v>
      </c>
      <c r="D32" s="833" t="s">
        <v>1566</v>
      </c>
      <c r="E32" s="834" t="s">
        <v>1038</v>
      </c>
      <c r="F32" s="832" t="s">
        <v>1023</v>
      </c>
      <c r="G32" s="832" t="s">
        <v>1135</v>
      </c>
      <c r="H32" s="832" t="s">
        <v>572</v>
      </c>
      <c r="I32" s="832" t="s">
        <v>1136</v>
      </c>
      <c r="J32" s="832" t="s">
        <v>1137</v>
      </c>
      <c r="K32" s="832" t="s">
        <v>1138</v>
      </c>
      <c r="L32" s="835">
        <v>27.28</v>
      </c>
      <c r="M32" s="835">
        <v>54.56</v>
      </c>
      <c r="N32" s="832">
        <v>2</v>
      </c>
      <c r="O32" s="836">
        <v>1</v>
      </c>
      <c r="P32" s="835">
        <v>54.56</v>
      </c>
      <c r="Q32" s="837">
        <v>1</v>
      </c>
      <c r="R32" s="832">
        <v>2</v>
      </c>
      <c r="S32" s="837">
        <v>1</v>
      </c>
      <c r="T32" s="836">
        <v>1</v>
      </c>
      <c r="U32" s="838">
        <v>1</v>
      </c>
    </row>
    <row r="33" spans="1:21" ht="14.45" customHeight="1" x14ac:dyDescent="0.2">
      <c r="A33" s="831">
        <v>9</v>
      </c>
      <c r="B33" s="832" t="s">
        <v>1022</v>
      </c>
      <c r="C33" s="832" t="s">
        <v>1029</v>
      </c>
      <c r="D33" s="833" t="s">
        <v>1566</v>
      </c>
      <c r="E33" s="834" t="s">
        <v>1038</v>
      </c>
      <c r="F33" s="832" t="s">
        <v>1023</v>
      </c>
      <c r="G33" s="832" t="s">
        <v>1139</v>
      </c>
      <c r="H33" s="832" t="s">
        <v>572</v>
      </c>
      <c r="I33" s="832" t="s">
        <v>1140</v>
      </c>
      <c r="J33" s="832" t="s">
        <v>1141</v>
      </c>
      <c r="K33" s="832" t="s">
        <v>1142</v>
      </c>
      <c r="L33" s="835">
        <v>0</v>
      </c>
      <c r="M33" s="835">
        <v>0</v>
      </c>
      <c r="N33" s="832">
        <v>2</v>
      </c>
      <c r="O33" s="836">
        <v>1</v>
      </c>
      <c r="P33" s="835"/>
      <c r="Q33" s="837"/>
      <c r="R33" s="832"/>
      <c r="S33" s="837">
        <v>0</v>
      </c>
      <c r="T33" s="836"/>
      <c r="U33" s="838">
        <v>0</v>
      </c>
    </row>
    <row r="34" spans="1:21" ht="14.45" customHeight="1" x14ac:dyDescent="0.2">
      <c r="A34" s="831">
        <v>9</v>
      </c>
      <c r="B34" s="832" t="s">
        <v>1022</v>
      </c>
      <c r="C34" s="832" t="s">
        <v>1029</v>
      </c>
      <c r="D34" s="833" t="s">
        <v>1566</v>
      </c>
      <c r="E34" s="834" t="s">
        <v>1038</v>
      </c>
      <c r="F34" s="832" t="s">
        <v>1023</v>
      </c>
      <c r="G34" s="832" t="s">
        <v>1143</v>
      </c>
      <c r="H34" s="832" t="s">
        <v>572</v>
      </c>
      <c r="I34" s="832" t="s">
        <v>1144</v>
      </c>
      <c r="J34" s="832" t="s">
        <v>1145</v>
      </c>
      <c r="K34" s="832" t="s">
        <v>1146</v>
      </c>
      <c r="L34" s="835">
        <v>111.72</v>
      </c>
      <c r="M34" s="835">
        <v>223.44</v>
      </c>
      <c r="N34" s="832">
        <v>2</v>
      </c>
      <c r="O34" s="836">
        <v>1</v>
      </c>
      <c r="P34" s="835"/>
      <c r="Q34" s="837">
        <v>0</v>
      </c>
      <c r="R34" s="832"/>
      <c r="S34" s="837">
        <v>0</v>
      </c>
      <c r="T34" s="836"/>
      <c r="U34" s="838">
        <v>0</v>
      </c>
    </row>
    <row r="35" spans="1:21" ht="14.45" customHeight="1" x14ac:dyDescent="0.2">
      <c r="A35" s="831">
        <v>9</v>
      </c>
      <c r="B35" s="832" t="s">
        <v>1022</v>
      </c>
      <c r="C35" s="832" t="s">
        <v>1029</v>
      </c>
      <c r="D35" s="833" t="s">
        <v>1566</v>
      </c>
      <c r="E35" s="834" t="s">
        <v>1038</v>
      </c>
      <c r="F35" s="832" t="s">
        <v>1023</v>
      </c>
      <c r="G35" s="832" t="s">
        <v>1143</v>
      </c>
      <c r="H35" s="832" t="s">
        <v>572</v>
      </c>
      <c r="I35" s="832" t="s">
        <v>1147</v>
      </c>
      <c r="J35" s="832" t="s">
        <v>1145</v>
      </c>
      <c r="K35" s="832" t="s">
        <v>1146</v>
      </c>
      <c r="L35" s="835">
        <v>111.72</v>
      </c>
      <c r="M35" s="835">
        <v>111.72</v>
      </c>
      <c r="N35" s="832">
        <v>1</v>
      </c>
      <c r="O35" s="836">
        <v>1</v>
      </c>
      <c r="P35" s="835">
        <v>111.72</v>
      </c>
      <c r="Q35" s="837">
        <v>1</v>
      </c>
      <c r="R35" s="832">
        <v>1</v>
      </c>
      <c r="S35" s="837">
        <v>1</v>
      </c>
      <c r="T35" s="836">
        <v>1</v>
      </c>
      <c r="U35" s="838">
        <v>1</v>
      </c>
    </row>
    <row r="36" spans="1:21" ht="14.45" customHeight="1" x14ac:dyDescent="0.2">
      <c r="A36" s="831">
        <v>9</v>
      </c>
      <c r="B36" s="832" t="s">
        <v>1022</v>
      </c>
      <c r="C36" s="832" t="s">
        <v>1029</v>
      </c>
      <c r="D36" s="833" t="s">
        <v>1566</v>
      </c>
      <c r="E36" s="834" t="s">
        <v>1038</v>
      </c>
      <c r="F36" s="832" t="s">
        <v>1023</v>
      </c>
      <c r="G36" s="832" t="s">
        <v>1148</v>
      </c>
      <c r="H36" s="832" t="s">
        <v>572</v>
      </c>
      <c r="I36" s="832" t="s">
        <v>1149</v>
      </c>
      <c r="J36" s="832" t="s">
        <v>1150</v>
      </c>
      <c r="K36" s="832" t="s">
        <v>1151</v>
      </c>
      <c r="L36" s="835">
        <v>56.63</v>
      </c>
      <c r="M36" s="835">
        <v>339.78000000000003</v>
      </c>
      <c r="N36" s="832">
        <v>6</v>
      </c>
      <c r="O36" s="836">
        <v>0.5</v>
      </c>
      <c r="P36" s="835"/>
      <c r="Q36" s="837">
        <v>0</v>
      </c>
      <c r="R36" s="832"/>
      <c r="S36" s="837">
        <v>0</v>
      </c>
      <c r="T36" s="836"/>
      <c r="U36" s="838">
        <v>0</v>
      </c>
    </row>
    <row r="37" spans="1:21" ht="14.45" customHeight="1" x14ac:dyDescent="0.2">
      <c r="A37" s="831">
        <v>9</v>
      </c>
      <c r="B37" s="832" t="s">
        <v>1022</v>
      </c>
      <c r="C37" s="832" t="s">
        <v>1029</v>
      </c>
      <c r="D37" s="833" t="s">
        <v>1566</v>
      </c>
      <c r="E37" s="834" t="s">
        <v>1038</v>
      </c>
      <c r="F37" s="832" t="s">
        <v>1023</v>
      </c>
      <c r="G37" s="832" t="s">
        <v>1152</v>
      </c>
      <c r="H37" s="832" t="s">
        <v>572</v>
      </c>
      <c r="I37" s="832" t="s">
        <v>1153</v>
      </c>
      <c r="J37" s="832" t="s">
        <v>1154</v>
      </c>
      <c r="K37" s="832" t="s">
        <v>1155</v>
      </c>
      <c r="L37" s="835">
        <v>16.079999999999998</v>
      </c>
      <c r="M37" s="835">
        <v>16.079999999999998</v>
      </c>
      <c r="N37" s="832">
        <v>1</v>
      </c>
      <c r="O37" s="836">
        <v>1</v>
      </c>
      <c r="P37" s="835"/>
      <c r="Q37" s="837">
        <v>0</v>
      </c>
      <c r="R37" s="832"/>
      <c r="S37" s="837">
        <v>0</v>
      </c>
      <c r="T37" s="836"/>
      <c r="U37" s="838">
        <v>0</v>
      </c>
    </row>
    <row r="38" spans="1:21" ht="14.45" customHeight="1" x14ac:dyDescent="0.2">
      <c r="A38" s="831">
        <v>9</v>
      </c>
      <c r="B38" s="832" t="s">
        <v>1022</v>
      </c>
      <c r="C38" s="832" t="s">
        <v>1029</v>
      </c>
      <c r="D38" s="833" t="s">
        <v>1566</v>
      </c>
      <c r="E38" s="834" t="s">
        <v>1038</v>
      </c>
      <c r="F38" s="832" t="s">
        <v>1023</v>
      </c>
      <c r="G38" s="832" t="s">
        <v>1156</v>
      </c>
      <c r="H38" s="832" t="s">
        <v>572</v>
      </c>
      <c r="I38" s="832" t="s">
        <v>1157</v>
      </c>
      <c r="J38" s="832" t="s">
        <v>1158</v>
      </c>
      <c r="K38" s="832" t="s">
        <v>1159</v>
      </c>
      <c r="L38" s="835">
        <v>36.54</v>
      </c>
      <c r="M38" s="835">
        <v>36.54</v>
      </c>
      <c r="N38" s="832">
        <v>1</v>
      </c>
      <c r="O38" s="836">
        <v>0.5</v>
      </c>
      <c r="P38" s="835"/>
      <c r="Q38" s="837">
        <v>0</v>
      </c>
      <c r="R38" s="832"/>
      <c r="S38" s="837">
        <v>0</v>
      </c>
      <c r="T38" s="836"/>
      <c r="U38" s="838">
        <v>0</v>
      </c>
    </row>
    <row r="39" spans="1:21" ht="14.45" customHeight="1" x14ac:dyDescent="0.2">
      <c r="A39" s="831">
        <v>9</v>
      </c>
      <c r="B39" s="832" t="s">
        <v>1022</v>
      </c>
      <c r="C39" s="832" t="s">
        <v>1029</v>
      </c>
      <c r="D39" s="833" t="s">
        <v>1566</v>
      </c>
      <c r="E39" s="834" t="s">
        <v>1038</v>
      </c>
      <c r="F39" s="832" t="s">
        <v>1023</v>
      </c>
      <c r="G39" s="832" t="s">
        <v>1160</v>
      </c>
      <c r="H39" s="832" t="s">
        <v>572</v>
      </c>
      <c r="I39" s="832" t="s">
        <v>1161</v>
      </c>
      <c r="J39" s="832" t="s">
        <v>1162</v>
      </c>
      <c r="K39" s="832" t="s">
        <v>1163</v>
      </c>
      <c r="L39" s="835">
        <v>546.12</v>
      </c>
      <c r="M39" s="835">
        <v>1092.24</v>
      </c>
      <c r="N39" s="832">
        <v>2</v>
      </c>
      <c r="O39" s="836">
        <v>0.5</v>
      </c>
      <c r="P39" s="835">
        <v>1092.24</v>
      </c>
      <c r="Q39" s="837">
        <v>1</v>
      </c>
      <c r="R39" s="832">
        <v>2</v>
      </c>
      <c r="S39" s="837">
        <v>1</v>
      </c>
      <c r="T39" s="836">
        <v>0.5</v>
      </c>
      <c r="U39" s="838">
        <v>1</v>
      </c>
    </row>
    <row r="40" spans="1:21" ht="14.45" customHeight="1" x14ac:dyDescent="0.2">
      <c r="A40" s="831">
        <v>9</v>
      </c>
      <c r="B40" s="832" t="s">
        <v>1022</v>
      </c>
      <c r="C40" s="832" t="s">
        <v>1029</v>
      </c>
      <c r="D40" s="833" t="s">
        <v>1566</v>
      </c>
      <c r="E40" s="834" t="s">
        <v>1038</v>
      </c>
      <c r="F40" s="832" t="s">
        <v>1023</v>
      </c>
      <c r="G40" s="832" t="s">
        <v>1164</v>
      </c>
      <c r="H40" s="832" t="s">
        <v>572</v>
      </c>
      <c r="I40" s="832" t="s">
        <v>1165</v>
      </c>
      <c r="J40" s="832" t="s">
        <v>1166</v>
      </c>
      <c r="K40" s="832" t="s">
        <v>1167</v>
      </c>
      <c r="L40" s="835">
        <v>0</v>
      </c>
      <c r="M40" s="835">
        <v>0</v>
      </c>
      <c r="N40" s="832">
        <v>1</v>
      </c>
      <c r="O40" s="836">
        <v>0.5</v>
      </c>
      <c r="P40" s="835"/>
      <c r="Q40" s="837"/>
      <c r="R40" s="832"/>
      <c r="S40" s="837">
        <v>0</v>
      </c>
      <c r="T40" s="836"/>
      <c r="U40" s="838">
        <v>0</v>
      </c>
    </row>
    <row r="41" spans="1:21" ht="14.45" customHeight="1" x14ac:dyDescent="0.2">
      <c r="A41" s="831">
        <v>9</v>
      </c>
      <c r="B41" s="832" t="s">
        <v>1022</v>
      </c>
      <c r="C41" s="832" t="s">
        <v>1029</v>
      </c>
      <c r="D41" s="833" t="s">
        <v>1566</v>
      </c>
      <c r="E41" s="834" t="s">
        <v>1038</v>
      </c>
      <c r="F41" s="832" t="s">
        <v>1023</v>
      </c>
      <c r="G41" s="832" t="s">
        <v>1096</v>
      </c>
      <c r="H41" s="832" t="s">
        <v>676</v>
      </c>
      <c r="I41" s="832" t="s">
        <v>1097</v>
      </c>
      <c r="J41" s="832" t="s">
        <v>1098</v>
      </c>
      <c r="K41" s="832" t="s">
        <v>1099</v>
      </c>
      <c r="L41" s="835">
        <v>141.25</v>
      </c>
      <c r="M41" s="835">
        <v>282.5</v>
      </c>
      <c r="N41" s="832">
        <v>2</v>
      </c>
      <c r="O41" s="836">
        <v>1</v>
      </c>
      <c r="P41" s="835"/>
      <c r="Q41" s="837">
        <v>0</v>
      </c>
      <c r="R41" s="832"/>
      <c r="S41" s="837">
        <v>0</v>
      </c>
      <c r="T41" s="836"/>
      <c r="U41" s="838">
        <v>0</v>
      </c>
    </row>
    <row r="42" spans="1:21" ht="14.45" customHeight="1" x14ac:dyDescent="0.2">
      <c r="A42" s="831">
        <v>9</v>
      </c>
      <c r="B42" s="832" t="s">
        <v>1022</v>
      </c>
      <c r="C42" s="832" t="s">
        <v>1029</v>
      </c>
      <c r="D42" s="833" t="s">
        <v>1566</v>
      </c>
      <c r="E42" s="834" t="s">
        <v>1038</v>
      </c>
      <c r="F42" s="832" t="s">
        <v>1023</v>
      </c>
      <c r="G42" s="832" t="s">
        <v>1100</v>
      </c>
      <c r="H42" s="832" t="s">
        <v>572</v>
      </c>
      <c r="I42" s="832" t="s">
        <v>1101</v>
      </c>
      <c r="J42" s="832" t="s">
        <v>681</v>
      </c>
      <c r="K42" s="832" t="s">
        <v>1102</v>
      </c>
      <c r="L42" s="835">
        <v>33.71</v>
      </c>
      <c r="M42" s="835">
        <v>471.94</v>
      </c>
      <c r="N42" s="832">
        <v>14</v>
      </c>
      <c r="O42" s="836">
        <v>10</v>
      </c>
      <c r="P42" s="835">
        <v>168.55</v>
      </c>
      <c r="Q42" s="837">
        <v>0.35714285714285715</v>
      </c>
      <c r="R42" s="832">
        <v>5</v>
      </c>
      <c r="S42" s="837">
        <v>0.35714285714285715</v>
      </c>
      <c r="T42" s="836">
        <v>3.5</v>
      </c>
      <c r="U42" s="838">
        <v>0.35</v>
      </c>
    </row>
    <row r="43" spans="1:21" ht="14.45" customHeight="1" x14ac:dyDescent="0.2">
      <c r="A43" s="831">
        <v>9</v>
      </c>
      <c r="B43" s="832" t="s">
        <v>1022</v>
      </c>
      <c r="C43" s="832" t="s">
        <v>1029</v>
      </c>
      <c r="D43" s="833" t="s">
        <v>1566</v>
      </c>
      <c r="E43" s="834" t="s">
        <v>1038</v>
      </c>
      <c r="F43" s="832" t="s">
        <v>1023</v>
      </c>
      <c r="G43" s="832" t="s">
        <v>1168</v>
      </c>
      <c r="H43" s="832" t="s">
        <v>572</v>
      </c>
      <c r="I43" s="832" t="s">
        <v>1169</v>
      </c>
      <c r="J43" s="832" t="s">
        <v>1170</v>
      </c>
      <c r="K43" s="832" t="s">
        <v>1171</v>
      </c>
      <c r="L43" s="835">
        <v>902.57</v>
      </c>
      <c r="M43" s="835">
        <v>902.57</v>
      </c>
      <c r="N43" s="832">
        <v>1</v>
      </c>
      <c r="O43" s="836">
        <v>1</v>
      </c>
      <c r="P43" s="835"/>
      <c r="Q43" s="837">
        <v>0</v>
      </c>
      <c r="R43" s="832"/>
      <c r="S43" s="837">
        <v>0</v>
      </c>
      <c r="T43" s="836"/>
      <c r="U43" s="838">
        <v>0</v>
      </c>
    </row>
    <row r="44" spans="1:21" ht="14.45" customHeight="1" x14ac:dyDescent="0.2">
      <c r="A44" s="831">
        <v>9</v>
      </c>
      <c r="B44" s="832" t="s">
        <v>1022</v>
      </c>
      <c r="C44" s="832" t="s">
        <v>1029</v>
      </c>
      <c r="D44" s="833" t="s">
        <v>1566</v>
      </c>
      <c r="E44" s="834" t="s">
        <v>1038</v>
      </c>
      <c r="F44" s="832" t="s">
        <v>1023</v>
      </c>
      <c r="G44" s="832" t="s">
        <v>1172</v>
      </c>
      <c r="H44" s="832" t="s">
        <v>572</v>
      </c>
      <c r="I44" s="832" t="s">
        <v>1173</v>
      </c>
      <c r="J44" s="832" t="s">
        <v>1174</v>
      </c>
      <c r="K44" s="832" t="s">
        <v>1175</v>
      </c>
      <c r="L44" s="835">
        <v>1274.5999999999999</v>
      </c>
      <c r="M44" s="835">
        <v>1274.5999999999999</v>
      </c>
      <c r="N44" s="832">
        <v>1</v>
      </c>
      <c r="O44" s="836">
        <v>1</v>
      </c>
      <c r="P44" s="835"/>
      <c r="Q44" s="837">
        <v>0</v>
      </c>
      <c r="R44" s="832"/>
      <c r="S44" s="837">
        <v>0</v>
      </c>
      <c r="T44" s="836"/>
      <c r="U44" s="838">
        <v>0</v>
      </c>
    </row>
    <row r="45" spans="1:21" ht="14.45" customHeight="1" x14ac:dyDescent="0.2">
      <c r="A45" s="831">
        <v>9</v>
      </c>
      <c r="B45" s="832" t="s">
        <v>1022</v>
      </c>
      <c r="C45" s="832" t="s">
        <v>1029</v>
      </c>
      <c r="D45" s="833" t="s">
        <v>1566</v>
      </c>
      <c r="E45" s="834" t="s">
        <v>1038</v>
      </c>
      <c r="F45" s="832" t="s">
        <v>1023</v>
      </c>
      <c r="G45" s="832" t="s">
        <v>1176</v>
      </c>
      <c r="H45" s="832" t="s">
        <v>572</v>
      </c>
      <c r="I45" s="832" t="s">
        <v>1177</v>
      </c>
      <c r="J45" s="832" t="s">
        <v>1178</v>
      </c>
      <c r="K45" s="832" t="s">
        <v>1179</v>
      </c>
      <c r="L45" s="835">
        <v>75.73</v>
      </c>
      <c r="M45" s="835">
        <v>75.73</v>
      </c>
      <c r="N45" s="832">
        <v>1</v>
      </c>
      <c r="O45" s="836">
        <v>0.5</v>
      </c>
      <c r="P45" s="835"/>
      <c r="Q45" s="837">
        <v>0</v>
      </c>
      <c r="R45" s="832"/>
      <c r="S45" s="837">
        <v>0</v>
      </c>
      <c r="T45" s="836"/>
      <c r="U45" s="838">
        <v>0</v>
      </c>
    </row>
    <row r="46" spans="1:21" ht="14.45" customHeight="1" x14ac:dyDescent="0.2">
      <c r="A46" s="831">
        <v>9</v>
      </c>
      <c r="B46" s="832" t="s">
        <v>1022</v>
      </c>
      <c r="C46" s="832" t="s">
        <v>1029</v>
      </c>
      <c r="D46" s="833" t="s">
        <v>1566</v>
      </c>
      <c r="E46" s="834" t="s">
        <v>1038</v>
      </c>
      <c r="F46" s="832" t="s">
        <v>1023</v>
      </c>
      <c r="G46" s="832" t="s">
        <v>1111</v>
      </c>
      <c r="H46" s="832" t="s">
        <v>676</v>
      </c>
      <c r="I46" s="832" t="s">
        <v>1180</v>
      </c>
      <c r="J46" s="832" t="s">
        <v>1181</v>
      </c>
      <c r="K46" s="832" t="s">
        <v>1182</v>
      </c>
      <c r="L46" s="835">
        <v>72.27</v>
      </c>
      <c r="M46" s="835">
        <v>21102.839999999997</v>
      </c>
      <c r="N46" s="832">
        <v>292</v>
      </c>
      <c r="O46" s="836">
        <v>5</v>
      </c>
      <c r="P46" s="835">
        <v>6937.92</v>
      </c>
      <c r="Q46" s="837">
        <v>0.32876712328767127</v>
      </c>
      <c r="R46" s="832">
        <v>96</v>
      </c>
      <c r="S46" s="837">
        <v>0.32876712328767121</v>
      </c>
      <c r="T46" s="836">
        <v>2</v>
      </c>
      <c r="U46" s="838">
        <v>0.4</v>
      </c>
    </row>
    <row r="47" spans="1:21" ht="14.45" customHeight="1" x14ac:dyDescent="0.2">
      <c r="A47" s="831">
        <v>9</v>
      </c>
      <c r="B47" s="832" t="s">
        <v>1022</v>
      </c>
      <c r="C47" s="832" t="s">
        <v>1029</v>
      </c>
      <c r="D47" s="833" t="s">
        <v>1566</v>
      </c>
      <c r="E47" s="834" t="s">
        <v>1038</v>
      </c>
      <c r="F47" s="832" t="s">
        <v>1023</v>
      </c>
      <c r="G47" s="832" t="s">
        <v>1111</v>
      </c>
      <c r="H47" s="832" t="s">
        <v>676</v>
      </c>
      <c r="I47" s="832" t="s">
        <v>1183</v>
      </c>
      <c r="J47" s="832" t="s">
        <v>1184</v>
      </c>
      <c r="K47" s="832" t="s">
        <v>1182</v>
      </c>
      <c r="L47" s="835">
        <v>72.27</v>
      </c>
      <c r="M47" s="835">
        <v>1734.48</v>
      </c>
      <c r="N47" s="832">
        <v>24</v>
      </c>
      <c r="O47" s="836">
        <v>1</v>
      </c>
      <c r="P47" s="835"/>
      <c r="Q47" s="837">
        <v>0</v>
      </c>
      <c r="R47" s="832"/>
      <c r="S47" s="837">
        <v>0</v>
      </c>
      <c r="T47" s="836"/>
      <c r="U47" s="838">
        <v>0</v>
      </c>
    </row>
    <row r="48" spans="1:21" ht="14.45" customHeight="1" x14ac:dyDescent="0.2">
      <c r="A48" s="831">
        <v>9</v>
      </c>
      <c r="B48" s="832" t="s">
        <v>1022</v>
      </c>
      <c r="C48" s="832" t="s">
        <v>1029</v>
      </c>
      <c r="D48" s="833" t="s">
        <v>1566</v>
      </c>
      <c r="E48" s="834" t="s">
        <v>1038</v>
      </c>
      <c r="F48" s="832" t="s">
        <v>1023</v>
      </c>
      <c r="G48" s="832" t="s">
        <v>1111</v>
      </c>
      <c r="H48" s="832" t="s">
        <v>676</v>
      </c>
      <c r="I48" s="832" t="s">
        <v>1185</v>
      </c>
      <c r="J48" s="832" t="s">
        <v>1186</v>
      </c>
      <c r="K48" s="832" t="s">
        <v>1182</v>
      </c>
      <c r="L48" s="835">
        <v>72.27</v>
      </c>
      <c r="M48" s="835">
        <v>1734.48</v>
      </c>
      <c r="N48" s="832">
        <v>24</v>
      </c>
      <c r="O48" s="836">
        <v>2</v>
      </c>
      <c r="P48" s="835"/>
      <c r="Q48" s="837">
        <v>0</v>
      </c>
      <c r="R48" s="832"/>
      <c r="S48" s="837">
        <v>0</v>
      </c>
      <c r="T48" s="836"/>
      <c r="U48" s="838">
        <v>0</v>
      </c>
    </row>
    <row r="49" spans="1:21" ht="14.45" customHeight="1" x14ac:dyDescent="0.2">
      <c r="A49" s="831">
        <v>9</v>
      </c>
      <c r="B49" s="832" t="s">
        <v>1022</v>
      </c>
      <c r="C49" s="832" t="s">
        <v>1029</v>
      </c>
      <c r="D49" s="833" t="s">
        <v>1566</v>
      </c>
      <c r="E49" s="834" t="s">
        <v>1038</v>
      </c>
      <c r="F49" s="832" t="s">
        <v>1023</v>
      </c>
      <c r="G49" s="832" t="s">
        <v>1111</v>
      </c>
      <c r="H49" s="832" t="s">
        <v>676</v>
      </c>
      <c r="I49" s="832" t="s">
        <v>1187</v>
      </c>
      <c r="J49" s="832" t="s">
        <v>1188</v>
      </c>
      <c r="K49" s="832" t="s">
        <v>1182</v>
      </c>
      <c r="L49" s="835">
        <v>72.27</v>
      </c>
      <c r="M49" s="835">
        <v>1734.48</v>
      </c>
      <c r="N49" s="832">
        <v>24</v>
      </c>
      <c r="O49" s="836">
        <v>1</v>
      </c>
      <c r="P49" s="835"/>
      <c r="Q49" s="837">
        <v>0</v>
      </c>
      <c r="R49" s="832"/>
      <c r="S49" s="837">
        <v>0</v>
      </c>
      <c r="T49" s="836"/>
      <c r="U49" s="838">
        <v>0</v>
      </c>
    </row>
    <row r="50" spans="1:21" ht="14.45" customHeight="1" x14ac:dyDescent="0.2">
      <c r="A50" s="831">
        <v>9</v>
      </c>
      <c r="B50" s="832" t="s">
        <v>1022</v>
      </c>
      <c r="C50" s="832" t="s">
        <v>1029</v>
      </c>
      <c r="D50" s="833" t="s">
        <v>1566</v>
      </c>
      <c r="E50" s="834" t="s">
        <v>1038</v>
      </c>
      <c r="F50" s="832" t="s">
        <v>1023</v>
      </c>
      <c r="G50" s="832" t="s">
        <v>1111</v>
      </c>
      <c r="H50" s="832" t="s">
        <v>676</v>
      </c>
      <c r="I50" s="832" t="s">
        <v>1189</v>
      </c>
      <c r="J50" s="832" t="s">
        <v>1190</v>
      </c>
      <c r="K50" s="832" t="s">
        <v>1182</v>
      </c>
      <c r="L50" s="835">
        <v>72.27</v>
      </c>
      <c r="M50" s="835">
        <v>1734.48</v>
      </c>
      <c r="N50" s="832">
        <v>24</v>
      </c>
      <c r="O50" s="836">
        <v>1</v>
      </c>
      <c r="P50" s="835"/>
      <c r="Q50" s="837">
        <v>0</v>
      </c>
      <c r="R50" s="832"/>
      <c r="S50" s="837">
        <v>0</v>
      </c>
      <c r="T50" s="836"/>
      <c r="U50" s="838">
        <v>0</v>
      </c>
    </row>
    <row r="51" spans="1:21" ht="14.45" customHeight="1" x14ac:dyDescent="0.2">
      <c r="A51" s="831">
        <v>9</v>
      </c>
      <c r="B51" s="832" t="s">
        <v>1022</v>
      </c>
      <c r="C51" s="832" t="s">
        <v>1029</v>
      </c>
      <c r="D51" s="833" t="s">
        <v>1566</v>
      </c>
      <c r="E51" s="834" t="s">
        <v>1038</v>
      </c>
      <c r="F51" s="832" t="s">
        <v>1023</v>
      </c>
      <c r="G51" s="832" t="s">
        <v>1111</v>
      </c>
      <c r="H51" s="832" t="s">
        <v>676</v>
      </c>
      <c r="I51" s="832" t="s">
        <v>1191</v>
      </c>
      <c r="J51" s="832" t="s">
        <v>1192</v>
      </c>
      <c r="K51" s="832" t="s">
        <v>1193</v>
      </c>
      <c r="L51" s="835">
        <v>135.54</v>
      </c>
      <c r="M51" s="835">
        <v>1219.8599999999999</v>
      </c>
      <c r="N51" s="832">
        <v>9</v>
      </c>
      <c r="O51" s="836">
        <v>1.5</v>
      </c>
      <c r="P51" s="835">
        <v>1219.8599999999999</v>
      </c>
      <c r="Q51" s="837">
        <v>1</v>
      </c>
      <c r="R51" s="832">
        <v>9</v>
      </c>
      <c r="S51" s="837">
        <v>1</v>
      </c>
      <c r="T51" s="836">
        <v>1.5</v>
      </c>
      <c r="U51" s="838">
        <v>1</v>
      </c>
    </row>
    <row r="52" spans="1:21" ht="14.45" customHeight="1" x14ac:dyDescent="0.2">
      <c r="A52" s="831">
        <v>9</v>
      </c>
      <c r="B52" s="832" t="s">
        <v>1022</v>
      </c>
      <c r="C52" s="832" t="s">
        <v>1029</v>
      </c>
      <c r="D52" s="833" t="s">
        <v>1566</v>
      </c>
      <c r="E52" s="834" t="s">
        <v>1038</v>
      </c>
      <c r="F52" s="832" t="s">
        <v>1023</v>
      </c>
      <c r="G52" s="832" t="s">
        <v>1111</v>
      </c>
      <c r="H52" s="832" t="s">
        <v>676</v>
      </c>
      <c r="I52" s="832" t="s">
        <v>1194</v>
      </c>
      <c r="J52" s="832" t="s">
        <v>1195</v>
      </c>
      <c r="K52" s="832" t="s">
        <v>1193</v>
      </c>
      <c r="L52" s="835">
        <v>135.54</v>
      </c>
      <c r="M52" s="835">
        <v>1219.8599999999999</v>
      </c>
      <c r="N52" s="832">
        <v>9</v>
      </c>
      <c r="O52" s="836">
        <v>1</v>
      </c>
      <c r="P52" s="835">
        <v>1219.8599999999999</v>
      </c>
      <c r="Q52" s="837">
        <v>1</v>
      </c>
      <c r="R52" s="832">
        <v>9</v>
      </c>
      <c r="S52" s="837">
        <v>1</v>
      </c>
      <c r="T52" s="836">
        <v>1</v>
      </c>
      <c r="U52" s="838">
        <v>1</v>
      </c>
    </row>
    <row r="53" spans="1:21" ht="14.45" customHeight="1" x14ac:dyDescent="0.2">
      <c r="A53" s="831">
        <v>9</v>
      </c>
      <c r="B53" s="832" t="s">
        <v>1022</v>
      </c>
      <c r="C53" s="832" t="s">
        <v>1029</v>
      </c>
      <c r="D53" s="833" t="s">
        <v>1566</v>
      </c>
      <c r="E53" s="834" t="s">
        <v>1038</v>
      </c>
      <c r="F53" s="832" t="s">
        <v>1023</v>
      </c>
      <c r="G53" s="832" t="s">
        <v>1111</v>
      </c>
      <c r="H53" s="832" t="s">
        <v>676</v>
      </c>
      <c r="I53" s="832" t="s">
        <v>1112</v>
      </c>
      <c r="J53" s="832" t="s">
        <v>1113</v>
      </c>
      <c r="K53" s="832" t="s">
        <v>1114</v>
      </c>
      <c r="L53" s="835">
        <v>294.81</v>
      </c>
      <c r="M53" s="835">
        <v>12971.64</v>
      </c>
      <c r="N53" s="832">
        <v>44</v>
      </c>
      <c r="O53" s="836">
        <v>6.5</v>
      </c>
      <c r="P53" s="835">
        <v>5601.3899999999994</v>
      </c>
      <c r="Q53" s="837">
        <v>0.43181818181818177</v>
      </c>
      <c r="R53" s="832">
        <v>19</v>
      </c>
      <c r="S53" s="837">
        <v>0.43181818181818182</v>
      </c>
      <c r="T53" s="836">
        <v>3</v>
      </c>
      <c r="U53" s="838">
        <v>0.46153846153846156</v>
      </c>
    </row>
    <row r="54" spans="1:21" ht="14.45" customHeight="1" x14ac:dyDescent="0.2">
      <c r="A54" s="831">
        <v>9</v>
      </c>
      <c r="B54" s="832" t="s">
        <v>1022</v>
      </c>
      <c r="C54" s="832" t="s">
        <v>1029</v>
      </c>
      <c r="D54" s="833" t="s">
        <v>1566</v>
      </c>
      <c r="E54" s="834" t="s">
        <v>1038</v>
      </c>
      <c r="F54" s="832" t="s">
        <v>1023</v>
      </c>
      <c r="G54" s="832" t="s">
        <v>1111</v>
      </c>
      <c r="H54" s="832" t="s">
        <v>676</v>
      </c>
      <c r="I54" s="832" t="s">
        <v>1196</v>
      </c>
      <c r="J54" s="832" t="s">
        <v>1197</v>
      </c>
      <c r="K54" s="832" t="s">
        <v>1198</v>
      </c>
      <c r="L54" s="835">
        <v>2635.97</v>
      </c>
      <c r="M54" s="835">
        <v>129162.53000000001</v>
      </c>
      <c r="N54" s="832">
        <v>49</v>
      </c>
      <c r="O54" s="836">
        <v>11.5</v>
      </c>
      <c r="P54" s="835">
        <v>94894.920000000013</v>
      </c>
      <c r="Q54" s="837">
        <v>0.73469387755102045</v>
      </c>
      <c r="R54" s="832">
        <v>36</v>
      </c>
      <c r="S54" s="837">
        <v>0.73469387755102045</v>
      </c>
      <c r="T54" s="836">
        <v>7.5</v>
      </c>
      <c r="U54" s="838">
        <v>0.65217391304347827</v>
      </c>
    </row>
    <row r="55" spans="1:21" ht="14.45" customHeight="1" x14ac:dyDescent="0.2">
      <c r="A55" s="831">
        <v>9</v>
      </c>
      <c r="B55" s="832" t="s">
        <v>1022</v>
      </c>
      <c r="C55" s="832" t="s">
        <v>1029</v>
      </c>
      <c r="D55" s="833" t="s">
        <v>1566</v>
      </c>
      <c r="E55" s="834" t="s">
        <v>1038</v>
      </c>
      <c r="F55" s="832" t="s">
        <v>1023</v>
      </c>
      <c r="G55" s="832" t="s">
        <v>1111</v>
      </c>
      <c r="H55" s="832" t="s">
        <v>572</v>
      </c>
      <c r="I55" s="832" t="s">
        <v>1199</v>
      </c>
      <c r="J55" s="832" t="s">
        <v>755</v>
      </c>
      <c r="K55" s="832" t="s">
        <v>756</v>
      </c>
      <c r="L55" s="835">
        <v>2844.97</v>
      </c>
      <c r="M55" s="835">
        <v>25604.73</v>
      </c>
      <c r="N55" s="832">
        <v>9</v>
      </c>
      <c r="O55" s="836">
        <v>2.5</v>
      </c>
      <c r="P55" s="835"/>
      <c r="Q55" s="837">
        <v>0</v>
      </c>
      <c r="R55" s="832"/>
      <c r="S55" s="837">
        <v>0</v>
      </c>
      <c r="T55" s="836"/>
      <c r="U55" s="838">
        <v>0</v>
      </c>
    </row>
    <row r="56" spans="1:21" ht="14.45" customHeight="1" x14ac:dyDescent="0.2">
      <c r="A56" s="831">
        <v>9</v>
      </c>
      <c r="B56" s="832" t="s">
        <v>1022</v>
      </c>
      <c r="C56" s="832" t="s">
        <v>1029</v>
      </c>
      <c r="D56" s="833" t="s">
        <v>1566</v>
      </c>
      <c r="E56" s="834" t="s">
        <v>1038</v>
      </c>
      <c r="F56" s="832" t="s">
        <v>1023</v>
      </c>
      <c r="G56" s="832" t="s">
        <v>1111</v>
      </c>
      <c r="H56" s="832" t="s">
        <v>572</v>
      </c>
      <c r="I56" s="832" t="s">
        <v>1200</v>
      </c>
      <c r="J56" s="832" t="s">
        <v>1201</v>
      </c>
      <c r="K56" s="832" t="s">
        <v>1202</v>
      </c>
      <c r="L56" s="835">
        <v>283.32</v>
      </c>
      <c r="M56" s="835">
        <v>1699.92</v>
      </c>
      <c r="N56" s="832">
        <v>6</v>
      </c>
      <c r="O56" s="836">
        <v>1</v>
      </c>
      <c r="P56" s="835">
        <v>1699.92</v>
      </c>
      <c r="Q56" s="837">
        <v>1</v>
      </c>
      <c r="R56" s="832">
        <v>6</v>
      </c>
      <c r="S56" s="837">
        <v>1</v>
      </c>
      <c r="T56" s="836">
        <v>1</v>
      </c>
      <c r="U56" s="838">
        <v>1</v>
      </c>
    </row>
    <row r="57" spans="1:21" ht="14.45" customHeight="1" x14ac:dyDescent="0.2">
      <c r="A57" s="831">
        <v>9</v>
      </c>
      <c r="B57" s="832" t="s">
        <v>1022</v>
      </c>
      <c r="C57" s="832" t="s">
        <v>1029</v>
      </c>
      <c r="D57" s="833" t="s">
        <v>1566</v>
      </c>
      <c r="E57" s="834" t="s">
        <v>1038</v>
      </c>
      <c r="F57" s="832" t="s">
        <v>1023</v>
      </c>
      <c r="G57" s="832" t="s">
        <v>1111</v>
      </c>
      <c r="H57" s="832" t="s">
        <v>572</v>
      </c>
      <c r="I57" s="832" t="s">
        <v>1203</v>
      </c>
      <c r="J57" s="832" t="s">
        <v>1204</v>
      </c>
      <c r="K57" s="832" t="s">
        <v>1202</v>
      </c>
      <c r="L57" s="835">
        <v>283.32</v>
      </c>
      <c r="M57" s="835">
        <v>1699.92</v>
      </c>
      <c r="N57" s="832">
        <v>6</v>
      </c>
      <c r="O57" s="836">
        <v>1</v>
      </c>
      <c r="P57" s="835">
        <v>1699.92</v>
      </c>
      <c r="Q57" s="837">
        <v>1</v>
      </c>
      <c r="R57" s="832">
        <v>6</v>
      </c>
      <c r="S57" s="837">
        <v>1</v>
      </c>
      <c r="T57" s="836">
        <v>1</v>
      </c>
      <c r="U57" s="838">
        <v>1</v>
      </c>
    </row>
    <row r="58" spans="1:21" ht="14.45" customHeight="1" x14ac:dyDescent="0.2">
      <c r="A58" s="831">
        <v>9</v>
      </c>
      <c r="B58" s="832" t="s">
        <v>1022</v>
      </c>
      <c r="C58" s="832" t="s">
        <v>1029</v>
      </c>
      <c r="D58" s="833" t="s">
        <v>1566</v>
      </c>
      <c r="E58" s="834" t="s">
        <v>1038</v>
      </c>
      <c r="F58" s="832" t="s">
        <v>1023</v>
      </c>
      <c r="G58" s="832" t="s">
        <v>1111</v>
      </c>
      <c r="H58" s="832" t="s">
        <v>572</v>
      </c>
      <c r="I58" s="832" t="s">
        <v>1205</v>
      </c>
      <c r="J58" s="832" t="s">
        <v>1206</v>
      </c>
      <c r="K58" s="832" t="s">
        <v>1202</v>
      </c>
      <c r="L58" s="835">
        <v>283.32</v>
      </c>
      <c r="M58" s="835">
        <v>1699.92</v>
      </c>
      <c r="N58" s="832">
        <v>6</v>
      </c>
      <c r="O58" s="836">
        <v>1</v>
      </c>
      <c r="P58" s="835">
        <v>1699.92</v>
      </c>
      <c r="Q58" s="837">
        <v>1</v>
      </c>
      <c r="R58" s="832">
        <v>6</v>
      </c>
      <c r="S58" s="837">
        <v>1</v>
      </c>
      <c r="T58" s="836">
        <v>1</v>
      </c>
      <c r="U58" s="838">
        <v>1</v>
      </c>
    </row>
    <row r="59" spans="1:21" ht="14.45" customHeight="1" x14ac:dyDescent="0.2">
      <c r="A59" s="831">
        <v>9</v>
      </c>
      <c r="B59" s="832" t="s">
        <v>1022</v>
      </c>
      <c r="C59" s="832" t="s">
        <v>1029</v>
      </c>
      <c r="D59" s="833" t="s">
        <v>1566</v>
      </c>
      <c r="E59" s="834" t="s">
        <v>1038</v>
      </c>
      <c r="F59" s="832" t="s">
        <v>1023</v>
      </c>
      <c r="G59" s="832" t="s">
        <v>1111</v>
      </c>
      <c r="H59" s="832" t="s">
        <v>572</v>
      </c>
      <c r="I59" s="832" t="s">
        <v>1207</v>
      </c>
      <c r="J59" s="832" t="s">
        <v>1208</v>
      </c>
      <c r="K59" s="832" t="s">
        <v>1202</v>
      </c>
      <c r="L59" s="835">
        <v>283.32</v>
      </c>
      <c r="M59" s="835">
        <v>1699.92</v>
      </c>
      <c r="N59" s="832">
        <v>6</v>
      </c>
      <c r="O59" s="836">
        <v>1</v>
      </c>
      <c r="P59" s="835">
        <v>1699.92</v>
      </c>
      <c r="Q59" s="837">
        <v>1</v>
      </c>
      <c r="R59" s="832">
        <v>6</v>
      </c>
      <c r="S59" s="837">
        <v>1</v>
      </c>
      <c r="T59" s="836">
        <v>1</v>
      </c>
      <c r="U59" s="838">
        <v>1</v>
      </c>
    </row>
    <row r="60" spans="1:21" ht="14.45" customHeight="1" x14ac:dyDescent="0.2">
      <c r="A60" s="831">
        <v>9</v>
      </c>
      <c r="B60" s="832" t="s">
        <v>1022</v>
      </c>
      <c r="C60" s="832" t="s">
        <v>1029</v>
      </c>
      <c r="D60" s="833" t="s">
        <v>1566</v>
      </c>
      <c r="E60" s="834" t="s">
        <v>1038</v>
      </c>
      <c r="F60" s="832" t="s">
        <v>1023</v>
      </c>
      <c r="G60" s="832" t="s">
        <v>1111</v>
      </c>
      <c r="H60" s="832" t="s">
        <v>572</v>
      </c>
      <c r="I60" s="832" t="s">
        <v>1209</v>
      </c>
      <c r="J60" s="832" t="s">
        <v>1188</v>
      </c>
      <c r="K60" s="832" t="s">
        <v>1202</v>
      </c>
      <c r="L60" s="835">
        <v>289.07</v>
      </c>
      <c r="M60" s="835">
        <v>1445.35</v>
      </c>
      <c r="N60" s="832">
        <v>5</v>
      </c>
      <c r="O60" s="836">
        <v>0.5</v>
      </c>
      <c r="P60" s="835"/>
      <c r="Q60" s="837">
        <v>0</v>
      </c>
      <c r="R60" s="832"/>
      <c r="S60" s="837">
        <v>0</v>
      </c>
      <c r="T60" s="836"/>
      <c r="U60" s="838">
        <v>0</v>
      </c>
    </row>
    <row r="61" spans="1:21" ht="14.45" customHeight="1" x14ac:dyDescent="0.2">
      <c r="A61" s="831">
        <v>9</v>
      </c>
      <c r="B61" s="832" t="s">
        <v>1022</v>
      </c>
      <c r="C61" s="832" t="s">
        <v>1029</v>
      </c>
      <c r="D61" s="833" t="s">
        <v>1566</v>
      </c>
      <c r="E61" s="834" t="s">
        <v>1038</v>
      </c>
      <c r="F61" s="832" t="s">
        <v>1023</v>
      </c>
      <c r="G61" s="832" t="s">
        <v>1111</v>
      </c>
      <c r="H61" s="832" t="s">
        <v>572</v>
      </c>
      <c r="I61" s="832" t="s">
        <v>1210</v>
      </c>
      <c r="J61" s="832" t="s">
        <v>1181</v>
      </c>
      <c r="K61" s="832" t="s">
        <v>1202</v>
      </c>
      <c r="L61" s="835">
        <v>289.07</v>
      </c>
      <c r="M61" s="835">
        <v>63595.4</v>
      </c>
      <c r="N61" s="832">
        <v>220</v>
      </c>
      <c r="O61" s="836">
        <v>8</v>
      </c>
      <c r="P61" s="835">
        <v>21391.18</v>
      </c>
      <c r="Q61" s="837">
        <v>0.33636363636363636</v>
      </c>
      <c r="R61" s="832">
        <v>74</v>
      </c>
      <c r="S61" s="837">
        <v>0.33636363636363636</v>
      </c>
      <c r="T61" s="836">
        <v>3</v>
      </c>
      <c r="U61" s="838">
        <v>0.375</v>
      </c>
    </row>
    <row r="62" spans="1:21" ht="14.45" customHeight="1" x14ac:dyDescent="0.2">
      <c r="A62" s="831">
        <v>9</v>
      </c>
      <c r="B62" s="832" t="s">
        <v>1022</v>
      </c>
      <c r="C62" s="832" t="s">
        <v>1029</v>
      </c>
      <c r="D62" s="833" t="s">
        <v>1566</v>
      </c>
      <c r="E62" s="834" t="s">
        <v>1038</v>
      </c>
      <c r="F62" s="832" t="s">
        <v>1023</v>
      </c>
      <c r="G62" s="832" t="s">
        <v>1111</v>
      </c>
      <c r="H62" s="832" t="s">
        <v>572</v>
      </c>
      <c r="I62" s="832" t="s">
        <v>1211</v>
      </c>
      <c r="J62" s="832" t="s">
        <v>1186</v>
      </c>
      <c r="K62" s="832" t="s">
        <v>1202</v>
      </c>
      <c r="L62" s="835">
        <v>289.07</v>
      </c>
      <c r="M62" s="835">
        <v>1445.35</v>
      </c>
      <c r="N62" s="832">
        <v>5</v>
      </c>
      <c r="O62" s="836">
        <v>0.5</v>
      </c>
      <c r="P62" s="835"/>
      <c r="Q62" s="837">
        <v>0</v>
      </c>
      <c r="R62" s="832"/>
      <c r="S62" s="837">
        <v>0</v>
      </c>
      <c r="T62" s="836"/>
      <c r="U62" s="838">
        <v>0</v>
      </c>
    </row>
    <row r="63" spans="1:21" ht="14.45" customHeight="1" x14ac:dyDescent="0.2">
      <c r="A63" s="831">
        <v>9</v>
      </c>
      <c r="B63" s="832" t="s">
        <v>1022</v>
      </c>
      <c r="C63" s="832" t="s">
        <v>1029</v>
      </c>
      <c r="D63" s="833" t="s">
        <v>1566</v>
      </c>
      <c r="E63" s="834" t="s">
        <v>1038</v>
      </c>
      <c r="F63" s="832" t="s">
        <v>1023</v>
      </c>
      <c r="G63" s="832" t="s">
        <v>1111</v>
      </c>
      <c r="H63" s="832" t="s">
        <v>572</v>
      </c>
      <c r="I63" s="832" t="s">
        <v>1212</v>
      </c>
      <c r="J63" s="832" t="s">
        <v>1184</v>
      </c>
      <c r="K63" s="832" t="s">
        <v>1202</v>
      </c>
      <c r="L63" s="835">
        <v>289.07</v>
      </c>
      <c r="M63" s="835">
        <v>11851.87</v>
      </c>
      <c r="N63" s="832">
        <v>41</v>
      </c>
      <c r="O63" s="836">
        <v>1.5</v>
      </c>
      <c r="P63" s="835"/>
      <c r="Q63" s="837">
        <v>0</v>
      </c>
      <c r="R63" s="832"/>
      <c r="S63" s="837">
        <v>0</v>
      </c>
      <c r="T63" s="836"/>
      <c r="U63" s="838">
        <v>0</v>
      </c>
    </row>
    <row r="64" spans="1:21" ht="14.45" customHeight="1" x14ac:dyDescent="0.2">
      <c r="A64" s="831">
        <v>9</v>
      </c>
      <c r="B64" s="832" t="s">
        <v>1022</v>
      </c>
      <c r="C64" s="832" t="s">
        <v>1029</v>
      </c>
      <c r="D64" s="833" t="s">
        <v>1566</v>
      </c>
      <c r="E64" s="834" t="s">
        <v>1038</v>
      </c>
      <c r="F64" s="832" t="s">
        <v>1023</v>
      </c>
      <c r="G64" s="832" t="s">
        <v>1111</v>
      </c>
      <c r="H64" s="832" t="s">
        <v>572</v>
      </c>
      <c r="I64" s="832" t="s">
        <v>1213</v>
      </c>
      <c r="J64" s="832" t="s">
        <v>1190</v>
      </c>
      <c r="K64" s="832" t="s">
        <v>1202</v>
      </c>
      <c r="L64" s="835">
        <v>289.07</v>
      </c>
      <c r="M64" s="835">
        <v>1445.35</v>
      </c>
      <c r="N64" s="832">
        <v>5</v>
      </c>
      <c r="O64" s="836">
        <v>0.5</v>
      </c>
      <c r="P64" s="835"/>
      <c r="Q64" s="837">
        <v>0</v>
      </c>
      <c r="R64" s="832"/>
      <c r="S64" s="837">
        <v>0</v>
      </c>
      <c r="T64" s="836"/>
      <c r="U64" s="838">
        <v>0</v>
      </c>
    </row>
    <row r="65" spans="1:21" ht="14.45" customHeight="1" x14ac:dyDescent="0.2">
      <c r="A65" s="831">
        <v>9</v>
      </c>
      <c r="B65" s="832" t="s">
        <v>1022</v>
      </c>
      <c r="C65" s="832" t="s">
        <v>1029</v>
      </c>
      <c r="D65" s="833" t="s">
        <v>1566</v>
      </c>
      <c r="E65" s="834" t="s">
        <v>1038</v>
      </c>
      <c r="F65" s="832" t="s">
        <v>1023</v>
      </c>
      <c r="G65" s="832" t="s">
        <v>1111</v>
      </c>
      <c r="H65" s="832" t="s">
        <v>676</v>
      </c>
      <c r="I65" s="832" t="s">
        <v>1214</v>
      </c>
      <c r="J65" s="832" t="s">
        <v>1215</v>
      </c>
      <c r="K65" s="832" t="s">
        <v>1114</v>
      </c>
      <c r="L65" s="835">
        <v>294.81</v>
      </c>
      <c r="M65" s="835">
        <v>2948.1</v>
      </c>
      <c r="N65" s="832">
        <v>10</v>
      </c>
      <c r="O65" s="836">
        <v>2</v>
      </c>
      <c r="P65" s="835"/>
      <c r="Q65" s="837">
        <v>0</v>
      </c>
      <c r="R65" s="832"/>
      <c r="S65" s="837">
        <v>0</v>
      </c>
      <c r="T65" s="836"/>
      <c r="U65" s="838">
        <v>0</v>
      </c>
    </row>
    <row r="66" spans="1:21" ht="14.45" customHeight="1" x14ac:dyDescent="0.2">
      <c r="A66" s="831">
        <v>9</v>
      </c>
      <c r="B66" s="832" t="s">
        <v>1022</v>
      </c>
      <c r="C66" s="832" t="s">
        <v>1029</v>
      </c>
      <c r="D66" s="833" t="s">
        <v>1566</v>
      </c>
      <c r="E66" s="834" t="s">
        <v>1038</v>
      </c>
      <c r="F66" s="832" t="s">
        <v>1023</v>
      </c>
      <c r="G66" s="832" t="s">
        <v>1111</v>
      </c>
      <c r="H66" s="832" t="s">
        <v>572</v>
      </c>
      <c r="I66" s="832" t="s">
        <v>1216</v>
      </c>
      <c r="J66" s="832" t="s">
        <v>755</v>
      </c>
      <c r="K66" s="832" t="s">
        <v>756</v>
      </c>
      <c r="L66" s="835">
        <v>2844.97</v>
      </c>
      <c r="M66" s="835">
        <v>8534.91</v>
      </c>
      <c r="N66" s="832">
        <v>3</v>
      </c>
      <c r="O66" s="836">
        <v>1</v>
      </c>
      <c r="P66" s="835"/>
      <c r="Q66" s="837">
        <v>0</v>
      </c>
      <c r="R66" s="832"/>
      <c r="S66" s="837">
        <v>0</v>
      </c>
      <c r="T66" s="836"/>
      <c r="U66" s="838">
        <v>0</v>
      </c>
    </row>
    <row r="67" spans="1:21" ht="14.45" customHeight="1" x14ac:dyDescent="0.2">
      <c r="A67" s="831">
        <v>9</v>
      </c>
      <c r="B67" s="832" t="s">
        <v>1022</v>
      </c>
      <c r="C67" s="832" t="s">
        <v>1029</v>
      </c>
      <c r="D67" s="833" t="s">
        <v>1566</v>
      </c>
      <c r="E67" s="834" t="s">
        <v>1038</v>
      </c>
      <c r="F67" s="832" t="s">
        <v>1024</v>
      </c>
      <c r="G67" s="832" t="s">
        <v>1119</v>
      </c>
      <c r="H67" s="832" t="s">
        <v>572</v>
      </c>
      <c r="I67" s="832" t="s">
        <v>1217</v>
      </c>
      <c r="J67" s="832" t="s">
        <v>1121</v>
      </c>
      <c r="K67" s="832"/>
      <c r="L67" s="835">
        <v>0</v>
      </c>
      <c r="M67" s="835">
        <v>0</v>
      </c>
      <c r="N67" s="832">
        <v>1</v>
      </c>
      <c r="O67" s="836">
        <v>1</v>
      </c>
      <c r="P67" s="835">
        <v>0</v>
      </c>
      <c r="Q67" s="837"/>
      <c r="R67" s="832">
        <v>1</v>
      </c>
      <c r="S67" s="837">
        <v>1</v>
      </c>
      <c r="T67" s="836">
        <v>1</v>
      </c>
      <c r="U67" s="838">
        <v>1</v>
      </c>
    </row>
    <row r="68" spans="1:21" ht="14.45" customHeight="1" x14ac:dyDescent="0.2">
      <c r="A68" s="831">
        <v>9</v>
      </c>
      <c r="B68" s="832" t="s">
        <v>1022</v>
      </c>
      <c r="C68" s="832" t="s">
        <v>1029</v>
      </c>
      <c r="D68" s="833" t="s">
        <v>1566</v>
      </c>
      <c r="E68" s="834" t="s">
        <v>1038</v>
      </c>
      <c r="F68" s="832" t="s">
        <v>1024</v>
      </c>
      <c r="G68" s="832" t="s">
        <v>1119</v>
      </c>
      <c r="H68" s="832" t="s">
        <v>572</v>
      </c>
      <c r="I68" s="832" t="s">
        <v>1218</v>
      </c>
      <c r="J68" s="832" t="s">
        <v>1121</v>
      </c>
      <c r="K68" s="832"/>
      <c r="L68" s="835">
        <v>0</v>
      </c>
      <c r="M68" s="835">
        <v>0</v>
      </c>
      <c r="N68" s="832">
        <v>1</v>
      </c>
      <c r="O68" s="836">
        <v>1</v>
      </c>
      <c r="P68" s="835"/>
      <c r="Q68" s="837"/>
      <c r="R68" s="832"/>
      <c r="S68" s="837">
        <v>0</v>
      </c>
      <c r="T68" s="836"/>
      <c r="U68" s="838">
        <v>0</v>
      </c>
    </row>
    <row r="69" spans="1:21" ht="14.45" customHeight="1" x14ac:dyDescent="0.2">
      <c r="A69" s="831">
        <v>9</v>
      </c>
      <c r="B69" s="832" t="s">
        <v>1022</v>
      </c>
      <c r="C69" s="832" t="s">
        <v>1029</v>
      </c>
      <c r="D69" s="833" t="s">
        <v>1566</v>
      </c>
      <c r="E69" s="834" t="s">
        <v>1038</v>
      </c>
      <c r="F69" s="832" t="s">
        <v>1024</v>
      </c>
      <c r="G69" s="832" t="s">
        <v>1119</v>
      </c>
      <c r="H69" s="832" t="s">
        <v>572</v>
      </c>
      <c r="I69" s="832" t="s">
        <v>1219</v>
      </c>
      <c r="J69" s="832" t="s">
        <v>1121</v>
      </c>
      <c r="K69" s="832"/>
      <c r="L69" s="835">
        <v>0</v>
      </c>
      <c r="M69" s="835">
        <v>0</v>
      </c>
      <c r="N69" s="832">
        <v>1</v>
      </c>
      <c r="O69" s="836">
        <v>1</v>
      </c>
      <c r="P69" s="835">
        <v>0</v>
      </c>
      <c r="Q69" s="837"/>
      <c r="R69" s="832">
        <v>1</v>
      </c>
      <c r="S69" s="837">
        <v>1</v>
      </c>
      <c r="T69" s="836">
        <v>1</v>
      </c>
      <c r="U69" s="838">
        <v>1</v>
      </c>
    </row>
    <row r="70" spans="1:21" ht="14.45" customHeight="1" x14ac:dyDescent="0.2">
      <c r="A70" s="831">
        <v>9</v>
      </c>
      <c r="B70" s="832" t="s">
        <v>1022</v>
      </c>
      <c r="C70" s="832" t="s">
        <v>1029</v>
      </c>
      <c r="D70" s="833" t="s">
        <v>1566</v>
      </c>
      <c r="E70" s="834" t="s">
        <v>1038</v>
      </c>
      <c r="F70" s="832" t="s">
        <v>1025</v>
      </c>
      <c r="G70" s="832" t="s">
        <v>1119</v>
      </c>
      <c r="H70" s="832" t="s">
        <v>572</v>
      </c>
      <c r="I70" s="832" t="s">
        <v>1220</v>
      </c>
      <c r="J70" s="832" t="s">
        <v>1221</v>
      </c>
      <c r="K70" s="832" t="s">
        <v>1222</v>
      </c>
      <c r="L70" s="835">
        <v>0</v>
      </c>
      <c r="M70" s="835">
        <v>0</v>
      </c>
      <c r="N70" s="832">
        <v>1</v>
      </c>
      <c r="O70" s="836">
        <v>1</v>
      </c>
      <c r="P70" s="835"/>
      <c r="Q70" s="837"/>
      <c r="R70" s="832"/>
      <c r="S70" s="837">
        <v>0</v>
      </c>
      <c r="T70" s="836"/>
      <c r="U70" s="838">
        <v>0</v>
      </c>
    </row>
    <row r="71" spans="1:21" ht="14.45" customHeight="1" x14ac:dyDescent="0.2">
      <c r="A71" s="831">
        <v>9</v>
      </c>
      <c r="B71" s="832" t="s">
        <v>1022</v>
      </c>
      <c r="C71" s="832" t="s">
        <v>1029</v>
      </c>
      <c r="D71" s="833" t="s">
        <v>1566</v>
      </c>
      <c r="E71" s="834" t="s">
        <v>1038</v>
      </c>
      <c r="F71" s="832" t="s">
        <v>1025</v>
      </c>
      <c r="G71" s="832" t="s">
        <v>1223</v>
      </c>
      <c r="H71" s="832" t="s">
        <v>572</v>
      </c>
      <c r="I71" s="832" t="s">
        <v>1224</v>
      </c>
      <c r="J71" s="832" t="s">
        <v>1225</v>
      </c>
      <c r="K71" s="832" t="s">
        <v>1226</v>
      </c>
      <c r="L71" s="835">
        <v>199.5</v>
      </c>
      <c r="M71" s="835">
        <v>199.5</v>
      </c>
      <c r="N71" s="832">
        <v>1</v>
      </c>
      <c r="O71" s="836">
        <v>1</v>
      </c>
      <c r="P71" s="835">
        <v>199.5</v>
      </c>
      <c r="Q71" s="837">
        <v>1</v>
      </c>
      <c r="R71" s="832">
        <v>1</v>
      </c>
      <c r="S71" s="837">
        <v>1</v>
      </c>
      <c r="T71" s="836">
        <v>1</v>
      </c>
      <c r="U71" s="838">
        <v>1</v>
      </c>
    </row>
    <row r="72" spans="1:21" ht="14.45" customHeight="1" x14ac:dyDescent="0.2">
      <c r="A72" s="831">
        <v>9</v>
      </c>
      <c r="B72" s="832" t="s">
        <v>1022</v>
      </c>
      <c r="C72" s="832" t="s">
        <v>1029</v>
      </c>
      <c r="D72" s="833" t="s">
        <v>1566</v>
      </c>
      <c r="E72" s="834" t="s">
        <v>1038</v>
      </c>
      <c r="F72" s="832" t="s">
        <v>1025</v>
      </c>
      <c r="G72" s="832" t="s">
        <v>1227</v>
      </c>
      <c r="H72" s="832" t="s">
        <v>572</v>
      </c>
      <c r="I72" s="832" t="s">
        <v>1228</v>
      </c>
      <c r="J72" s="832" t="s">
        <v>1229</v>
      </c>
      <c r="K72" s="832" t="s">
        <v>1230</v>
      </c>
      <c r="L72" s="835">
        <v>29.3</v>
      </c>
      <c r="M72" s="835">
        <v>29.3</v>
      </c>
      <c r="N72" s="832">
        <v>1</v>
      </c>
      <c r="O72" s="836">
        <v>1</v>
      </c>
      <c r="P72" s="835"/>
      <c r="Q72" s="837">
        <v>0</v>
      </c>
      <c r="R72" s="832"/>
      <c r="S72" s="837">
        <v>0</v>
      </c>
      <c r="T72" s="836"/>
      <c r="U72" s="838">
        <v>0</v>
      </c>
    </row>
    <row r="73" spans="1:21" ht="14.45" customHeight="1" x14ac:dyDescent="0.2">
      <c r="A73" s="831">
        <v>9</v>
      </c>
      <c r="B73" s="832" t="s">
        <v>1022</v>
      </c>
      <c r="C73" s="832" t="s">
        <v>1029</v>
      </c>
      <c r="D73" s="833" t="s">
        <v>1566</v>
      </c>
      <c r="E73" s="834" t="s">
        <v>1038</v>
      </c>
      <c r="F73" s="832" t="s">
        <v>1025</v>
      </c>
      <c r="G73" s="832" t="s">
        <v>1231</v>
      </c>
      <c r="H73" s="832" t="s">
        <v>572</v>
      </c>
      <c r="I73" s="832" t="s">
        <v>1232</v>
      </c>
      <c r="J73" s="832" t="s">
        <v>1233</v>
      </c>
      <c r="K73" s="832" t="s">
        <v>1234</v>
      </c>
      <c r="L73" s="835">
        <v>1485</v>
      </c>
      <c r="M73" s="835">
        <v>1485</v>
      </c>
      <c r="N73" s="832">
        <v>1</v>
      </c>
      <c r="O73" s="836">
        <v>1</v>
      </c>
      <c r="P73" s="835"/>
      <c r="Q73" s="837">
        <v>0</v>
      </c>
      <c r="R73" s="832"/>
      <c r="S73" s="837">
        <v>0</v>
      </c>
      <c r="T73" s="836"/>
      <c r="U73" s="838">
        <v>0</v>
      </c>
    </row>
    <row r="74" spans="1:21" ht="14.45" customHeight="1" x14ac:dyDescent="0.2">
      <c r="A74" s="831">
        <v>9</v>
      </c>
      <c r="B74" s="832" t="s">
        <v>1022</v>
      </c>
      <c r="C74" s="832" t="s">
        <v>1029</v>
      </c>
      <c r="D74" s="833" t="s">
        <v>1566</v>
      </c>
      <c r="E74" s="834" t="s">
        <v>1043</v>
      </c>
      <c r="F74" s="832" t="s">
        <v>1023</v>
      </c>
      <c r="G74" s="832" t="s">
        <v>1235</v>
      </c>
      <c r="H74" s="832" t="s">
        <v>572</v>
      </c>
      <c r="I74" s="832" t="s">
        <v>1236</v>
      </c>
      <c r="J74" s="832" t="s">
        <v>1237</v>
      </c>
      <c r="K74" s="832" t="s">
        <v>1238</v>
      </c>
      <c r="L74" s="835">
        <v>25.06</v>
      </c>
      <c r="M74" s="835">
        <v>50.12</v>
      </c>
      <c r="N74" s="832">
        <v>2</v>
      </c>
      <c r="O74" s="836">
        <v>1</v>
      </c>
      <c r="P74" s="835">
        <v>50.12</v>
      </c>
      <c r="Q74" s="837">
        <v>1</v>
      </c>
      <c r="R74" s="832">
        <v>2</v>
      </c>
      <c r="S74" s="837">
        <v>1</v>
      </c>
      <c r="T74" s="836">
        <v>1</v>
      </c>
      <c r="U74" s="838">
        <v>1</v>
      </c>
    </row>
    <row r="75" spans="1:21" ht="14.45" customHeight="1" x14ac:dyDescent="0.2">
      <c r="A75" s="831">
        <v>9</v>
      </c>
      <c r="B75" s="832" t="s">
        <v>1022</v>
      </c>
      <c r="C75" s="832" t="s">
        <v>1029</v>
      </c>
      <c r="D75" s="833" t="s">
        <v>1566</v>
      </c>
      <c r="E75" s="834" t="s">
        <v>1043</v>
      </c>
      <c r="F75" s="832" t="s">
        <v>1023</v>
      </c>
      <c r="G75" s="832" t="s">
        <v>1239</v>
      </c>
      <c r="H75" s="832" t="s">
        <v>572</v>
      </c>
      <c r="I75" s="832" t="s">
        <v>1240</v>
      </c>
      <c r="J75" s="832" t="s">
        <v>1241</v>
      </c>
      <c r="K75" s="832" t="s">
        <v>1242</v>
      </c>
      <c r="L75" s="835">
        <v>29.39</v>
      </c>
      <c r="M75" s="835">
        <v>29.39</v>
      </c>
      <c r="N75" s="832">
        <v>1</v>
      </c>
      <c r="O75" s="836">
        <v>1</v>
      </c>
      <c r="P75" s="835">
        <v>29.39</v>
      </c>
      <c r="Q75" s="837">
        <v>1</v>
      </c>
      <c r="R75" s="832">
        <v>1</v>
      </c>
      <c r="S75" s="837">
        <v>1</v>
      </c>
      <c r="T75" s="836">
        <v>1</v>
      </c>
      <c r="U75" s="838">
        <v>1</v>
      </c>
    </row>
    <row r="76" spans="1:21" ht="14.45" customHeight="1" x14ac:dyDescent="0.2">
      <c r="A76" s="831">
        <v>9</v>
      </c>
      <c r="B76" s="832" t="s">
        <v>1022</v>
      </c>
      <c r="C76" s="832" t="s">
        <v>1029</v>
      </c>
      <c r="D76" s="833" t="s">
        <v>1566</v>
      </c>
      <c r="E76" s="834" t="s">
        <v>1043</v>
      </c>
      <c r="F76" s="832" t="s">
        <v>1023</v>
      </c>
      <c r="G76" s="832" t="s">
        <v>1243</v>
      </c>
      <c r="H76" s="832" t="s">
        <v>572</v>
      </c>
      <c r="I76" s="832" t="s">
        <v>1244</v>
      </c>
      <c r="J76" s="832" t="s">
        <v>625</v>
      </c>
      <c r="K76" s="832" t="s">
        <v>626</v>
      </c>
      <c r="L76" s="835">
        <v>105.63</v>
      </c>
      <c r="M76" s="835">
        <v>105.63</v>
      </c>
      <c r="N76" s="832">
        <v>1</v>
      </c>
      <c r="O76" s="836">
        <v>0.5</v>
      </c>
      <c r="P76" s="835">
        <v>105.63</v>
      </c>
      <c r="Q76" s="837">
        <v>1</v>
      </c>
      <c r="R76" s="832">
        <v>1</v>
      </c>
      <c r="S76" s="837">
        <v>1</v>
      </c>
      <c r="T76" s="836">
        <v>0.5</v>
      </c>
      <c r="U76" s="838">
        <v>1</v>
      </c>
    </row>
    <row r="77" spans="1:21" ht="14.45" customHeight="1" x14ac:dyDescent="0.2">
      <c r="A77" s="831">
        <v>9</v>
      </c>
      <c r="B77" s="832" t="s">
        <v>1022</v>
      </c>
      <c r="C77" s="832" t="s">
        <v>1029</v>
      </c>
      <c r="D77" s="833" t="s">
        <v>1566</v>
      </c>
      <c r="E77" s="834" t="s">
        <v>1043</v>
      </c>
      <c r="F77" s="832" t="s">
        <v>1023</v>
      </c>
      <c r="G77" s="832" t="s">
        <v>1073</v>
      </c>
      <c r="H77" s="832" t="s">
        <v>572</v>
      </c>
      <c r="I77" s="832" t="s">
        <v>1074</v>
      </c>
      <c r="J77" s="832" t="s">
        <v>651</v>
      </c>
      <c r="K77" s="832" t="s">
        <v>1075</v>
      </c>
      <c r="L77" s="835">
        <v>94.7</v>
      </c>
      <c r="M77" s="835">
        <v>662.90000000000009</v>
      </c>
      <c r="N77" s="832">
        <v>7</v>
      </c>
      <c r="O77" s="836">
        <v>5</v>
      </c>
      <c r="P77" s="835">
        <v>568.20000000000005</v>
      </c>
      <c r="Q77" s="837">
        <v>0.8571428571428571</v>
      </c>
      <c r="R77" s="832">
        <v>6</v>
      </c>
      <c r="S77" s="837">
        <v>0.8571428571428571</v>
      </c>
      <c r="T77" s="836">
        <v>4</v>
      </c>
      <c r="U77" s="838">
        <v>0.8</v>
      </c>
    </row>
    <row r="78" spans="1:21" ht="14.45" customHeight="1" x14ac:dyDescent="0.2">
      <c r="A78" s="831">
        <v>9</v>
      </c>
      <c r="B78" s="832" t="s">
        <v>1022</v>
      </c>
      <c r="C78" s="832" t="s">
        <v>1029</v>
      </c>
      <c r="D78" s="833" t="s">
        <v>1566</v>
      </c>
      <c r="E78" s="834" t="s">
        <v>1043</v>
      </c>
      <c r="F78" s="832" t="s">
        <v>1023</v>
      </c>
      <c r="G78" s="832" t="s">
        <v>1073</v>
      </c>
      <c r="H78" s="832" t="s">
        <v>572</v>
      </c>
      <c r="I78" s="832" t="s">
        <v>1245</v>
      </c>
      <c r="J78" s="832" t="s">
        <v>651</v>
      </c>
      <c r="K78" s="832" t="s">
        <v>1246</v>
      </c>
      <c r="L78" s="835">
        <v>94.7</v>
      </c>
      <c r="M78" s="835">
        <v>94.7</v>
      </c>
      <c r="N78" s="832">
        <v>1</v>
      </c>
      <c r="O78" s="836">
        <v>0.5</v>
      </c>
      <c r="P78" s="835">
        <v>94.7</v>
      </c>
      <c r="Q78" s="837">
        <v>1</v>
      </c>
      <c r="R78" s="832">
        <v>1</v>
      </c>
      <c r="S78" s="837">
        <v>1</v>
      </c>
      <c r="T78" s="836">
        <v>0.5</v>
      </c>
      <c r="U78" s="838">
        <v>1</v>
      </c>
    </row>
    <row r="79" spans="1:21" ht="14.45" customHeight="1" x14ac:dyDescent="0.2">
      <c r="A79" s="831">
        <v>9</v>
      </c>
      <c r="B79" s="832" t="s">
        <v>1022</v>
      </c>
      <c r="C79" s="832" t="s">
        <v>1029</v>
      </c>
      <c r="D79" s="833" t="s">
        <v>1566</v>
      </c>
      <c r="E79" s="834" t="s">
        <v>1043</v>
      </c>
      <c r="F79" s="832" t="s">
        <v>1023</v>
      </c>
      <c r="G79" s="832" t="s">
        <v>1247</v>
      </c>
      <c r="H79" s="832" t="s">
        <v>572</v>
      </c>
      <c r="I79" s="832" t="s">
        <v>1248</v>
      </c>
      <c r="J79" s="832" t="s">
        <v>661</v>
      </c>
      <c r="K79" s="832" t="s">
        <v>1249</v>
      </c>
      <c r="L79" s="835">
        <v>42.14</v>
      </c>
      <c r="M79" s="835">
        <v>42.14</v>
      </c>
      <c r="N79" s="832">
        <v>1</v>
      </c>
      <c r="O79" s="836">
        <v>1</v>
      </c>
      <c r="P79" s="835"/>
      <c r="Q79" s="837">
        <v>0</v>
      </c>
      <c r="R79" s="832"/>
      <c r="S79" s="837">
        <v>0</v>
      </c>
      <c r="T79" s="836"/>
      <c r="U79" s="838">
        <v>0</v>
      </c>
    </row>
    <row r="80" spans="1:21" ht="14.45" customHeight="1" x14ac:dyDescent="0.2">
      <c r="A80" s="831">
        <v>9</v>
      </c>
      <c r="B80" s="832" t="s">
        <v>1022</v>
      </c>
      <c r="C80" s="832" t="s">
        <v>1029</v>
      </c>
      <c r="D80" s="833" t="s">
        <v>1566</v>
      </c>
      <c r="E80" s="834" t="s">
        <v>1043</v>
      </c>
      <c r="F80" s="832" t="s">
        <v>1023</v>
      </c>
      <c r="G80" s="832" t="s">
        <v>1250</v>
      </c>
      <c r="H80" s="832" t="s">
        <v>572</v>
      </c>
      <c r="I80" s="832" t="s">
        <v>1251</v>
      </c>
      <c r="J80" s="832" t="s">
        <v>665</v>
      </c>
      <c r="K80" s="832" t="s">
        <v>1252</v>
      </c>
      <c r="L80" s="835">
        <v>61.97</v>
      </c>
      <c r="M80" s="835">
        <v>61.97</v>
      </c>
      <c r="N80" s="832">
        <v>1</v>
      </c>
      <c r="O80" s="836">
        <v>1</v>
      </c>
      <c r="P80" s="835"/>
      <c r="Q80" s="837">
        <v>0</v>
      </c>
      <c r="R80" s="832"/>
      <c r="S80" s="837">
        <v>0</v>
      </c>
      <c r="T80" s="836"/>
      <c r="U80" s="838">
        <v>0</v>
      </c>
    </row>
    <row r="81" spans="1:21" ht="14.45" customHeight="1" x14ac:dyDescent="0.2">
      <c r="A81" s="831">
        <v>9</v>
      </c>
      <c r="B81" s="832" t="s">
        <v>1022</v>
      </c>
      <c r="C81" s="832" t="s">
        <v>1029</v>
      </c>
      <c r="D81" s="833" t="s">
        <v>1566</v>
      </c>
      <c r="E81" s="834" t="s">
        <v>1043</v>
      </c>
      <c r="F81" s="832" t="s">
        <v>1023</v>
      </c>
      <c r="G81" s="832" t="s">
        <v>1156</v>
      </c>
      <c r="H81" s="832" t="s">
        <v>572</v>
      </c>
      <c r="I81" s="832" t="s">
        <v>1157</v>
      </c>
      <c r="J81" s="832" t="s">
        <v>1158</v>
      </c>
      <c r="K81" s="832" t="s">
        <v>1159</v>
      </c>
      <c r="L81" s="835">
        <v>36.54</v>
      </c>
      <c r="M81" s="835">
        <v>109.62</v>
      </c>
      <c r="N81" s="832">
        <v>3</v>
      </c>
      <c r="O81" s="836">
        <v>2</v>
      </c>
      <c r="P81" s="835"/>
      <c r="Q81" s="837">
        <v>0</v>
      </c>
      <c r="R81" s="832"/>
      <c r="S81" s="837">
        <v>0</v>
      </c>
      <c r="T81" s="836"/>
      <c r="U81" s="838">
        <v>0</v>
      </c>
    </row>
    <row r="82" spans="1:21" ht="14.45" customHeight="1" x14ac:dyDescent="0.2">
      <c r="A82" s="831">
        <v>9</v>
      </c>
      <c r="B82" s="832" t="s">
        <v>1022</v>
      </c>
      <c r="C82" s="832" t="s">
        <v>1029</v>
      </c>
      <c r="D82" s="833" t="s">
        <v>1566</v>
      </c>
      <c r="E82" s="834" t="s">
        <v>1043</v>
      </c>
      <c r="F82" s="832" t="s">
        <v>1023</v>
      </c>
      <c r="G82" s="832" t="s">
        <v>1253</v>
      </c>
      <c r="H82" s="832" t="s">
        <v>572</v>
      </c>
      <c r="I82" s="832" t="s">
        <v>1254</v>
      </c>
      <c r="J82" s="832" t="s">
        <v>1255</v>
      </c>
      <c r="K82" s="832" t="s">
        <v>1256</v>
      </c>
      <c r="L82" s="835">
        <v>163.54</v>
      </c>
      <c r="M82" s="835">
        <v>981.24</v>
      </c>
      <c r="N82" s="832">
        <v>6</v>
      </c>
      <c r="O82" s="836">
        <v>2.5</v>
      </c>
      <c r="P82" s="835">
        <v>981.24</v>
      </c>
      <c r="Q82" s="837">
        <v>1</v>
      </c>
      <c r="R82" s="832">
        <v>6</v>
      </c>
      <c r="S82" s="837">
        <v>1</v>
      </c>
      <c r="T82" s="836">
        <v>2.5</v>
      </c>
      <c r="U82" s="838">
        <v>1</v>
      </c>
    </row>
    <row r="83" spans="1:21" ht="14.45" customHeight="1" x14ac:dyDescent="0.2">
      <c r="A83" s="831">
        <v>9</v>
      </c>
      <c r="B83" s="832" t="s">
        <v>1022</v>
      </c>
      <c r="C83" s="832" t="s">
        <v>1029</v>
      </c>
      <c r="D83" s="833" t="s">
        <v>1566</v>
      </c>
      <c r="E83" s="834" t="s">
        <v>1043</v>
      </c>
      <c r="F83" s="832" t="s">
        <v>1023</v>
      </c>
      <c r="G83" s="832" t="s">
        <v>1084</v>
      </c>
      <c r="H83" s="832" t="s">
        <v>572</v>
      </c>
      <c r="I83" s="832" t="s">
        <v>1257</v>
      </c>
      <c r="J83" s="832" t="s">
        <v>1086</v>
      </c>
      <c r="K83" s="832" t="s">
        <v>1258</v>
      </c>
      <c r="L83" s="835">
        <v>58.77</v>
      </c>
      <c r="M83" s="835">
        <v>176.31</v>
      </c>
      <c r="N83" s="832">
        <v>3</v>
      </c>
      <c r="O83" s="836">
        <v>2</v>
      </c>
      <c r="P83" s="835">
        <v>176.31</v>
      </c>
      <c r="Q83" s="837">
        <v>1</v>
      </c>
      <c r="R83" s="832">
        <v>3</v>
      </c>
      <c r="S83" s="837">
        <v>1</v>
      </c>
      <c r="T83" s="836">
        <v>2</v>
      </c>
      <c r="U83" s="838">
        <v>1</v>
      </c>
    </row>
    <row r="84" spans="1:21" ht="14.45" customHeight="1" x14ac:dyDescent="0.2">
      <c r="A84" s="831">
        <v>9</v>
      </c>
      <c r="B84" s="832" t="s">
        <v>1022</v>
      </c>
      <c r="C84" s="832" t="s">
        <v>1029</v>
      </c>
      <c r="D84" s="833" t="s">
        <v>1566</v>
      </c>
      <c r="E84" s="834" t="s">
        <v>1043</v>
      </c>
      <c r="F84" s="832" t="s">
        <v>1023</v>
      </c>
      <c r="G84" s="832" t="s">
        <v>1088</v>
      </c>
      <c r="H84" s="832" t="s">
        <v>572</v>
      </c>
      <c r="I84" s="832" t="s">
        <v>1259</v>
      </c>
      <c r="J84" s="832" t="s">
        <v>1260</v>
      </c>
      <c r="K84" s="832" t="s">
        <v>1261</v>
      </c>
      <c r="L84" s="835">
        <v>54.18</v>
      </c>
      <c r="M84" s="835">
        <v>54.18</v>
      </c>
      <c r="N84" s="832">
        <v>1</v>
      </c>
      <c r="O84" s="836">
        <v>1</v>
      </c>
      <c r="P84" s="835">
        <v>54.18</v>
      </c>
      <c r="Q84" s="837">
        <v>1</v>
      </c>
      <c r="R84" s="832">
        <v>1</v>
      </c>
      <c r="S84" s="837">
        <v>1</v>
      </c>
      <c r="T84" s="836">
        <v>1</v>
      </c>
      <c r="U84" s="838">
        <v>1</v>
      </c>
    </row>
    <row r="85" spans="1:21" ht="14.45" customHeight="1" x14ac:dyDescent="0.2">
      <c r="A85" s="831">
        <v>9</v>
      </c>
      <c r="B85" s="832" t="s">
        <v>1022</v>
      </c>
      <c r="C85" s="832" t="s">
        <v>1029</v>
      </c>
      <c r="D85" s="833" t="s">
        <v>1566</v>
      </c>
      <c r="E85" s="834" t="s">
        <v>1043</v>
      </c>
      <c r="F85" s="832" t="s">
        <v>1023</v>
      </c>
      <c r="G85" s="832" t="s">
        <v>1096</v>
      </c>
      <c r="H85" s="832" t="s">
        <v>676</v>
      </c>
      <c r="I85" s="832" t="s">
        <v>1097</v>
      </c>
      <c r="J85" s="832" t="s">
        <v>1098</v>
      </c>
      <c r="K85" s="832" t="s">
        <v>1099</v>
      </c>
      <c r="L85" s="835">
        <v>141.25</v>
      </c>
      <c r="M85" s="835">
        <v>141.25</v>
      </c>
      <c r="N85" s="832">
        <v>1</v>
      </c>
      <c r="O85" s="836">
        <v>0.5</v>
      </c>
      <c r="P85" s="835">
        <v>141.25</v>
      </c>
      <c r="Q85" s="837">
        <v>1</v>
      </c>
      <c r="R85" s="832">
        <v>1</v>
      </c>
      <c r="S85" s="837">
        <v>1</v>
      </c>
      <c r="T85" s="836">
        <v>0.5</v>
      </c>
      <c r="U85" s="838">
        <v>1</v>
      </c>
    </row>
    <row r="86" spans="1:21" ht="14.45" customHeight="1" x14ac:dyDescent="0.2">
      <c r="A86" s="831">
        <v>9</v>
      </c>
      <c r="B86" s="832" t="s">
        <v>1022</v>
      </c>
      <c r="C86" s="832" t="s">
        <v>1029</v>
      </c>
      <c r="D86" s="833" t="s">
        <v>1566</v>
      </c>
      <c r="E86" s="834" t="s">
        <v>1043</v>
      </c>
      <c r="F86" s="832" t="s">
        <v>1023</v>
      </c>
      <c r="G86" s="832" t="s">
        <v>1262</v>
      </c>
      <c r="H86" s="832" t="s">
        <v>572</v>
      </c>
      <c r="I86" s="832" t="s">
        <v>1263</v>
      </c>
      <c r="J86" s="832" t="s">
        <v>1264</v>
      </c>
      <c r="K86" s="832" t="s">
        <v>1265</v>
      </c>
      <c r="L86" s="835">
        <v>60.88</v>
      </c>
      <c r="M86" s="835">
        <v>121.76</v>
      </c>
      <c r="N86" s="832">
        <v>2</v>
      </c>
      <c r="O86" s="836">
        <v>2</v>
      </c>
      <c r="P86" s="835">
        <v>121.76</v>
      </c>
      <c r="Q86" s="837">
        <v>1</v>
      </c>
      <c r="R86" s="832">
        <v>2</v>
      </c>
      <c r="S86" s="837">
        <v>1</v>
      </c>
      <c r="T86" s="836">
        <v>2</v>
      </c>
      <c r="U86" s="838">
        <v>1</v>
      </c>
    </row>
    <row r="87" spans="1:21" ht="14.45" customHeight="1" x14ac:dyDescent="0.2">
      <c r="A87" s="831">
        <v>9</v>
      </c>
      <c r="B87" s="832" t="s">
        <v>1022</v>
      </c>
      <c r="C87" s="832" t="s">
        <v>1029</v>
      </c>
      <c r="D87" s="833" t="s">
        <v>1566</v>
      </c>
      <c r="E87" s="834" t="s">
        <v>1043</v>
      </c>
      <c r="F87" s="832" t="s">
        <v>1023</v>
      </c>
      <c r="G87" s="832" t="s">
        <v>1266</v>
      </c>
      <c r="H87" s="832" t="s">
        <v>572</v>
      </c>
      <c r="I87" s="832" t="s">
        <v>1267</v>
      </c>
      <c r="J87" s="832" t="s">
        <v>1268</v>
      </c>
      <c r="K87" s="832" t="s">
        <v>1269</v>
      </c>
      <c r="L87" s="835">
        <v>218.41</v>
      </c>
      <c r="M87" s="835">
        <v>436.82</v>
      </c>
      <c r="N87" s="832">
        <v>2</v>
      </c>
      <c r="O87" s="836">
        <v>2</v>
      </c>
      <c r="P87" s="835">
        <v>436.82</v>
      </c>
      <c r="Q87" s="837">
        <v>1</v>
      </c>
      <c r="R87" s="832">
        <v>2</v>
      </c>
      <c r="S87" s="837">
        <v>1</v>
      </c>
      <c r="T87" s="836">
        <v>2</v>
      </c>
      <c r="U87" s="838">
        <v>1</v>
      </c>
    </row>
    <row r="88" spans="1:21" ht="14.45" customHeight="1" x14ac:dyDescent="0.2">
      <c r="A88" s="831">
        <v>9</v>
      </c>
      <c r="B88" s="832" t="s">
        <v>1022</v>
      </c>
      <c r="C88" s="832" t="s">
        <v>1029</v>
      </c>
      <c r="D88" s="833" t="s">
        <v>1566</v>
      </c>
      <c r="E88" s="834" t="s">
        <v>1043</v>
      </c>
      <c r="F88" s="832" t="s">
        <v>1023</v>
      </c>
      <c r="G88" s="832" t="s">
        <v>1100</v>
      </c>
      <c r="H88" s="832" t="s">
        <v>572</v>
      </c>
      <c r="I88" s="832" t="s">
        <v>1101</v>
      </c>
      <c r="J88" s="832" t="s">
        <v>681</v>
      </c>
      <c r="K88" s="832" t="s">
        <v>1102</v>
      </c>
      <c r="L88" s="835">
        <v>33.71</v>
      </c>
      <c r="M88" s="835">
        <v>404.52</v>
      </c>
      <c r="N88" s="832">
        <v>12</v>
      </c>
      <c r="O88" s="836">
        <v>8.5</v>
      </c>
      <c r="P88" s="835">
        <v>303.39</v>
      </c>
      <c r="Q88" s="837">
        <v>0.75</v>
      </c>
      <c r="R88" s="832">
        <v>9</v>
      </c>
      <c r="S88" s="837">
        <v>0.75</v>
      </c>
      <c r="T88" s="836">
        <v>6</v>
      </c>
      <c r="U88" s="838">
        <v>0.70588235294117652</v>
      </c>
    </row>
    <row r="89" spans="1:21" ht="14.45" customHeight="1" x14ac:dyDescent="0.2">
      <c r="A89" s="831">
        <v>9</v>
      </c>
      <c r="B89" s="832" t="s">
        <v>1022</v>
      </c>
      <c r="C89" s="832" t="s">
        <v>1029</v>
      </c>
      <c r="D89" s="833" t="s">
        <v>1566</v>
      </c>
      <c r="E89" s="834" t="s">
        <v>1043</v>
      </c>
      <c r="F89" s="832" t="s">
        <v>1023</v>
      </c>
      <c r="G89" s="832" t="s">
        <v>1270</v>
      </c>
      <c r="H89" s="832" t="s">
        <v>572</v>
      </c>
      <c r="I89" s="832" t="s">
        <v>1271</v>
      </c>
      <c r="J89" s="832" t="s">
        <v>1272</v>
      </c>
      <c r="K89" s="832" t="s">
        <v>1273</v>
      </c>
      <c r="L89" s="835">
        <v>278.95</v>
      </c>
      <c r="M89" s="835">
        <v>278.95</v>
      </c>
      <c r="N89" s="832">
        <v>1</v>
      </c>
      <c r="O89" s="836">
        <v>1</v>
      </c>
      <c r="P89" s="835">
        <v>278.95</v>
      </c>
      <c r="Q89" s="837">
        <v>1</v>
      </c>
      <c r="R89" s="832">
        <v>1</v>
      </c>
      <c r="S89" s="837">
        <v>1</v>
      </c>
      <c r="T89" s="836">
        <v>1</v>
      </c>
      <c r="U89" s="838">
        <v>1</v>
      </c>
    </row>
    <row r="90" spans="1:21" ht="14.45" customHeight="1" x14ac:dyDescent="0.2">
      <c r="A90" s="831">
        <v>9</v>
      </c>
      <c r="B90" s="832" t="s">
        <v>1022</v>
      </c>
      <c r="C90" s="832" t="s">
        <v>1029</v>
      </c>
      <c r="D90" s="833" t="s">
        <v>1566</v>
      </c>
      <c r="E90" s="834" t="s">
        <v>1043</v>
      </c>
      <c r="F90" s="832" t="s">
        <v>1023</v>
      </c>
      <c r="G90" s="832" t="s">
        <v>1274</v>
      </c>
      <c r="H90" s="832" t="s">
        <v>572</v>
      </c>
      <c r="I90" s="832" t="s">
        <v>1275</v>
      </c>
      <c r="J90" s="832" t="s">
        <v>1276</v>
      </c>
      <c r="K90" s="832" t="s">
        <v>1277</v>
      </c>
      <c r="L90" s="835">
        <v>277.70999999999998</v>
      </c>
      <c r="M90" s="835">
        <v>277.70999999999998</v>
      </c>
      <c r="N90" s="832">
        <v>1</v>
      </c>
      <c r="O90" s="836">
        <v>0.5</v>
      </c>
      <c r="P90" s="835">
        <v>277.70999999999998</v>
      </c>
      <c r="Q90" s="837">
        <v>1</v>
      </c>
      <c r="R90" s="832">
        <v>1</v>
      </c>
      <c r="S90" s="837">
        <v>1</v>
      </c>
      <c r="T90" s="836">
        <v>0.5</v>
      </c>
      <c r="U90" s="838">
        <v>1</v>
      </c>
    </row>
    <row r="91" spans="1:21" ht="14.45" customHeight="1" x14ac:dyDescent="0.2">
      <c r="A91" s="831">
        <v>9</v>
      </c>
      <c r="B91" s="832" t="s">
        <v>1022</v>
      </c>
      <c r="C91" s="832" t="s">
        <v>1029</v>
      </c>
      <c r="D91" s="833" t="s">
        <v>1566</v>
      </c>
      <c r="E91" s="834" t="s">
        <v>1043</v>
      </c>
      <c r="F91" s="832" t="s">
        <v>1023</v>
      </c>
      <c r="G91" s="832" t="s">
        <v>1111</v>
      </c>
      <c r="H91" s="832" t="s">
        <v>676</v>
      </c>
      <c r="I91" s="832" t="s">
        <v>1180</v>
      </c>
      <c r="J91" s="832" t="s">
        <v>1181</v>
      </c>
      <c r="K91" s="832" t="s">
        <v>1182</v>
      </c>
      <c r="L91" s="835">
        <v>72.27</v>
      </c>
      <c r="M91" s="835">
        <v>99082.169999999984</v>
      </c>
      <c r="N91" s="832">
        <v>1371</v>
      </c>
      <c r="O91" s="836">
        <v>17.5</v>
      </c>
      <c r="P91" s="835">
        <v>58610.969999999987</v>
      </c>
      <c r="Q91" s="837">
        <v>0.59153902261123259</v>
      </c>
      <c r="R91" s="832">
        <v>811</v>
      </c>
      <c r="S91" s="837">
        <v>0.5915390226112327</v>
      </c>
      <c r="T91" s="836">
        <v>9.5</v>
      </c>
      <c r="U91" s="838">
        <v>0.54285714285714282</v>
      </c>
    </row>
    <row r="92" spans="1:21" ht="14.45" customHeight="1" x14ac:dyDescent="0.2">
      <c r="A92" s="831">
        <v>9</v>
      </c>
      <c r="B92" s="832" t="s">
        <v>1022</v>
      </c>
      <c r="C92" s="832" t="s">
        <v>1029</v>
      </c>
      <c r="D92" s="833" t="s">
        <v>1566</v>
      </c>
      <c r="E92" s="834" t="s">
        <v>1043</v>
      </c>
      <c r="F92" s="832" t="s">
        <v>1023</v>
      </c>
      <c r="G92" s="832" t="s">
        <v>1111</v>
      </c>
      <c r="H92" s="832" t="s">
        <v>676</v>
      </c>
      <c r="I92" s="832" t="s">
        <v>1189</v>
      </c>
      <c r="J92" s="832" t="s">
        <v>1190</v>
      </c>
      <c r="K92" s="832" t="s">
        <v>1182</v>
      </c>
      <c r="L92" s="835">
        <v>72.27</v>
      </c>
      <c r="M92" s="835">
        <v>24282.719999999998</v>
      </c>
      <c r="N92" s="832">
        <v>336</v>
      </c>
      <c r="O92" s="836">
        <v>5</v>
      </c>
      <c r="P92" s="835">
        <v>24282.719999999998</v>
      </c>
      <c r="Q92" s="837">
        <v>1</v>
      </c>
      <c r="R92" s="832">
        <v>336</v>
      </c>
      <c r="S92" s="837">
        <v>1</v>
      </c>
      <c r="T92" s="836">
        <v>5</v>
      </c>
      <c r="U92" s="838">
        <v>1</v>
      </c>
    </row>
    <row r="93" spans="1:21" ht="14.45" customHeight="1" x14ac:dyDescent="0.2">
      <c r="A93" s="831">
        <v>9</v>
      </c>
      <c r="B93" s="832" t="s">
        <v>1022</v>
      </c>
      <c r="C93" s="832" t="s">
        <v>1029</v>
      </c>
      <c r="D93" s="833" t="s">
        <v>1566</v>
      </c>
      <c r="E93" s="834" t="s">
        <v>1043</v>
      </c>
      <c r="F93" s="832" t="s">
        <v>1023</v>
      </c>
      <c r="G93" s="832" t="s">
        <v>1111</v>
      </c>
      <c r="H93" s="832" t="s">
        <v>676</v>
      </c>
      <c r="I93" s="832" t="s">
        <v>1191</v>
      </c>
      <c r="J93" s="832" t="s">
        <v>1192</v>
      </c>
      <c r="K93" s="832" t="s">
        <v>1193</v>
      </c>
      <c r="L93" s="835">
        <v>135.54</v>
      </c>
      <c r="M93" s="835">
        <v>2439.7199999999998</v>
      </c>
      <c r="N93" s="832">
        <v>18</v>
      </c>
      <c r="O93" s="836">
        <v>2</v>
      </c>
      <c r="P93" s="835">
        <v>2439.7199999999998</v>
      </c>
      <c r="Q93" s="837">
        <v>1</v>
      </c>
      <c r="R93" s="832">
        <v>18</v>
      </c>
      <c r="S93" s="837">
        <v>1</v>
      </c>
      <c r="T93" s="836">
        <v>2</v>
      </c>
      <c r="U93" s="838">
        <v>1</v>
      </c>
    </row>
    <row r="94" spans="1:21" ht="14.45" customHeight="1" x14ac:dyDescent="0.2">
      <c r="A94" s="831">
        <v>9</v>
      </c>
      <c r="B94" s="832" t="s">
        <v>1022</v>
      </c>
      <c r="C94" s="832" t="s">
        <v>1029</v>
      </c>
      <c r="D94" s="833" t="s">
        <v>1566</v>
      </c>
      <c r="E94" s="834" t="s">
        <v>1043</v>
      </c>
      <c r="F94" s="832" t="s">
        <v>1023</v>
      </c>
      <c r="G94" s="832" t="s">
        <v>1111</v>
      </c>
      <c r="H94" s="832" t="s">
        <v>676</v>
      </c>
      <c r="I94" s="832" t="s">
        <v>1194</v>
      </c>
      <c r="J94" s="832" t="s">
        <v>1195</v>
      </c>
      <c r="K94" s="832" t="s">
        <v>1193</v>
      </c>
      <c r="L94" s="835">
        <v>135.54</v>
      </c>
      <c r="M94" s="835">
        <v>2439.7199999999998</v>
      </c>
      <c r="N94" s="832">
        <v>18</v>
      </c>
      <c r="O94" s="836">
        <v>1.5</v>
      </c>
      <c r="P94" s="835">
        <v>2439.7199999999998</v>
      </c>
      <c r="Q94" s="837">
        <v>1</v>
      </c>
      <c r="R94" s="832">
        <v>18</v>
      </c>
      <c r="S94" s="837">
        <v>1</v>
      </c>
      <c r="T94" s="836">
        <v>1.5</v>
      </c>
      <c r="U94" s="838">
        <v>1</v>
      </c>
    </row>
    <row r="95" spans="1:21" ht="14.45" customHeight="1" x14ac:dyDescent="0.2">
      <c r="A95" s="831">
        <v>9</v>
      </c>
      <c r="B95" s="832" t="s">
        <v>1022</v>
      </c>
      <c r="C95" s="832" t="s">
        <v>1029</v>
      </c>
      <c r="D95" s="833" t="s">
        <v>1566</v>
      </c>
      <c r="E95" s="834" t="s">
        <v>1043</v>
      </c>
      <c r="F95" s="832" t="s">
        <v>1023</v>
      </c>
      <c r="G95" s="832" t="s">
        <v>1111</v>
      </c>
      <c r="H95" s="832" t="s">
        <v>676</v>
      </c>
      <c r="I95" s="832" t="s">
        <v>1278</v>
      </c>
      <c r="J95" s="832" t="s">
        <v>1279</v>
      </c>
      <c r="K95" s="832" t="s">
        <v>1114</v>
      </c>
      <c r="L95" s="835">
        <v>294.81</v>
      </c>
      <c r="M95" s="835">
        <v>884.43000000000006</v>
      </c>
      <c r="N95" s="832">
        <v>3</v>
      </c>
      <c r="O95" s="836">
        <v>1</v>
      </c>
      <c r="P95" s="835"/>
      <c r="Q95" s="837">
        <v>0</v>
      </c>
      <c r="R95" s="832"/>
      <c r="S95" s="837">
        <v>0</v>
      </c>
      <c r="T95" s="836"/>
      <c r="U95" s="838">
        <v>0</v>
      </c>
    </row>
    <row r="96" spans="1:21" ht="14.45" customHeight="1" x14ac:dyDescent="0.2">
      <c r="A96" s="831">
        <v>9</v>
      </c>
      <c r="B96" s="832" t="s">
        <v>1022</v>
      </c>
      <c r="C96" s="832" t="s">
        <v>1029</v>
      </c>
      <c r="D96" s="833" t="s">
        <v>1566</v>
      </c>
      <c r="E96" s="834" t="s">
        <v>1043</v>
      </c>
      <c r="F96" s="832" t="s">
        <v>1023</v>
      </c>
      <c r="G96" s="832" t="s">
        <v>1111</v>
      </c>
      <c r="H96" s="832" t="s">
        <v>676</v>
      </c>
      <c r="I96" s="832" t="s">
        <v>1112</v>
      </c>
      <c r="J96" s="832" t="s">
        <v>1113</v>
      </c>
      <c r="K96" s="832" t="s">
        <v>1114</v>
      </c>
      <c r="L96" s="835">
        <v>294.81</v>
      </c>
      <c r="M96" s="835">
        <v>20047.080000000002</v>
      </c>
      <c r="N96" s="832">
        <v>68</v>
      </c>
      <c r="O96" s="836">
        <v>12</v>
      </c>
      <c r="P96" s="835">
        <v>11202.78</v>
      </c>
      <c r="Q96" s="837">
        <v>0.55882352941176472</v>
      </c>
      <c r="R96" s="832">
        <v>38</v>
      </c>
      <c r="S96" s="837">
        <v>0.55882352941176472</v>
      </c>
      <c r="T96" s="836">
        <v>7</v>
      </c>
      <c r="U96" s="838">
        <v>0.58333333333333337</v>
      </c>
    </row>
    <row r="97" spans="1:21" ht="14.45" customHeight="1" x14ac:dyDescent="0.2">
      <c r="A97" s="831">
        <v>9</v>
      </c>
      <c r="B97" s="832" t="s">
        <v>1022</v>
      </c>
      <c r="C97" s="832" t="s">
        <v>1029</v>
      </c>
      <c r="D97" s="833" t="s">
        <v>1566</v>
      </c>
      <c r="E97" s="834" t="s">
        <v>1043</v>
      </c>
      <c r="F97" s="832" t="s">
        <v>1023</v>
      </c>
      <c r="G97" s="832" t="s">
        <v>1111</v>
      </c>
      <c r="H97" s="832" t="s">
        <v>676</v>
      </c>
      <c r="I97" s="832" t="s">
        <v>1196</v>
      </c>
      <c r="J97" s="832" t="s">
        <v>1197</v>
      </c>
      <c r="K97" s="832" t="s">
        <v>1198</v>
      </c>
      <c r="L97" s="835">
        <v>2635.97</v>
      </c>
      <c r="M97" s="835">
        <v>94894.919999999984</v>
      </c>
      <c r="N97" s="832">
        <v>36</v>
      </c>
      <c r="O97" s="836">
        <v>10.5</v>
      </c>
      <c r="P97" s="835">
        <v>39539.550000000003</v>
      </c>
      <c r="Q97" s="837">
        <v>0.4166666666666668</v>
      </c>
      <c r="R97" s="832">
        <v>15</v>
      </c>
      <c r="S97" s="837">
        <v>0.41666666666666669</v>
      </c>
      <c r="T97" s="836">
        <v>4</v>
      </c>
      <c r="U97" s="838">
        <v>0.38095238095238093</v>
      </c>
    </row>
    <row r="98" spans="1:21" ht="14.45" customHeight="1" x14ac:dyDescent="0.2">
      <c r="A98" s="831">
        <v>9</v>
      </c>
      <c r="B98" s="832" t="s">
        <v>1022</v>
      </c>
      <c r="C98" s="832" t="s">
        <v>1029</v>
      </c>
      <c r="D98" s="833" t="s">
        <v>1566</v>
      </c>
      <c r="E98" s="834" t="s">
        <v>1043</v>
      </c>
      <c r="F98" s="832" t="s">
        <v>1023</v>
      </c>
      <c r="G98" s="832" t="s">
        <v>1111</v>
      </c>
      <c r="H98" s="832" t="s">
        <v>572</v>
      </c>
      <c r="I98" s="832" t="s">
        <v>1280</v>
      </c>
      <c r="J98" s="832" t="s">
        <v>1281</v>
      </c>
      <c r="K98" s="832" t="s">
        <v>1114</v>
      </c>
      <c r="L98" s="835">
        <v>294.81</v>
      </c>
      <c r="M98" s="835">
        <v>294.81</v>
      </c>
      <c r="N98" s="832">
        <v>1</v>
      </c>
      <c r="O98" s="836">
        <v>1</v>
      </c>
      <c r="P98" s="835">
        <v>294.81</v>
      </c>
      <c r="Q98" s="837">
        <v>1</v>
      </c>
      <c r="R98" s="832">
        <v>1</v>
      </c>
      <c r="S98" s="837">
        <v>1</v>
      </c>
      <c r="T98" s="836">
        <v>1</v>
      </c>
      <c r="U98" s="838">
        <v>1</v>
      </c>
    </row>
    <row r="99" spans="1:21" ht="14.45" customHeight="1" x14ac:dyDescent="0.2">
      <c r="A99" s="831">
        <v>9</v>
      </c>
      <c r="B99" s="832" t="s">
        <v>1022</v>
      </c>
      <c r="C99" s="832" t="s">
        <v>1029</v>
      </c>
      <c r="D99" s="833" t="s">
        <v>1566</v>
      </c>
      <c r="E99" s="834" t="s">
        <v>1043</v>
      </c>
      <c r="F99" s="832" t="s">
        <v>1023</v>
      </c>
      <c r="G99" s="832" t="s">
        <v>1111</v>
      </c>
      <c r="H99" s="832" t="s">
        <v>572</v>
      </c>
      <c r="I99" s="832" t="s">
        <v>1282</v>
      </c>
      <c r="J99" s="832" t="s">
        <v>1283</v>
      </c>
      <c r="K99" s="832" t="s">
        <v>1284</v>
      </c>
      <c r="L99" s="835">
        <v>332.25</v>
      </c>
      <c r="M99" s="835">
        <v>664.5</v>
      </c>
      <c r="N99" s="832">
        <v>2</v>
      </c>
      <c r="O99" s="836">
        <v>2</v>
      </c>
      <c r="P99" s="835">
        <v>332.25</v>
      </c>
      <c r="Q99" s="837">
        <v>0.5</v>
      </c>
      <c r="R99" s="832">
        <v>1</v>
      </c>
      <c r="S99" s="837">
        <v>0.5</v>
      </c>
      <c r="T99" s="836">
        <v>1</v>
      </c>
      <c r="U99" s="838">
        <v>0.5</v>
      </c>
    </row>
    <row r="100" spans="1:21" ht="14.45" customHeight="1" x14ac:dyDescent="0.2">
      <c r="A100" s="831">
        <v>9</v>
      </c>
      <c r="B100" s="832" t="s">
        <v>1022</v>
      </c>
      <c r="C100" s="832" t="s">
        <v>1029</v>
      </c>
      <c r="D100" s="833" t="s">
        <v>1566</v>
      </c>
      <c r="E100" s="834" t="s">
        <v>1043</v>
      </c>
      <c r="F100" s="832" t="s">
        <v>1023</v>
      </c>
      <c r="G100" s="832" t="s">
        <v>1111</v>
      </c>
      <c r="H100" s="832" t="s">
        <v>572</v>
      </c>
      <c r="I100" s="832" t="s">
        <v>1199</v>
      </c>
      <c r="J100" s="832" t="s">
        <v>755</v>
      </c>
      <c r="K100" s="832" t="s">
        <v>756</v>
      </c>
      <c r="L100" s="835">
        <v>2844.97</v>
      </c>
      <c r="M100" s="835">
        <v>8534.91</v>
      </c>
      <c r="N100" s="832">
        <v>3</v>
      </c>
      <c r="O100" s="836">
        <v>1</v>
      </c>
      <c r="P100" s="835"/>
      <c r="Q100" s="837">
        <v>0</v>
      </c>
      <c r="R100" s="832"/>
      <c r="S100" s="837">
        <v>0</v>
      </c>
      <c r="T100" s="836"/>
      <c r="U100" s="838">
        <v>0</v>
      </c>
    </row>
    <row r="101" spans="1:21" ht="14.45" customHeight="1" x14ac:dyDescent="0.2">
      <c r="A101" s="831">
        <v>9</v>
      </c>
      <c r="B101" s="832" t="s">
        <v>1022</v>
      </c>
      <c r="C101" s="832" t="s">
        <v>1029</v>
      </c>
      <c r="D101" s="833" t="s">
        <v>1566</v>
      </c>
      <c r="E101" s="834" t="s">
        <v>1043</v>
      </c>
      <c r="F101" s="832" t="s">
        <v>1023</v>
      </c>
      <c r="G101" s="832" t="s">
        <v>1111</v>
      </c>
      <c r="H101" s="832" t="s">
        <v>572</v>
      </c>
      <c r="I101" s="832" t="s">
        <v>1200</v>
      </c>
      <c r="J101" s="832" t="s">
        <v>1201</v>
      </c>
      <c r="K101" s="832" t="s">
        <v>1202</v>
      </c>
      <c r="L101" s="835">
        <v>283.32</v>
      </c>
      <c r="M101" s="835">
        <v>1699.92</v>
      </c>
      <c r="N101" s="832">
        <v>6</v>
      </c>
      <c r="O101" s="836">
        <v>1</v>
      </c>
      <c r="P101" s="835">
        <v>1699.92</v>
      </c>
      <c r="Q101" s="837">
        <v>1</v>
      </c>
      <c r="R101" s="832">
        <v>6</v>
      </c>
      <c r="S101" s="837">
        <v>1</v>
      </c>
      <c r="T101" s="836">
        <v>1</v>
      </c>
      <c r="U101" s="838">
        <v>1</v>
      </c>
    </row>
    <row r="102" spans="1:21" ht="14.45" customHeight="1" x14ac:dyDescent="0.2">
      <c r="A102" s="831">
        <v>9</v>
      </c>
      <c r="B102" s="832" t="s">
        <v>1022</v>
      </c>
      <c r="C102" s="832" t="s">
        <v>1029</v>
      </c>
      <c r="D102" s="833" t="s">
        <v>1566</v>
      </c>
      <c r="E102" s="834" t="s">
        <v>1043</v>
      </c>
      <c r="F102" s="832" t="s">
        <v>1023</v>
      </c>
      <c r="G102" s="832" t="s">
        <v>1111</v>
      </c>
      <c r="H102" s="832" t="s">
        <v>572</v>
      </c>
      <c r="I102" s="832" t="s">
        <v>1203</v>
      </c>
      <c r="J102" s="832" t="s">
        <v>1204</v>
      </c>
      <c r="K102" s="832" t="s">
        <v>1202</v>
      </c>
      <c r="L102" s="835">
        <v>283.32</v>
      </c>
      <c r="M102" s="835">
        <v>1699.92</v>
      </c>
      <c r="N102" s="832">
        <v>6</v>
      </c>
      <c r="O102" s="836">
        <v>1</v>
      </c>
      <c r="P102" s="835">
        <v>1699.92</v>
      </c>
      <c r="Q102" s="837">
        <v>1</v>
      </c>
      <c r="R102" s="832">
        <v>6</v>
      </c>
      <c r="S102" s="837">
        <v>1</v>
      </c>
      <c r="T102" s="836">
        <v>1</v>
      </c>
      <c r="U102" s="838">
        <v>1</v>
      </c>
    </row>
    <row r="103" spans="1:21" ht="14.45" customHeight="1" x14ac:dyDescent="0.2">
      <c r="A103" s="831">
        <v>9</v>
      </c>
      <c r="B103" s="832" t="s">
        <v>1022</v>
      </c>
      <c r="C103" s="832" t="s">
        <v>1029</v>
      </c>
      <c r="D103" s="833" t="s">
        <v>1566</v>
      </c>
      <c r="E103" s="834" t="s">
        <v>1043</v>
      </c>
      <c r="F103" s="832" t="s">
        <v>1023</v>
      </c>
      <c r="G103" s="832" t="s">
        <v>1111</v>
      </c>
      <c r="H103" s="832" t="s">
        <v>572</v>
      </c>
      <c r="I103" s="832" t="s">
        <v>1205</v>
      </c>
      <c r="J103" s="832" t="s">
        <v>1206</v>
      </c>
      <c r="K103" s="832" t="s">
        <v>1202</v>
      </c>
      <c r="L103" s="835">
        <v>283.32</v>
      </c>
      <c r="M103" s="835">
        <v>1699.92</v>
      </c>
      <c r="N103" s="832">
        <v>6</v>
      </c>
      <c r="O103" s="836">
        <v>1</v>
      </c>
      <c r="P103" s="835">
        <v>1699.92</v>
      </c>
      <c r="Q103" s="837">
        <v>1</v>
      </c>
      <c r="R103" s="832">
        <v>6</v>
      </c>
      <c r="S103" s="837">
        <v>1</v>
      </c>
      <c r="T103" s="836">
        <v>1</v>
      </c>
      <c r="U103" s="838">
        <v>1</v>
      </c>
    </row>
    <row r="104" spans="1:21" ht="14.45" customHeight="1" x14ac:dyDescent="0.2">
      <c r="A104" s="831">
        <v>9</v>
      </c>
      <c r="B104" s="832" t="s">
        <v>1022</v>
      </c>
      <c r="C104" s="832" t="s">
        <v>1029</v>
      </c>
      <c r="D104" s="833" t="s">
        <v>1566</v>
      </c>
      <c r="E104" s="834" t="s">
        <v>1043</v>
      </c>
      <c r="F104" s="832" t="s">
        <v>1023</v>
      </c>
      <c r="G104" s="832" t="s">
        <v>1111</v>
      </c>
      <c r="H104" s="832" t="s">
        <v>572</v>
      </c>
      <c r="I104" s="832" t="s">
        <v>1207</v>
      </c>
      <c r="J104" s="832" t="s">
        <v>1208</v>
      </c>
      <c r="K104" s="832" t="s">
        <v>1202</v>
      </c>
      <c r="L104" s="835">
        <v>283.32</v>
      </c>
      <c r="M104" s="835">
        <v>1699.92</v>
      </c>
      <c r="N104" s="832">
        <v>6</v>
      </c>
      <c r="O104" s="836">
        <v>1</v>
      </c>
      <c r="P104" s="835">
        <v>1699.92</v>
      </c>
      <c r="Q104" s="837">
        <v>1</v>
      </c>
      <c r="R104" s="832">
        <v>6</v>
      </c>
      <c r="S104" s="837">
        <v>1</v>
      </c>
      <c r="T104" s="836">
        <v>1</v>
      </c>
      <c r="U104" s="838">
        <v>1</v>
      </c>
    </row>
    <row r="105" spans="1:21" ht="14.45" customHeight="1" x14ac:dyDescent="0.2">
      <c r="A105" s="831">
        <v>9</v>
      </c>
      <c r="B105" s="832" t="s">
        <v>1022</v>
      </c>
      <c r="C105" s="832" t="s">
        <v>1029</v>
      </c>
      <c r="D105" s="833" t="s">
        <v>1566</v>
      </c>
      <c r="E105" s="834" t="s">
        <v>1043</v>
      </c>
      <c r="F105" s="832" t="s">
        <v>1023</v>
      </c>
      <c r="G105" s="832" t="s">
        <v>1111</v>
      </c>
      <c r="H105" s="832" t="s">
        <v>572</v>
      </c>
      <c r="I105" s="832" t="s">
        <v>1210</v>
      </c>
      <c r="J105" s="832" t="s">
        <v>1181</v>
      </c>
      <c r="K105" s="832" t="s">
        <v>1202</v>
      </c>
      <c r="L105" s="835">
        <v>289.07</v>
      </c>
      <c r="M105" s="835">
        <v>20813.04</v>
      </c>
      <c r="N105" s="832">
        <v>72</v>
      </c>
      <c r="O105" s="836">
        <v>4</v>
      </c>
      <c r="P105" s="835">
        <v>17922.34</v>
      </c>
      <c r="Q105" s="837">
        <v>0.86111111111111105</v>
      </c>
      <c r="R105" s="832">
        <v>62</v>
      </c>
      <c r="S105" s="837">
        <v>0.86111111111111116</v>
      </c>
      <c r="T105" s="836">
        <v>3</v>
      </c>
      <c r="U105" s="838">
        <v>0.75</v>
      </c>
    </row>
    <row r="106" spans="1:21" ht="14.45" customHeight="1" x14ac:dyDescent="0.2">
      <c r="A106" s="831">
        <v>9</v>
      </c>
      <c r="B106" s="832" t="s">
        <v>1022</v>
      </c>
      <c r="C106" s="832" t="s">
        <v>1029</v>
      </c>
      <c r="D106" s="833" t="s">
        <v>1566</v>
      </c>
      <c r="E106" s="834" t="s">
        <v>1043</v>
      </c>
      <c r="F106" s="832" t="s">
        <v>1023</v>
      </c>
      <c r="G106" s="832" t="s">
        <v>1111</v>
      </c>
      <c r="H106" s="832" t="s">
        <v>572</v>
      </c>
      <c r="I106" s="832" t="s">
        <v>1213</v>
      </c>
      <c r="J106" s="832" t="s">
        <v>1190</v>
      </c>
      <c r="K106" s="832" t="s">
        <v>1202</v>
      </c>
      <c r="L106" s="835">
        <v>289.07</v>
      </c>
      <c r="M106" s="835">
        <v>5203.26</v>
      </c>
      <c r="N106" s="832">
        <v>18</v>
      </c>
      <c r="O106" s="836">
        <v>2</v>
      </c>
      <c r="P106" s="835">
        <v>5203.26</v>
      </c>
      <c r="Q106" s="837">
        <v>1</v>
      </c>
      <c r="R106" s="832">
        <v>18</v>
      </c>
      <c r="S106" s="837">
        <v>1</v>
      </c>
      <c r="T106" s="836">
        <v>2</v>
      </c>
      <c r="U106" s="838">
        <v>1</v>
      </c>
    </row>
    <row r="107" spans="1:21" ht="14.45" customHeight="1" x14ac:dyDescent="0.2">
      <c r="A107" s="831">
        <v>9</v>
      </c>
      <c r="B107" s="832" t="s">
        <v>1022</v>
      </c>
      <c r="C107" s="832" t="s">
        <v>1029</v>
      </c>
      <c r="D107" s="833" t="s">
        <v>1566</v>
      </c>
      <c r="E107" s="834" t="s">
        <v>1043</v>
      </c>
      <c r="F107" s="832" t="s">
        <v>1023</v>
      </c>
      <c r="G107" s="832" t="s">
        <v>1111</v>
      </c>
      <c r="H107" s="832" t="s">
        <v>572</v>
      </c>
      <c r="I107" s="832" t="s">
        <v>1216</v>
      </c>
      <c r="J107" s="832" t="s">
        <v>755</v>
      </c>
      <c r="K107" s="832" t="s">
        <v>756</v>
      </c>
      <c r="L107" s="835">
        <v>2844.97</v>
      </c>
      <c r="M107" s="835">
        <v>11379.88</v>
      </c>
      <c r="N107" s="832">
        <v>4</v>
      </c>
      <c r="O107" s="836">
        <v>3</v>
      </c>
      <c r="P107" s="835">
        <v>8534.91</v>
      </c>
      <c r="Q107" s="837">
        <v>0.75</v>
      </c>
      <c r="R107" s="832">
        <v>3</v>
      </c>
      <c r="S107" s="837">
        <v>0.75</v>
      </c>
      <c r="T107" s="836">
        <v>2</v>
      </c>
      <c r="U107" s="838">
        <v>0.66666666666666663</v>
      </c>
    </row>
    <row r="108" spans="1:21" ht="14.45" customHeight="1" x14ac:dyDescent="0.2">
      <c r="A108" s="831">
        <v>9</v>
      </c>
      <c r="B108" s="832" t="s">
        <v>1022</v>
      </c>
      <c r="C108" s="832" t="s">
        <v>1029</v>
      </c>
      <c r="D108" s="833" t="s">
        <v>1566</v>
      </c>
      <c r="E108" s="834" t="s">
        <v>1043</v>
      </c>
      <c r="F108" s="832" t="s">
        <v>1023</v>
      </c>
      <c r="G108" s="832" t="s">
        <v>1115</v>
      </c>
      <c r="H108" s="832" t="s">
        <v>572</v>
      </c>
      <c r="I108" s="832" t="s">
        <v>1116</v>
      </c>
      <c r="J108" s="832" t="s">
        <v>1117</v>
      </c>
      <c r="K108" s="832" t="s">
        <v>1118</v>
      </c>
      <c r="L108" s="835">
        <v>107.27</v>
      </c>
      <c r="M108" s="835">
        <v>107.27</v>
      </c>
      <c r="N108" s="832">
        <v>1</v>
      </c>
      <c r="O108" s="836">
        <v>0.5</v>
      </c>
      <c r="P108" s="835">
        <v>107.27</v>
      </c>
      <c r="Q108" s="837">
        <v>1</v>
      </c>
      <c r="R108" s="832">
        <v>1</v>
      </c>
      <c r="S108" s="837">
        <v>1</v>
      </c>
      <c r="T108" s="836">
        <v>0.5</v>
      </c>
      <c r="U108" s="838">
        <v>1</v>
      </c>
    </row>
    <row r="109" spans="1:21" ht="14.45" customHeight="1" x14ac:dyDescent="0.2">
      <c r="A109" s="831">
        <v>9</v>
      </c>
      <c r="B109" s="832" t="s">
        <v>1022</v>
      </c>
      <c r="C109" s="832" t="s">
        <v>1029</v>
      </c>
      <c r="D109" s="833" t="s">
        <v>1566</v>
      </c>
      <c r="E109" s="834" t="s">
        <v>1043</v>
      </c>
      <c r="F109" s="832" t="s">
        <v>1024</v>
      </c>
      <c r="G109" s="832" t="s">
        <v>1119</v>
      </c>
      <c r="H109" s="832" t="s">
        <v>572</v>
      </c>
      <c r="I109" s="832" t="s">
        <v>1219</v>
      </c>
      <c r="J109" s="832" t="s">
        <v>1121</v>
      </c>
      <c r="K109" s="832"/>
      <c r="L109" s="835">
        <v>0</v>
      </c>
      <c r="M109" s="835">
        <v>0</v>
      </c>
      <c r="N109" s="832">
        <v>2</v>
      </c>
      <c r="O109" s="836">
        <v>2</v>
      </c>
      <c r="P109" s="835">
        <v>0</v>
      </c>
      <c r="Q109" s="837"/>
      <c r="R109" s="832">
        <v>1</v>
      </c>
      <c r="S109" s="837">
        <v>0.5</v>
      </c>
      <c r="T109" s="836">
        <v>1</v>
      </c>
      <c r="U109" s="838">
        <v>0.5</v>
      </c>
    </row>
    <row r="110" spans="1:21" ht="14.45" customHeight="1" x14ac:dyDescent="0.2">
      <c r="A110" s="831">
        <v>9</v>
      </c>
      <c r="B110" s="832" t="s">
        <v>1022</v>
      </c>
      <c r="C110" s="832" t="s">
        <v>1029</v>
      </c>
      <c r="D110" s="833" t="s">
        <v>1566</v>
      </c>
      <c r="E110" s="834" t="s">
        <v>1043</v>
      </c>
      <c r="F110" s="832" t="s">
        <v>1024</v>
      </c>
      <c r="G110" s="832" t="s">
        <v>1119</v>
      </c>
      <c r="H110" s="832" t="s">
        <v>572</v>
      </c>
      <c r="I110" s="832" t="s">
        <v>1285</v>
      </c>
      <c r="J110" s="832" t="s">
        <v>1121</v>
      </c>
      <c r="K110" s="832"/>
      <c r="L110" s="835">
        <v>0</v>
      </c>
      <c r="M110" s="835">
        <v>0</v>
      </c>
      <c r="N110" s="832">
        <v>4</v>
      </c>
      <c r="O110" s="836">
        <v>4</v>
      </c>
      <c r="P110" s="835">
        <v>0</v>
      </c>
      <c r="Q110" s="837"/>
      <c r="R110" s="832">
        <v>4</v>
      </c>
      <c r="S110" s="837">
        <v>1</v>
      </c>
      <c r="T110" s="836">
        <v>4</v>
      </c>
      <c r="U110" s="838">
        <v>1</v>
      </c>
    </row>
    <row r="111" spans="1:21" ht="14.45" customHeight="1" x14ac:dyDescent="0.2">
      <c r="A111" s="831">
        <v>9</v>
      </c>
      <c r="B111" s="832" t="s">
        <v>1022</v>
      </c>
      <c r="C111" s="832" t="s">
        <v>1029</v>
      </c>
      <c r="D111" s="833" t="s">
        <v>1566</v>
      </c>
      <c r="E111" s="834" t="s">
        <v>1043</v>
      </c>
      <c r="F111" s="832" t="s">
        <v>1024</v>
      </c>
      <c r="G111" s="832" t="s">
        <v>1119</v>
      </c>
      <c r="H111" s="832" t="s">
        <v>572</v>
      </c>
      <c r="I111" s="832" t="s">
        <v>1286</v>
      </c>
      <c r="J111" s="832" t="s">
        <v>1121</v>
      </c>
      <c r="K111" s="832"/>
      <c r="L111" s="835">
        <v>0</v>
      </c>
      <c r="M111" s="835">
        <v>0</v>
      </c>
      <c r="N111" s="832">
        <v>1</v>
      </c>
      <c r="O111" s="836">
        <v>1</v>
      </c>
      <c r="P111" s="835">
        <v>0</v>
      </c>
      <c r="Q111" s="837"/>
      <c r="R111" s="832">
        <v>1</v>
      </c>
      <c r="S111" s="837">
        <v>1</v>
      </c>
      <c r="T111" s="836">
        <v>1</v>
      </c>
      <c r="U111" s="838">
        <v>1</v>
      </c>
    </row>
    <row r="112" spans="1:21" ht="14.45" customHeight="1" x14ac:dyDescent="0.2">
      <c r="A112" s="831">
        <v>9</v>
      </c>
      <c r="B112" s="832" t="s">
        <v>1022</v>
      </c>
      <c r="C112" s="832" t="s">
        <v>1029</v>
      </c>
      <c r="D112" s="833" t="s">
        <v>1566</v>
      </c>
      <c r="E112" s="834" t="s">
        <v>1043</v>
      </c>
      <c r="F112" s="832" t="s">
        <v>1024</v>
      </c>
      <c r="G112" s="832" t="s">
        <v>1119</v>
      </c>
      <c r="H112" s="832" t="s">
        <v>572</v>
      </c>
      <c r="I112" s="832" t="s">
        <v>1287</v>
      </c>
      <c r="J112" s="832" t="s">
        <v>1121</v>
      </c>
      <c r="K112" s="832"/>
      <c r="L112" s="835">
        <v>0</v>
      </c>
      <c r="M112" s="835">
        <v>0</v>
      </c>
      <c r="N112" s="832">
        <v>2</v>
      </c>
      <c r="O112" s="836">
        <v>2</v>
      </c>
      <c r="P112" s="835">
        <v>0</v>
      </c>
      <c r="Q112" s="837"/>
      <c r="R112" s="832">
        <v>2</v>
      </c>
      <c r="S112" s="837">
        <v>1</v>
      </c>
      <c r="T112" s="836">
        <v>2</v>
      </c>
      <c r="U112" s="838">
        <v>1</v>
      </c>
    </row>
    <row r="113" spans="1:21" ht="14.45" customHeight="1" x14ac:dyDescent="0.2">
      <c r="A113" s="831">
        <v>9</v>
      </c>
      <c r="B113" s="832" t="s">
        <v>1022</v>
      </c>
      <c r="C113" s="832" t="s">
        <v>1029</v>
      </c>
      <c r="D113" s="833" t="s">
        <v>1566</v>
      </c>
      <c r="E113" s="834" t="s">
        <v>1043</v>
      </c>
      <c r="F113" s="832" t="s">
        <v>1024</v>
      </c>
      <c r="G113" s="832" t="s">
        <v>1119</v>
      </c>
      <c r="H113" s="832" t="s">
        <v>572</v>
      </c>
      <c r="I113" s="832" t="s">
        <v>1288</v>
      </c>
      <c r="J113" s="832" t="s">
        <v>1121</v>
      </c>
      <c r="K113" s="832"/>
      <c r="L113" s="835">
        <v>0</v>
      </c>
      <c r="M113" s="835">
        <v>0</v>
      </c>
      <c r="N113" s="832">
        <v>1</v>
      </c>
      <c r="O113" s="836">
        <v>1</v>
      </c>
      <c r="P113" s="835">
        <v>0</v>
      </c>
      <c r="Q113" s="837"/>
      <c r="R113" s="832">
        <v>1</v>
      </c>
      <c r="S113" s="837">
        <v>1</v>
      </c>
      <c r="T113" s="836">
        <v>1</v>
      </c>
      <c r="U113" s="838">
        <v>1</v>
      </c>
    </row>
    <row r="114" spans="1:21" ht="14.45" customHeight="1" x14ac:dyDescent="0.2">
      <c r="A114" s="831">
        <v>9</v>
      </c>
      <c r="B114" s="832" t="s">
        <v>1022</v>
      </c>
      <c r="C114" s="832" t="s">
        <v>1029</v>
      </c>
      <c r="D114" s="833" t="s">
        <v>1566</v>
      </c>
      <c r="E114" s="834" t="s">
        <v>1043</v>
      </c>
      <c r="F114" s="832" t="s">
        <v>1024</v>
      </c>
      <c r="G114" s="832" t="s">
        <v>1119</v>
      </c>
      <c r="H114" s="832" t="s">
        <v>572</v>
      </c>
      <c r="I114" s="832" t="s">
        <v>1289</v>
      </c>
      <c r="J114" s="832" t="s">
        <v>1121</v>
      </c>
      <c r="K114" s="832"/>
      <c r="L114" s="835">
        <v>0</v>
      </c>
      <c r="M114" s="835">
        <v>0</v>
      </c>
      <c r="N114" s="832">
        <v>1</v>
      </c>
      <c r="O114" s="836">
        <v>1</v>
      </c>
      <c r="P114" s="835">
        <v>0</v>
      </c>
      <c r="Q114" s="837"/>
      <c r="R114" s="832">
        <v>1</v>
      </c>
      <c r="S114" s="837">
        <v>1</v>
      </c>
      <c r="T114" s="836">
        <v>1</v>
      </c>
      <c r="U114" s="838">
        <v>1</v>
      </c>
    </row>
    <row r="115" spans="1:21" ht="14.45" customHeight="1" x14ac:dyDescent="0.2">
      <c r="A115" s="831">
        <v>9</v>
      </c>
      <c r="B115" s="832" t="s">
        <v>1022</v>
      </c>
      <c r="C115" s="832" t="s">
        <v>1029</v>
      </c>
      <c r="D115" s="833" t="s">
        <v>1566</v>
      </c>
      <c r="E115" s="834" t="s">
        <v>1043</v>
      </c>
      <c r="F115" s="832" t="s">
        <v>1025</v>
      </c>
      <c r="G115" s="832" t="s">
        <v>1119</v>
      </c>
      <c r="H115" s="832" t="s">
        <v>572</v>
      </c>
      <c r="I115" s="832" t="s">
        <v>1218</v>
      </c>
      <c r="J115" s="832" t="s">
        <v>1121</v>
      </c>
      <c r="K115" s="832"/>
      <c r="L115" s="835">
        <v>0</v>
      </c>
      <c r="M115" s="835">
        <v>0</v>
      </c>
      <c r="N115" s="832">
        <v>1</v>
      </c>
      <c r="O115" s="836">
        <v>1</v>
      </c>
      <c r="P115" s="835"/>
      <c r="Q115" s="837"/>
      <c r="R115" s="832"/>
      <c r="S115" s="837">
        <v>0</v>
      </c>
      <c r="T115" s="836"/>
      <c r="U115" s="838">
        <v>0</v>
      </c>
    </row>
    <row r="116" spans="1:21" ht="14.45" customHeight="1" x14ac:dyDescent="0.2">
      <c r="A116" s="831">
        <v>9</v>
      </c>
      <c r="B116" s="832" t="s">
        <v>1022</v>
      </c>
      <c r="C116" s="832" t="s">
        <v>1029</v>
      </c>
      <c r="D116" s="833" t="s">
        <v>1566</v>
      </c>
      <c r="E116" s="834" t="s">
        <v>1043</v>
      </c>
      <c r="F116" s="832" t="s">
        <v>1025</v>
      </c>
      <c r="G116" s="832" t="s">
        <v>1290</v>
      </c>
      <c r="H116" s="832" t="s">
        <v>572</v>
      </c>
      <c r="I116" s="832" t="s">
        <v>1291</v>
      </c>
      <c r="J116" s="832" t="s">
        <v>1292</v>
      </c>
      <c r="K116" s="832" t="s">
        <v>1293</v>
      </c>
      <c r="L116" s="835">
        <v>150</v>
      </c>
      <c r="M116" s="835">
        <v>300</v>
      </c>
      <c r="N116" s="832">
        <v>2</v>
      </c>
      <c r="O116" s="836">
        <v>2</v>
      </c>
      <c r="P116" s="835"/>
      <c r="Q116" s="837">
        <v>0</v>
      </c>
      <c r="R116" s="832"/>
      <c r="S116" s="837">
        <v>0</v>
      </c>
      <c r="T116" s="836"/>
      <c r="U116" s="838">
        <v>0</v>
      </c>
    </row>
    <row r="117" spans="1:21" ht="14.45" customHeight="1" x14ac:dyDescent="0.2">
      <c r="A117" s="831">
        <v>9</v>
      </c>
      <c r="B117" s="832" t="s">
        <v>1022</v>
      </c>
      <c r="C117" s="832" t="s">
        <v>1029</v>
      </c>
      <c r="D117" s="833" t="s">
        <v>1566</v>
      </c>
      <c r="E117" s="834" t="s">
        <v>1043</v>
      </c>
      <c r="F117" s="832" t="s">
        <v>1025</v>
      </c>
      <c r="G117" s="832" t="s">
        <v>1290</v>
      </c>
      <c r="H117" s="832" t="s">
        <v>572</v>
      </c>
      <c r="I117" s="832" t="s">
        <v>1294</v>
      </c>
      <c r="J117" s="832" t="s">
        <v>1295</v>
      </c>
      <c r="K117" s="832" t="s">
        <v>1296</v>
      </c>
      <c r="L117" s="835">
        <v>60</v>
      </c>
      <c r="M117" s="835">
        <v>120</v>
      </c>
      <c r="N117" s="832">
        <v>2</v>
      </c>
      <c r="O117" s="836">
        <v>2</v>
      </c>
      <c r="P117" s="835"/>
      <c r="Q117" s="837">
        <v>0</v>
      </c>
      <c r="R117" s="832"/>
      <c r="S117" s="837">
        <v>0</v>
      </c>
      <c r="T117" s="836"/>
      <c r="U117" s="838">
        <v>0</v>
      </c>
    </row>
    <row r="118" spans="1:21" ht="14.45" customHeight="1" x14ac:dyDescent="0.2">
      <c r="A118" s="831">
        <v>9</v>
      </c>
      <c r="B118" s="832" t="s">
        <v>1022</v>
      </c>
      <c r="C118" s="832" t="s">
        <v>1029</v>
      </c>
      <c r="D118" s="833" t="s">
        <v>1566</v>
      </c>
      <c r="E118" s="834" t="s">
        <v>1047</v>
      </c>
      <c r="F118" s="832" t="s">
        <v>1023</v>
      </c>
      <c r="G118" s="832" t="s">
        <v>1297</v>
      </c>
      <c r="H118" s="832" t="s">
        <v>572</v>
      </c>
      <c r="I118" s="832" t="s">
        <v>1298</v>
      </c>
      <c r="J118" s="832" t="s">
        <v>1299</v>
      </c>
      <c r="K118" s="832" t="s">
        <v>1300</v>
      </c>
      <c r="L118" s="835">
        <v>17.72</v>
      </c>
      <c r="M118" s="835">
        <v>17.72</v>
      </c>
      <c r="N118" s="832">
        <v>1</v>
      </c>
      <c r="O118" s="836">
        <v>1</v>
      </c>
      <c r="P118" s="835"/>
      <c r="Q118" s="837">
        <v>0</v>
      </c>
      <c r="R118" s="832"/>
      <c r="S118" s="837">
        <v>0</v>
      </c>
      <c r="T118" s="836"/>
      <c r="U118" s="838">
        <v>0</v>
      </c>
    </row>
    <row r="119" spans="1:21" ht="14.45" customHeight="1" x14ac:dyDescent="0.2">
      <c r="A119" s="831">
        <v>9</v>
      </c>
      <c r="B119" s="832" t="s">
        <v>1022</v>
      </c>
      <c r="C119" s="832" t="s">
        <v>1029</v>
      </c>
      <c r="D119" s="833" t="s">
        <v>1566</v>
      </c>
      <c r="E119" s="834" t="s">
        <v>1047</v>
      </c>
      <c r="F119" s="832" t="s">
        <v>1023</v>
      </c>
      <c r="G119" s="832" t="s">
        <v>1301</v>
      </c>
      <c r="H119" s="832" t="s">
        <v>572</v>
      </c>
      <c r="I119" s="832" t="s">
        <v>1302</v>
      </c>
      <c r="J119" s="832" t="s">
        <v>1303</v>
      </c>
      <c r="K119" s="832" t="s">
        <v>1304</v>
      </c>
      <c r="L119" s="835">
        <v>161.52000000000001</v>
      </c>
      <c r="M119" s="835">
        <v>161.52000000000001</v>
      </c>
      <c r="N119" s="832">
        <v>1</v>
      </c>
      <c r="O119" s="836">
        <v>1</v>
      </c>
      <c r="P119" s="835">
        <v>161.52000000000001</v>
      </c>
      <c r="Q119" s="837">
        <v>1</v>
      </c>
      <c r="R119" s="832">
        <v>1</v>
      </c>
      <c r="S119" s="837">
        <v>1</v>
      </c>
      <c r="T119" s="836">
        <v>1</v>
      </c>
      <c r="U119" s="838">
        <v>1</v>
      </c>
    </row>
    <row r="120" spans="1:21" ht="14.45" customHeight="1" x14ac:dyDescent="0.2">
      <c r="A120" s="831">
        <v>9</v>
      </c>
      <c r="B120" s="832" t="s">
        <v>1022</v>
      </c>
      <c r="C120" s="832" t="s">
        <v>1029</v>
      </c>
      <c r="D120" s="833" t="s">
        <v>1566</v>
      </c>
      <c r="E120" s="834" t="s">
        <v>1047</v>
      </c>
      <c r="F120" s="832" t="s">
        <v>1023</v>
      </c>
      <c r="G120" s="832" t="s">
        <v>1131</v>
      </c>
      <c r="H120" s="832" t="s">
        <v>572</v>
      </c>
      <c r="I120" s="832" t="s">
        <v>1132</v>
      </c>
      <c r="J120" s="832" t="s">
        <v>835</v>
      </c>
      <c r="K120" s="832" t="s">
        <v>1133</v>
      </c>
      <c r="L120" s="835">
        <v>19.89</v>
      </c>
      <c r="M120" s="835">
        <v>59.67</v>
      </c>
      <c r="N120" s="832">
        <v>3</v>
      </c>
      <c r="O120" s="836">
        <v>1</v>
      </c>
      <c r="P120" s="835"/>
      <c r="Q120" s="837">
        <v>0</v>
      </c>
      <c r="R120" s="832"/>
      <c r="S120" s="837">
        <v>0</v>
      </c>
      <c r="T120" s="836"/>
      <c r="U120" s="838">
        <v>0</v>
      </c>
    </row>
    <row r="121" spans="1:21" ht="14.45" customHeight="1" x14ac:dyDescent="0.2">
      <c r="A121" s="831">
        <v>9</v>
      </c>
      <c r="B121" s="832" t="s">
        <v>1022</v>
      </c>
      <c r="C121" s="832" t="s">
        <v>1029</v>
      </c>
      <c r="D121" s="833" t="s">
        <v>1566</v>
      </c>
      <c r="E121" s="834" t="s">
        <v>1047</v>
      </c>
      <c r="F121" s="832" t="s">
        <v>1023</v>
      </c>
      <c r="G121" s="832" t="s">
        <v>1243</v>
      </c>
      <c r="H121" s="832" t="s">
        <v>572</v>
      </c>
      <c r="I121" s="832" t="s">
        <v>1244</v>
      </c>
      <c r="J121" s="832" t="s">
        <v>625</v>
      </c>
      <c r="K121" s="832" t="s">
        <v>626</v>
      </c>
      <c r="L121" s="835">
        <v>105.63</v>
      </c>
      <c r="M121" s="835">
        <v>105.63</v>
      </c>
      <c r="N121" s="832">
        <v>1</v>
      </c>
      <c r="O121" s="836">
        <v>0.5</v>
      </c>
      <c r="P121" s="835">
        <v>105.63</v>
      </c>
      <c r="Q121" s="837">
        <v>1</v>
      </c>
      <c r="R121" s="832">
        <v>1</v>
      </c>
      <c r="S121" s="837">
        <v>1</v>
      </c>
      <c r="T121" s="836">
        <v>0.5</v>
      </c>
      <c r="U121" s="838">
        <v>1</v>
      </c>
    </row>
    <row r="122" spans="1:21" ht="14.45" customHeight="1" x14ac:dyDescent="0.2">
      <c r="A122" s="831">
        <v>9</v>
      </c>
      <c r="B122" s="832" t="s">
        <v>1022</v>
      </c>
      <c r="C122" s="832" t="s">
        <v>1029</v>
      </c>
      <c r="D122" s="833" t="s">
        <v>1566</v>
      </c>
      <c r="E122" s="834" t="s">
        <v>1047</v>
      </c>
      <c r="F122" s="832" t="s">
        <v>1023</v>
      </c>
      <c r="G122" s="832" t="s">
        <v>1073</v>
      </c>
      <c r="H122" s="832" t="s">
        <v>572</v>
      </c>
      <c r="I122" s="832" t="s">
        <v>1074</v>
      </c>
      <c r="J122" s="832" t="s">
        <v>651</v>
      </c>
      <c r="K122" s="832" t="s">
        <v>1075</v>
      </c>
      <c r="L122" s="835">
        <v>94.7</v>
      </c>
      <c r="M122" s="835">
        <v>94.7</v>
      </c>
      <c r="N122" s="832">
        <v>1</v>
      </c>
      <c r="O122" s="836">
        <v>0.5</v>
      </c>
      <c r="P122" s="835">
        <v>94.7</v>
      </c>
      <c r="Q122" s="837">
        <v>1</v>
      </c>
      <c r="R122" s="832">
        <v>1</v>
      </c>
      <c r="S122" s="837">
        <v>1</v>
      </c>
      <c r="T122" s="836">
        <v>0.5</v>
      </c>
      <c r="U122" s="838">
        <v>1</v>
      </c>
    </row>
    <row r="123" spans="1:21" ht="14.45" customHeight="1" x14ac:dyDescent="0.2">
      <c r="A123" s="831">
        <v>9</v>
      </c>
      <c r="B123" s="832" t="s">
        <v>1022</v>
      </c>
      <c r="C123" s="832" t="s">
        <v>1029</v>
      </c>
      <c r="D123" s="833" t="s">
        <v>1566</v>
      </c>
      <c r="E123" s="834" t="s">
        <v>1047</v>
      </c>
      <c r="F123" s="832" t="s">
        <v>1023</v>
      </c>
      <c r="G123" s="832" t="s">
        <v>1266</v>
      </c>
      <c r="H123" s="832" t="s">
        <v>572</v>
      </c>
      <c r="I123" s="832" t="s">
        <v>1305</v>
      </c>
      <c r="J123" s="832" t="s">
        <v>1306</v>
      </c>
      <c r="K123" s="832" t="s">
        <v>1307</v>
      </c>
      <c r="L123" s="835">
        <v>21.92</v>
      </c>
      <c r="M123" s="835">
        <v>65.760000000000005</v>
      </c>
      <c r="N123" s="832">
        <v>3</v>
      </c>
      <c r="O123" s="836">
        <v>2</v>
      </c>
      <c r="P123" s="835">
        <v>21.92</v>
      </c>
      <c r="Q123" s="837">
        <v>0.33333333333333331</v>
      </c>
      <c r="R123" s="832">
        <v>1</v>
      </c>
      <c r="S123" s="837">
        <v>0.33333333333333331</v>
      </c>
      <c r="T123" s="836">
        <v>1</v>
      </c>
      <c r="U123" s="838">
        <v>0.5</v>
      </c>
    </row>
    <row r="124" spans="1:21" ht="14.45" customHeight="1" x14ac:dyDescent="0.2">
      <c r="A124" s="831">
        <v>9</v>
      </c>
      <c r="B124" s="832" t="s">
        <v>1022</v>
      </c>
      <c r="C124" s="832" t="s">
        <v>1029</v>
      </c>
      <c r="D124" s="833" t="s">
        <v>1566</v>
      </c>
      <c r="E124" s="834" t="s">
        <v>1047</v>
      </c>
      <c r="F124" s="832" t="s">
        <v>1023</v>
      </c>
      <c r="G124" s="832" t="s">
        <v>1100</v>
      </c>
      <c r="H124" s="832" t="s">
        <v>572</v>
      </c>
      <c r="I124" s="832" t="s">
        <v>1101</v>
      </c>
      <c r="J124" s="832" t="s">
        <v>681</v>
      </c>
      <c r="K124" s="832" t="s">
        <v>1102</v>
      </c>
      <c r="L124" s="835">
        <v>33.71</v>
      </c>
      <c r="M124" s="835">
        <v>101.13</v>
      </c>
      <c r="N124" s="832">
        <v>3</v>
      </c>
      <c r="O124" s="836">
        <v>2.5</v>
      </c>
      <c r="P124" s="835">
        <v>33.71</v>
      </c>
      <c r="Q124" s="837">
        <v>0.33333333333333337</v>
      </c>
      <c r="R124" s="832">
        <v>1</v>
      </c>
      <c r="S124" s="837">
        <v>0.33333333333333331</v>
      </c>
      <c r="T124" s="836">
        <v>1</v>
      </c>
      <c r="U124" s="838">
        <v>0.4</v>
      </c>
    </row>
    <row r="125" spans="1:21" ht="14.45" customHeight="1" x14ac:dyDescent="0.2">
      <c r="A125" s="831">
        <v>9</v>
      </c>
      <c r="B125" s="832" t="s">
        <v>1022</v>
      </c>
      <c r="C125" s="832" t="s">
        <v>1029</v>
      </c>
      <c r="D125" s="833" t="s">
        <v>1566</v>
      </c>
      <c r="E125" s="834" t="s">
        <v>1047</v>
      </c>
      <c r="F125" s="832" t="s">
        <v>1023</v>
      </c>
      <c r="G125" s="832" t="s">
        <v>1111</v>
      </c>
      <c r="H125" s="832" t="s">
        <v>676</v>
      </c>
      <c r="I125" s="832" t="s">
        <v>1180</v>
      </c>
      <c r="J125" s="832" t="s">
        <v>1181</v>
      </c>
      <c r="K125" s="832" t="s">
        <v>1182</v>
      </c>
      <c r="L125" s="835">
        <v>72.27</v>
      </c>
      <c r="M125" s="835">
        <v>23993.64</v>
      </c>
      <c r="N125" s="832">
        <v>332</v>
      </c>
      <c r="O125" s="836">
        <v>5.5</v>
      </c>
      <c r="P125" s="835">
        <v>8961.48</v>
      </c>
      <c r="Q125" s="837">
        <v>0.37349397590361444</v>
      </c>
      <c r="R125" s="832">
        <v>124</v>
      </c>
      <c r="S125" s="837">
        <v>0.37349397590361444</v>
      </c>
      <c r="T125" s="836">
        <v>2</v>
      </c>
      <c r="U125" s="838">
        <v>0.36363636363636365</v>
      </c>
    </row>
    <row r="126" spans="1:21" ht="14.45" customHeight="1" x14ac:dyDescent="0.2">
      <c r="A126" s="831">
        <v>9</v>
      </c>
      <c r="B126" s="832" t="s">
        <v>1022</v>
      </c>
      <c r="C126" s="832" t="s">
        <v>1029</v>
      </c>
      <c r="D126" s="833" t="s">
        <v>1566</v>
      </c>
      <c r="E126" s="834" t="s">
        <v>1047</v>
      </c>
      <c r="F126" s="832" t="s">
        <v>1023</v>
      </c>
      <c r="G126" s="832" t="s">
        <v>1111</v>
      </c>
      <c r="H126" s="832" t="s">
        <v>676</v>
      </c>
      <c r="I126" s="832" t="s">
        <v>1183</v>
      </c>
      <c r="J126" s="832" t="s">
        <v>1184</v>
      </c>
      <c r="K126" s="832" t="s">
        <v>1182</v>
      </c>
      <c r="L126" s="835">
        <v>72.27</v>
      </c>
      <c r="M126" s="835">
        <v>2384.91</v>
      </c>
      <c r="N126" s="832">
        <v>33</v>
      </c>
      <c r="O126" s="836">
        <v>2</v>
      </c>
      <c r="P126" s="835">
        <v>722.69999999999993</v>
      </c>
      <c r="Q126" s="837">
        <v>0.30303030303030304</v>
      </c>
      <c r="R126" s="832">
        <v>10</v>
      </c>
      <c r="S126" s="837">
        <v>0.30303030303030304</v>
      </c>
      <c r="T126" s="836">
        <v>0.5</v>
      </c>
      <c r="U126" s="838">
        <v>0.25</v>
      </c>
    </row>
    <row r="127" spans="1:21" ht="14.45" customHeight="1" x14ac:dyDescent="0.2">
      <c r="A127" s="831">
        <v>9</v>
      </c>
      <c r="B127" s="832" t="s">
        <v>1022</v>
      </c>
      <c r="C127" s="832" t="s">
        <v>1029</v>
      </c>
      <c r="D127" s="833" t="s">
        <v>1566</v>
      </c>
      <c r="E127" s="834" t="s">
        <v>1047</v>
      </c>
      <c r="F127" s="832" t="s">
        <v>1023</v>
      </c>
      <c r="G127" s="832" t="s">
        <v>1111</v>
      </c>
      <c r="H127" s="832" t="s">
        <v>676</v>
      </c>
      <c r="I127" s="832" t="s">
        <v>1185</v>
      </c>
      <c r="J127" s="832" t="s">
        <v>1186</v>
      </c>
      <c r="K127" s="832" t="s">
        <v>1182</v>
      </c>
      <c r="L127" s="835">
        <v>72.27</v>
      </c>
      <c r="M127" s="835">
        <v>2384.91</v>
      </c>
      <c r="N127" s="832">
        <v>33</v>
      </c>
      <c r="O127" s="836">
        <v>3</v>
      </c>
      <c r="P127" s="835">
        <v>722.69999999999993</v>
      </c>
      <c r="Q127" s="837">
        <v>0.30303030303030304</v>
      </c>
      <c r="R127" s="832">
        <v>10</v>
      </c>
      <c r="S127" s="837">
        <v>0.30303030303030304</v>
      </c>
      <c r="T127" s="836">
        <v>1</v>
      </c>
      <c r="U127" s="838">
        <v>0.33333333333333331</v>
      </c>
    </row>
    <row r="128" spans="1:21" ht="14.45" customHeight="1" x14ac:dyDescent="0.2">
      <c r="A128" s="831">
        <v>9</v>
      </c>
      <c r="B128" s="832" t="s">
        <v>1022</v>
      </c>
      <c r="C128" s="832" t="s">
        <v>1029</v>
      </c>
      <c r="D128" s="833" t="s">
        <v>1566</v>
      </c>
      <c r="E128" s="834" t="s">
        <v>1047</v>
      </c>
      <c r="F128" s="832" t="s">
        <v>1023</v>
      </c>
      <c r="G128" s="832" t="s">
        <v>1111</v>
      </c>
      <c r="H128" s="832" t="s">
        <v>676</v>
      </c>
      <c r="I128" s="832" t="s">
        <v>1187</v>
      </c>
      <c r="J128" s="832" t="s">
        <v>1188</v>
      </c>
      <c r="K128" s="832" t="s">
        <v>1182</v>
      </c>
      <c r="L128" s="835">
        <v>72.27</v>
      </c>
      <c r="M128" s="835">
        <v>2384.91</v>
      </c>
      <c r="N128" s="832">
        <v>33</v>
      </c>
      <c r="O128" s="836">
        <v>2</v>
      </c>
      <c r="P128" s="835">
        <v>722.69999999999993</v>
      </c>
      <c r="Q128" s="837">
        <v>0.30303030303030304</v>
      </c>
      <c r="R128" s="832">
        <v>10</v>
      </c>
      <c r="S128" s="837">
        <v>0.30303030303030304</v>
      </c>
      <c r="T128" s="836">
        <v>0.5</v>
      </c>
      <c r="U128" s="838">
        <v>0.25</v>
      </c>
    </row>
    <row r="129" spans="1:21" ht="14.45" customHeight="1" x14ac:dyDescent="0.2">
      <c r="A129" s="831">
        <v>9</v>
      </c>
      <c r="B129" s="832" t="s">
        <v>1022</v>
      </c>
      <c r="C129" s="832" t="s">
        <v>1029</v>
      </c>
      <c r="D129" s="833" t="s">
        <v>1566</v>
      </c>
      <c r="E129" s="834" t="s">
        <v>1047</v>
      </c>
      <c r="F129" s="832" t="s">
        <v>1023</v>
      </c>
      <c r="G129" s="832" t="s">
        <v>1111</v>
      </c>
      <c r="H129" s="832" t="s">
        <v>676</v>
      </c>
      <c r="I129" s="832" t="s">
        <v>1189</v>
      </c>
      <c r="J129" s="832" t="s">
        <v>1190</v>
      </c>
      <c r="K129" s="832" t="s">
        <v>1182</v>
      </c>
      <c r="L129" s="835">
        <v>72.27</v>
      </c>
      <c r="M129" s="835">
        <v>17272.53</v>
      </c>
      <c r="N129" s="832">
        <v>239</v>
      </c>
      <c r="O129" s="836">
        <v>4.5</v>
      </c>
      <c r="P129" s="835">
        <v>15610.32</v>
      </c>
      <c r="Q129" s="837">
        <v>0.90376569037656906</v>
      </c>
      <c r="R129" s="832">
        <v>216</v>
      </c>
      <c r="S129" s="837">
        <v>0.90376569037656906</v>
      </c>
      <c r="T129" s="836">
        <v>3</v>
      </c>
      <c r="U129" s="838">
        <v>0.66666666666666663</v>
      </c>
    </row>
    <row r="130" spans="1:21" ht="14.45" customHeight="1" x14ac:dyDescent="0.2">
      <c r="A130" s="831">
        <v>9</v>
      </c>
      <c r="B130" s="832" t="s">
        <v>1022</v>
      </c>
      <c r="C130" s="832" t="s">
        <v>1029</v>
      </c>
      <c r="D130" s="833" t="s">
        <v>1566</v>
      </c>
      <c r="E130" s="834" t="s">
        <v>1047</v>
      </c>
      <c r="F130" s="832" t="s">
        <v>1023</v>
      </c>
      <c r="G130" s="832" t="s">
        <v>1111</v>
      </c>
      <c r="H130" s="832" t="s">
        <v>676</v>
      </c>
      <c r="I130" s="832" t="s">
        <v>1191</v>
      </c>
      <c r="J130" s="832" t="s">
        <v>1192</v>
      </c>
      <c r="K130" s="832" t="s">
        <v>1193</v>
      </c>
      <c r="L130" s="835">
        <v>135.54</v>
      </c>
      <c r="M130" s="835">
        <v>1084.32</v>
      </c>
      <c r="N130" s="832">
        <v>8</v>
      </c>
      <c r="O130" s="836">
        <v>0.5</v>
      </c>
      <c r="P130" s="835">
        <v>1084.32</v>
      </c>
      <c r="Q130" s="837">
        <v>1</v>
      </c>
      <c r="R130" s="832">
        <v>8</v>
      </c>
      <c r="S130" s="837">
        <v>1</v>
      </c>
      <c r="T130" s="836">
        <v>0.5</v>
      </c>
      <c r="U130" s="838">
        <v>1</v>
      </c>
    </row>
    <row r="131" spans="1:21" ht="14.45" customHeight="1" x14ac:dyDescent="0.2">
      <c r="A131" s="831">
        <v>9</v>
      </c>
      <c r="B131" s="832" t="s">
        <v>1022</v>
      </c>
      <c r="C131" s="832" t="s">
        <v>1029</v>
      </c>
      <c r="D131" s="833" t="s">
        <v>1566</v>
      </c>
      <c r="E131" s="834" t="s">
        <v>1047</v>
      </c>
      <c r="F131" s="832" t="s">
        <v>1023</v>
      </c>
      <c r="G131" s="832" t="s">
        <v>1111</v>
      </c>
      <c r="H131" s="832" t="s">
        <v>676</v>
      </c>
      <c r="I131" s="832" t="s">
        <v>1194</v>
      </c>
      <c r="J131" s="832" t="s">
        <v>1195</v>
      </c>
      <c r="K131" s="832" t="s">
        <v>1193</v>
      </c>
      <c r="L131" s="835">
        <v>135.54</v>
      </c>
      <c r="M131" s="835">
        <v>1084.32</v>
      </c>
      <c r="N131" s="832">
        <v>8</v>
      </c>
      <c r="O131" s="836">
        <v>0.5</v>
      </c>
      <c r="P131" s="835">
        <v>1084.32</v>
      </c>
      <c r="Q131" s="837">
        <v>1</v>
      </c>
      <c r="R131" s="832">
        <v>8</v>
      </c>
      <c r="S131" s="837">
        <v>1</v>
      </c>
      <c r="T131" s="836">
        <v>0.5</v>
      </c>
      <c r="U131" s="838">
        <v>1</v>
      </c>
    </row>
    <row r="132" spans="1:21" ht="14.45" customHeight="1" x14ac:dyDescent="0.2">
      <c r="A132" s="831">
        <v>9</v>
      </c>
      <c r="B132" s="832" t="s">
        <v>1022</v>
      </c>
      <c r="C132" s="832" t="s">
        <v>1029</v>
      </c>
      <c r="D132" s="833" t="s">
        <v>1566</v>
      </c>
      <c r="E132" s="834" t="s">
        <v>1047</v>
      </c>
      <c r="F132" s="832" t="s">
        <v>1023</v>
      </c>
      <c r="G132" s="832" t="s">
        <v>1111</v>
      </c>
      <c r="H132" s="832" t="s">
        <v>676</v>
      </c>
      <c r="I132" s="832" t="s">
        <v>1112</v>
      </c>
      <c r="J132" s="832" t="s">
        <v>1113</v>
      </c>
      <c r="K132" s="832" t="s">
        <v>1114</v>
      </c>
      <c r="L132" s="835">
        <v>294.81</v>
      </c>
      <c r="M132" s="835">
        <v>2653.29</v>
      </c>
      <c r="N132" s="832">
        <v>9</v>
      </c>
      <c r="O132" s="836">
        <v>2.5</v>
      </c>
      <c r="P132" s="835"/>
      <c r="Q132" s="837">
        <v>0</v>
      </c>
      <c r="R132" s="832"/>
      <c r="S132" s="837">
        <v>0</v>
      </c>
      <c r="T132" s="836"/>
      <c r="U132" s="838">
        <v>0</v>
      </c>
    </row>
    <row r="133" spans="1:21" ht="14.45" customHeight="1" x14ac:dyDescent="0.2">
      <c r="A133" s="831">
        <v>9</v>
      </c>
      <c r="B133" s="832" t="s">
        <v>1022</v>
      </c>
      <c r="C133" s="832" t="s">
        <v>1029</v>
      </c>
      <c r="D133" s="833" t="s">
        <v>1566</v>
      </c>
      <c r="E133" s="834" t="s">
        <v>1047</v>
      </c>
      <c r="F133" s="832" t="s">
        <v>1023</v>
      </c>
      <c r="G133" s="832" t="s">
        <v>1111</v>
      </c>
      <c r="H133" s="832" t="s">
        <v>676</v>
      </c>
      <c r="I133" s="832" t="s">
        <v>1196</v>
      </c>
      <c r="J133" s="832" t="s">
        <v>1197</v>
      </c>
      <c r="K133" s="832" t="s">
        <v>1198</v>
      </c>
      <c r="L133" s="835">
        <v>2635.97</v>
      </c>
      <c r="M133" s="835">
        <v>97530.89</v>
      </c>
      <c r="N133" s="832">
        <v>37</v>
      </c>
      <c r="O133" s="836">
        <v>11</v>
      </c>
      <c r="P133" s="835">
        <v>21087.759999999998</v>
      </c>
      <c r="Q133" s="837">
        <v>0.2162162162162162</v>
      </c>
      <c r="R133" s="832">
        <v>8</v>
      </c>
      <c r="S133" s="837">
        <v>0.21621621621621623</v>
      </c>
      <c r="T133" s="836">
        <v>4</v>
      </c>
      <c r="U133" s="838">
        <v>0.36363636363636365</v>
      </c>
    </row>
    <row r="134" spans="1:21" ht="14.45" customHeight="1" x14ac:dyDescent="0.2">
      <c r="A134" s="831">
        <v>9</v>
      </c>
      <c r="B134" s="832" t="s">
        <v>1022</v>
      </c>
      <c r="C134" s="832" t="s">
        <v>1029</v>
      </c>
      <c r="D134" s="833" t="s">
        <v>1566</v>
      </c>
      <c r="E134" s="834" t="s">
        <v>1047</v>
      </c>
      <c r="F134" s="832" t="s">
        <v>1023</v>
      </c>
      <c r="G134" s="832" t="s">
        <v>1111</v>
      </c>
      <c r="H134" s="832" t="s">
        <v>572</v>
      </c>
      <c r="I134" s="832" t="s">
        <v>1199</v>
      </c>
      <c r="J134" s="832" t="s">
        <v>755</v>
      </c>
      <c r="K134" s="832" t="s">
        <v>756</v>
      </c>
      <c r="L134" s="835">
        <v>2844.97</v>
      </c>
      <c r="M134" s="835">
        <v>2844.97</v>
      </c>
      <c r="N134" s="832">
        <v>1</v>
      </c>
      <c r="O134" s="836">
        <v>1</v>
      </c>
      <c r="P134" s="835"/>
      <c r="Q134" s="837">
        <v>0</v>
      </c>
      <c r="R134" s="832"/>
      <c r="S134" s="837">
        <v>0</v>
      </c>
      <c r="T134" s="836"/>
      <c r="U134" s="838">
        <v>0</v>
      </c>
    </row>
    <row r="135" spans="1:21" ht="14.45" customHeight="1" x14ac:dyDescent="0.2">
      <c r="A135" s="831">
        <v>9</v>
      </c>
      <c r="B135" s="832" t="s">
        <v>1022</v>
      </c>
      <c r="C135" s="832" t="s">
        <v>1029</v>
      </c>
      <c r="D135" s="833" t="s">
        <v>1566</v>
      </c>
      <c r="E135" s="834" t="s">
        <v>1047</v>
      </c>
      <c r="F135" s="832" t="s">
        <v>1023</v>
      </c>
      <c r="G135" s="832" t="s">
        <v>1111</v>
      </c>
      <c r="H135" s="832" t="s">
        <v>572</v>
      </c>
      <c r="I135" s="832" t="s">
        <v>1200</v>
      </c>
      <c r="J135" s="832" t="s">
        <v>1201</v>
      </c>
      <c r="K135" s="832" t="s">
        <v>1202</v>
      </c>
      <c r="L135" s="835">
        <v>283.32</v>
      </c>
      <c r="M135" s="835">
        <v>5383.08</v>
      </c>
      <c r="N135" s="832">
        <v>19</v>
      </c>
      <c r="O135" s="836">
        <v>3</v>
      </c>
      <c r="P135" s="835">
        <v>5383.08</v>
      </c>
      <c r="Q135" s="837">
        <v>1</v>
      </c>
      <c r="R135" s="832">
        <v>19</v>
      </c>
      <c r="S135" s="837">
        <v>1</v>
      </c>
      <c r="T135" s="836">
        <v>3</v>
      </c>
      <c r="U135" s="838">
        <v>1</v>
      </c>
    </row>
    <row r="136" spans="1:21" ht="14.45" customHeight="1" x14ac:dyDescent="0.2">
      <c r="A136" s="831">
        <v>9</v>
      </c>
      <c r="B136" s="832" t="s">
        <v>1022</v>
      </c>
      <c r="C136" s="832" t="s">
        <v>1029</v>
      </c>
      <c r="D136" s="833" t="s">
        <v>1566</v>
      </c>
      <c r="E136" s="834" t="s">
        <v>1047</v>
      </c>
      <c r="F136" s="832" t="s">
        <v>1023</v>
      </c>
      <c r="G136" s="832" t="s">
        <v>1111</v>
      </c>
      <c r="H136" s="832" t="s">
        <v>572</v>
      </c>
      <c r="I136" s="832" t="s">
        <v>1203</v>
      </c>
      <c r="J136" s="832" t="s">
        <v>1204</v>
      </c>
      <c r="K136" s="832" t="s">
        <v>1202</v>
      </c>
      <c r="L136" s="835">
        <v>283.32</v>
      </c>
      <c r="M136" s="835">
        <v>1699.92</v>
      </c>
      <c r="N136" s="832">
        <v>6</v>
      </c>
      <c r="O136" s="836">
        <v>1</v>
      </c>
      <c r="P136" s="835">
        <v>1699.92</v>
      </c>
      <c r="Q136" s="837">
        <v>1</v>
      </c>
      <c r="R136" s="832">
        <v>6</v>
      </c>
      <c r="S136" s="837">
        <v>1</v>
      </c>
      <c r="T136" s="836">
        <v>1</v>
      </c>
      <c r="U136" s="838">
        <v>1</v>
      </c>
    </row>
    <row r="137" spans="1:21" ht="14.45" customHeight="1" x14ac:dyDescent="0.2">
      <c r="A137" s="831">
        <v>9</v>
      </c>
      <c r="B137" s="832" t="s">
        <v>1022</v>
      </c>
      <c r="C137" s="832" t="s">
        <v>1029</v>
      </c>
      <c r="D137" s="833" t="s">
        <v>1566</v>
      </c>
      <c r="E137" s="834" t="s">
        <v>1047</v>
      </c>
      <c r="F137" s="832" t="s">
        <v>1023</v>
      </c>
      <c r="G137" s="832" t="s">
        <v>1111</v>
      </c>
      <c r="H137" s="832" t="s">
        <v>572</v>
      </c>
      <c r="I137" s="832" t="s">
        <v>1205</v>
      </c>
      <c r="J137" s="832" t="s">
        <v>1206</v>
      </c>
      <c r="K137" s="832" t="s">
        <v>1202</v>
      </c>
      <c r="L137" s="835">
        <v>283.32</v>
      </c>
      <c r="M137" s="835">
        <v>4249.8</v>
      </c>
      <c r="N137" s="832">
        <v>15</v>
      </c>
      <c r="O137" s="836">
        <v>2.5</v>
      </c>
      <c r="P137" s="835">
        <v>3399.84</v>
      </c>
      <c r="Q137" s="837">
        <v>0.8</v>
      </c>
      <c r="R137" s="832">
        <v>12</v>
      </c>
      <c r="S137" s="837">
        <v>0.8</v>
      </c>
      <c r="T137" s="836">
        <v>2</v>
      </c>
      <c r="U137" s="838">
        <v>0.8</v>
      </c>
    </row>
    <row r="138" spans="1:21" ht="14.45" customHeight="1" x14ac:dyDescent="0.2">
      <c r="A138" s="831">
        <v>9</v>
      </c>
      <c r="B138" s="832" t="s">
        <v>1022</v>
      </c>
      <c r="C138" s="832" t="s">
        <v>1029</v>
      </c>
      <c r="D138" s="833" t="s">
        <v>1566</v>
      </c>
      <c r="E138" s="834" t="s">
        <v>1047</v>
      </c>
      <c r="F138" s="832" t="s">
        <v>1023</v>
      </c>
      <c r="G138" s="832" t="s">
        <v>1111</v>
      </c>
      <c r="H138" s="832" t="s">
        <v>572</v>
      </c>
      <c r="I138" s="832" t="s">
        <v>1207</v>
      </c>
      <c r="J138" s="832" t="s">
        <v>1208</v>
      </c>
      <c r="K138" s="832" t="s">
        <v>1202</v>
      </c>
      <c r="L138" s="835">
        <v>283.32</v>
      </c>
      <c r="M138" s="835">
        <v>5383.08</v>
      </c>
      <c r="N138" s="832">
        <v>19</v>
      </c>
      <c r="O138" s="836">
        <v>3.5</v>
      </c>
      <c r="P138" s="835">
        <v>4533.12</v>
      </c>
      <c r="Q138" s="837">
        <v>0.84210526315789469</v>
      </c>
      <c r="R138" s="832">
        <v>16</v>
      </c>
      <c r="S138" s="837">
        <v>0.84210526315789469</v>
      </c>
      <c r="T138" s="836">
        <v>3</v>
      </c>
      <c r="U138" s="838">
        <v>0.8571428571428571</v>
      </c>
    </row>
    <row r="139" spans="1:21" ht="14.45" customHeight="1" x14ac:dyDescent="0.2">
      <c r="A139" s="831">
        <v>9</v>
      </c>
      <c r="B139" s="832" t="s">
        <v>1022</v>
      </c>
      <c r="C139" s="832" t="s">
        <v>1029</v>
      </c>
      <c r="D139" s="833" t="s">
        <v>1566</v>
      </c>
      <c r="E139" s="834" t="s">
        <v>1047</v>
      </c>
      <c r="F139" s="832" t="s">
        <v>1023</v>
      </c>
      <c r="G139" s="832" t="s">
        <v>1111</v>
      </c>
      <c r="H139" s="832" t="s">
        <v>572</v>
      </c>
      <c r="I139" s="832" t="s">
        <v>1209</v>
      </c>
      <c r="J139" s="832" t="s">
        <v>1188</v>
      </c>
      <c r="K139" s="832" t="s">
        <v>1202</v>
      </c>
      <c r="L139" s="835">
        <v>289.07</v>
      </c>
      <c r="M139" s="835">
        <v>867.21</v>
      </c>
      <c r="N139" s="832">
        <v>3</v>
      </c>
      <c r="O139" s="836">
        <v>0.5</v>
      </c>
      <c r="P139" s="835">
        <v>867.21</v>
      </c>
      <c r="Q139" s="837">
        <v>1</v>
      </c>
      <c r="R139" s="832">
        <v>3</v>
      </c>
      <c r="S139" s="837">
        <v>1</v>
      </c>
      <c r="T139" s="836">
        <v>0.5</v>
      </c>
      <c r="U139" s="838">
        <v>1</v>
      </c>
    </row>
    <row r="140" spans="1:21" ht="14.45" customHeight="1" x14ac:dyDescent="0.2">
      <c r="A140" s="831">
        <v>9</v>
      </c>
      <c r="B140" s="832" t="s">
        <v>1022</v>
      </c>
      <c r="C140" s="832" t="s">
        <v>1029</v>
      </c>
      <c r="D140" s="833" t="s">
        <v>1566</v>
      </c>
      <c r="E140" s="834" t="s">
        <v>1047</v>
      </c>
      <c r="F140" s="832" t="s">
        <v>1023</v>
      </c>
      <c r="G140" s="832" t="s">
        <v>1111</v>
      </c>
      <c r="H140" s="832" t="s">
        <v>572</v>
      </c>
      <c r="I140" s="832" t="s">
        <v>1210</v>
      </c>
      <c r="J140" s="832" t="s">
        <v>1181</v>
      </c>
      <c r="K140" s="832" t="s">
        <v>1202</v>
      </c>
      <c r="L140" s="835">
        <v>289.07</v>
      </c>
      <c r="M140" s="835">
        <v>6070.4699999999993</v>
      </c>
      <c r="N140" s="832">
        <v>21</v>
      </c>
      <c r="O140" s="836">
        <v>4</v>
      </c>
      <c r="P140" s="835">
        <v>2023.4899999999998</v>
      </c>
      <c r="Q140" s="837">
        <v>0.33333333333333331</v>
      </c>
      <c r="R140" s="832">
        <v>7</v>
      </c>
      <c r="S140" s="837">
        <v>0.33333333333333331</v>
      </c>
      <c r="T140" s="836">
        <v>1</v>
      </c>
      <c r="U140" s="838">
        <v>0.25</v>
      </c>
    </row>
    <row r="141" spans="1:21" ht="14.45" customHeight="1" x14ac:dyDescent="0.2">
      <c r="A141" s="831">
        <v>9</v>
      </c>
      <c r="B141" s="832" t="s">
        <v>1022</v>
      </c>
      <c r="C141" s="832" t="s">
        <v>1029</v>
      </c>
      <c r="D141" s="833" t="s">
        <v>1566</v>
      </c>
      <c r="E141" s="834" t="s">
        <v>1047</v>
      </c>
      <c r="F141" s="832" t="s">
        <v>1023</v>
      </c>
      <c r="G141" s="832" t="s">
        <v>1111</v>
      </c>
      <c r="H141" s="832" t="s">
        <v>572</v>
      </c>
      <c r="I141" s="832" t="s">
        <v>1211</v>
      </c>
      <c r="J141" s="832" t="s">
        <v>1186</v>
      </c>
      <c r="K141" s="832" t="s">
        <v>1202</v>
      </c>
      <c r="L141" s="835">
        <v>289.07</v>
      </c>
      <c r="M141" s="835">
        <v>4336.05</v>
      </c>
      <c r="N141" s="832">
        <v>15</v>
      </c>
      <c r="O141" s="836">
        <v>1.5</v>
      </c>
      <c r="P141" s="835">
        <v>867.21</v>
      </c>
      <c r="Q141" s="837">
        <v>0.2</v>
      </c>
      <c r="R141" s="832">
        <v>3</v>
      </c>
      <c r="S141" s="837">
        <v>0.2</v>
      </c>
      <c r="T141" s="836">
        <v>0.5</v>
      </c>
      <c r="U141" s="838">
        <v>0.33333333333333331</v>
      </c>
    </row>
    <row r="142" spans="1:21" ht="14.45" customHeight="1" x14ac:dyDescent="0.2">
      <c r="A142" s="831">
        <v>9</v>
      </c>
      <c r="B142" s="832" t="s">
        <v>1022</v>
      </c>
      <c r="C142" s="832" t="s">
        <v>1029</v>
      </c>
      <c r="D142" s="833" t="s">
        <v>1566</v>
      </c>
      <c r="E142" s="834" t="s">
        <v>1047</v>
      </c>
      <c r="F142" s="832" t="s">
        <v>1023</v>
      </c>
      <c r="G142" s="832" t="s">
        <v>1111</v>
      </c>
      <c r="H142" s="832" t="s">
        <v>572</v>
      </c>
      <c r="I142" s="832" t="s">
        <v>1212</v>
      </c>
      <c r="J142" s="832" t="s">
        <v>1184</v>
      </c>
      <c r="K142" s="832" t="s">
        <v>1202</v>
      </c>
      <c r="L142" s="835">
        <v>289.07</v>
      </c>
      <c r="M142" s="835">
        <v>4046.98</v>
      </c>
      <c r="N142" s="832">
        <v>14</v>
      </c>
      <c r="O142" s="836">
        <v>3.5</v>
      </c>
      <c r="P142" s="835">
        <v>867.21</v>
      </c>
      <c r="Q142" s="837">
        <v>0.2142857142857143</v>
      </c>
      <c r="R142" s="832">
        <v>3</v>
      </c>
      <c r="S142" s="837">
        <v>0.21428571428571427</v>
      </c>
      <c r="T142" s="836">
        <v>0.5</v>
      </c>
      <c r="U142" s="838">
        <v>0.14285714285714285</v>
      </c>
    </row>
    <row r="143" spans="1:21" ht="14.45" customHeight="1" x14ac:dyDescent="0.2">
      <c r="A143" s="831">
        <v>9</v>
      </c>
      <c r="B143" s="832" t="s">
        <v>1022</v>
      </c>
      <c r="C143" s="832" t="s">
        <v>1029</v>
      </c>
      <c r="D143" s="833" t="s">
        <v>1566</v>
      </c>
      <c r="E143" s="834" t="s">
        <v>1047</v>
      </c>
      <c r="F143" s="832" t="s">
        <v>1023</v>
      </c>
      <c r="G143" s="832" t="s">
        <v>1111</v>
      </c>
      <c r="H143" s="832" t="s">
        <v>572</v>
      </c>
      <c r="I143" s="832" t="s">
        <v>1213</v>
      </c>
      <c r="J143" s="832" t="s">
        <v>1190</v>
      </c>
      <c r="K143" s="832" t="s">
        <v>1202</v>
      </c>
      <c r="L143" s="835">
        <v>289.07</v>
      </c>
      <c r="M143" s="835">
        <v>867.21</v>
      </c>
      <c r="N143" s="832">
        <v>3</v>
      </c>
      <c r="O143" s="836">
        <v>0.5</v>
      </c>
      <c r="P143" s="835">
        <v>867.21</v>
      </c>
      <c r="Q143" s="837">
        <v>1</v>
      </c>
      <c r="R143" s="832">
        <v>3</v>
      </c>
      <c r="S143" s="837">
        <v>1</v>
      </c>
      <c r="T143" s="836">
        <v>0.5</v>
      </c>
      <c r="U143" s="838">
        <v>1</v>
      </c>
    </row>
    <row r="144" spans="1:21" ht="14.45" customHeight="1" x14ac:dyDescent="0.2">
      <c r="A144" s="831">
        <v>9</v>
      </c>
      <c r="B144" s="832" t="s">
        <v>1022</v>
      </c>
      <c r="C144" s="832" t="s">
        <v>1029</v>
      </c>
      <c r="D144" s="833" t="s">
        <v>1566</v>
      </c>
      <c r="E144" s="834" t="s">
        <v>1047</v>
      </c>
      <c r="F144" s="832" t="s">
        <v>1024</v>
      </c>
      <c r="G144" s="832" t="s">
        <v>1119</v>
      </c>
      <c r="H144" s="832" t="s">
        <v>572</v>
      </c>
      <c r="I144" s="832" t="s">
        <v>1285</v>
      </c>
      <c r="J144" s="832" t="s">
        <v>1121</v>
      </c>
      <c r="K144" s="832"/>
      <c r="L144" s="835">
        <v>0</v>
      </c>
      <c r="M144" s="835">
        <v>0</v>
      </c>
      <c r="N144" s="832">
        <v>2</v>
      </c>
      <c r="O144" s="836">
        <v>2</v>
      </c>
      <c r="P144" s="835">
        <v>0</v>
      </c>
      <c r="Q144" s="837"/>
      <c r="R144" s="832">
        <v>2</v>
      </c>
      <c r="S144" s="837">
        <v>1</v>
      </c>
      <c r="T144" s="836">
        <v>2</v>
      </c>
      <c r="U144" s="838">
        <v>1</v>
      </c>
    </row>
    <row r="145" spans="1:21" ht="14.45" customHeight="1" x14ac:dyDescent="0.2">
      <c r="A145" s="831">
        <v>9</v>
      </c>
      <c r="B145" s="832" t="s">
        <v>1022</v>
      </c>
      <c r="C145" s="832" t="s">
        <v>1029</v>
      </c>
      <c r="D145" s="833" t="s">
        <v>1566</v>
      </c>
      <c r="E145" s="834" t="s">
        <v>1047</v>
      </c>
      <c r="F145" s="832" t="s">
        <v>1024</v>
      </c>
      <c r="G145" s="832" t="s">
        <v>1119</v>
      </c>
      <c r="H145" s="832" t="s">
        <v>572</v>
      </c>
      <c r="I145" s="832" t="s">
        <v>1287</v>
      </c>
      <c r="J145" s="832" t="s">
        <v>1121</v>
      </c>
      <c r="K145" s="832"/>
      <c r="L145" s="835">
        <v>0</v>
      </c>
      <c r="M145" s="835">
        <v>0</v>
      </c>
      <c r="N145" s="832">
        <v>3</v>
      </c>
      <c r="O145" s="836">
        <v>3</v>
      </c>
      <c r="P145" s="835">
        <v>0</v>
      </c>
      <c r="Q145" s="837"/>
      <c r="R145" s="832">
        <v>3</v>
      </c>
      <c r="S145" s="837">
        <v>1</v>
      </c>
      <c r="T145" s="836">
        <v>3</v>
      </c>
      <c r="U145" s="838">
        <v>1</v>
      </c>
    </row>
    <row r="146" spans="1:21" ht="14.45" customHeight="1" x14ac:dyDescent="0.2">
      <c r="A146" s="831">
        <v>9</v>
      </c>
      <c r="B146" s="832" t="s">
        <v>1022</v>
      </c>
      <c r="C146" s="832" t="s">
        <v>1029</v>
      </c>
      <c r="D146" s="833" t="s">
        <v>1566</v>
      </c>
      <c r="E146" s="834" t="s">
        <v>1047</v>
      </c>
      <c r="F146" s="832" t="s">
        <v>1024</v>
      </c>
      <c r="G146" s="832" t="s">
        <v>1119</v>
      </c>
      <c r="H146" s="832" t="s">
        <v>572</v>
      </c>
      <c r="I146" s="832" t="s">
        <v>1288</v>
      </c>
      <c r="J146" s="832" t="s">
        <v>1121</v>
      </c>
      <c r="K146" s="832"/>
      <c r="L146" s="835">
        <v>0</v>
      </c>
      <c r="M146" s="835">
        <v>0</v>
      </c>
      <c r="N146" s="832">
        <v>6</v>
      </c>
      <c r="O146" s="836">
        <v>4</v>
      </c>
      <c r="P146" s="835">
        <v>0</v>
      </c>
      <c r="Q146" s="837"/>
      <c r="R146" s="832">
        <v>6</v>
      </c>
      <c r="S146" s="837">
        <v>1</v>
      </c>
      <c r="T146" s="836">
        <v>4</v>
      </c>
      <c r="U146" s="838">
        <v>1</v>
      </c>
    </row>
    <row r="147" spans="1:21" ht="14.45" customHeight="1" x14ac:dyDescent="0.2">
      <c r="A147" s="831">
        <v>9</v>
      </c>
      <c r="B147" s="832" t="s">
        <v>1022</v>
      </c>
      <c r="C147" s="832" t="s">
        <v>1029</v>
      </c>
      <c r="D147" s="833" t="s">
        <v>1566</v>
      </c>
      <c r="E147" s="834" t="s">
        <v>1041</v>
      </c>
      <c r="F147" s="832" t="s">
        <v>1023</v>
      </c>
      <c r="G147" s="832" t="s">
        <v>1100</v>
      </c>
      <c r="H147" s="832" t="s">
        <v>572</v>
      </c>
      <c r="I147" s="832" t="s">
        <v>1101</v>
      </c>
      <c r="J147" s="832" t="s">
        <v>681</v>
      </c>
      <c r="K147" s="832" t="s">
        <v>1102</v>
      </c>
      <c r="L147" s="835">
        <v>33.71</v>
      </c>
      <c r="M147" s="835">
        <v>33.71</v>
      </c>
      <c r="N147" s="832">
        <v>1</v>
      </c>
      <c r="O147" s="836">
        <v>1</v>
      </c>
      <c r="P147" s="835"/>
      <c r="Q147" s="837">
        <v>0</v>
      </c>
      <c r="R147" s="832"/>
      <c r="S147" s="837">
        <v>0</v>
      </c>
      <c r="T147" s="836"/>
      <c r="U147" s="838">
        <v>0</v>
      </c>
    </row>
    <row r="148" spans="1:21" ht="14.45" customHeight="1" x14ac:dyDescent="0.2">
      <c r="A148" s="831">
        <v>9</v>
      </c>
      <c r="B148" s="832" t="s">
        <v>1022</v>
      </c>
      <c r="C148" s="832" t="s">
        <v>1029</v>
      </c>
      <c r="D148" s="833" t="s">
        <v>1566</v>
      </c>
      <c r="E148" s="834" t="s">
        <v>1041</v>
      </c>
      <c r="F148" s="832" t="s">
        <v>1023</v>
      </c>
      <c r="G148" s="832" t="s">
        <v>1111</v>
      </c>
      <c r="H148" s="832" t="s">
        <v>676</v>
      </c>
      <c r="I148" s="832" t="s">
        <v>1112</v>
      </c>
      <c r="J148" s="832" t="s">
        <v>1113</v>
      </c>
      <c r="K148" s="832" t="s">
        <v>1114</v>
      </c>
      <c r="L148" s="835">
        <v>294.81</v>
      </c>
      <c r="M148" s="835">
        <v>1768.8600000000001</v>
      </c>
      <c r="N148" s="832">
        <v>6</v>
      </c>
      <c r="O148" s="836">
        <v>2</v>
      </c>
      <c r="P148" s="835">
        <v>1768.8600000000001</v>
      </c>
      <c r="Q148" s="837">
        <v>1</v>
      </c>
      <c r="R148" s="832">
        <v>6</v>
      </c>
      <c r="S148" s="837">
        <v>1</v>
      </c>
      <c r="T148" s="836">
        <v>2</v>
      </c>
      <c r="U148" s="838">
        <v>1</v>
      </c>
    </row>
    <row r="149" spans="1:21" ht="14.45" customHeight="1" x14ac:dyDescent="0.2">
      <c r="A149" s="831">
        <v>9</v>
      </c>
      <c r="B149" s="832" t="s">
        <v>1022</v>
      </c>
      <c r="C149" s="832" t="s">
        <v>1029</v>
      </c>
      <c r="D149" s="833" t="s">
        <v>1566</v>
      </c>
      <c r="E149" s="834" t="s">
        <v>1045</v>
      </c>
      <c r="F149" s="832" t="s">
        <v>1023</v>
      </c>
      <c r="G149" s="832" t="s">
        <v>1297</v>
      </c>
      <c r="H149" s="832" t="s">
        <v>572</v>
      </c>
      <c r="I149" s="832" t="s">
        <v>1298</v>
      </c>
      <c r="J149" s="832" t="s">
        <v>1299</v>
      </c>
      <c r="K149" s="832" t="s">
        <v>1300</v>
      </c>
      <c r="L149" s="835">
        <v>17.72</v>
      </c>
      <c r="M149" s="835">
        <v>17.72</v>
      </c>
      <c r="N149" s="832">
        <v>1</v>
      </c>
      <c r="O149" s="836">
        <v>0.5</v>
      </c>
      <c r="P149" s="835">
        <v>17.72</v>
      </c>
      <c r="Q149" s="837">
        <v>1</v>
      </c>
      <c r="R149" s="832">
        <v>1</v>
      </c>
      <c r="S149" s="837">
        <v>1</v>
      </c>
      <c r="T149" s="836">
        <v>0.5</v>
      </c>
      <c r="U149" s="838">
        <v>1</v>
      </c>
    </row>
    <row r="150" spans="1:21" ht="14.45" customHeight="1" x14ac:dyDescent="0.2">
      <c r="A150" s="831">
        <v>9</v>
      </c>
      <c r="B150" s="832" t="s">
        <v>1022</v>
      </c>
      <c r="C150" s="832" t="s">
        <v>1029</v>
      </c>
      <c r="D150" s="833" t="s">
        <v>1566</v>
      </c>
      <c r="E150" s="834" t="s">
        <v>1045</v>
      </c>
      <c r="F150" s="832" t="s">
        <v>1023</v>
      </c>
      <c r="G150" s="832" t="s">
        <v>1308</v>
      </c>
      <c r="H150" s="832" t="s">
        <v>572</v>
      </c>
      <c r="I150" s="832" t="s">
        <v>1309</v>
      </c>
      <c r="J150" s="832" t="s">
        <v>1310</v>
      </c>
      <c r="K150" s="832" t="s">
        <v>1311</v>
      </c>
      <c r="L150" s="835">
        <v>57.76</v>
      </c>
      <c r="M150" s="835">
        <v>173.28</v>
      </c>
      <c r="N150" s="832">
        <v>3</v>
      </c>
      <c r="O150" s="836">
        <v>0.5</v>
      </c>
      <c r="P150" s="835">
        <v>173.28</v>
      </c>
      <c r="Q150" s="837">
        <v>1</v>
      </c>
      <c r="R150" s="832">
        <v>3</v>
      </c>
      <c r="S150" s="837">
        <v>1</v>
      </c>
      <c r="T150" s="836">
        <v>0.5</v>
      </c>
      <c r="U150" s="838">
        <v>1</v>
      </c>
    </row>
    <row r="151" spans="1:21" ht="14.45" customHeight="1" x14ac:dyDescent="0.2">
      <c r="A151" s="831">
        <v>9</v>
      </c>
      <c r="B151" s="832" t="s">
        <v>1022</v>
      </c>
      <c r="C151" s="832" t="s">
        <v>1029</v>
      </c>
      <c r="D151" s="833" t="s">
        <v>1566</v>
      </c>
      <c r="E151" s="834" t="s">
        <v>1045</v>
      </c>
      <c r="F151" s="832" t="s">
        <v>1023</v>
      </c>
      <c r="G151" s="832" t="s">
        <v>1057</v>
      </c>
      <c r="H151" s="832" t="s">
        <v>676</v>
      </c>
      <c r="I151" s="832" t="s">
        <v>1312</v>
      </c>
      <c r="J151" s="832" t="s">
        <v>1313</v>
      </c>
      <c r="K151" s="832" t="s">
        <v>1314</v>
      </c>
      <c r="L151" s="835">
        <v>85.27</v>
      </c>
      <c r="M151" s="835">
        <v>170.54</v>
      </c>
      <c r="N151" s="832">
        <v>2</v>
      </c>
      <c r="O151" s="836"/>
      <c r="P151" s="835"/>
      <c r="Q151" s="837">
        <v>0</v>
      </c>
      <c r="R151" s="832"/>
      <c r="S151" s="837">
        <v>0</v>
      </c>
      <c r="T151" s="836"/>
      <c r="U151" s="838"/>
    </row>
    <row r="152" spans="1:21" ht="14.45" customHeight="1" x14ac:dyDescent="0.2">
      <c r="A152" s="831">
        <v>9</v>
      </c>
      <c r="B152" s="832" t="s">
        <v>1022</v>
      </c>
      <c r="C152" s="832" t="s">
        <v>1029</v>
      </c>
      <c r="D152" s="833" t="s">
        <v>1566</v>
      </c>
      <c r="E152" s="834" t="s">
        <v>1045</v>
      </c>
      <c r="F152" s="832" t="s">
        <v>1023</v>
      </c>
      <c r="G152" s="832" t="s">
        <v>1315</v>
      </c>
      <c r="H152" s="832" t="s">
        <v>572</v>
      </c>
      <c r="I152" s="832" t="s">
        <v>1316</v>
      </c>
      <c r="J152" s="832" t="s">
        <v>1317</v>
      </c>
      <c r="K152" s="832" t="s">
        <v>1318</v>
      </c>
      <c r="L152" s="835">
        <v>236.03</v>
      </c>
      <c r="M152" s="835">
        <v>236.03</v>
      </c>
      <c r="N152" s="832">
        <v>1</v>
      </c>
      <c r="O152" s="836">
        <v>1</v>
      </c>
      <c r="P152" s="835">
        <v>236.03</v>
      </c>
      <c r="Q152" s="837">
        <v>1</v>
      </c>
      <c r="R152" s="832">
        <v>1</v>
      </c>
      <c r="S152" s="837">
        <v>1</v>
      </c>
      <c r="T152" s="836">
        <v>1</v>
      </c>
      <c r="U152" s="838">
        <v>1</v>
      </c>
    </row>
    <row r="153" spans="1:21" ht="14.45" customHeight="1" x14ac:dyDescent="0.2">
      <c r="A153" s="831">
        <v>9</v>
      </c>
      <c r="B153" s="832" t="s">
        <v>1022</v>
      </c>
      <c r="C153" s="832" t="s">
        <v>1029</v>
      </c>
      <c r="D153" s="833" t="s">
        <v>1566</v>
      </c>
      <c r="E153" s="834" t="s">
        <v>1045</v>
      </c>
      <c r="F153" s="832" t="s">
        <v>1023</v>
      </c>
      <c r="G153" s="832" t="s">
        <v>1315</v>
      </c>
      <c r="H153" s="832" t="s">
        <v>572</v>
      </c>
      <c r="I153" s="832" t="s">
        <v>1319</v>
      </c>
      <c r="J153" s="832" t="s">
        <v>1320</v>
      </c>
      <c r="K153" s="832" t="s">
        <v>1321</v>
      </c>
      <c r="L153" s="835">
        <v>147.85</v>
      </c>
      <c r="M153" s="835">
        <v>147.85</v>
      </c>
      <c r="N153" s="832">
        <v>1</v>
      </c>
      <c r="O153" s="836">
        <v>0.5</v>
      </c>
      <c r="P153" s="835">
        <v>147.85</v>
      </c>
      <c r="Q153" s="837">
        <v>1</v>
      </c>
      <c r="R153" s="832">
        <v>1</v>
      </c>
      <c r="S153" s="837">
        <v>1</v>
      </c>
      <c r="T153" s="836">
        <v>0.5</v>
      </c>
      <c r="U153" s="838">
        <v>1</v>
      </c>
    </row>
    <row r="154" spans="1:21" ht="14.45" customHeight="1" x14ac:dyDescent="0.2">
      <c r="A154" s="831">
        <v>9</v>
      </c>
      <c r="B154" s="832" t="s">
        <v>1022</v>
      </c>
      <c r="C154" s="832" t="s">
        <v>1029</v>
      </c>
      <c r="D154" s="833" t="s">
        <v>1566</v>
      </c>
      <c r="E154" s="834" t="s">
        <v>1045</v>
      </c>
      <c r="F154" s="832" t="s">
        <v>1023</v>
      </c>
      <c r="G154" s="832" t="s">
        <v>1322</v>
      </c>
      <c r="H154" s="832" t="s">
        <v>572</v>
      </c>
      <c r="I154" s="832" t="s">
        <v>1323</v>
      </c>
      <c r="J154" s="832" t="s">
        <v>1324</v>
      </c>
      <c r="K154" s="832" t="s">
        <v>1325</v>
      </c>
      <c r="L154" s="835">
        <v>34.93</v>
      </c>
      <c r="M154" s="835">
        <v>34.93</v>
      </c>
      <c r="N154" s="832">
        <v>1</v>
      </c>
      <c r="O154" s="836">
        <v>1</v>
      </c>
      <c r="P154" s="835"/>
      <c r="Q154" s="837">
        <v>0</v>
      </c>
      <c r="R154" s="832"/>
      <c r="S154" s="837">
        <v>0</v>
      </c>
      <c r="T154" s="836"/>
      <c r="U154" s="838">
        <v>0</v>
      </c>
    </row>
    <row r="155" spans="1:21" ht="14.45" customHeight="1" x14ac:dyDescent="0.2">
      <c r="A155" s="831">
        <v>9</v>
      </c>
      <c r="B155" s="832" t="s">
        <v>1022</v>
      </c>
      <c r="C155" s="832" t="s">
        <v>1029</v>
      </c>
      <c r="D155" s="833" t="s">
        <v>1566</v>
      </c>
      <c r="E155" s="834" t="s">
        <v>1045</v>
      </c>
      <c r="F155" s="832" t="s">
        <v>1023</v>
      </c>
      <c r="G155" s="832" t="s">
        <v>1326</v>
      </c>
      <c r="H155" s="832" t="s">
        <v>572</v>
      </c>
      <c r="I155" s="832" t="s">
        <v>1327</v>
      </c>
      <c r="J155" s="832" t="s">
        <v>712</v>
      </c>
      <c r="K155" s="832" t="s">
        <v>1328</v>
      </c>
      <c r="L155" s="835">
        <v>368.16</v>
      </c>
      <c r="M155" s="835">
        <v>1104.48</v>
      </c>
      <c r="N155" s="832">
        <v>3</v>
      </c>
      <c r="O155" s="836"/>
      <c r="P155" s="835">
        <v>1104.48</v>
      </c>
      <c r="Q155" s="837">
        <v>1</v>
      </c>
      <c r="R155" s="832">
        <v>3</v>
      </c>
      <c r="S155" s="837">
        <v>1</v>
      </c>
      <c r="T155" s="836"/>
      <c r="U155" s="838"/>
    </row>
    <row r="156" spans="1:21" ht="14.45" customHeight="1" x14ac:dyDescent="0.2">
      <c r="A156" s="831">
        <v>9</v>
      </c>
      <c r="B156" s="832" t="s">
        <v>1022</v>
      </c>
      <c r="C156" s="832" t="s">
        <v>1029</v>
      </c>
      <c r="D156" s="833" t="s">
        <v>1566</v>
      </c>
      <c r="E156" s="834" t="s">
        <v>1045</v>
      </c>
      <c r="F156" s="832" t="s">
        <v>1023</v>
      </c>
      <c r="G156" s="832" t="s">
        <v>1329</v>
      </c>
      <c r="H156" s="832" t="s">
        <v>676</v>
      </c>
      <c r="I156" s="832" t="s">
        <v>1330</v>
      </c>
      <c r="J156" s="832" t="s">
        <v>1331</v>
      </c>
      <c r="K156" s="832" t="s">
        <v>1332</v>
      </c>
      <c r="L156" s="835">
        <v>42.51</v>
      </c>
      <c r="M156" s="835">
        <v>42.51</v>
      </c>
      <c r="N156" s="832">
        <v>1</v>
      </c>
      <c r="O156" s="836">
        <v>0.5</v>
      </c>
      <c r="P156" s="835">
        <v>42.51</v>
      </c>
      <c r="Q156" s="837">
        <v>1</v>
      </c>
      <c r="R156" s="832">
        <v>1</v>
      </c>
      <c r="S156" s="837">
        <v>1</v>
      </c>
      <c r="T156" s="836">
        <v>0.5</v>
      </c>
      <c r="U156" s="838">
        <v>1</v>
      </c>
    </row>
    <row r="157" spans="1:21" ht="14.45" customHeight="1" x14ac:dyDescent="0.2">
      <c r="A157" s="831">
        <v>9</v>
      </c>
      <c r="B157" s="832" t="s">
        <v>1022</v>
      </c>
      <c r="C157" s="832" t="s">
        <v>1029</v>
      </c>
      <c r="D157" s="833" t="s">
        <v>1566</v>
      </c>
      <c r="E157" s="834" t="s">
        <v>1045</v>
      </c>
      <c r="F157" s="832" t="s">
        <v>1023</v>
      </c>
      <c r="G157" s="832" t="s">
        <v>1333</v>
      </c>
      <c r="H157" s="832" t="s">
        <v>572</v>
      </c>
      <c r="I157" s="832" t="s">
        <v>1334</v>
      </c>
      <c r="J157" s="832" t="s">
        <v>1335</v>
      </c>
      <c r="K157" s="832" t="s">
        <v>1336</v>
      </c>
      <c r="L157" s="835">
        <v>38.56</v>
      </c>
      <c r="M157" s="835">
        <v>38.56</v>
      </c>
      <c r="N157" s="832">
        <v>1</v>
      </c>
      <c r="O157" s="836"/>
      <c r="P157" s="835">
        <v>38.56</v>
      </c>
      <c r="Q157" s="837">
        <v>1</v>
      </c>
      <c r="R157" s="832">
        <v>1</v>
      </c>
      <c r="S157" s="837">
        <v>1</v>
      </c>
      <c r="T157" s="836"/>
      <c r="U157" s="838"/>
    </row>
    <row r="158" spans="1:21" ht="14.45" customHeight="1" x14ac:dyDescent="0.2">
      <c r="A158" s="831">
        <v>9</v>
      </c>
      <c r="B158" s="832" t="s">
        <v>1022</v>
      </c>
      <c r="C158" s="832" t="s">
        <v>1029</v>
      </c>
      <c r="D158" s="833" t="s">
        <v>1566</v>
      </c>
      <c r="E158" s="834" t="s">
        <v>1045</v>
      </c>
      <c r="F158" s="832" t="s">
        <v>1023</v>
      </c>
      <c r="G158" s="832" t="s">
        <v>1337</v>
      </c>
      <c r="H158" s="832" t="s">
        <v>572</v>
      </c>
      <c r="I158" s="832" t="s">
        <v>1338</v>
      </c>
      <c r="J158" s="832" t="s">
        <v>1339</v>
      </c>
      <c r="K158" s="832" t="s">
        <v>1340</v>
      </c>
      <c r="L158" s="835">
        <v>73.010000000000005</v>
      </c>
      <c r="M158" s="835">
        <v>73.010000000000005</v>
      </c>
      <c r="N158" s="832">
        <v>1</v>
      </c>
      <c r="O158" s="836">
        <v>1</v>
      </c>
      <c r="P158" s="835">
        <v>73.010000000000005</v>
      </c>
      <c r="Q158" s="837">
        <v>1</v>
      </c>
      <c r="R158" s="832">
        <v>1</v>
      </c>
      <c r="S158" s="837">
        <v>1</v>
      </c>
      <c r="T158" s="836">
        <v>1</v>
      </c>
      <c r="U158" s="838">
        <v>1</v>
      </c>
    </row>
    <row r="159" spans="1:21" ht="14.45" customHeight="1" x14ac:dyDescent="0.2">
      <c r="A159" s="831">
        <v>9</v>
      </c>
      <c r="B159" s="832" t="s">
        <v>1022</v>
      </c>
      <c r="C159" s="832" t="s">
        <v>1029</v>
      </c>
      <c r="D159" s="833" t="s">
        <v>1566</v>
      </c>
      <c r="E159" s="834" t="s">
        <v>1045</v>
      </c>
      <c r="F159" s="832" t="s">
        <v>1023</v>
      </c>
      <c r="G159" s="832" t="s">
        <v>1341</v>
      </c>
      <c r="H159" s="832" t="s">
        <v>572</v>
      </c>
      <c r="I159" s="832" t="s">
        <v>1342</v>
      </c>
      <c r="J159" s="832" t="s">
        <v>1343</v>
      </c>
      <c r="K159" s="832" t="s">
        <v>1344</v>
      </c>
      <c r="L159" s="835">
        <v>127.91</v>
      </c>
      <c r="M159" s="835">
        <v>127.91</v>
      </c>
      <c r="N159" s="832">
        <v>1</v>
      </c>
      <c r="O159" s="836">
        <v>1</v>
      </c>
      <c r="P159" s="835"/>
      <c r="Q159" s="837">
        <v>0</v>
      </c>
      <c r="R159" s="832"/>
      <c r="S159" s="837">
        <v>0</v>
      </c>
      <c r="T159" s="836"/>
      <c r="U159" s="838">
        <v>0</v>
      </c>
    </row>
    <row r="160" spans="1:21" ht="14.45" customHeight="1" x14ac:dyDescent="0.2">
      <c r="A160" s="831">
        <v>9</v>
      </c>
      <c r="B160" s="832" t="s">
        <v>1022</v>
      </c>
      <c r="C160" s="832" t="s">
        <v>1029</v>
      </c>
      <c r="D160" s="833" t="s">
        <v>1566</v>
      </c>
      <c r="E160" s="834" t="s">
        <v>1045</v>
      </c>
      <c r="F160" s="832" t="s">
        <v>1023</v>
      </c>
      <c r="G160" s="832" t="s">
        <v>1345</v>
      </c>
      <c r="H160" s="832" t="s">
        <v>572</v>
      </c>
      <c r="I160" s="832" t="s">
        <v>1346</v>
      </c>
      <c r="J160" s="832" t="s">
        <v>1347</v>
      </c>
      <c r="K160" s="832" t="s">
        <v>1348</v>
      </c>
      <c r="L160" s="835">
        <v>119.66</v>
      </c>
      <c r="M160" s="835">
        <v>119.66</v>
      </c>
      <c r="N160" s="832">
        <v>1</v>
      </c>
      <c r="O160" s="836"/>
      <c r="P160" s="835"/>
      <c r="Q160" s="837">
        <v>0</v>
      </c>
      <c r="R160" s="832"/>
      <c r="S160" s="837">
        <v>0</v>
      </c>
      <c r="T160" s="836"/>
      <c r="U160" s="838"/>
    </row>
    <row r="161" spans="1:21" ht="14.45" customHeight="1" x14ac:dyDescent="0.2">
      <c r="A161" s="831">
        <v>9</v>
      </c>
      <c r="B161" s="832" t="s">
        <v>1022</v>
      </c>
      <c r="C161" s="832" t="s">
        <v>1029</v>
      </c>
      <c r="D161" s="833" t="s">
        <v>1566</v>
      </c>
      <c r="E161" s="834" t="s">
        <v>1045</v>
      </c>
      <c r="F161" s="832" t="s">
        <v>1023</v>
      </c>
      <c r="G161" s="832" t="s">
        <v>1349</v>
      </c>
      <c r="H161" s="832" t="s">
        <v>572</v>
      </c>
      <c r="I161" s="832" t="s">
        <v>1350</v>
      </c>
      <c r="J161" s="832" t="s">
        <v>1351</v>
      </c>
      <c r="K161" s="832" t="s">
        <v>1352</v>
      </c>
      <c r="L161" s="835">
        <v>0</v>
      </c>
      <c r="M161" s="835">
        <v>0</v>
      </c>
      <c r="N161" s="832">
        <v>1</v>
      </c>
      <c r="O161" s="836">
        <v>0.5</v>
      </c>
      <c r="P161" s="835">
        <v>0</v>
      </c>
      <c r="Q161" s="837"/>
      <c r="R161" s="832">
        <v>1</v>
      </c>
      <c r="S161" s="837">
        <v>1</v>
      </c>
      <c r="T161" s="836">
        <v>0.5</v>
      </c>
      <c r="U161" s="838">
        <v>1</v>
      </c>
    </row>
    <row r="162" spans="1:21" ht="14.45" customHeight="1" x14ac:dyDescent="0.2">
      <c r="A162" s="831">
        <v>9</v>
      </c>
      <c r="B162" s="832" t="s">
        <v>1022</v>
      </c>
      <c r="C162" s="832" t="s">
        <v>1029</v>
      </c>
      <c r="D162" s="833" t="s">
        <v>1566</v>
      </c>
      <c r="E162" s="834" t="s">
        <v>1045</v>
      </c>
      <c r="F162" s="832" t="s">
        <v>1023</v>
      </c>
      <c r="G162" s="832" t="s">
        <v>1100</v>
      </c>
      <c r="H162" s="832" t="s">
        <v>572</v>
      </c>
      <c r="I162" s="832" t="s">
        <v>1353</v>
      </c>
      <c r="J162" s="832" t="s">
        <v>1354</v>
      </c>
      <c r="K162" s="832" t="s">
        <v>1355</v>
      </c>
      <c r="L162" s="835">
        <v>181.04</v>
      </c>
      <c r="M162" s="835">
        <v>724.16</v>
      </c>
      <c r="N162" s="832">
        <v>4</v>
      </c>
      <c r="O162" s="836">
        <v>1</v>
      </c>
      <c r="P162" s="835">
        <v>724.16</v>
      </c>
      <c r="Q162" s="837">
        <v>1</v>
      </c>
      <c r="R162" s="832">
        <v>4</v>
      </c>
      <c r="S162" s="837">
        <v>1</v>
      </c>
      <c r="T162" s="836">
        <v>1</v>
      </c>
      <c r="U162" s="838">
        <v>1</v>
      </c>
    </row>
    <row r="163" spans="1:21" ht="14.45" customHeight="1" x14ac:dyDescent="0.2">
      <c r="A163" s="831">
        <v>9</v>
      </c>
      <c r="B163" s="832" t="s">
        <v>1022</v>
      </c>
      <c r="C163" s="832" t="s">
        <v>1029</v>
      </c>
      <c r="D163" s="833" t="s">
        <v>1566</v>
      </c>
      <c r="E163" s="834" t="s">
        <v>1045</v>
      </c>
      <c r="F163" s="832" t="s">
        <v>1023</v>
      </c>
      <c r="G163" s="832" t="s">
        <v>1100</v>
      </c>
      <c r="H163" s="832" t="s">
        <v>572</v>
      </c>
      <c r="I163" s="832" t="s">
        <v>1101</v>
      </c>
      <c r="J163" s="832" t="s">
        <v>681</v>
      </c>
      <c r="K163" s="832" t="s">
        <v>1102</v>
      </c>
      <c r="L163" s="835">
        <v>33.71</v>
      </c>
      <c r="M163" s="835">
        <v>33.71</v>
      </c>
      <c r="N163" s="832">
        <v>1</v>
      </c>
      <c r="O163" s="836">
        <v>0.5</v>
      </c>
      <c r="P163" s="835"/>
      <c r="Q163" s="837">
        <v>0</v>
      </c>
      <c r="R163" s="832"/>
      <c r="S163" s="837">
        <v>0</v>
      </c>
      <c r="T163" s="836"/>
      <c r="U163" s="838">
        <v>0</v>
      </c>
    </row>
    <row r="164" spans="1:21" ht="14.45" customHeight="1" x14ac:dyDescent="0.2">
      <c r="A164" s="831">
        <v>9</v>
      </c>
      <c r="B164" s="832" t="s">
        <v>1022</v>
      </c>
      <c r="C164" s="832" t="s">
        <v>1029</v>
      </c>
      <c r="D164" s="833" t="s">
        <v>1566</v>
      </c>
      <c r="E164" s="834" t="s">
        <v>1045</v>
      </c>
      <c r="F164" s="832" t="s">
        <v>1023</v>
      </c>
      <c r="G164" s="832" t="s">
        <v>1356</v>
      </c>
      <c r="H164" s="832" t="s">
        <v>676</v>
      </c>
      <c r="I164" s="832" t="s">
        <v>1357</v>
      </c>
      <c r="J164" s="832" t="s">
        <v>821</v>
      </c>
      <c r="K164" s="832" t="s">
        <v>1256</v>
      </c>
      <c r="L164" s="835">
        <v>0</v>
      </c>
      <c r="M164" s="835">
        <v>0</v>
      </c>
      <c r="N164" s="832">
        <v>1</v>
      </c>
      <c r="O164" s="836">
        <v>0.5</v>
      </c>
      <c r="P164" s="835">
        <v>0</v>
      </c>
      <c r="Q164" s="837"/>
      <c r="R164" s="832">
        <v>1</v>
      </c>
      <c r="S164" s="837">
        <v>1</v>
      </c>
      <c r="T164" s="836">
        <v>0.5</v>
      </c>
      <c r="U164" s="838">
        <v>1</v>
      </c>
    </row>
    <row r="165" spans="1:21" ht="14.45" customHeight="1" x14ac:dyDescent="0.2">
      <c r="A165" s="831">
        <v>9</v>
      </c>
      <c r="B165" s="832" t="s">
        <v>1022</v>
      </c>
      <c r="C165" s="832" t="s">
        <v>1029</v>
      </c>
      <c r="D165" s="833" t="s">
        <v>1566</v>
      </c>
      <c r="E165" s="834" t="s">
        <v>1045</v>
      </c>
      <c r="F165" s="832" t="s">
        <v>1023</v>
      </c>
      <c r="G165" s="832" t="s">
        <v>1358</v>
      </c>
      <c r="H165" s="832" t="s">
        <v>572</v>
      </c>
      <c r="I165" s="832" t="s">
        <v>1359</v>
      </c>
      <c r="J165" s="832" t="s">
        <v>1360</v>
      </c>
      <c r="K165" s="832" t="s">
        <v>1361</v>
      </c>
      <c r="L165" s="835">
        <v>42.54</v>
      </c>
      <c r="M165" s="835">
        <v>42.54</v>
      </c>
      <c r="N165" s="832">
        <v>1</v>
      </c>
      <c r="O165" s="836"/>
      <c r="P165" s="835"/>
      <c r="Q165" s="837">
        <v>0</v>
      </c>
      <c r="R165" s="832"/>
      <c r="S165" s="837">
        <v>0</v>
      </c>
      <c r="T165" s="836"/>
      <c r="U165" s="838"/>
    </row>
    <row r="166" spans="1:21" ht="14.45" customHeight="1" x14ac:dyDescent="0.2">
      <c r="A166" s="831">
        <v>9</v>
      </c>
      <c r="B166" s="832" t="s">
        <v>1022</v>
      </c>
      <c r="C166" s="832" t="s">
        <v>1029</v>
      </c>
      <c r="D166" s="833" t="s">
        <v>1566</v>
      </c>
      <c r="E166" s="834" t="s">
        <v>1045</v>
      </c>
      <c r="F166" s="832" t="s">
        <v>1023</v>
      </c>
      <c r="G166" s="832" t="s">
        <v>1362</v>
      </c>
      <c r="H166" s="832" t="s">
        <v>572</v>
      </c>
      <c r="I166" s="832" t="s">
        <v>1363</v>
      </c>
      <c r="J166" s="832" t="s">
        <v>1364</v>
      </c>
      <c r="K166" s="832" t="s">
        <v>1365</v>
      </c>
      <c r="L166" s="835">
        <v>77.13</v>
      </c>
      <c r="M166" s="835">
        <v>77.13</v>
      </c>
      <c r="N166" s="832">
        <v>1</v>
      </c>
      <c r="O166" s="836"/>
      <c r="P166" s="835">
        <v>77.13</v>
      </c>
      <c r="Q166" s="837">
        <v>1</v>
      </c>
      <c r="R166" s="832">
        <v>1</v>
      </c>
      <c r="S166" s="837">
        <v>1</v>
      </c>
      <c r="T166" s="836"/>
      <c r="U166" s="838"/>
    </row>
    <row r="167" spans="1:21" ht="14.45" customHeight="1" x14ac:dyDescent="0.2">
      <c r="A167" s="831">
        <v>9</v>
      </c>
      <c r="B167" s="832" t="s">
        <v>1022</v>
      </c>
      <c r="C167" s="832" t="s">
        <v>1029</v>
      </c>
      <c r="D167" s="833" t="s">
        <v>1566</v>
      </c>
      <c r="E167" s="834" t="s">
        <v>1045</v>
      </c>
      <c r="F167" s="832" t="s">
        <v>1023</v>
      </c>
      <c r="G167" s="832" t="s">
        <v>1366</v>
      </c>
      <c r="H167" s="832" t="s">
        <v>572</v>
      </c>
      <c r="I167" s="832" t="s">
        <v>1367</v>
      </c>
      <c r="J167" s="832" t="s">
        <v>1368</v>
      </c>
      <c r="K167" s="832" t="s">
        <v>1369</v>
      </c>
      <c r="L167" s="835">
        <v>0</v>
      </c>
      <c r="M167" s="835">
        <v>0</v>
      </c>
      <c r="N167" s="832">
        <v>2</v>
      </c>
      <c r="O167" s="836">
        <v>1</v>
      </c>
      <c r="P167" s="835">
        <v>0</v>
      </c>
      <c r="Q167" s="837"/>
      <c r="R167" s="832">
        <v>2</v>
      </c>
      <c r="S167" s="837">
        <v>1</v>
      </c>
      <c r="T167" s="836">
        <v>1</v>
      </c>
      <c r="U167" s="838">
        <v>1</v>
      </c>
    </row>
    <row r="168" spans="1:21" ht="14.45" customHeight="1" x14ac:dyDescent="0.2">
      <c r="A168" s="831">
        <v>9</v>
      </c>
      <c r="B168" s="832" t="s">
        <v>1022</v>
      </c>
      <c r="C168" s="832" t="s">
        <v>1029</v>
      </c>
      <c r="D168" s="833" t="s">
        <v>1566</v>
      </c>
      <c r="E168" s="834" t="s">
        <v>1045</v>
      </c>
      <c r="F168" s="832" t="s">
        <v>1023</v>
      </c>
      <c r="G168" s="832" t="s">
        <v>1111</v>
      </c>
      <c r="H168" s="832" t="s">
        <v>676</v>
      </c>
      <c r="I168" s="832" t="s">
        <v>1112</v>
      </c>
      <c r="J168" s="832" t="s">
        <v>1113</v>
      </c>
      <c r="K168" s="832" t="s">
        <v>1114</v>
      </c>
      <c r="L168" s="835">
        <v>294.81</v>
      </c>
      <c r="M168" s="835">
        <v>1474.05</v>
      </c>
      <c r="N168" s="832">
        <v>5</v>
      </c>
      <c r="O168" s="836">
        <v>0.5</v>
      </c>
      <c r="P168" s="835"/>
      <c r="Q168" s="837">
        <v>0</v>
      </c>
      <c r="R168" s="832"/>
      <c r="S168" s="837">
        <v>0</v>
      </c>
      <c r="T168" s="836"/>
      <c r="U168" s="838">
        <v>0</v>
      </c>
    </row>
    <row r="169" spans="1:21" ht="14.45" customHeight="1" x14ac:dyDescent="0.2">
      <c r="A169" s="831">
        <v>9</v>
      </c>
      <c r="B169" s="832" t="s">
        <v>1022</v>
      </c>
      <c r="C169" s="832" t="s">
        <v>1029</v>
      </c>
      <c r="D169" s="833" t="s">
        <v>1566</v>
      </c>
      <c r="E169" s="834" t="s">
        <v>1045</v>
      </c>
      <c r="F169" s="832" t="s">
        <v>1024</v>
      </c>
      <c r="G169" s="832" t="s">
        <v>1119</v>
      </c>
      <c r="H169" s="832" t="s">
        <v>572</v>
      </c>
      <c r="I169" s="832" t="s">
        <v>1285</v>
      </c>
      <c r="J169" s="832" t="s">
        <v>1121</v>
      </c>
      <c r="K169" s="832"/>
      <c r="L169" s="835">
        <v>0</v>
      </c>
      <c r="M169" s="835">
        <v>0</v>
      </c>
      <c r="N169" s="832">
        <v>1</v>
      </c>
      <c r="O169" s="836"/>
      <c r="P169" s="835">
        <v>0</v>
      </c>
      <c r="Q169" s="837"/>
      <c r="R169" s="832">
        <v>1</v>
      </c>
      <c r="S169" s="837">
        <v>1</v>
      </c>
      <c r="T169" s="836"/>
      <c r="U169" s="838"/>
    </row>
    <row r="170" spans="1:21" ht="14.45" customHeight="1" x14ac:dyDescent="0.2">
      <c r="A170" s="831">
        <v>9</v>
      </c>
      <c r="B170" s="832" t="s">
        <v>1022</v>
      </c>
      <c r="C170" s="832" t="s">
        <v>1029</v>
      </c>
      <c r="D170" s="833" t="s">
        <v>1566</v>
      </c>
      <c r="E170" s="834" t="s">
        <v>1045</v>
      </c>
      <c r="F170" s="832" t="s">
        <v>1024</v>
      </c>
      <c r="G170" s="832" t="s">
        <v>1119</v>
      </c>
      <c r="H170" s="832" t="s">
        <v>572</v>
      </c>
      <c r="I170" s="832" t="s">
        <v>1370</v>
      </c>
      <c r="J170" s="832" t="s">
        <v>1121</v>
      </c>
      <c r="K170" s="832"/>
      <c r="L170" s="835">
        <v>0</v>
      </c>
      <c r="M170" s="835">
        <v>0</v>
      </c>
      <c r="N170" s="832">
        <v>1</v>
      </c>
      <c r="O170" s="836"/>
      <c r="P170" s="835"/>
      <c r="Q170" s="837"/>
      <c r="R170" s="832"/>
      <c r="S170" s="837">
        <v>0</v>
      </c>
      <c r="T170" s="836"/>
      <c r="U170" s="838"/>
    </row>
    <row r="171" spans="1:21" ht="14.45" customHeight="1" x14ac:dyDescent="0.2">
      <c r="A171" s="831">
        <v>9</v>
      </c>
      <c r="B171" s="832" t="s">
        <v>1022</v>
      </c>
      <c r="C171" s="832" t="s">
        <v>1029</v>
      </c>
      <c r="D171" s="833" t="s">
        <v>1566</v>
      </c>
      <c r="E171" s="834" t="s">
        <v>1045</v>
      </c>
      <c r="F171" s="832" t="s">
        <v>1024</v>
      </c>
      <c r="G171" s="832" t="s">
        <v>1119</v>
      </c>
      <c r="H171" s="832" t="s">
        <v>572</v>
      </c>
      <c r="I171" s="832" t="s">
        <v>1288</v>
      </c>
      <c r="J171" s="832" t="s">
        <v>1121</v>
      </c>
      <c r="K171" s="832"/>
      <c r="L171" s="835">
        <v>0</v>
      </c>
      <c r="M171" s="835">
        <v>0</v>
      </c>
      <c r="N171" s="832">
        <v>1</v>
      </c>
      <c r="O171" s="836"/>
      <c r="P171" s="835"/>
      <c r="Q171" s="837"/>
      <c r="R171" s="832"/>
      <c r="S171" s="837">
        <v>0</v>
      </c>
      <c r="T171" s="836"/>
      <c r="U171" s="838"/>
    </row>
    <row r="172" spans="1:21" ht="14.45" customHeight="1" x14ac:dyDescent="0.2">
      <c r="A172" s="831">
        <v>9</v>
      </c>
      <c r="B172" s="832" t="s">
        <v>1022</v>
      </c>
      <c r="C172" s="832" t="s">
        <v>1029</v>
      </c>
      <c r="D172" s="833" t="s">
        <v>1566</v>
      </c>
      <c r="E172" s="834" t="s">
        <v>1046</v>
      </c>
      <c r="F172" s="832" t="s">
        <v>1023</v>
      </c>
      <c r="G172" s="832" t="s">
        <v>1111</v>
      </c>
      <c r="H172" s="832" t="s">
        <v>676</v>
      </c>
      <c r="I172" s="832" t="s">
        <v>1278</v>
      </c>
      <c r="J172" s="832" t="s">
        <v>1279</v>
      </c>
      <c r="K172" s="832" t="s">
        <v>1114</v>
      </c>
      <c r="L172" s="835">
        <v>294.81</v>
      </c>
      <c r="M172" s="835">
        <v>294.81</v>
      </c>
      <c r="N172" s="832">
        <v>1</v>
      </c>
      <c r="O172" s="836">
        <v>1</v>
      </c>
      <c r="P172" s="835">
        <v>294.81</v>
      </c>
      <c r="Q172" s="837">
        <v>1</v>
      </c>
      <c r="R172" s="832">
        <v>1</v>
      </c>
      <c r="S172" s="837">
        <v>1</v>
      </c>
      <c r="T172" s="836">
        <v>1</v>
      </c>
      <c r="U172" s="838">
        <v>1</v>
      </c>
    </row>
    <row r="173" spans="1:21" ht="14.45" customHeight="1" x14ac:dyDescent="0.2">
      <c r="A173" s="831">
        <v>9</v>
      </c>
      <c r="B173" s="832" t="s">
        <v>1022</v>
      </c>
      <c r="C173" s="832" t="s">
        <v>1029</v>
      </c>
      <c r="D173" s="833" t="s">
        <v>1566</v>
      </c>
      <c r="E173" s="834" t="s">
        <v>1046</v>
      </c>
      <c r="F173" s="832" t="s">
        <v>1024</v>
      </c>
      <c r="G173" s="832" t="s">
        <v>1119</v>
      </c>
      <c r="H173" s="832" t="s">
        <v>572</v>
      </c>
      <c r="I173" s="832" t="s">
        <v>1285</v>
      </c>
      <c r="J173" s="832" t="s">
        <v>1121</v>
      </c>
      <c r="K173" s="832"/>
      <c r="L173" s="835">
        <v>0</v>
      </c>
      <c r="M173" s="835">
        <v>0</v>
      </c>
      <c r="N173" s="832">
        <v>1</v>
      </c>
      <c r="O173" s="836">
        <v>1</v>
      </c>
      <c r="P173" s="835"/>
      <c r="Q173" s="837"/>
      <c r="R173" s="832"/>
      <c r="S173" s="837">
        <v>0</v>
      </c>
      <c r="T173" s="836"/>
      <c r="U173" s="838">
        <v>0</v>
      </c>
    </row>
    <row r="174" spans="1:21" ht="14.45" customHeight="1" x14ac:dyDescent="0.2">
      <c r="A174" s="831">
        <v>9</v>
      </c>
      <c r="B174" s="832" t="s">
        <v>1022</v>
      </c>
      <c r="C174" s="832" t="s">
        <v>1029</v>
      </c>
      <c r="D174" s="833" t="s">
        <v>1566</v>
      </c>
      <c r="E174" s="834" t="s">
        <v>1037</v>
      </c>
      <c r="F174" s="832" t="s">
        <v>1023</v>
      </c>
      <c r="G174" s="832" t="s">
        <v>1371</v>
      </c>
      <c r="H174" s="832" t="s">
        <v>572</v>
      </c>
      <c r="I174" s="832" t="s">
        <v>1372</v>
      </c>
      <c r="J174" s="832" t="s">
        <v>671</v>
      </c>
      <c r="K174" s="832" t="s">
        <v>1373</v>
      </c>
      <c r="L174" s="835">
        <v>61.97</v>
      </c>
      <c r="M174" s="835">
        <v>61.97</v>
      </c>
      <c r="N174" s="832">
        <v>1</v>
      </c>
      <c r="O174" s="836">
        <v>1</v>
      </c>
      <c r="P174" s="835"/>
      <c r="Q174" s="837">
        <v>0</v>
      </c>
      <c r="R174" s="832"/>
      <c r="S174" s="837">
        <v>0</v>
      </c>
      <c r="T174" s="836"/>
      <c r="U174" s="838">
        <v>0</v>
      </c>
    </row>
    <row r="175" spans="1:21" ht="14.45" customHeight="1" x14ac:dyDescent="0.2">
      <c r="A175" s="831">
        <v>9</v>
      </c>
      <c r="B175" s="832" t="s">
        <v>1022</v>
      </c>
      <c r="C175" s="832" t="s">
        <v>1029</v>
      </c>
      <c r="D175" s="833" t="s">
        <v>1566</v>
      </c>
      <c r="E175" s="834" t="s">
        <v>1039</v>
      </c>
      <c r="F175" s="832" t="s">
        <v>1023</v>
      </c>
      <c r="G175" s="832" t="s">
        <v>1057</v>
      </c>
      <c r="H175" s="832" t="s">
        <v>572</v>
      </c>
      <c r="I175" s="832" t="s">
        <v>1374</v>
      </c>
      <c r="J175" s="832" t="s">
        <v>1059</v>
      </c>
      <c r="K175" s="832" t="s">
        <v>1375</v>
      </c>
      <c r="L175" s="835">
        <v>24.01</v>
      </c>
      <c r="M175" s="835">
        <v>48.02</v>
      </c>
      <c r="N175" s="832">
        <v>2</v>
      </c>
      <c r="O175" s="836">
        <v>1</v>
      </c>
      <c r="P175" s="835"/>
      <c r="Q175" s="837">
        <v>0</v>
      </c>
      <c r="R175" s="832"/>
      <c r="S175" s="837">
        <v>0</v>
      </c>
      <c r="T175" s="836"/>
      <c r="U175" s="838">
        <v>0</v>
      </c>
    </row>
    <row r="176" spans="1:21" ht="14.45" customHeight="1" x14ac:dyDescent="0.2">
      <c r="A176" s="831">
        <v>9</v>
      </c>
      <c r="B176" s="832" t="s">
        <v>1022</v>
      </c>
      <c r="C176" s="832" t="s">
        <v>1029</v>
      </c>
      <c r="D176" s="833" t="s">
        <v>1566</v>
      </c>
      <c r="E176" s="834" t="s">
        <v>1039</v>
      </c>
      <c r="F176" s="832" t="s">
        <v>1023</v>
      </c>
      <c r="G176" s="832" t="s">
        <v>1376</v>
      </c>
      <c r="H176" s="832" t="s">
        <v>572</v>
      </c>
      <c r="I176" s="832" t="s">
        <v>1377</v>
      </c>
      <c r="J176" s="832" t="s">
        <v>1378</v>
      </c>
      <c r="K176" s="832" t="s">
        <v>1379</v>
      </c>
      <c r="L176" s="835">
        <v>91.11</v>
      </c>
      <c r="M176" s="835">
        <v>91.11</v>
      </c>
      <c r="N176" s="832">
        <v>1</v>
      </c>
      <c r="O176" s="836">
        <v>0.5</v>
      </c>
      <c r="P176" s="835">
        <v>91.11</v>
      </c>
      <c r="Q176" s="837">
        <v>1</v>
      </c>
      <c r="R176" s="832">
        <v>1</v>
      </c>
      <c r="S176" s="837">
        <v>1</v>
      </c>
      <c r="T176" s="836">
        <v>0.5</v>
      </c>
      <c r="U176" s="838">
        <v>1</v>
      </c>
    </row>
    <row r="177" spans="1:21" ht="14.45" customHeight="1" x14ac:dyDescent="0.2">
      <c r="A177" s="831">
        <v>9</v>
      </c>
      <c r="B177" s="832" t="s">
        <v>1022</v>
      </c>
      <c r="C177" s="832" t="s">
        <v>1029</v>
      </c>
      <c r="D177" s="833" t="s">
        <v>1566</v>
      </c>
      <c r="E177" s="834" t="s">
        <v>1039</v>
      </c>
      <c r="F177" s="832" t="s">
        <v>1023</v>
      </c>
      <c r="G177" s="832" t="s">
        <v>1380</v>
      </c>
      <c r="H177" s="832" t="s">
        <v>572</v>
      </c>
      <c r="I177" s="832" t="s">
        <v>1381</v>
      </c>
      <c r="J177" s="832" t="s">
        <v>1382</v>
      </c>
      <c r="K177" s="832" t="s">
        <v>1383</v>
      </c>
      <c r="L177" s="835">
        <v>69.59</v>
      </c>
      <c r="M177" s="835">
        <v>69.59</v>
      </c>
      <c r="N177" s="832">
        <v>1</v>
      </c>
      <c r="O177" s="836">
        <v>1</v>
      </c>
      <c r="P177" s="835">
        <v>69.59</v>
      </c>
      <c r="Q177" s="837">
        <v>1</v>
      </c>
      <c r="R177" s="832">
        <v>1</v>
      </c>
      <c r="S177" s="837">
        <v>1</v>
      </c>
      <c r="T177" s="836">
        <v>1</v>
      </c>
      <c r="U177" s="838">
        <v>1</v>
      </c>
    </row>
    <row r="178" spans="1:21" ht="14.45" customHeight="1" x14ac:dyDescent="0.2">
      <c r="A178" s="831">
        <v>9</v>
      </c>
      <c r="B178" s="832" t="s">
        <v>1022</v>
      </c>
      <c r="C178" s="832" t="s">
        <v>1029</v>
      </c>
      <c r="D178" s="833" t="s">
        <v>1566</v>
      </c>
      <c r="E178" s="834" t="s">
        <v>1039</v>
      </c>
      <c r="F178" s="832" t="s">
        <v>1023</v>
      </c>
      <c r="G178" s="832" t="s">
        <v>1384</v>
      </c>
      <c r="H178" s="832" t="s">
        <v>572</v>
      </c>
      <c r="I178" s="832" t="s">
        <v>1385</v>
      </c>
      <c r="J178" s="832" t="s">
        <v>1386</v>
      </c>
      <c r="K178" s="832" t="s">
        <v>1387</v>
      </c>
      <c r="L178" s="835">
        <v>0</v>
      </c>
      <c r="M178" s="835">
        <v>0</v>
      </c>
      <c r="N178" s="832">
        <v>1</v>
      </c>
      <c r="O178" s="836">
        <v>1</v>
      </c>
      <c r="P178" s="835">
        <v>0</v>
      </c>
      <c r="Q178" s="837"/>
      <c r="R178" s="832">
        <v>1</v>
      </c>
      <c r="S178" s="837">
        <v>1</v>
      </c>
      <c r="T178" s="836">
        <v>1</v>
      </c>
      <c r="U178" s="838">
        <v>1</v>
      </c>
    </row>
    <row r="179" spans="1:21" ht="14.45" customHeight="1" x14ac:dyDescent="0.2">
      <c r="A179" s="831">
        <v>9</v>
      </c>
      <c r="B179" s="832" t="s">
        <v>1022</v>
      </c>
      <c r="C179" s="832" t="s">
        <v>1029</v>
      </c>
      <c r="D179" s="833" t="s">
        <v>1566</v>
      </c>
      <c r="E179" s="834" t="s">
        <v>1039</v>
      </c>
      <c r="F179" s="832" t="s">
        <v>1023</v>
      </c>
      <c r="G179" s="832" t="s">
        <v>1388</v>
      </c>
      <c r="H179" s="832" t="s">
        <v>676</v>
      </c>
      <c r="I179" s="832" t="s">
        <v>1389</v>
      </c>
      <c r="J179" s="832" t="s">
        <v>1390</v>
      </c>
      <c r="K179" s="832" t="s">
        <v>1391</v>
      </c>
      <c r="L179" s="835">
        <v>126.27</v>
      </c>
      <c r="M179" s="835">
        <v>252.54</v>
      </c>
      <c r="N179" s="832">
        <v>2</v>
      </c>
      <c r="O179" s="836">
        <v>1.5</v>
      </c>
      <c r="P179" s="835">
        <v>252.54</v>
      </c>
      <c r="Q179" s="837">
        <v>1</v>
      </c>
      <c r="R179" s="832">
        <v>2</v>
      </c>
      <c r="S179" s="837">
        <v>1</v>
      </c>
      <c r="T179" s="836">
        <v>1.5</v>
      </c>
      <c r="U179" s="838">
        <v>1</v>
      </c>
    </row>
    <row r="180" spans="1:21" ht="14.45" customHeight="1" x14ac:dyDescent="0.2">
      <c r="A180" s="831">
        <v>9</v>
      </c>
      <c r="B180" s="832" t="s">
        <v>1022</v>
      </c>
      <c r="C180" s="832" t="s">
        <v>1029</v>
      </c>
      <c r="D180" s="833" t="s">
        <v>1566</v>
      </c>
      <c r="E180" s="834" t="s">
        <v>1039</v>
      </c>
      <c r="F180" s="832" t="s">
        <v>1023</v>
      </c>
      <c r="G180" s="832" t="s">
        <v>1111</v>
      </c>
      <c r="H180" s="832" t="s">
        <v>676</v>
      </c>
      <c r="I180" s="832" t="s">
        <v>1112</v>
      </c>
      <c r="J180" s="832" t="s">
        <v>1113</v>
      </c>
      <c r="K180" s="832" t="s">
        <v>1114</v>
      </c>
      <c r="L180" s="835">
        <v>294.81</v>
      </c>
      <c r="M180" s="835">
        <v>1179.24</v>
      </c>
      <c r="N180" s="832">
        <v>4</v>
      </c>
      <c r="O180" s="836">
        <v>4</v>
      </c>
      <c r="P180" s="835">
        <v>294.81</v>
      </c>
      <c r="Q180" s="837">
        <v>0.25</v>
      </c>
      <c r="R180" s="832">
        <v>1</v>
      </c>
      <c r="S180" s="837">
        <v>0.25</v>
      </c>
      <c r="T180" s="836">
        <v>1</v>
      </c>
      <c r="U180" s="838">
        <v>0.25</v>
      </c>
    </row>
    <row r="181" spans="1:21" ht="14.45" customHeight="1" x14ac:dyDescent="0.2">
      <c r="A181" s="831">
        <v>9</v>
      </c>
      <c r="B181" s="832" t="s">
        <v>1022</v>
      </c>
      <c r="C181" s="832" t="s">
        <v>1029</v>
      </c>
      <c r="D181" s="833" t="s">
        <v>1566</v>
      </c>
      <c r="E181" s="834" t="s">
        <v>1039</v>
      </c>
      <c r="F181" s="832" t="s">
        <v>1024</v>
      </c>
      <c r="G181" s="832" t="s">
        <v>1119</v>
      </c>
      <c r="H181" s="832" t="s">
        <v>572</v>
      </c>
      <c r="I181" s="832" t="s">
        <v>1285</v>
      </c>
      <c r="J181" s="832" t="s">
        <v>1121</v>
      </c>
      <c r="K181" s="832"/>
      <c r="L181" s="835">
        <v>0</v>
      </c>
      <c r="M181" s="835">
        <v>0</v>
      </c>
      <c r="N181" s="832">
        <v>4</v>
      </c>
      <c r="O181" s="836">
        <v>4</v>
      </c>
      <c r="P181" s="835">
        <v>0</v>
      </c>
      <c r="Q181" s="837"/>
      <c r="R181" s="832">
        <v>4</v>
      </c>
      <c r="S181" s="837">
        <v>1</v>
      </c>
      <c r="T181" s="836">
        <v>4</v>
      </c>
      <c r="U181" s="838">
        <v>1</v>
      </c>
    </row>
    <row r="182" spans="1:21" ht="14.45" customHeight="1" x14ac:dyDescent="0.2">
      <c r="A182" s="831">
        <v>9</v>
      </c>
      <c r="B182" s="832" t="s">
        <v>1022</v>
      </c>
      <c r="C182" s="832" t="s">
        <v>1029</v>
      </c>
      <c r="D182" s="833" t="s">
        <v>1566</v>
      </c>
      <c r="E182" s="834" t="s">
        <v>1034</v>
      </c>
      <c r="F182" s="832" t="s">
        <v>1023</v>
      </c>
      <c r="G182" s="832" t="s">
        <v>1123</v>
      </c>
      <c r="H182" s="832" t="s">
        <v>572</v>
      </c>
      <c r="I182" s="832" t="s">
        <v>1392</v>
      </c>
      <c r="J182" s="832" t="s">
        <v>1125</v>
      </c>
      <c r="K182" s="832" t="s">
        <v>1393</v>
      </c>
      <c r="L182" s="835">
        <v>43.85</v>
      </c>
      <c r="M182" s="835">
        <v>43.85</v>
      </c>
      <c r="N182" s="832">
        <v>1</v>
      </c>
      <c r="O182" s="836">
        <v>1</v>
      </c>
      <c r="P182" s="835"/>
      <c r="Q182" s="837">
        <v>0</v>
      </c>
      <c r="R182" s="832"/>
      <c r="S182" s="837">
        <v>0</v>
      </c>
      <c r="T182" s="836"/>
      <c r="U182" s="838">
        <v>0</v>
      </c>
    </row>
    <row r="183" spans="1:21" ht="14.45" customHeight="1" x14ac:dyDescent="0.2">
      <c r="A183" s="831">
        <v>9</v>
      </c>
      <c r="B183" s="832" t="s">
        <v>1022</v>
      </c>
      <c r="C183" s="832" t="s">
        <v>1029</v>
      </c>
      <c r="D183" s="833" t="s">
        <v>1566</v>
      </c>
      <c r="E183" s="834" t="s">
        <v>1034</v>
      </c>
      <c r="F183" s="832" t="s">
        <v>1023</v>
      </c>
      <c r="G183" s="832" t="s">
        <v>1235</v>
      </c>
      <c r="H183" s="832" t="s">
        <v>572</v>
      </c>
      <c r="I183" s="832" t="s">
        <v>1394</v>
      </c>
      <c r="J183" s="832" t="s">
        <v>1395</v>
      </c>
      <c r="K183" s="832" t="s">
        <v>1396</v>
      </c>
      <c r="L183" s="835">
        <v>36.76</v>
      </c>
      <c r="M183" s="835">
        <v>36.76</v>
      </c>
      <c r="N183" s="832">
        <v>1</v>
      </c>
      <c r="O183" s="836">
        <v>1</v>
      </c>
      <c r="P183" s="835"/>
      <c r="Q183" s="837">
        <v>0</v>
      </c>
      <c r="R183" s="832"/>
      <c r="S183" s="837">
        <v>0</v>
      </c>
      <c r="T183" s="836"/>
      <c r="U183" s="838">
        <v>0</v>
      </c>
    </row>
    <row r="184" spans="1:21" ht="14.45" customHeight="1" x14ac:dyDescent="0.2">
      <c r="A184" s="831">
        <v>9</v>
      </c>
      <c r="B184" s="832" t="s">
        <v>1022</v>
      </c>
      <c r="C184" s="832" t="s">
        <v>1029</v>
      </c>
      <c r="D184" s="833" t="s">
        <v>1566</v>
      </c>
      <c r="E184" s="834" t="s">
        <v>1034</v>
      </c>
      <c r="F184" s="832" t="s">
        <v>1023</v>
      </c>
      <c r="G184" s="832" t="s">
        <v>1397</v>
      </c>
      <c r="H184" s="832" t="s">
        <v>572</v>
      </c>
      <c r="I184" s="832" t="s">
        <v>1398</v>
      </c>
      <c r="J184" s="832" t="s">
        <v>1399</v>
      </c>
      <c r="K184" s="832" t="s">
        <v>1400</v>
      </c>
      <c r="L184" s="835">
        <v>46.03</v>
      </c>
      <c r="M184" s="835">
        <v>46.03</v>
      </c>
      <c r="N184" s="832">
        <v>1</v>
      </c>
      <c r="O184" s="836">
        <v>0.5</v>
      </c>
      <c r="P184" s="835">
        <v>46.03</v>
      </c>
      <c r="Q184" s="837">
        <v>1</v>
      </c>
      <c r="R184" s="832">
        <v>1</v>
      </c>
      <c r="S184" s="837">
        <v>1</v>
      </c>
      <c r="T184" s="836">
        <v>0.5</v>
      </c>
      <c r="U184" s="838">
        <v>1</v>
      </c>
    </row>
    <row r="185" spans="1:21" ht="14.45" customHeight="1" x14ac:dyDescent="0.2">
      <c r="A185" s="831">
        <v>9</v>
      </c>
      <c r="B185" s="832" t="s">
        <v>1022</v>
      </c>
      <c r="C185" s="832" t="s">
        <v>1029</v>
      </c>
      <c r="D185" s="833" t="s">
        <v>1566</v>
      </c>
      <c r="E185" s="834" t="s">
        <v>1034</v>
      </c>
      <c r="F185" s="832" t="s">
        <v>1023</v>
      </c>
      <c r="G185" s="832" t="s">
        <v>1401</v>
      </c>
      <c r="H185" s="832" t="s">
        <v>572</v>
      </c>
      <c r="I185" s="832" t="s">
        <v>1402</v>
      </c>
      <c r="J185" s="832" t="s">
        <v>1403</v>
      </c>
      <c r="K185" s="832" t="s">
        <v>1314</v>
      </c>
      <c r="L185" s="835">
        <v>39.17</v>
      </c>
      <c r="M185" s="835">
        <v>78.34</v>
      </c>
      <c r="N185" s="832">
        <v>2</v>
      </c>
      <c r="O185" s="836">
        <v>1</v>
      </c>
      <c r="P185" s="835"/>
      <c r="Q185" s="837">
        <v>0</v>
      </c>
      <c r="R185" s="832"/>
      <c r="S185" s="837">
        <v>0</v>
      </c>
      <c r="T185" s="836"/>
      <c r="U185" s="838">
        <v>0</v>
      </c>
    </row>
    <row r="186" spans="1:21" ht="14.45" customHeight="1" x14ac:dyDescent="0.2">
      <c r="A186" s="831">
        <v>9</v>
      </c>
      <c r="B186" s="832" t="s">
        <v>1022</v>
      </c>
      <c r="C186" s="832" t="s">
        <v>1029</v>
      </c>
      <c r="D186" s="833" t="s">
        <v>1566</v>
      </c>
      <c r="E186" s="834" t="s">
        <v>1034</v>
      </c>
      <c r="F186" s="832" t="s">
        <v>1023</v>
      </c>
      <c r="G186" s="832" t="s">
        <v>1404</v>
      </c>
      <c r="H186" s="832" t="s">
        <v>572</v>
      </c>
      <c r="I186" s="832" t="s">
        <v>1405</v>
      </c>
      <c r="J186" s="832" t="s">
        <v>1406</v>
      </c>
      <c r="K186" s="832" t="s">
        <v>1407</v>
      </c>
      <c r="L186" s="835">
        <v>286.33</v>
      </c>
      <c r="M186" s="835">
        <v>1431.6499999999999</v>
      </c>
      <c r="N186" s="832">
        <v>5</v>
      </c>
      <c r="O186" s="836">
        <v>0.5</v>
      </c>
      <c r="P186" s="835"/>
      <c r="Q186" s="837">
        <v>0</v>
      </c>
      <c r="R186" s="832"/>
      <c r="S186" s="837">
        <v>0</v>
      </c>
      <c r="T186" s="836"/>
      <c r="U186" s="838">
        <v>0</v>
      </c>
    </row>
    <row r="187" spans="1:21" ht="14.45" customHeight="1" x14ac:dyDescent="0.2">
      <c r="A187" s="831">
        <v>9</v>
      </c>
      <c r="B187" s="832" t="s">
        <v>1022</v>
      </c>
      <c r="C187" s="832" t="s">
        <v>1029</v>
      </c>
      <c r="D187" s="833" t="s">
        <v>1566</v>
      </c>
      <c r="E187" s="834" t="s">
        <v>1034</v>
      </c>
      <c r="F187" s="832" t="s">
        <v>1023</v>
      </c>
      <c r="G187" s="832" t="s">
        <v>1315</v>
      </c>
      <c r="H187" s="832" t="s">
        <v>572</v>
      </c>
      <c r="I187" s="832" t="s">
        <v>1319</v>
      </c>
      <c r="J187" s="832" t="s">
        <v>1320</v>
      </c>
      <c r="K187" s="832" t="s">
        <v>1321</v>
      </c>
      <c r="L187" s="835">
        <v>147.85</v>
      </c>
      <c r="M187" s="835">
        <v>147.85</v>
      </c>
      <c r="N187" s="832">
        <v>1</v>
      </c>
      <c r="O187" s="836">
        <v>0.5</v>
      </c>
      <c r="P187" s="835">
        <v>147.85</v>
      </c>
      <c r="Q187" s="837">
        <v>1</v>
      </c>
      <c r="R187" s="832">
        <v>1</v>
      </c>
      <c r="S187" s="837">
        <v>1</v>
      </c>
      <c r="T187" s="836">
        <v>0.5</v>
      </c>
      <c r="U187" s="838">
        <v>1</v>
      </c>
    </row>
    <row r="188" spans="1:21" ht="14.45" customHeight="1" x14ac:dyDescent="0.2">
      <c r="A188" s="831">
        <v>9</v>
      </c>
      <c r="B188" s="832" t="s">
        <v>1022</v>
      </c>
      <c r="C188" s="832" t="s">
        <v>1029</v>
      </c>
      <c r="D188" s="833" t="s">
        <v>1566</v>
      </c>
      <c r="E188" s="834" t="s">
        <v>1034</v>
      </c>
      <c r="F188" s="832" t="s">
        <v>1023</v>
      </c>
      <c r="G188" s="832" t="s">
        <v>741</v>
      </c>
      <c r="H188" s="832" t="s">
        <v>572</v>
      </c>
      <c r="I188" s="832" t="s">
        <v>1408</v>
      </c>
      <c r="J188" s="832" t="s">
        <v>1409</v>
      </c>
      <c r="K188" s="832" t="s">
        <v>1410</v>
      </c>
      <c r="L188" s="835">
        <v>13.73</v>
      </c>
      <c r="M188" s="835">
        <v>27.46</v>
      </c>
      <c r="N188" s="832">
        <v>2</v>
      </c>
      <c r="O188" s="836">
        <v>1.5</v>
      </c>
      <c r="P188" s="835">
        <v>13.73</v>
      </c>
      <c r="Q188" s="837">
        <v>0.5</v>
      </c>
      <c r="R188" s="832">
        <v>1</v>
      </c>
      <c r="S188" s="837">
        <v>0.5</v>
      </c>
      <c r="T188" s="836">
        <v>0.5</v>
      </c>
      <c r="U188" s="838">
        <v>0.33333333333333331</v>
      </c>
    </row>
    <row r="189" spans="1:21" ht="14.45" customHeight="1" x14ac:dyDescent="0.2">
      <c r="A189" s="831">
        <v>9</v>
      </c>
      <c r="B189" s="832" t="s">
        <v>1022</v>
      </c>
      <c r="C189" s="832" t="s">
        <v>1029</v>
      </c>
      <c r="D189" s="833" t="s">
        <v>1566</v>
      </c>
      <c r="E189" s="834" t="s">
        <v>1034</v>
      </c>
      <c r="F189" s="832" t="s">
        <v>1023</v>
      </c>
      <c r="G189" s="832" t="s">
        <v>1411</v>
      </c>
      <c r="H189" s="832" t="s">
        <v>572</v>
      </c>
      <c r="I189" s="832" t="s">
        <v>1412</v>
      </c>
      <c r="J189" s="832" t="s">
        <v>1413</v>
      </c>
      <c r="K189" s="832" t="s">
        <v>1414</v>
      </c>
      <c r="L189" s="835">
        <v>0</v>
      </c>
      <c r="M189" s="835">
        <v>0</v>
      </c>
      <c r="N189" s="832">
        <v>1</v>
      </c>
      <c r="O189" s="836">
        <v>0.5</v>
      </c>
      <c r="P189" s="835">
        <v>0</v>
      </c>
      <c r="Q189" s="837"/>
      <c r="R189" s="832">
        <v>1</v>
      </c>
      <c r="S189" s="837">
        <v>1</v>
      </c>
      <c r="T189" s="836">
        <v>0.5</v>
      </c>
      <c r="U189" s="838">
        <v>1</v>
      </c>
    </row>
    <row r="190" spans="1:21" ht="14.45" customHeight="1" x14ac:dyDescent="0.2">
      <c r="A190" s="831">
        <v>9</v>
      </c>
      <c r="B190" s="832" t="s">
        <v>1022</v>
      </c>
      <c r="C190" s="832" t="s">
        <v>1029</v>
      </c>
      <c r="D190" s="833" t="s">
        <v>1566</v>
      </c>
      <c r="E190" s="834" t="s">
        <v>1034</v>
      </c>
      <c r="F190" s="832" t="s">
        <v>1023</v>
      </c>
      <c r="G190" s="832" t="s">
        <v>1415</v>
      </c>
      <c r="H190" s="832" t="s">
        <v>572</v>
      </c>
      <c r="I190" s="832" t="s">
        <v>1416</v>
      </c>
      <c r="J190" s="832" t="s">
        <v>1417</v>
      </c>
      <c r="K190" s="832" t="s">
        <v>1418</v>
      </c>
      <c r="L190" s="835">
        <v>12.88</v>
      </c>
      <c r="M190" s="835">
        <v>128.80000000000001</v>
      </c>
      <c r="N190" s="832">
        <v>10</v>
      </c>
      <c r="O190" s="836">
        <v>0.5</v>
      </c>
      <c r="P190" s="835"/>
      <c r="Q190" s="837">
        <v>0</v>
      </c>
      <c r="R190" s="832"/>
      <c r="S190" s="837">
        <v>0</v>
      </c>
      <c r="T190" s="836"/>
      <c r="U190" s="838">
        <v>0</v>
      </c>
    </row>
    <row r="191" spans="1:21" ht="14.45" customHeight="1" x14ac:dyDescent="0.2">
      <c r="A191" s="831">
        <v>9</v>
      </c>
      <c r="B191" s="832" t="s">
        <v>1022</v>
      </c>
      <c r="C191" s="832" t="s">
        <v>1029</v>
      </c>
      <c r="D191" s="833" t="s">
        <v>1566</v>
      </c>
      <c r="E191" s="834" t="s">
        <v>1034</v>
      </c>
      <c r="F191" s="832" t="s">
        <v>1023</v>
      </c>
      <c r="G191" s="832" t="s">
        <v>1419</v>
      </c>
      <c r="H191" s="832" t="s">
        <v>572</v>
      </c>
      <c r="I191" s="832" t="s">
        <v>1420</v>
      </c>
      <c r="J191" s="832" t="s">
        <v>813</v>
      </c>
      <c r="K191" s="832" t="s">
        <v>1421</v>
      </c>
      <c r="L191" s="835">
        <v>48.59</v>
      </c>
      <c r="M191" s="835">
        <v>242.95000000000002</v>
      </c>
      <c r="N191" s="832">
        <v>5</v>
      </c>
      <c r="O191" s="836">
        <v>0.5</v>
      </c>
      <c r="P191" s="835"/>
      <c r="Q191" s="837">
        <v>0</v>
      </c>
      <c r="R191" s="832"/>
      <c r="S191" s="837">
        <v>0</v>
      </c>
      <c r="T191" s="836"/>
      <c r="U191" s="838">
        <v>0</v>
      </c>
    </row>
    <row r="192" spans="1:21" ht="14.45" customHeight="1" x14ac:dyDescent="0.2">
      <c r="A192" s="831">
        <v>9</v>
      </c>
      <c r="B192" s="832" t="s">
        <v>1022</v>
      </c>
      <c r="C192" s="832" t="s">
        <v>1029</v>
      </c>
      <c r="D192" s="833" t="s">
        <v>1566</v>
      </c>
      <c r="E192" s="834" t="s">
        <v>1034</v>
      </c>
      <c r="F192" s="832" t="s">
        <v>1023</v>
      </c>
      <c r="G192" s="832" t="s">
        <v>1119</v>
      </c>
      <c r="H192" s="832" t="s">
        <v>572</v>
      </c>
      <c r="I192" s="832" t="s">
        <v>1218</v>
      </c>
      <c r="J192" s="832" t="s">
        <v>1121</v>
      </c>
      <c r="K192" s="832"/>
      <c r="L192" s="835">
        <v>0</v>
      </c>
      <c r="M192" s="835">
        <v>0</v>
      </c>
      <c r="N192" s="832">
        <v>16</v>
      </c>
      <c r="O192" s="836">
        <v>3</v>
      </c>
      <c r="P192" s="835">
        <v>0</v>
      </c>
      <c r="Q192" s="837"/>
      <c r="R192" s="832">
        <v>1</v>
      </c>
      <c r="S192" s="837">
        <v>6.25E-2</v>
      </c>
      <c r="T192" s="836">
        <v>1</v>
      </c>
      <c r="U192" s="838">
        <v>0.33333333333333331</v>
      </c>
    </row>
    <row r="193" spans="1:21" ht="14.45" customHeight="1" x14ac:dyDescent="0.2">
      <c r="A193" s="831">
        <v>9</v>
      </c>
      <c r="B193" s="832" t="s">
        <v>1022</v>
      </c>
      <c r="C193" s="832" t="s">
        <v>1029</v>
      </c>
      <c r="D193" s="833" t="s">
        <v>1566</v>
      </c>
      <c r="E193" s="834" t="s">
        <v>1034</v>
      </c>
      <c r="F193" s="832" t="s">
        <v>1023</v>
      </c>
      <c r="G193" s="832" t="s">
        <v>1152</v>
      </c>
      <c r="H193" s="832" t="s">
        <v>572</v>
      </c>
      <c r="I193" s="832" t="s">
        <v>1153</v>
      </c>
      <c r="J193" s="832" t="s">
        <v>1154</v>
      </c>
      <c r="K193" s="832" t="s">
        <v>1155</v>
      </c>
      <c r="L193" s="835">
        <v>16.079999999999998</v>
      </c>
      <c r="M193" s="835">
        <v>16.079999999999998</v>
      </c>
      <c r="N193" s="832">
        <v>1</v>
      </c>
      <c r="O193" s="836">
        <v>0.5</v>
      </c>
      <c r="P193" s="835">
        <v>16.079999999999998</v>
      </c>
      <c r="Q193" s="837">
        <v>1</v>
      </c>
      <c r="R193" s="832">
        <v>1</v>
      </c>
      <c r="S193" s="837">
        <v>1</v>
      </c>
      <c r="T193" s="836">
        <v>0.5</v>
      </c>
      <c r="U193" s="838">
        <v>1</v>
      </c>
    </row>
    <row r="194" spans="1:21" ht="14.45" customHeight="1" x14ac:dyDescent="0.2">
      <c r="A194" s="831">
        <v>9</v>
      </c>
      <c r="B194" s="832" t="s">
        <v>1022</v>
      </c>
      <c r="C194" s="832" t="s">
        <v>1029</v>
      </c>
      <c r="D194" s="833" t="s">
        <v>1566</v>
      </c>
      <c r="E194" s="834" t="s">
        <v>1034</v>
      </c>
      <c r="F194" s="832" t="s">
        <v>1023</v>
      </c>
      <c r="G194" s="832" t="s">
        <v>1088</v>
      </c>
      <c r="H194" s="832" t="s">
        <v>572</v>
      </c>
      <c r="I194" s="832" t="s">
        <v>1259</v>
      </c>
      <c r="J194" s="832" t="s">
        <v>1260</v>
      </c>
      <c r="K194" s="832" t="s">
        <v>1261</v>
      </c>
      <c r="L194" s="835">
        <v>54.18</v>
      </c>
      <c r="M194" s="835">
        <v>54.18</v>
      </c>
      <c r="N194" s="832">
        <v>1</v>
      </c>
      <c r="O194" s="836">
        <v>1</v>
      </c>
      <c r="P194" s="835">
        <v>54.18</v>
      </c>
      <c r="Q194" s="837">
        <v>1</v>
      </c>
      <c r="R194" s="832">
        <v>1</v>
      </c>
      <c r="S194" s="837">
        <v>1</v>
      </c>
      <c r="T194" s="836">
        <v>1</v>
      </c>
      <c r="U194" s="838">
        <v>1</v>
      </c>
    </row>
    <row r="195" spans="1:21" ht="14.45" customHeight="1" x14ac:dyDescent="0.2">
      <c r="A195" s="831">
        <v>9</v>
      </c>
      <c r="B195" s="832" t="s">
        <v>1022</v>
      </c>
      <c r="C195" s="832" t="s">
        <v>1029</v>
      </c>
      <c r="D195" s="833" t="s">
        <v>1566</v>
      </c>
      <c r="E195" s="834" t="s">
        <v>1034</v>
      </c>
      <c r="F195" s="832" t="s">
        <v>1023</v>
      </c>
      <c r="G195" s="832" t="s">
        <v>1422</v>
      </c>
      <c r="H195" s="832" t="s">
        <v>572</v>
      </c>
      <c r="I195" s="832" t="s">
        <v>1423</v>
      </c>
      <c r="J195" s="832" t="s">
        <v>1424</v>
      </c>
      <c r="K195" s="832" t="s">
        <v>1425</v>
      </c>
      <c r="L195" s="835">
        <v>0</v>
      </c>
      <c r="M195" s="835">
        <v>0</v>
      </c>
      <c r="N195" s="832">
        <v>2</v>
      </c>
      <c r="O195" s="836">
        <v>1</v>
      </c>
      <c r="P195" s="835"/>
      <c r="Q195" s="837"/>
      <c r="R195" s="832"/>
      <c r="S195" s="837">
        <v>0</v>
      </c>
      <c r="T195" s="836"/>
      <c r="U195" s="838">
        <v>0</v>
      </c>
    </row>
    <row r="196" spans="1:21" ht="14.45" customHeight="1" x14ac:dyDescent="0.2">
      <c r="A196" s="831">
        <v>9</v>
      </c>
      <c r="B196" s="832" t="s">
        <v>1022</v>
      </c>
      <c r="C196" s="832" t="s">
        <v>1029</v>
      </c>
      <c r="D196" s="833" t="s">
        <v>1566</v>
      </c>
      <c r="E196" s="834" t="s">
        <v>1034</v>
      </c>
      <c r="F196" s="832" t="s">
        <v>1023</v>
      </c>
      <c r="G196" s="832" t="s">
        <v>1426</v>
      </c>
      <c r="H196" s="832" t="s">
        <v>572</v>
      </c>
      <c r="I196" s="832" t="s">
        <v>1427</v>
      </c>
      <c r="J196" s="832" t="s">
        <v>1428</v>
      </c>
      <c r="K196" s="832" t="s">
        <v>1429</v>
      </c>
      <c r="L196" s="835">
        <v>35.25</v>
      </c>
      <c r="M196" s="835">
        <v>35.25</v>
      </c>
      <c r="N196" s="832">
        <v>1</v>
      </c>
      <c r="O196" s="836">
        <v>1</v>
      </c>
      <c r="P196" s="835">
        <v>35.25</v>
      </c>
      <c r="Q196" s="837">
        <v>1</v>
      </c>
      <c r="R196" s="832">
        <v>1</v>
      </c>
      <c r="S196" s="837">
        <v>1</v>
      </c>
      <c r="T196" s="836">
        <v>1</v>
      </c>
      <c r="U196" s="838">
        <v>1</v>
      </c>
    </row>
    <row r="197" spans="1:21" ht="14.45" customHeight="1" x14ac:dyDescent="0.2">
      <c r="A197" s="831">
        <v>9</v>
      </c>
      <c r="B197" s="832" t="s">
        <v>1022</v>
      </c>
      <c r="C197" s="832" t="s">
        <v>1029</v>
      </c>
      <c r="D197" s="833" t="s">
        <v>1566</v>
      </c>
      <c r="E197" s="834" t="s">
        <v>1034</v>
      </c>
      <c r="F197" s="832" t="s">
        <v>1023</v>
      </c>
      <c r="G197" s="832" t="s">
        <v>1430</v>
      </c>
      <c r="H197" s="832" t="s">
        <v>676</v>
      </c>
      <c r="I197" s="832" t="s">
        <v>1431</v>
      </c>
      <c r="J197" s="832" t="s">
        <v>1432</v>
      </c>
      <c r="K197" s="832" t="s">
        <v>1433</v>
      </c>
      <c r="L197" s="835">
        <v>282.97000000000003</v>
      </c>
      <c r="M197" s="835">
        <v>282.97000000000003</v>
      </c>
      <c r="N197" s="832">
        <v>1</v>
      </c>
      <c r="O197" s="836">
        <v>0.5</v>
      </c>
      <c r="P197" s="835"/>
      <c r="Q197" s="837">
        <v>0</v>
      </c>
      <c r="R197" s="832"/>
      <c r="S197" s="837">
        <v>0</v>
      </c>
      <c r="T197" s="836"/>
      <c r="U197" s="838">
        <v>0</v>
      </c>
    </row>
    <row r="198" spans="1:21" ht="14.45" customHeight="1" x14ac:dyDescent="0.2">
      <c r="A198" s="831">
        <v>9</v>
      </c>
      <c r="B198" s="832" t="s">
        <v>1022</v>
      </c>
      <c r="C198" s="832" t="s">
        <v>1029</v>
      </c>
      <c r="D198" s="833" t="s">
        <v>1566</v>
      </c>
      <c r="E198" s="834" t="s">
        <v>1034</v>
      </c>
      <c r="F198" s="832" t="s">
        <v>1023</v>
      </c>
      <c r="G198" s="832" t="s">
        <v>1434</v>
      </c>
      <c r="H198" s="832" t="s">
        <v>572</v>
      </c>
      <c r="I198" s="832" t="s">
        <v>1435</v>
      </c>
      <c r="J198" s="832" t="s">
        <v>609</v>
      </c>
      <c r="K198" s="832" t="s">
        <v>1436</v>
      </c>
      <c r="L198" s="835">
        <v>70.55</v>
      </c>
      <c r="M198" s="835">
        <v>705.5</v>
      </c>
      <c r="N198" s="832">
        <v>10</v>
      </c>
      <c r="O198" s="836">
        <v>1</v>
      </c>
      <c r="P198" s="835"/>
      <c r="Q198" s="837">
        <v>0</v>
      </c>
      <c r="R198" s="832"/>
      <c r="S198" s="837">
        <v>0</v>
      </c>
      <c r="T198" s="836"/>
      <c r="U198" s="838">
        <v>0</v>
      </c>
    </row>
    <row r="199" spans="1:21" ht="14.45" customHeight="1" x14ac:dyDescent="0.2">
      <c r="A199" s="831">
        <v>9</v>
      </c>
      <c r="B199" s="832" t="s">
        <v>1022</v>
      </c>
      <c r="C199" s="832" t="s">
        <v>1029</v>
      </c>
      <c r="D199" s="833" t="s">
        <v>1566</v>
      </c>
      <c r="E199" s="834" t="s">
        <v>1034</v>
      </c>
      <c r="F199" s="832" t="s">
        <v>1023</v>
      </c>
      <c r="G199" s="832" t="s">
        <v>1100</v>
      </c>
      <c r="H199" s="832" t="s">
        <v>572</v>
      </c>
      <c r="I199" s="832" t="s">
        <v>1101</v>
      </c>
      <c r="J199" s="832" t="s">
        <v>681</v>
      </c>
      <c r="K199" s="832" t="s">
        <v>1102</v>
      </c>
      <c r="L199" s="835">
        <v>33.71</v>
      </c>
      <c r="M199" s="835">
        <v>67.42</v>
      </c>
      <c r="N199" s="832">
        <v>2</v>
      </c>
      <c r="O199" s="836">
        <v>2</v>
      </c>
      <c r="P199" s="835">
        <v>67.42</v>
      </c>
      <c r="Q199" s="837">
        <v>1</v>
      </c>
      <c r="R199" s="832">
        <v>2</v>
      </c>
      <c r="S199" s="837">
        <v>1</v>
      </c>
      <c r="T199" s="836">
        <v>2</v>
      </c>
      <c r="U199" s="838">
        <v>1</v>
      </c>
    </row>
    <row r="200" spans="1:21" ht="14.45" customHeight="1" x14ac:dyDescent="0.2">
      <c r="A200" s="831">
        <v>9</v>
      </c>
      <c r="B200" s="832" t="s">
        <v>1022</v>
      </c>
      <c r="C200" s="832" t="s">
        <v>1029</v>
      </c>
      <c r="D200" s="833" t="s">
        <v>1566</v>
      </c>
      <c r="E200" s="834" t="s">
        <v>1034</v>
      </c>
      <c r="F200" s="832" t="s">
        <v>1023</v>
      </c>
      <c r="G200" s="832" t="s">
        <v>1437</v>
      </c>
      <c r="H200" s="832" t="s">
        <v>572</v>
      </c>
      <c r="I200" s="832" t="s">
        <v>1438</v>
      </c>
      <c r="J200" s="832" t="s">
        <v>1439</v>
      </c>
      <c r="K200" s="832" t="s">
        <v>1440</v>
      </c>
      <c r="L200" s="835">
        <v>569.54</v>
      </c>
      <c r="M200" s="835">
        <v>569.54</v>
      </c>
      <c r="N200" s="832">
        <v>1</v>
      </c>
      <c r="O200" s="836">
        <v>0.5</v>
      </c>
      <c r="P200" s="835">
        <v>569.54</v>
      </c>
      <c r="Q200" s="837">
        <v>1</v>
      </c>
      <c r="R200" s="832">
        <v>1</v>
      </c>
      <c r="S200" s="837">
        <v>1</v>
      </c>
      <c r="T200" s="836">
        <v>0.5</v>
      </c>
      <c r="U200" s="838">
        <v>1</v>
      </c>
    </row>
    <row r="201" spans="1:21" ht="14.45" customHeight="1" x14ac:dyDescent="0.2">
      <c r="A201" s="831">
        <v>9</v>
      </c>
      <c r="B201" s="832" t="s">
        <v>1022</v>
      </c>
      <c r="C201" s="832" t="s">
        <v>1029</v>
      </c>
      <c r="D201" s="833" t="s">
        <v>1566</v>
      </c>
      <c r="E201" s="834" t="s">
        <v>1034</v>
      </c>
      <c r="F201" s="832" t="s">
        <v>1023</v>
      </c>
      <c r="G201" s="832" t="s">
        <v>1441</v>
      </c>
      <c r="H201" s="832" t="s">
        <v>572</v>
      </c>
      <c r="I201" s="832" t="s">
        <v>1442</v>
      </c>
      <c r="J201" s="832" t="s">
        <v>1443</v>
      </c>
      <c r="K201" s="832" t="s">
        <v>1444</v>
      </c>
      <c r="L201" s="835">
        <v>0</v>
      </c>
      <c r="M201" s="835">
        <v>0</v>
      </c>
      <c r="N201" s="832">
        <v>3</v>
      </c>
      <c r="O201" s="836">
        <v>1</v>
      </c>
      <c r="P201" s="835"/>
      <c r="Q201" s="837"/>
      <c r="R201" s="832"/>
      <c r="S201" s="837">
        <v>0</v>
      </c>
      <c r="T201" s="836"/>
      <c r="U201" s="838">
        <v>0</v>
      </c>
    </row>
    <row r="202" spans="1:21" ht="14.45" customHeight="1" x14ac:dyDescent="0.2">
      <c r="A202" s="831">
        <v>9</v>
      </c>
      <c r="B202" s="832" t="s">
        <v>1022</v>
      </c>
      <c r="C202" s="832" t="s">
        <v>1029</v>
      </c>
      <c r="D202" s="833" t="s">
        <v>1566</v>
      </c>
      <c r="E202" s="834" t="s">
        <v>1034</v>
      </c>
      <c r="F202" s="832" t="s">
        <v>1023</v>
      </c>
      <c r="G202" s="832" t="s">
        <v>1176</v>
      </c>
      <c r="H202" s="832" t="s">
        <v>572</v>
      </c>
      <c r="I202" s="832" t="s">
        <v>1445</v>
      </c>
      <c r="J202" s="832" t="s">
        <v>1446</v>
      </c>
      <c r="K202" s="832" t="s">
        <v>1447</v>
      </c>
      <c r="L202" s="835">
        <v>225.06</v>
      </c>
      <c r="M202" s="835">
        <v>225.06</v>
      </c>
      <c r="N202" s="832">
        <v>1</v>
      </c>
      <c r="O202" s="836">
        <v>0.5</v>
      </c>
      <c r="P202" s="835">
        <v>225.06</v>
      </c>
      <c r="Q202" s="837">
        <v>1</v>
      </c>
      <c r="R202" s="832">
        <v>1</v>
      </c>
      <c r="S202" s="837">
        <v>1</v>
      </c>
      <c r="T202" s="836">
        <v>0.5</v>
      </c>
      <c r="U202" s="838">
        <v>1</v>
      </c>
    </row>
    <row r="203" spans="1:21" ht="14.45" customHeight="1" x14ac:dyDescent="0.2">
      <c r="A203" s="831">
        <v>9</v>
      </c>
      <c r="B203" s="832" t="s">
        <v>1022</v>
      </c>
      <c r="C203" s="832" t="s">
        <v>1029</v>
      </c>
      <c r="D203" s="833" t="s">
        <v>1566</v>
      </c>
      <c r="E203" s="834" t="s">
        <v>1034</v>
      </c>
      <c r="F203" s="832" t="s">
        <v>1023</v>
      </c>
      <c r="G203" s="832" t="s">
        <v>1111</v>
      </c>
      <c r="H203" s="832" t="s">
        <v>676</v>
      </c>
      <c r="I203" s="832" t="s">
        <v>1112</v>
      </c>
      <c r="J203" s="832" t="s">
        <v>1113</v>
      </c>
      <c r="K203" s="832" t="s">
        <v>1114</v>
      </c>
      <c r="L203" s="835">
        <v>294.81</v>
      </c>
      <c r="M203" s="835">
        <v>7075.4400000000005</v>
      </c>
      <c r="N203" s="832">
        <v>24</v>
      </c>
      <c r="O203" s="836">
        <v>5.5</v>
      </c>
      <c r="P203" s="835">
        <v>6191.01</v>
      </c>
      <c r="Q203" s="837">
        <v>0.875</v>
      </c>
      <c r="R203" s="832">
        <v>21</v>
      </c>
      <c r="S203" s="837">
        <v>0.875</v>
      </c>
      <c r="T203" s="836">
        <v>4.5</v>
      </c>
      <c r="U203" s="838">
        <v>0.81818181818181823</v>
      </c>
    </row>
    <row r="204" spans="1:21" ht="14.45" customHeight="1" x14ac:dyDescent="0.2">
      <c r="A204" s="831">
        <v>9</v>
      </c>
      <c r="B204" s="832" t="s">
        <v>1022</v>
      </c>
      <c r="C204" s="832" t="s">
        <v>1029</v>
      </c>
      <c r="D204" s="833" t="s">
        <v>1566</v>
      </c>
      <c r="E204" s="834" t="s">
        <v>1034</v>
      </c>
      <c r="F204" s="832" t="s">
        <v>1023</v>
      </c>
      <c r="G204" s="832" t="s">
        <v>1111</v>
      </c>
      <c r="H204" s="832" t="s">
        <v>676</v>
      </c>
      <c r="I204" s="832" t="s">
        <v>1196</v>
      </c>
      <c r="J204" s="832" t="s">
        <v>1197</v>
      </c>
      <c r="K204" s="832" t="s">
        <v>1198</v>
      </c>
      <c r="L204" s="835">
        <v>2635.97</v>
      </c>
      <c r="M204" s="835">
        <v>15815.82</v>
      </c>
      <c r="N204" s="832">
        <v>6</v>
      </c>
      <c r="O204" s="836">
        <v>1</v>
      </c>
      <c r="P204" s="835">
        <v>15815.82</v>
      </c>
      <c r="Q204" s="837">
        <v>1</v>
      </c>
      <c r="R204" s="832">
        <v>6</v>
      </c>
      <c r="S204" s="837">
        <v>1</v>
      </c>
      <c r="T204" s="836">
        <v>1</v>
      </c>
      <c r="U204" s="838">
        <v>1</v>
      </c>
    </row>
    <row r="205" spans="1:21" ht="14.45" customHeight="1" x14ac:dyDescent="0.2">
      <c r="A205" s="831">
        <v>9</v>
      </c>
      <c r="B205" s="832" t="s">
        <v>1022</v>
      </c>
      <c r="C205" s="832" t="s">
        <v>1029</v>
      </c>
      <c r="D205" s="833" t="s">
        <v>1566</v>
      </c>
      <c r="E205" s="834" t="s">
        <v>1034</v>
      </c>
      <c r="F205" s="832" t="s">
        <v>1023</v>
      </c>
      <c r="G205" s="832" t="s">
        <v>1115</v>
      </c>
      <c r="H205" s="832" t="s">
        <v>572</v>
      </c>
      <c r="I205" s="832" t="s">
        <v>1448</v>
      </c>
      <c r="J205" s="832" t="s">
        <v>1117</v>
      </c>
      <c r="K205" s="832" t="s">
        <v>1118</v>
      </c>
      <c r="L205" s="835">
        <v>107.27</v>
      </c>
      <c r="M205" s="835">
        <v>321.81</v>
      </c>
      <c r="N205" s="832">
        <v>3</v>
      </c>
      <c r="O205" s="836">
        <v>1</v>
      </c>
      <c r="P205" s="835"/>
      <c r="Q205" s="837">
        <v>0</v>
      </c>
      <c r="R205" s="832"/>
      <c r="S205" s="837">
        <v>0</v>
      </c>
      <c r="T205" s="836"/>
      <c r="U205" s="838">
        <v>0</v>
      </c>
    </row>
    <row r="206" spans="1:21" ht="14.45" customHeight="1" x14ac:dyDescent="0.2">
      <c r="A206" s="831">
        <v>9</v>
      </c>
      <c r="B206" s="832" t="s">
        <v>1022</v>
      </c>
      <c r="C206" s="832" t="s">
        <v>1029</v>
      </c>
      <c r="D206" s="833" t="s">
        <v>1566</v>
      </c>
      <c r="E206" s="834" t="s">
        <v>1034</v>
      </c>
      <c r="F206" s="832" t="s">
        <v>1024</v>
      </c>
      <c r="G206" s="832" t="s">
        <v>1119</v>
      </c>
      <c r="H206" s="832" t="s">
        <v>572</v>
      </c>
      <c r="I206" s="832" t="s">
        <v>1288</v>
      </c>
      <c r="J206" s="832" t="s">
        <v>1121</v>
      </c>
      <c r="K206" s="832"/>
      <c r="L206" s="835">
        <v>0</v>
      </c>
      <c r="M206" s="835">
        <v>0</v>
      </c>
      <c r="N206" s="832">
        <v>3</v>
      </c>
      <c r="O206" s="836">
        <v>1</v>
      </c>
      <c r="P206" s="835">
        <v>0</v>
      </c>
      <c r="Q206" s="837"/>
      <c r="R206" s="832">
        <v>3</v>
      </c>
      <c r="S206" s="837">
        <v>1</v>
      </c>
      <c r="T206" s="836">
        <v>1</v>
      </c>
      <c r="U206" s="838">
        <v>1</v>
      </c>
    </row>
    <row r="207" spans="1:21" ht="14.45" customHeight="1" x14ac:dyDescent="0.2">
      <c r="A207" s="831">
        <v>9</v>
      </c>
      <c r="B207" s="832" t="s">
        <v>1022</v>
      </c>
      <c r="C207" s="832" t="s">
        <v>1029</v>
      </c>
      <c r="D207" s="833" t="s">
        <v>1566</v>
      </c>
      <c r="E207" s="834" t="s">
        <v>1034</v>
      </c>
      <c r="F207" s="832" t="s">
        <v>1025</v>
      </c>
      <c r="G207" s="832" t="s">
        <v>1119</v>
      </c>
      <c r="H207" s="832" t="s">
        <v>572</v>
      </c>
      <c r="I207" s="832" t="s">
        <v>1218</v>
      </c>
      <c r="J207" s="832" t="s">
        <v>1121</v>
      </c>
      <c r="K207" s="832"/>
      <c r="L207" s="835">
        <v>0</v>
      </c>
      <c r="M207" s="835">
        <v>0</v>
      </c>
      <c r="N207" s="832">
        <v>387</v>
      </c>
      <c r="O207" s="836">
        <v>36</v>
      </c>
      <c r="P207" s="835"/>
      <c r="Q207" s="837"/>
      <c r="R207" s="832"/>
      <c r="S207" s="837">
        <v>0</v>
      </c>
      <c r="T207" s="836"/>
      <c r="U207" s="838">
        <v>0</v>
      </c>
    </row>
    <row r="208" spans="1:21" ht="14.45" customHeight="1" x14ac:dyDescent="0.2">
      <c r="A208" s="831">
        <v>9</v>
      </c>
      <c r="B208" s="832" t="s">
        <v>1022</v>
      </c>
      <c r="C208" s="832" t="s">
        <v>1029</v>
      </c>
      <c r="D208" s="833" t="s">
        <v>1566</v>
      </c>
      <c r="E208" s="834" t="s">
        <v>1034</v>
      </c>
      <c r="F208" s="832" t="s">
        <v>1025</v>
      </c>
      <c r="G208" s="832" t="s">
        <v>1119</v>
      </c>
      <c r="H208" s="832" t="s">
        <v>572</v>
      </c>
      <c r="I208" s="832" t="s">
        <v>1232</v>
      </c>
      <c r="J208" s="832" t="s">
        <v>1121</v>
      </c>
      <c r="K208" s="832"/>
      <c r="L208" s="835">
        <v>1485</v>
      </c>
      <c r="M208" s="835">
        <v>13365</v>
      </c>
      <c r="N208" s="832">
        <v>9</v>
      </c>
      <c r="O208" s="836">
        <v>4</v>
      </c>
      <c r="P208" s="835"/>
      <c r="Q208" s="837">
        <v>0</v>
      </c>
      <c r="R208" s="832"/>
      <c r="S208" s="837">
        <v>0</v>
      </c>
      <c r="T208" s="836"/>
      <c r="U208" s="838">
        <v>0</v>
      </c>
    </row>
    <row r="209" spans="1:21" ht="14.45" customHeight="1" x14ac:dyDescent="0.2">
      <c r="A209" s="831">
        <v>9</v>
      </c>
      <c r="B209" s="832" t="s">
        <v>1022</v>
      </c>
      <c r="C209" s="832" t="s">
        <v>1029</v>
      </c>
      <c r="D209" s="833" t="s">
        <v>1566</v>
      </c>
      <c r="E209" s="834" t="s">
        <v>1034</v>
      </c>
      <c r="F209" s="832" t="s">
        <v>1025</v>
      </c>
      <c r="G209" s="832" t="s">
        <v>1119</v>
      </c>
      <c r="H209" s="832" t="s">
        <v>572</v>
      </c>
      <c r="I209" s="832" t="s">
        <v>1449</v>
      </c>
      <c r="J209" s="832" t="s">
        <v>1121</v>
      </c>
      <c r="K209" s="832"/>
      <c r="L209" s="835">
        <v>1485</v>
      </c>
      <c r="M209" s="835">
        <v>2970</v>
      </c>
      <c r="N209" s="832">
        <v>2</v>
      </c>
      <c r="O209" s="836">
        <v>1</v>
      </c>
      <c r="P209" s="835"/>
      <c r="Q209" s="837">
        <v>0</v>
      </c>
      <c r="R209" s="832"/>
      <c r="S209" s="837">
        <v>0</v>
      </c>
      <c r="T209" s="836"/>
      <c r="U209" s="838">
        <v>0</v>
      </c>
    </row>
    <row r="210" spans="1:21" ht="14.45" customHeight="1" x14ac:dyDescent="0.2">
      <c r="A210" s="831">
        <v>9</v>
      </c>
      <c r="B210" s="832" t="s">
        <v>1022</v>
      </c>
      <c r="C210" s="832" t="s">
        <v>1029</v>
      </c>
      <c r="D210" s="833" t="s">
        <v>1566</v>
      </c>
      <c r="E210" s="834" t="s">
        <v>1034</v>
      </c>
      <c r="F210" s="832" t="s">
        <v>1025</v>
      </c>
      <c r="G210" s="832" t="s">
        <v>1119</v>
      </c>
      <c r="H210" s="832" t="s">
        <v>572</v>
      </c>
      <c r="I210" s="832" t="s">
        <v>1228</v>
      </c>
      <c r="J210" s="832" t="s">
        <v>1121</v>
      </c>
      <c r="K210" s="832"/>
      <c r="L210" s="835">
        <v>29.3</v>
      </c>
      <c r="M210" s="835">
        <v>2930</v>
      </c>
      <c r="N210" s="832">
        <v>100</v>
      </c>
      <c r="O210" s="836">
        <v>1</v>
      </c>
      <c r="P210" s="835"/>
      <c r="Q210" s="837">
        <v>0</v>
      </c>
      <c r="R210" s="832"/>
      <c r="S210" s="837">
        <v>0</v>
      </c>
      <c r="T210" s="836"/>
      <c r="U210" s="838">
        <v>0</v>
      </c>
    </row>
    <row r="211" spans="1:21" ht="14.45" customHeight="1" x14ac:dyDescent="0.2">
      <c r="A211" s="831">
        <v>9</v>
      </c>
      <c r="B211" s="832" t="s">
        <v>1022</v>
      </c>
      <c r="C211" s="832" t="s">
        <v>1029</v>
      </c>
      <c r="D211" s="833" t="s">
        <v>1566</v>
      </c>
      <c r="E211" s="834" t="s">
        <v>1034</v>
      </c>
      <c r="F211" s="832" t="s">
        <v>1025</v>
      </c>
      <c r="G211" s="832" t="s">
        <v>1450</v>
      </c>
      <c r="H211" s="832" t="s">
        <v>572</v>
      </c>
      <c r="I211" s="832" t="s">
        <v>1451</v>
      </c>
      <c r="J211" s="832" t="s">
        <v>1452</v>
      </c>
      <c r="K211" s="832" t="s">
        <v>1453</v>
      </c>
      <c r="L211" s="835">
        <v>600</v>
      </c>
      <c r="M211" s="835">
        <v>3600</v>
      </c>
      <c r="N211" s="832">
        <v>6</v>
      </c>
      <c r="O211" s="836">
        <v>4</v>
      </c>
      <c r="P211" s="835"/>
      <c r="Q211" s="837">
        <v>0</v>
      </c>
      <c r="R211" s="832"/>
      <c r="S211" s="837">
        <v>0</v>
      </c>
      <c r="T211" s="836"/>
      <c r="U211" s="838">
        <v>0</v>
      </c>
    </row>
    <row r="212" spans="1:21" ht="14.45" customHeight="1" x14ac:dyDescent="0.2">
      <c r="A212" s="831">
        <v>9</v>
      </c>
      <c r="B212" s="832" t="s">
        <v>1022</v>
      </c>
      <c r="C212" s="832" t="s">
        <v>1029</v>
      </c>
      <c r="D212" s="833" t="s">
        <v>1566</v>
      </c>
      <c r="E212" s="834" t="s">
        <v>1034</v>
      </c>
      <c r="F212" s="832" t="s">
        <v>1025</v>
      </c>
      <c r="G212" s="832" t="s">
        <v>1454</v>
      </c>
      <c r="H212" s="832" t="s">
        <v>572</v>
      </c>
      <c r="I212" s="832" t="s">
        <v>1455</v>
      </c>
      <c r="J212" s="832" t="s">
        <v>1456</v>
      </c>
      <c r="K212" s="832" t="s">
        <v>1457</v>
      </c>
      <c r="L212" s="835">
        <v>173.96</v>
      </c>
      <c r="M212" s="835">
        <v>1565.6399999999999</v>
      </c>
      <c r="N212" s="832">
        <v>9</v>
      </c>
      <c r="O212" s="836">
        <v>3</v>
      </c>
      <c r="P212" s="835"/>
      <c r="Q212" s="837">
        <v>0</v>
      </c>
      <c r="R212" s="832"/>
      <c r="S212" s="837">
        <v>0</v>
      </c>
      <c r="T212" s="836"/>
      <c r="U212" s="838">
        <v>0</v>
      </c>
    </row>
    <row r="213" spans="1:21" ht="14.45" customHeight="1" x14ac:dyDescent="0.2">
      <c r="A213" s="831">
        <v>9</v>
      </c>
      <c r="B213" s="832" t="s">
        <v>1022</v>
      </c>
      <c r="C213" s="832" t="s">
        <v>1029</v>
      </c>
      <c r="D213" s="833" t="s">
        <v>1566</v>
      </c>
      <c r="E213" s="834" t="s">
        <v>1034</v>
      </c>
      <c r="F213" s="832" t="s">
        <v>1025</v>
      </c>
      <c r="G213" s="832" t="s">
        <v>1454</v>
      </c>
      <c r="H213" s="832" t="s">
        <v>572</v>
      </c>
      <c r="I213" s="832" t="s">
        <v>1458</v>
      </c>
      <c r="J213" s="832" t="s">
        <v>1459</v>
      </c>
      <c r="K213" s="832" t="s">
        <v>1460</v>
      </c>
      <c r="L213" s="835">
        <v>1</v>
      </c>
      <c r="M213" s="835">
        <v>1</v>
      </c>
      <c r="N213" s="832">
        <v>1</v>
      </c>
      <c r="O213" s="836">
        <v>1</v>
      </c>
      <c r="P213" s="835"/>
      <c r="Q213" s="837">
        <v>0</v>
      </c>
      <c r="R213" s="832"/>
      <c r="S213" s="837">
        <v>0</v>
      </c>
      <c r="T213" s="836"/>
      <c r="U213" s="838">
        <v>0</v>
      </c>
    </row>
    <row r="214" spans="1:21" ht="14.45" customHeight="1" x14ac:dyDescent="0.2">
      <c r="A214" s="831">
        <v>9</v>
      </c>
      <c r="B214" s="832" t="s">
        <v>1022</v>
      </c>
      <c r="C214" s="832" t="s">
        <v>1029</v>
      </c>
      <c r="D214" s="833" t="s">
        <v>1566</v>
      </c>
      <c r="E214" s="834" t="s">
        <v>1034</v>
      </c>
      <c r="F214" s="832" t="s">
        <v>1025</v>
      </c>
      <c r="G214" s="832" t="s">
        <v>1454</v>
      </c>
      <c r="H214" s="832" t="s">
        <v>572</v>
      </c>
      <c r="I214" s="832" t="s">
        <v>1461</v>
      </c>
      <c r="J214" s="832" t="s">
        <v>1462</v>
      </c>
      <c r="K214" s="832" t="s">
        <v>1463</v>
      </c>
      <c r="L214" s="835">
        <v>125.4</v>
      </c>
      <c r="M214" s="835">
        <v>1254</v>
      </c>
      <c r="N214" s="832">
        <v>10</v>
      </c>
      <c r="O214" s="836">
        <v>1</v>
      </c>
      <c r="P214" s="835"/>
      <c r="Q214" s="837">
        <v>0</v>
      </c>
      <c r="R214" s="832"/>
      <c r="S214" s="837">
        <v>0</v>
      </c>
      <c r="T214" s="836"/>
      <c r="U214" s="838">
        <v>0</v>
      </c>
    </row>
    <row r="215" spans="1:21" ht="14.45" customHeight="1" x14ac:dyDescent="0.2">
      <c r="A215" s="831">
        <v>9</v>
      </c>
      <c r="B215" s="832" t="s">
        <v>1022</v>
      </c>
      <c r="C215" s="832" t="s">
        <v>1029</v>
      </c>
      <c r="D215" s="833" t="s">
        <v>1566</v>
      </c>
      <c r="E215" s="834" t="s">
        <v>1034</v>
      </c>
      <c r="F215" s="832" t="s">
        <v>1025</v>
      </c>
      <c r="G215" s="832" t="s">
        <v>1454</v>
      </c>
      <c r="H215" s="832" t="s">
        <v>572</v>
      </c>
      <c r="I215" s="832" t="s">
        <v>1464</v>
      </c>
      <c r="J215" s="832" t="s">
        <v>1465</v>
      </c>
      <c r="K215" s="832" t="s">
        <v>1466</v>
      </c>
      <c r="L215" s="835">
        <v>194.32</v>
      </c>
      <c r="M215" s="835">
        <v>1165.92</v>
      </c>
      <c r="N215" s="832">
        <v>6</v>
      </c>
      <c r="O215" s="836">
        <v>2</v>
      </c>
      <c r="P215" s="835"/>
      <c r="Q215" s="837">
        <v>0</v>
      </c>
      <c r="R215" s="832"/>
      <c r="S215" s="837">
        <v>0</v>
      </c>
      <c r="T215" s="836"/>
      <c r="U215" s="838">
        <v>0</v>
      </c>
    </row>
    <row r="216" spans="1:21" ht="14.45" customHeight="1" x14ac:dyDescent="0.2">
      <c r="A216" s="831">
        <v>9</v>
      </c>
      <c r="B216" s="832" t="s">
        <v>1022</v>
      </c>
      <c r="C216" s="832" t="s">
        <v>1029</v>
      </c>
      <c r="D216" s="833" t="s">
        <v>1566</v>
      </c>
      <c r="E216" s="834" t="s">
        <v>1034</v>
      </c>
      <c r="F216" s="832" t="s">
        <v>1025</v>
      </c>
      <c r="G216" s="832" t="s">
        <v>1454</v>
      </c>
      <c r="H216" s="832" t="s">
        <v>572</v>
      </c>
      <c r="I216" s="832" t="s">
        <v>1467</v>
      </c>
      <c r="J216" s="832" t="s">
        <v>1459</v>
      </c>
      <c r="K216" s="832" t="s">
        <v>1468</v>
      </c>
      <c r="L216" s="835">
        <v>112.5</v>
      </c>
      <c r="M216" s="835">
        <v>225</v>
      </c>
      <c r="N216" s="832">
        <v>2</v>
      </c>
      <c r="O216" s="836">
        <v>1</v>
      </c>
      <c r="P216" s="835"/>
      <c r="Q216" s="837">
        <v>0</v>
      </c>
      <c r="R216" s="832"/>
      <c r="S216" s="837">
        <v>0</v>
      </c>
      <c r="T216" s="836"/>
      <c r="U216" s="838">
        <v>0</v>
      </c>
    </row>
    <row r="217" spans="1:21" ht="14.45" customHeight="1" x14ac:dyDescent="0.2">
      <c r="A217" s="831">
        <v>9</v>
      </c>
      <c r="B217" s="832" t="s">
        <v>1022</v>
      </c>
      <c r="C217" s="832" t="s">
        <v>1029</v>
      </c>
      <c r="D217" s="833" t="s">
        <v>1566</v>
      </c>
      <c r="E217" s="834" t="s">
        <v>1034</v>
      </c>
      <c r="F217" s="832" t="s">
        <v>1025</v>
      </c>
      <c r="G217" s="832" t="s">
        <v>1454</v>
      </c>
      <c r="H217" s="832" t="s">
        <v>572</v>
      </c>
      <c r="I217" s="832" t="s">
        <v>1469</v>
      </c>
      <c r="J217" s="832" t="s">
        <v>1470</v>
      </c>
      <c r="K217" s="832" t="s">
        <v>1471</v>
      </c>
      <c r="L217" s="835">
        <v>146.66</v>
      </c>
      <c r="M217" s="835">
        <v>1026.6199999999999</v>
      </c>
      <c r="N217" s="832">
        <v>7</v>
      </c>
      <c r="O217" s="836">
        <v>2</v>
      </c>
      <c r="P217" s="835"/>
      <c r="Q217" s="837">
        <v>0</v>
      </c>
      <c r="R217" s="832"/>
      <c r="S217" s="837">
        <v>0</v>
      </c>
      <c r="T217" s="836"/>
      <c r="U217" s="838">
        <v>0</v>
      </c>
    </row>
    <row r="218" spans="1:21" ht="14.45" customHeight="1" x14ac:dyDescent="0.2">
      <c r="A218" s="831">
        <v>9</v>
      </c>
      <c r="B218" s="832" t="s">
        <v>1022</v>
      </c>
      <c r="C218" s="832" t="s">
        <v>1029</v>
      </c>
      <c r="D218" s="833" t="s">
        <v>1566</v>
      </c>
      <c r="E218" s="834" t="s">
        <v>1034</v>
      </c>
      <c r="F218" s="832" t="s">
        <v>1025</v>
      </c>
      <c r="G218" s="832" t="s">
        <v>1454</v>
      </c>
      <c r="H218" s="832" t="s">
        <v>572</v>
      </c>
      <c r="I218" s="832" t="s">
        <v>1472</v>
      </c>
      <c r="J218" s="832" t="s">
        <v>1473</v>
      </c>
      <c r="K218" s="832" t="s">
        <v>1474</v>
      </c>
      <c r="L218" s="835">
        <v>41</v>
      </c>
      <c r="M218" s="835">
        <v>246</v>
      </c>
      <c r="N218" s="832">
        <v>6</v>
      </c>
      <c r="O218" s="836">
        <v>3</v>
      </c>
      <c r="P218" s="835">
        <v>82</v>
      </c>
      <c r="Q218" s="837">
        <v>0.33333333333333331</v>
      </c>
      <c r="R218" s="832">
        <v>2</v>
      </c>
      <c r="S218" s="837">
        <v>0.33333333333333331</v>
      </c>
      <c r="T218" s="836">
        <v>1</v>
      </c>
      <c r="U218" s="838">
        <v>0.33333333333333331</v>
      </c>
    </row>
    <row r="219" spans="1:21" ht="14.45" customHeight="1" x14ac:dyDescent="0.2">
      <c r="A219" s="831">
        <v>9</v>
      </c>
      <c r="B219" s="832" t="s">
        <v>1022</v>
      </c>
      <c r="C219" s="832" t="s">
        <v>1029</v>
      </c>
      <c r="D219" s="833" t="s">
        <v>1566</v>
      </c>
      <c r="E219" s="834" t="s">
        <v>1034</v>
      </c>
      <c r="F219" s="832" t="s">
        <v>1025</v>
      </c>
      <c r="G219" s="832" t="s">
        <v>1454</v>
      </c>
      <c r="H219" s="832" t="s">
        <v>572</v>
      </c>
      <c r="I219" s="832" t="s">
        <v>1475</v>
      </c>
      <c r="J219" s="832" t="s">
        <v>1473</v>
      </c>
      <c r="K219" s="832" t="s">
        <v>1476</v>
      </c>
      <c r="L219" s="835">
        <v>25</v>
      </c>
      <c r="M219" s="835">
        <v>25</v>
      </c>
      <c r="N219" s="832">
        <v>1</v>
      </c>
      <c r="O219" s="836">
        <v>1</v>
      </c>
      <c r="P219" s="835"/>
      <c r="Q219" s="837">
        <v>0</v>
      </c>
      <c r="R219" s="832"/>
      <c r="S219" s="837">
        <v>0</v>
      </c>
      <c r="T219" s="836"/>
      <c r="U219" s="838">
        <v>0</v>
      </c>
    </row>
    <row r="220" spans="1:21" ht="14.45" customHeight="1" x14ac:dyDescent="0.2">
      <c r="A220" s="831">
        <v>9</v>
      </c>
      <c r="B220" s="832" t="s">
        <v>1022</v>
      </c>
      <c r="C220" s="832" t="s">
        <v>1029</v>
      </c>
      <c r="D220" s="833" t="s">
        <v>1566</v>
      </c>
      <c r="E220" s="834" t="s">
        <v>1034</v>
      </c>
      <c r="F220" s="832" t="s">
        <v>1025</v>
      </c>
      <c r="G220" s="832" t="s">
        <v>1477</v>
      </c>
      <c r="H220" s="832" t="s">
        <v>572</v>
      </c>
      <c r="I220" s="832" t="s">
        <v>1478</v>
      </c>
      <c r="J220" s="832" t="s">
        <v>1479</v>
      </c>
      <c r="K220" s="832" t="s">
        <v>1480</v>
      </c>
      <c r="L220" s="835">
        <v>16.940000000000001</v>
      </c>
      <c r="M220" s="835">
        <v>508.20000000000005</v>
      </c>
      <c r="N220" s="832">
        <v>30</v>
      </c>
      <c r="O220" s="836">
        <v>2</v>
      </c>
      <c r="P220" s="835"/>
      <c r="Q220" s="837">
        <v>0</v>
      </c>
      <c r="R220" s="832"/>
      <c r="S220" s="837">
        <v>0</v>
      </c>
      <c r="T220" s="836"/>
      <c r="U220" s="838">
        <v>0</v>
      </c>
    </row>
    <row r="221" spans="1:21" ht="14.45" customHeight="1" x14ac:dyDescent="0.2">
      <c r="A221" s="831">
        <v>9</v>
      </c>
      <c r="B221" s="832" t="s">
        <v>1022</v>
      </c>
      <c r="C221" s="832" t="s">
        <v>1029</v>
      </c>
      <c r="D221" s="833" t="s">
        <v>1566</v>
      </c>
      <c r="E221" s="834" t="s">
        <v>1034</v>
      </c>
      <c r="F221" s="832" t="s">
        <v>1025</v>
      </c>
      <c r="G221" s="832" t="s">
        <v>1231</v>
      </c>
      <c r="H221" s="832" t="s">
        <v>572</v>
      </c>
      <c r="I221" s="832" t="s">
        <v>1232</v>
      </c>
      <c r="J221" s="832" t="s">
        <v>1121</v>
      </c>
      <c r="K221" s="832"/>
      <c r="L221" s="835">
        <v>1485</v>
      </c>
      <c r="M221" s="835">
        <v>2970</v>
      </c>
      <c r="N221" s="832">
        <v>2</v>
      </c>
      <c r="O221" s="836">
        <v>1</v>
      </c>
      <c r="P221" s="835"/>
      <c r="Q221" s="837">
        <v>0</v>
      </c>
      <c r="R221" s="832"/>
      <c r="S221" s="837">
        <v>0</v>
      </c>
      <c r="T221" s="836"/>
      <c r="U221" s="838">
        <v>0</v>
      </c>
    </row>
    <row r="222" spans="1:21" ht="14.45" customHeight="1" x14ac:dyDescent="0.2">
      <c r="A222" s="831">
        <v>9</v>
      </c>
      <c r="B222" s="832" t="s">
        <v>1022</v>
      </c>
      <c r="C222" s="832" t="s">
        <v>1029</v>
      </c>
      <c r="D222" s="833" t="s">
        <v>1566</v>
      </c>
      <c r="E222" s="834" t="s">
        <v>1034</v>
      </c>
      <c r="F222" s="832" t="s">
        <v>1025</v>
      </c>
      <c r="G222" s="832" t="s">
        <v>1231</v>
      </c>
      <c r="H222" s="832" t="s">
        <v>572</v>
      </c>
      <c r="I222" s="832" t="s">
        <v>1481</v>
      </c>
      <c r="J222" s="832" t="s">
        <v>1121</v>
      </c>
      <c r="K222" s="832"/>
      <c r="L222" s="835">
        <v>1485</v>
      </c>
      <c r="M222" s="835">
        <v>1485</v>
      </c>
      <c r="N222" s="832">
        <v>1</v>
      </c>
      <c r="O222" s="836">
        <v>1</v>
      </c>
      <c r="P222" s="835"/>
      <c r="Q222" s="837">
        <v>0</v>
      </c>
      <c r="R222" s="832"/>
      <c r="S222" s="837">
        <v>0</v>
      </c>
      <c r="T222" s="836"/>
      <c r="U222" s="838">
        <v>0</v>
      </c>
    </row>
    <row r="223" spans="1:21" ht="14.45" customHeight="1" x14ac:dyDescent="0.2">
      <c r="A223" s="831">
        <v>9</v>
      </c>
      <c r="B223" s="832" t="s">
        <v>1022</v>
      </c>
      <c r="C223" s="832" t="s">
        <v>1029</v>
      </c>
      <c r="D223" s="833" t="s">
        <v>1566</v>
      </c>
      <c r="E223" s="834" t="s">
        <v>1034</v>
      </c>
      <c r="F223" s="832" t="s">
        <v>1025</v>
      </c>
      <c r="G223" s="832" t="s">
        <v>1231</v>
      </c>
      <c r="H223" s="832" t="s">
        <v>572</v>
      </c>
      <c r="I223" s="832" t="s">
        <v>1482</v>
      </c>
      <c r="J223" s="832" t="s">
        <v>1483</v>
      </c>
      <c r="K223" s="832" t="s">
        <v>1484</v>
      </c>
      <c r="L223" s="835">
        <v>296.89999999999998</v>
      </c>
      <c r="M223" s="835">
        <v>22267.5</v>
      </c>
      <c r="N223" s="832">
        <v>75</v>
      </c>
      <c r="O223" s="836">
        <v>7</v>
      </c>
      <c r="P223" s="835">
        <v>2969</v>
      </c>
      <c r="Q223" s="837">
        <v>0.13333333333333333</v>
      </c>
      <c r="R223" s="832">
        <v>10</v>
      </c>
      <c r="S223" s="837">
        <v>0.13333333333333333</v>
      </c>
      <c r="T223" s="836">
        <v>1</v>
      </c>
      <c r="U223" s="838">
        <v>0.14285714285714285</v>
      </c>
    </row>
    <row r="224" spans="1:21" ht="14.45" customHeight="1" x14ac:dyDescent="0.2">
      <c r="A224" s="831">
        <v>9</v>
      </c>
      <c r="B224" s="832" t="s">
        <v>1022</v>
      </c>
      <c r="C224" s="832" t="s">
        <v>1029</v>
      </c>
      <c r="D224" s="833" t="s">
        <v>1566</v>
      </c>
      <c r="E224" s="834" t="s">
        <v>1034</v>
      </c>
      <c r="F224" s="832" t="s">
        <v>1025</v>
      </c>
      <c r="G224" s="832" t="s">
        <v>1231</v>
      </c>
      <c r="H224" s="832" t="s">
        <v>572</v>
      </c>
      <c r="I224" s="832" t="s">
        <v>1485</v>
      </c>
      <c r="J224" s="832" t="s">
        <v>1483</v>
      </c>
      <c r="K224" s="832" t="s">
        <v>1486</v>
      </c>
      <c r="L224" s="835">
        <v>296.89999999999998</v>
      </c>
      <c r="M224" s="835">
        <v>3265.9</v>
      </c>
      <c r="N224" s="832">
        <v>11</v>
      </c>
      <c r="O224" s="836">
        <v>2</v>
      </c>
      <c r="P224" s="835">
        <v>296.89999999999998</v>
      </c>
      <c r="Q224" s="837">
        <v>9.0909090909090898E-2</v>
      </c>
      <c r="R224" s="832">
        <v>1</v>
      </c>
      <c r="S224" s="837">
        <v>9.0909090909090912E-2</v>
      </c>
      <c r="T224" s="836">
        <v>1</v>
      </c>
      <c r="U224" s="838">
        <v>0.5</v>
      </c>
    </row>
    <row r="225" spans="1:21" ht="14.45" customHeight="1" x14ac:dyDescent="0.2">
      <c r="A225" s="831">
        <v>9</v>
      </c>
      <c r="B225" s="832" t="s">
        <v>1022</v>
      </c>
      <c r="C225" s="832" t="s">
        <v>1029</v>
      </c>
      <c r="D225" s="833" t="s">
        <v>1566</v>
      </c>
      <c r="E225" s="834" t="s">
        <v>1044</v>
      </c>
      <c r="F225" s="832" t="s">
        <v>1023</v>
      </c>
      <c r="G225" s="832" t="s">
        <v>1239</v>
      </c>
      <c r="H225" s="832" t="s">
        <v>572</v>
      </c>
      <c r="I225" s="832" t="s">
        <v>1240</v>
      </c>
      <c r="J225" s="832" t="s">
        <v>1241</v>
      </c>
      <c r="K225" s="832" t="s">
        <v>1242</v>
      </c>
      <c r="L225" s="835">
        <v>29.39</v>
      </c>
      <c r="M225" s="835">
        <v>29.39</v>
      </c>
      <c r="N225" s="832">
        <v>1</v>
      </c>
      <c r="O225" s="836">
        <v>1</v>
      </c>
      <c r="P225" s="835">
        <v>29.39</v>
      </c>
      <c r="Q225" s="837">
        <v>1</v>
      </c>
      <c r="R225" s="832">
        <v>1</v>
      </c>
      <c r="S225" s="837">
        <v>1</v>
      </c>
      <c r="T225" s="836">
        <v>1</v>
      </c>
      <c r="U225" s="838">
        <v>1</v>
      </c>
    </row>
    <row r="226" spans="1:21" ht="14.45" customHeight="1" x14ac:dyDescent="0.2">
      <c r="A226" s="831">
        <v>9</v>
      </c>
      <c r="B226" s="832" t="s">
        <v>1022</v>
      </c>
      <c r="C226" s="832" t="s">
        <v>1029</v>
      </c>
      <c r="D226" s="833" t="s">
        <v>1566</v>
      </c>
      <c r="E226" s="834" t="s">
        <v>1044</v>
      </c>
      <c r="F226" s="832" t="s">
        <v>1023</v>
      </c>
      <c r="G226" s="832" t="s">
        <v>1487</v>
      </c>
      <c r="H226" s="832" t="s">
        <v>572</v>
      </c>
      <c r="I226" s="832" t="s">
        <v>1488</v>
      </c>
      <c r="J226" s="832" t="s">
        <v>1489</v>
      </c>
      <c r="K226" s="832" t="s">
        <v>1490</v>
      </c>
      <c r="L226" s="835">
        <v>0</v>
      </c>
      <c r="M226" s="835">
        <v>0</v>
      </c>
      <c r="N226" s="832">
        <v>1</v>
      </c>
      <c r="O226" s="836">
        <v>1</v>
      </c>
      <c r="P226" s="835"/>
      <c r="Q226" s="837"/>
      <c r="R226" s="832"/>
      <c r="S226" s="837">
        <v>0</v>
      </c>
      <c r="T226" s="836"/>
      <c r="U226" s="838">
        <v>0</v>
      </c>
    </row>
    <row r="227" spans="1:21" ht="14.45" customHeight="1" x14ac:dyDescent="0.2">
      <c r="A227" s="831">
        <v>9</v>
      </c>
      <c r="B227" s="832" t="s">
        <v>1022</v>
      </c>
      <c r="C227" s="832" t="s">
        <v>1029</v>
      </c>
      <c r="D227" s="833" t="s">
        <v>1566</v>
      </c>
      <c r="E227" s="834" t="s">
        <v>1044</v>
      </c>
      <c r="F227" s="832" t="s">
        <v>1023</v>
      </c>
      <c r="G227" s="832" t="s">
        <v>1247</v>
      </c>
      <c r="H227" s="832" t="s">
        <v>572</v>
      </c>
      <c r="I227" s="832" t="s">
        <v>1491</v>
      </c>
      <c r="J227" s="832" t="s">
        <v>669</v>
      </c>
      <c r="K227" s="832" t="s">
        <v>1492</v>
      </c>
      <c r="L227" s="835">
        <v>89.91</v>
      </c>
      <c r="M227" s="835">
        <v>89.91</v>
      </c>
      <c r="N227" s="832">
        <v>1</v>
      </c>
      <c r="O227" s="836">
        <v>1</v>
      </c>
      <c r="P227" s="835"/>
      <c r="Q227" s="837">
        <v>0</v>
      </c>
      <c r="R227" s="832"/>
      <c r="S227" s="837">
        <v>0</v>
      </c>
      <c r="T227" s="836"/>
      <c r="U227" s="838">
        <v>0</v>
      </c>
    </row>
    <row r="228" spans="1:21" ht="14.45" customHeight="1" x14ac:dyDescent="0.2">
      <c r="A228" s="831">
        <v>9</v>
      </c>
      <c r="B228" s="832" t="s">
        <v>1022</v>
      </c>
      <c r="C228" s="832" t="s">
        <v>1029</v>
      </c>
      <c r="D228" s="833" t="s">
        <v>1566</v>
      </c>
      <c r="E228" s="834" t="s">
        <v>1044</v>
      </c>
      <c r="F228" s="832" t="s">
        <v>1023</v>
      </c>
      <c r="G228" s="832" t="s">
        <v>1266</v>
      </c>
      <c r="H228" s="832" t="s">
        <v>572</v>
      </c>
      <c r="I228" s="832" t="s">
        <v>1493</v>
      </c>
      <c r="J228" s="832" t="s">
        <v>1306</v>
      </c>
      <c r="K228" s="832" t="s">
        <v>1494</v>
      </c>
      <c r="L228" s="835">
        <v>87.67</v>
      </c>
      <c r="M228" s="835">
        <v>87.67</v>
      </c>
      <c r="N228" s="832">
        <v>1</v>
      </c>
      <c r="O228" s="836">
        <v>1</v>
      </c>
      <c r="P228" s="835">
        <v>87.67</v>
      </c>
      <c r="Q228" s="837">
        <v>1</v>
      </c>
      <c r="R228" s="832">
        <v>1</v>
      </c>
      <c r="S228" s="837">
        <v>1</v>
      </c>
      <c r="T228" s="836">
        <v>1</v>
      </c>
      <c r="U228" s="838">
        <v>1</v>
      </c>
    </row>
    <row r="229" spans="1:21" ht="14.45" customHeight="1" x14ac:dyDescent="0.2">
      <c r="A229" s="831">
        <v>9</v>
      </c>
      <c r="B229" s="832" t="s">
        <v>1022</v>
      </c>
      <c r="C229" s="832" t="s">
        <v>1029</v>
      </c>
      <c r="D229" s="833" t="s">
        <v>1566</v>
      </c>
      <c r="E229" s="834" t="s">
        <v>1044</v>
      </c>
      <c r="F229" s="832" t="s">
        <v>1023</v>
      </c>
      <c r="G229" s="832" t="s">
        <v>1100</v>
      </c>
      <c r="H229" s="832" t="s">
        <v>572</v>
      </c>
      <c r="I229" s="832" t="s">
        <v>1101</v>
      </c>
      <c r="J229" s="832" t="s">
        <v>681</v>
      </c>
      <c r="K229" s="832" t="s">
        <v>1102</v>
      </c>
      <c r="L229" s="835">
        <v>33.71</v>
      </c>
      <c r="M229" s="835">
        <v>269.68</v>
      </c>
      <c r="N229" s="832">
        <v>8</v>
      </c>
      <c r="O229" s="836">
        <v>7</v>
      </c>
      <c r="P229" s="835">
        <v>168.55</v>
      </c>
      <c r="Q229" s="837">
        <v>0.625</v>
      </c>
      <c r="R229" s="832">
        <v>5</v>
      </c>
      <c r="S229" s="837">
        <v>0.625</v>
      </c>
      <c r="T229" s="836">
        <v>4</v>
      </c>
      <c r="U229" s="838">
        <v>0.5714285714285714</v>
      </c>
    </row>
    <row r="230" spans="1:21" ht="14.45" customHeight="1" x14ac:dyDescent="0.2">
      <c r="A230" s="831">
        <v>9</v>
      </c>
      <c r="B230" s="832" t="s">
        <v>1022</v>
      </c>
      <c r="C230" s="832" t="s">
        <v>1029</v>
      </c>
      <c r="D230" s="833" t="s">
        <v>1566</v>
      </c>
      <c r="E230" s="834" t="s">
        <v>1044</v>
      </c>
      <c r="F230" s="832" t="s">
        <v>1023</v>
      </c>
      <c r="G230" s="832" t="s">
        <v>1495</v>
      </c>
      <c r="H230" s="832" t="s">
        <v>572</v>
      </c>
      <c r="I230" s="832" t="s">
        <v>1496</v>
      </c>
      <c r="J230" s="832" t="s">
        <v>1497</v>
      </c>
      <c r="K230" s="832" t="s">
        <v>1498</v>
      </c>
      <c r="L230" s="835">
        <v>0</v>
      </c>
      <c r="M230" s="835">
        <v>0</v>
      </c>
      <c r="N230" s="832">
        <v>2</v>
      </c>
      <c r="O230" s="836">
        <v>1</v>
      </c>
      <c r="P230" s="835">
        <v>0</v>
      </c>
      <c r="Q230" s="837"/>
      <c r="R230" s="832">
        <v>2</v>
      </c>
      <c r="S230" s="837">
        <v>1</v>
      </c>
      <c r="T230" s="836">
        <v>1</v>
      </c>
      <c r="U230" s="838">
        <v>1</v>
      </c>
    </row>
    <row r="231" spans="1:21" ht="14.45" customHeight="1" x14ac:dyDescent="0.2">
      <c r="A231" s="831">
        <v>9</v>
      </c>
      <c r="B231" s="832" t="s">
        <v>1022</v>
      </c>
      <c r="C231" s="832" t="s">
        <v>1029</v>
      </c>
      <c r="D231" s="833" t="s">
        <v>1566</v>
      </c>
      <c r="E231" s="834" t="s">
        <v>1044</v>
      </c>
      <c r="F231" s="832" t="s">
        <v>1023</v>
      </c>
      <c r="G231" s="832" t="s">
        <v>1111</v>
      </c>
      <c r="H231" s="832" t="s">
        <v>676</v>
      </c>
      <c r="I231" s="832" t="s">
        <v>1112</v>
      </c>
      <c r="J231" s="832" t="s">
        <v>1113</v>
      </c>
      <c r="K231" s="832" t="s">
        <v>1114</v>
      </c>
      <c r="L231" s="835">
        <v>294.81</v>
      </c>
      <c r="M231" s="835">
        <v>3537.7200000000003</v>
      </c>
      <c r="N231" s="832">
        <v>12</v>
      </c>
      <c r="O231" s="836">
        <v>4</v>
      </c>
      <c r="P231" s="835">
        <v>1768.8600000000001</v>
      </c>
      <c r="Q231" s="837">
        <v>0.5</v>
      </c>
      <c r="R231" s="832">
        <v>6</v>
      </c>
      <c r="S231" s="837">
        <v>0.5</v>
      </c>
      <c r="T231" s="836">
        <v>2</v>
      </c>
      <c r="U231" s="838">
        <v>0.5</v>
      </c>
    </row>
    <row r="232" spans="1:21" ht="14.45" customHeight="1" x14ac:dyDescent="0.2">
      <c r="A232" s="831">
        <v>9</v>
      </c>
      <c r="B232" s="832" t="s">
        <v>1022</v>
      </c>
      <c r="C232" s="832" t="s">
        <v>1029</v>
      </c>
      <c r="D232" s="833" t="s">
        <v>1566</v>
      </c>
      <c r="E232" s="834" t="s">
        <v>1044</v>
      </c>
      <c r="F232" s="832" t="s">
        <v>1023</v>
      </c>
      <c r="G232" s="832" t="s">
        <v>1111</v>
      </c>
      <c r="H232" s="832" t="s">
        <v>676</v>
      </c>
      <c r="I232" s="832" t="s">
        <v>1196</v>
      </c>
      <c r="J232" s="832" t="s">
        <v>1197</v>
      </c>
      <c r="K232" s="832" t="s">
        <v>1198</v>
      </c>
      <c r="L232" s="835">
        <v>2635.97</v>
      </c>
      <c r="M232" s="835">
        <v>15815.82</v>
      </c>
      <c r="N232" s="832">
        <v>6</v>
      </c>
      <c r="O232" s="836">
        <v>1</v>
      </c>
      <c r="P232" s="835">
        <v>15815.82</v>
      </c>
      <c r="Q232" s="837">
        <v>1</v>
      </c>
      <c r="R232" s="832">
        <v>6</v>
      </c>
      <c r="S232" s="837">
        <v>1</v>
      </c>
      <c r="T232" s="836">
        <v>1</v>
      </c>
      <c r="U232" s="838">
        <v>1</v>
      </c>
    </row>
    <row r="233" spans="1:21" ht="14.45" customHeight="1" x14ac:dyDescent="0.2">
      <c r="A233" s="831">
        <v>9</v>
      </c>
      <c r="B233" s="832" t="s">
        <v>1022</v>
      </c>
      <c r="C233" s="832" t="s">
        <v>1029</v>
      </c>
      <c r="D233" s="833" t="s">
        <v>1566</v>
      </c>
      <c r="E233" s="834" t="s">
        <v>1044</v>
      </c>
      <c r="F233" s="832" t="s">
        <v>1024</v>
      </c>
      <c r="G233" s="832" t="s">
        <v>1119</v>
      </c>
      <c r="H233" s="832" t="s">
        <v>572</v>
      </c>
      <c r="I233" s="832" t="s">
        <v>1285</v>
      </c>
      <c r="J233" s="832" t="s">
        <v>1121</v>
      </c>
      <c r="K233" s="832"/>
      <c r="L233" s="835">
        <v>0</v>
      </c>
      <c r="M233" s="835">
        <v>0</v>
      </c>
      <c r="N233" s="832">
        <v>1</v>
      </c>
      <c r="O233" s="836">
        <v>1</v>
      </c>
      <c r="P233" s="835">
        <v>0</v>
      </c>
      <c r="Q233" s="837"/>
      <c r="R233" s="832">
        <v>1</v>
      </c>
      <c r="S233" s="837">
        <v>1</v>
      </c>
      <c r="T233" s="836">
        <v>1</v>
      </c>
      <c r="U233" s="838">
        <v>1</v>
      </c>
    </row>
    <row r="234" spans="1:21" ht="14.45" customHeight="1" x14ac:dyDescent="0.2">
      <c r="A234" s="831">
        <v>9</v>
      </c>
      <c r="B234" s="832" t="s">
        <v>1022</v>
      </c>
      <c r="C234" s="832" t="s">
        <v>1029</v>
      </c>
      <c r="D234" s="833" t="s">
        <v>1566</v>
      </c>
      <c r="E234" s="834" t="s">
        <v>1042</v>
      </c>
      <c r="F234" s="832" t="s">
        <v>1023</v>
      </c>
      <c r="G234" s="832" t="s">
        <v>1499</v>
      </c>
      <c r="H234" s="832" t="s">
        <v>572</v>
      </c>
      <c r="I234" s="832" t="s">
        <v>1500</v>
      </c>
      <c r="J234" s="832" t="s">
        <v>1501</v>
      </c>
      <c r="K234" s="832" t="s">
        <v>1502</v>
      </c>
      <c r="L234" s="835">
        <v>42.05</v>
      </c>
      <c r="M234" s="835">
        <v>42.05</v>
      </c>
      <c r="N234" s="832">
        <v>1</v>
      </c>
      <c r="O234" s="836">
        <v>1</v>
      </c>
      <c r="P234" s="835">
        <v>42.05</v>
      </c>
      <c r="Q234" s="837">
        <v>1</v>
      </c>
      <c r="R234" s="832">
        <v>1</v>
      </c>
      <c r="S234" s="837">
        <v>1</v>
      </c>
      <c r="T234" s="836">
        <v>1</v>
      </c>
      <c r="U234" s="838">
        <v>1</v>
      </c>
    </row>
    <row r="235" spans="1:21" ht="14.45" customHeight="1" x14ac:dyDescent="0.2">
      <c r="A235" s="831">
        <v>9</v>
      </c>
      <c r="B235" s="832" t="s">
        <v>1022</v>
      </c>
      <c r="C235" s="832" t="s">
        <v>1029</v>
      </c>
      <c r="D235" s="833" t="s">
        <v>1566</v>
      </c>
      <c r="E235" s="834" t="s">
        <v>1042</v>
      </c>
      <c r="F235" s="832" t="s">
        <v>1023</v>
      </c>
      <c r="G235" s="832" t="s">
        <v>1326</v>
      </c>
      <c r="H235" s="832" t="s">
        <v>572</v>
      </c>
      <c r="I235" s="832" t="s">
        <v>1327</v>
      </c>
      <c r="J235" s="832" t="s">
        <v>712</v>
      </c>
      <c r="K235" s="832" t="s">
        <v>1328</v>
      </c>
      <c r="L235" s="835">
        <v>368.16</v>
      </c>
      <c r="M235" s="835">
        <v>368.16</v>
      </c>
      <c r="N235" s="832">
        <v>1</v>
      </c>
      <c r="O235" s="836">
        <v>1</v>
      </c>
      <c r="P235" s="835">
        <v>368.16</v>
      </c>
      <c r="Q235" s="837">
        <v>1</v>
      </c>
      <c r="R235" s="832">
        <v>1</v>
      </c>
      <c r="S235" s="837">
        <v>1</v>
      </c>
      <c r="T235" s="836">
        <v>1</v>
      </c>
      <c r="U235" s="838">
        <v>1</v>
      </c>
    </row>
    <row r="236" spans="1:21" ht="14.45" customHeight="1" x14ac:dyDescent="0.2">
      <c r="A236" s="831">
        <v>9</v>
      </c>
      <c r="B236" s="832" t="s">
        <v>1022</v>
      </c>
      <c r="C236" s="832" t="s">
        <v>1029</v>
      </c>
      <c r="D236" s="833" t="s">
        <v>1566</v>
      </c>
      <c r="E236" s="834" t="s">
        <v>1042</v>
      </c>
      <c r="F236" s="832" t="s">
        <v>1023</v>
      </c>
      <c r="G236" s="832" t="s">
        <v>1243</v>
      </c>
      <c r="H236" s="832" t="s">
        <v>572</v>
      </c>
      <c r="I236" s="832" t="s">
        <v>1244</v>
      </c>
      <c r="J236" s="832" t="s">
        <v>625</v>
      </c>
      <c r="K236" s="832" t="s">
        <v>626</v>
      </c>
      <c r="L236" s="835">
        <v>105.63</v>
      </c>
      <c r="M236" s="835">
        <v>316.89</v>
      </c>
      <c r="N236" s="832">
        <v>3</v>
      </c>
      <c r="O236" s="836">
        <v>1.5</v>
      </c>
      <c r="P236" s="835">
        <v>211.26</v>
      </c>
      <c r="Q236" s="837">
        <v>0.66666666666666663</v>
      </c>
      <c r="R236" s="832">
        <v>2</v>
      </c>
      <c r="S236" s="837">
        <v>0.66666666666666663</v>
      </c>
      <c r="T236" s="836">
        <v>1</v>
      </c>
      <c r="U236" s="838">
        <v>0.66666666666666663</v>
      </c>
    </row>
    <row r="237" spans="1:21" ht="14.45" customHeight="1" x14ac:dyDescent="0.2">
      <c r="A237" s="831">
        <v>9</v>
      </c>
      <c r="B237" s="832" t="s">
        <v>1022</v>
      </c>
      <c r="C237" s="832" t="s">
        <v>1029</v>
      </c>
      <c r="D237" s="833" t="s">
        <v>1566</v>
      </c>
      <c r="E237" s="834" t="s">
        <v>1042</v>
      </c>
      <c r="F237" s="832" t="s">
        <v>1023</v>
      </c>
      <c r="G237" s="832" t="s">
        <v>1073</v>
      </c>
      <c r="H237" s="832" t="s">
        <v>572</v>
      </c>
      <c r="I237" s="832" t="s">
        <v>1074</v>
      </c>
      <c r="J237" s="832" t="s">
        <v>651</v>
      </c>
      <c r="K237" s="832" t="s">
        <v>1075</v>
      </c>
      <c r="L237" s="835">
        <v>94.7</v>
      </c>
      <c r="M237" s="835">
        <v>473.5</v>
      </c>
      <c r="N237" s="832">
        <v>5</v>
      </c>
      <c r="O237" s="836">
        <v>3.5</v>
      </c>
      <c r="P237" s="835">
        <v>189.4</v>
      </c>
      <c r="Q237" s="837">
        <v>0.4</v>
      </c>
      <c r="R237" s="832">
        <v>2</v>
      </c>
      <c r="S237" s="837">
        <v>0.4</v>
      </c>
      <c r="T237" s="836">
        <v>1.5</v>
      </c>
      <c r="U237" s="838">
        <v>0.42857142857142855</v>
      </c>
    </row>
    <row r="238" spans="1:21" ht="14.45" customHeight="1" x14ac:dyDescent="0.2">
      <c r="A238" s="831">
        <v>9</v>
      </c>
      <c r="B238" s="832" t="s">
        <v>1022</v>
      </c>
      <c r="C238" s="832" t="s">
        <v>1029</v>
      </c>
      <c r="D238" s="833" t="s">
        <v>1566</v>
      </c>
      <c r="E238" s="834" t="s">
        <v>1042</v>
      </c>
      <c r="F238" s="832" t="s">
        <v>1023</v>
      </c>
      <c r="G238" s="832" t="s">
        <v>1084</v>
      </c>
      <c r="H238" s="832" t="s">
        <v>572</v>
      </c>
      <c r="I238" s="832" t="s">
        <v>1503</v>
      </c>
      <c r="J238" s="832" t="s">
        <v>1504</v>
      </c>
      <c r="K238" s="832" t="s">
        <v>1505</v>
      </c>
      <c r="L238" s="835">
        <v>176.32</v>
      </c>
      <c r="M238" s="835">
        <v>176.32</v>
      </c>
      <c r="N238" s="832">
        <v>1</v>
      </c>
      <c r="O238" s="836">
        <v>1</v>
      </c>
      <c r="P238" s="835">
        <v>176.32</v>
      </c>
      <c r="Q238" s="837">
        <v>1</v>
      </c>
      <c r="R238" s="832">
        <v>1</v>
      </c>
      <c r="S238" s="837">
        <v>1</v>
      </c>
      <c r="T238" s="836">
        <v>1</v>
      </c>
      <c r="U238" s="838">
        <v>1</v>
      </c>
    </row>
    <row r="239" spans="1:21" ht="14.45" customHeight="1" x14ac:dyDescent="0.2">
      <c r="A239" s="831">
        <v>9</v>
      </c>
      <c r="B239" s="832" t="s">
        <v>1022</v>
      </c>
      <c r="C239" s="832" t="s">
        <v>1029</v>
      </c>
      <c r="D239" s="833" t="s">
        <v>1566</v>
      </c>
      <c r="E239" s="834" t="s">
        <v>1042</v>
      </c>
      <c r="F239" s="832" t="s">
        <v>1023</v>
      </c>
      <c r="G239" s="832" t="s">
        <v>1422</v>
      </c>
      <c r="H239" s="832" t="s">
        <v>572</v>
      </c>
      <c r="I239" s="832" t="s">
        <v>1423</v>
      </c>
      <c r="J239" s="832" t="s">
        <v>1424</v>
      </c>
      <c r="K239" s="832" t="s">
        <v>1425</v>
      </c>
      <c r="L239" s="835">
        <v>0</v>
      </c>
      <c r="M239" s="835">
        <v>0</v>
      </c>
      <c r="N239" s="832">
        <v>1</v>
      </c>
      <c r="O239" s="836">
        <v>1</v>
      </c>
      <c r="P239" s="835">
        <v>0</v>
      </c>
      <c r="Q239" s="837"/>
      <c r="R239" s="832">
        <v>1</v>
      </c>
      <c r="S239" s="837">
        <v>1</v>
      </c>
      <c r="T239" s="836">
        <v>1</v>
      </c>
      <c r="U239" s="838">
        <v>1</v>
      </c>
    </row>
    <row r="240" spans="1:21" ht="14.45" customHeight="1" x14ac:dyDescent="0.2">
      <c r="A240" s="831">
        <v>9</v>
      </c>
      <c r="B240" s="832" t="s">
        <v>1022</v>
      </c>
      <c r="C240" s="832" t="s">
        <v>1029</v>
      </c>
      <c r="D240" s="833" t="s">
        <v>1566</v>
      </c>
      <c r="E240" s="834" t="s">
        <v>1042</v>
      </c>
      <c r="F240" s="832" t="s">
        <v>1023</v>
      </c>
      <c r="G240" s="832" t="s">
        <v>1341</v>
      </c>
      <c r="H240" s="832" t="s">
        <v>572</v>
      </c>
      <c r="I240" s="832" t="s">
        <v>1342</v>
      </c>
      <c r="J240" s="832" t="s">
        <v>1343</v>
      </c>
      <c r="K240" s="832" t="s">
        <v>1344</v>
      </c>
      <c r="L240" s="835">
        <v>127.91</v>
      </c>
      <c r="M240" s="835">
        <v>127.91</v>
      </c>
      <c r="N240" s="832">
        <v>1</v>
      </c>
      <c r="O240" s="836">
        <v>0.5</v>
      </c>
      <c r="P240" s="835">
        <v>127.91</v>
      </c>
      <c r="Q240" s="837">
        <v>1</v>
      </c>
      <c r="R240" s="832">
        <v>1</v>
      </c>
      <c r="S240" s="837">
        <v>1</v>
      </c>
      <c r="T240" s="836">
        <v>0.5</v>
      </c>
      <c r="U240" s="838">
        <v>1</v>
      </c>
    </row>
    <row r="241" spans="1:21" ht="14.45" customHeight="1" x14ac:dyDescent="0.2">
      <c r="A241" s="831">
        <v>9</v>
      </c>
      <c r="B241" s="832" t="s">
        <v>1022</v>
      </c>
      <c r="C241" s="832" t="s">
        <v>1029</v>
      </c>
      <c r="D241" s="833" t="s">
        <v>1566</v>
      </c>
      <c r="E241" s="834" t="s">
        <v>1042</v>
      </c>
      <c r="F241" s="832" t="s">
        <v>1023</v>
      </c>
      <c r="G241" s="832" t="s">
        <v>1266</v>
      </c>
      <c r="H241" s="832" t="s">
        <v>572</v>
      </c>
      <c r="I241" s="832" t="s">
        <v>1493</v>
      </c>
      <c r="J241" s="832" t="s">
        <v>1306</v>
      </c>
      <c r="K241" s="832" t="s">
        <v>1494</v>
      </c>
      <c r="L241" s="835">
        <v>87.67</v>
      </c>
      <c r="M241" s="835">
        <v>87.67</v>
      </c>
      <c r="N241" s="832">
        <v>1</v>
      </c>
      <c r="O241" s="836">
        <v>0.5</v>
      </c>
      <c r="P241" s="835">
        <v>87.67</v>
      </c>
      <c r="Q241" s="837">
        <v>1</v>
      </c>
      <c r="R241" s="832">
        <v>1</v>
      </c>
      <c r="S241" s="837">
        <v>1</v>
      </c>
      <c r="T241" s="836">
        <v>0.5</v>
      </c>
      <c r="U241" s="838">
        <v>1</v>
      </c>
    </row>
    <row r="242" spans="1:21" ht="14.45" customHeight="1" x14ac:dyDescent="0.2">
      <c r="A242" s="831">
        <v>9</v>
      </c>
      <c r="B242" s="832" t="s">
        <v>1022</v>
      </c>
      <c r="C242" s="832" t="s">
        <v>1029</v>
      </c>
      <c r="D242" s="833" t="s">
        <v>1566</v>
      </c>
      <c r="E242" s="834" t="s">
        <v>1042</v>
      </c>
      <c r="F242" s="832" t="s">
        <v>1023</v>
      </c>
      <c r="G242" s="832" t="s">
        <v>1100</v>
      </c>
      <c r="H242" s="832" t="s">
        <v>572</v>
      </c>
      <c r="I242" s="832" t="s">
        <v>1101</v>
      </c>
      <c r="J242" s="832" t="s">
        <v>681</v>
      </c>
      <c r="K242" s="832" t="s">
        <v>1102</v>
      </c>
      <c r="L242" s="835">
        <v>33.71</v>
      </c>
      <c r="M242" s="835">
        <v>202.26000000000002</v>
      </c>
      <c r="N242" s="832">
        <v>6</v>
      </c>
      <c r="O242" s="836">
        <v>4</v>
      </c>
      <c r="P242" s="835">
        <v>33.71</v>
      </c>
      <c r="Q242" s="837">
        <v>0.16666666666666666</v>
      </c>
      <c r="R242" s="832">
        <v>1</v>
      </c>
      <c r="S242" s="837">
        <v>0.16666666666666666</v>
      </c>
      <c r="T242" s="836">
        <v>1</v>
      </c>
      <c r="U242" s="838">
        <v>0.25</v>
      </c>
    </row>
    <row r="243" spans="1:21" ht="14.45" customHeight="1" x14ac:dyDescent="0.2">
      <c r="A243" s="831">
        <v>9</v>
      </c>
      <c r="B243" s="832" t="s">
        <v>1022</v>
      </c>
      <c r="C243" s="832" t="s">
        <v>1029</v>
      </c>
      <c r="D243" s="833" t="s">
        <v>1566</v>
      </c>
      <c r="E243" s="834" t="s">
        <v>1042</v>
      </c>
      <c r="F243" s="832" t="s">
        <v>1023</v>
      </c>
      <c r="G243" s="832" t="s">
        <v>1506</v>
      </c>
      <c r="H243" s="832" t="s">
        <v>572</v>
      </c>
      <c r="I243" s="832" t="s">
        <v>1507</v>
      </c>
      <c r="J243" s="832" t="s">
        <v>647</v>
      </c>
      <c r="K243" s="832" t="s">
        <v>1508</v>
      </c>
      <c r="L243" s="835">
        <v>0</v>
      </c>
      <c r="M243" s="835">
        <v>0</v>
      </c>
      <c r="N243" s="832">
        <v>1</v>
      </c>
      <c r="O243" s="836">
        <v>1</v>
      </c>
      <c r="P243" s="835"/>
      <c r="Q243" s="837"/>
      <c r="R243" s="832"/>
      <c r="S243" s="837">
        <v>0</v>
      </c>
      <c r="T243" s="836"/>
      <c r="U243" s="838">
        <v>0</v>
      </c>
    </row>
    <row r="244" spans="1:21" ht="14.45" customHeight="1" x14ac:dyDescent="0.2">
      <c r="A244" s="831">
        <v>9</v>
      </c>
      <c r="B244" s="832" t="s">
        <v>1022</v>
      </c>
      <c r="C244" s="832" t="s">
        <v>1029</v>
      </c>
      <c r="D244" s="833" t="s">
        <v>1566</v>
      </c>
      <c r="E244" s="834" t="s">
        <v>1042</v>
      </c>
      <c r="F244" s="832" t="s">
        <v>1023</v>
      </c>
      <c r="G244" s="832" t="s">
        <v>1358</v>
      </c>
      <c r="H244" s="832" t="s">
        <v>572</v>
      </c>
      <c r="I244" s="832" t="s">
        <v>1509</v>
      </c>
      <c r="J244" s="832" t="s">
        <v>1510</v>
      </c>
      <c r="K244" s="832" t="s">
        <v>1511</v>
      </c>
      <c r="L244" s="835">
        <v>60.28</v>
      </c>
      <c r="M244" s="835">
        <v>60.28</v>
      </c>
      <c r="N244" s="832">
        <v>1</v>
      </c>
      <c r="O244" s="836">
        <v>1</v>
      </c>
      <c r="P244" s="835">
        <v>60.28</v>
      </c>
      <c r="Q244" s="837">
        <v>1</v>
      </c>
      <c r="R244" s="832">
        <v>1</v>
      </c>
      <c r="S244" s="837">
        <v>1</v>
      </c>
      <c r="T244" s="836">
        <v>1</v>
      </c>
      <c r="U244" s="838">
        <v>1</v>
      </c>
    </row>
    <row r="245" spans="1:21" ht="14.45" customHeight="1" x14ac:dyDescent="0.2">
      <c r="A245" s="831">
        <v>9</v>
      </c>
      <c r="B245" s="832" t="s">
        <v>1022</v>
      </c>
      <c r="C245" s="832" t="s">
        <v>1029</v>
      </c>
      <c r="D245" s="833" t="s">
        <v>1566</v>
      </c>
      <c r="E245" s="834" t="s">
        <v>1042</v>
      </c>
      <c r="F245" s="832" t="s">
        <v>1023</v>
      </c>
      <c r="G245" s="832" t="s">
        <v>1371</v>
      </c>
      <c r="H245" s="832" t="s">
        <v>572</v>
      </c>
      <c r="I245" s="832" t="s">
        <v>1372</v>
      </c>
      <c r="J245" s="832" t="s">
        <v>671</v>
      </c>
      <c r="K245" s="832" t="s">
        <v>1373</v>
      </c>
      <c r="L245" s="835">
        <v>61.97</v>
      </c>
      <c r="M245" s="835">
        <v>61.97</v>
      </c>
      <c r="N245" s="832">
        <v>1</v>
      </c>
      <c r="O245" s="836">
        <v>1</v>
      </c>
      <c r="P245" s="835"/>
      <c r="Q245" s="837">
        <v>0</v>
      </c>
      <c r="R245" s="832"/>
      <c r="S245" s="837">
        <v>0</v>
      </c>
      <c r="T245" s="836"/>
      <c r="U245" s="838">
        <v>0</v>
      </c>
    </row>
    <row r="246" spans="1:21" ht="14.45" customHeight="1" x14ac:dyDescent="0.2">
      <c r="A246" s="831">
        <v>9</v>
      </c>
      <c r="B246" s="832" t="s">
        <v>1022</v>
      </c>
      <c r="C246" s="832" t="s">
        <v>1029</v>
      </c>
      <c r="D246" s="833" t="s">
        <v>1566</v>
      </c>
      <c r="E246" s="834" t="s">
        <v>1042</v>
      </c>
      <c r="F246" s="832" t="s">
        <v>1023</v>
      </c>
      <c r="G246" s="832" t="s">
        <v>1512</v>
      </c>
      <c r="H246" s="832" t="s">
        <v>572</v>
      </c>
      <c r="I246" s="832" t="s">
        <v>1513</v>
      </c>
      <c r="J246" s="832" t="s">
        <v>1514</v>
      </c>
      <c r="K246" s="832" t="s">
        <v>1515</v>
      </c>
      <c r="L246" s="835">
        <v>0</v>
      </c>
      <c r="M246" s="835">
        <v>0</v>
      </c>
      <c r="N246" s="832">
        <v>1</v>
      </c>
      <c r="O246" s="836">
        <v>1</v>
      </c>
      <c r="P246" s="835">
        <v>0</v>
      </c>
      <c r="Q246" s="837"/>
      <c r="R246" s="832">
        <v>1</v>
      </c>
      <c r="S246" s="837">
        <v>1</v>
      </c>
      <c r="T246" s="836">
        <v>1</v>
      </c>
      <c r="U246" s="838">
        <v>1</v>
      </c>
    </row>
    <row r="247" spans="1:21" ht="14.45" customHeight="1" x14ac:dyDescent="0.2">
      <c r="A247" s="831">
        <v>9</v>
      </c>
      <c r="B247" s="832" t="s">
        <v>1022</v>
      </c>
      <c r="C247" s="832" t="s">
        <v>1029</v>
      </c>
      <c r="D247" s="833" t="s">
        <v>1566</v>
      </c>
      <c r="E247" s="834" t="s">
        <v>1042</v>
      </c>
      <c r="F247" s="832" t="s">
        <v>1023</v>
      </c>
      <c r="G247" s="832" t="s">
        <v>1512</v>
      </c>
      <c r="H247" s="832" t="s">
        <v>572</v>
      </c>
      <c r="I247" s="832" t="s">
        <v>1516</v>
      </c>
      <c r="J247" s="832" t="s">
        <v>1514</v>
      </c>
      <c r="K247" s="832" t="s">
        <v>1517</v>
      </c>
      <c r="L247" s="835">
        <v>0</v>
      </c>
      <c r="M247" s="835">
        <v>0</v>
      </c>
      <c r="N247" s="832">
        <v>1</v>
      </c>
      <c r="O247" s="836">
        <v>1</v>
      </c>
      <c r="P247" s="835">
        <v>0</v>
      </c>
      <c r="Q247" s="837"/>
      <c r="R247" s="832">
        <v>1</v>
      </c>
      <c r="S247" s="837">
        <v>1</v>
      </c>
      <c r="T247" s="836">
        <v>1</v>
      </c>
      <c r="U247" s="838">
        <v>1</v>
      </c>
    </row>
    <row r="248" spans="1:21" ht="14.45" customHeight="1" x14ac:dyDescent="0.2">
      <c r="A248" s="831">
        <v>9</v>
      </c>
      <c r="B248" s="832" t="s">
        <v>1022</v>
      </c>
      <c r="C248" s="832" t="s">
        <v>1029</v>
      </c>
      <c r="D248" s="833" t="s">
        <v>1566</v>
      </c>
      <c r="E248" s="834" t="s">
        <v>1042</v>
      </c>
      <c r="F248" s="832" t="s">
        <v>1023</v>
      </c>
      <c r="G248" s="832" t="s">
        <v>1111</v>
      </c>
      <c r="H248" s="832" t="s">
        <v>676</v>
      </c>
      <c r="I248" s="832" t="s">
        <v>1112</v>
      </c>
      <c r="J248" s="832" t="s">
        <v>1113</v>
      </c>
      <c r="K248" s="832" t="s">
        <v>1114</v>
      </c>
      <c r="L248" s="835">
        <v>294.81</v>
      </c>
      <c r="M248" s="835">
        <v>10613.16</v>
      </c>
      <c r="N248" s="832">
        <v>36</v>
      </c>
      <c r="O248" s="836">
        <v>8</v>
      </c>
      <c r="P248" s="835">
        <v>1179.24</v>
      </c>
      <c r="Q248" s="837">
        <v>0.11111111111111112</v>
      </c>
      <c r="R248" s="832">
        <v>4</v>
      </c>
      <c r="S248" s="837">
        <v>0.1111111111111111</v>
      </c>
      <c r="T248" s="836">
        <v>0.5</v>
      </c>
      <c r="U248" s="838">
        <v>6.25E-2</v>
      </c>
    </row>
    <row r="249" spans="1:21" ht="14.45" customHeight="1" x14ac:dyDescent="0.2">
      <c r="A249" s="831">
        <v>9</v>
      </c>
      <c r="B249" s="832" t="s">
        <v>1022</v>
      </c>
      <c r="C249" s="832" t="s">
        <v>1029</v>
      </c>
      <c r="D249" s="833" t="s">
        <v>1566</v>
      </c>
      <c r="E249" s="834" t="s">
        <v>1042</v>
      </c>
      <c r="F249" s="832" t="s">
        <v>1023</v>
      </c>
      <c r="G249" s="832" t="s">
        <v>1111</v>
      </c>
      <c r="H249" s="832" t="s">
        <v>572</v>
      </c>
      <c r="I249" s="832" t="s">
        <v>1199</v>
      </c>
      <c r="J249" s="832" t="s">
        <v>755</v>
      </c>
      <c r="K249" s="832" t="s">
        <v>756</v>
      </c>
      <c r="L249" s="835">
        <v>2844.97</v>
      </c>
      <c r="M249" s="835">
        <v>2844.97</v>
      </c>
      <c r="N249" s="832">
        <v>1</v>
      </c>
      <c r="O249" s="836">
        <v>1</v>
      </c>
      <c r="P249" s="835">
        <v>2844.97</v>
      </c>
      <c r="Q249" s="837">
        <v>1</v>
      </c>
      <c r="R249" s="832">
        <v>1</v>
      </c>
      <c r="S249" s="837">
        <v>1</v>
      </c>
      <c r="T249" s="836">
        <v>1</v>
      </c>
      <c r="U249" s="838">
        <v>1</v>
      </c>
    </row>
    <row r="250" spans="1:21" ht="14.45" customHeight="1" x14ac:dyDescent="0.2">
      <c r="A250" s="831">
        <v>9</v>
      </c>
      <c r="B250" s="832" t="s">
        <v>1022</v>
      </c>
      <c r="C250" s="832" t="s">
        <v>1029</v>
      </c>
      <c r="D250" s="833" t="s">
        <v>1566</v>
      </c>
      <c r="E250" s="834" t="s">
        <v>1042</v>
      </c>
      <c r="F250" s="832" t="s">
        <v>1024</v>
      </c>
      <c r="G250" s="832" t="s">
        <v>1119</v>
      </c>
      <c r="H250" s="832" t="s">
        <v>572</v>
      </c>
      <c r="I250" s="832" t="s">
        <v>1288</v>
      </c>
      <c r="J250" s="832" t="s">
        <v>1121</v>
      </c>
      <c r="K250" s="832"/>
      <c r="L250" s="835">
        <v>0</v>
      </c>
      <c r="M250" s="835">
        <v>0</v>
      </c>
      <c r="N250" s="832">
        <v>1</v>
      </c>
      <c r="O250" s="836">
        <v>1</v>
      </c>
      <c r="P250" s="835"/>
      <c r="Q250" s="837"/>
      <c r="R250" s="832"/>
      <c r="S250" s="837">
        <v>0</v>
      </c>
      <c r="T250" s="836"/>
      <c r="U250" s="838">
        <v>0</v>
      </c>
    </row>
    <row r="251" spans="1:21" ht="14.45" customHeight="1" x14ac:dyDescent="0.2">
      <c r="A251" s="831">
        <v>9</v>
      </c>
      <c r="B251" s="832" t="s">
        <v>1022</v>
      </c>
      <c r="C251" s="832" t="s">
        <v>1029</v>
      </c>
      <c r="D251" s="833" t="s">
        <v>1566</v>
      </c>
      <c r="E251" s="834" t="s">
        <v>1042</v>
      </c>
      <c r="F251" s="832" t="s">
        <v>1025</v>
      </c>
      <c r="G251" s="832" t="s">
        <v>1119</v>
      </c>
      <c r="H251" s="832" t="s">
        <v>572</v>
      </c>
      <c r="I251" s="832" t="s">
        <v>1218</v>
      </c>
      <c r="J251" s="832" t="s">
        <v>1121</v>
      </c>
      <c r="K251" s="832"/>
      <c r="L251" s="835">
        <v>0</v>
      </c>
      <c r="M251" s="835">
        <v>0</v>
      </c>
      <c r="N251" s="832">
        <v>1</v>
      </c>
      <c r="O251" s="836">
        <v>1</v>
      </c>
      <c r="P251" s="835"/>
      <c r="Q251" s="837"/>
      <c r="R251" s="832"/>
      <c r="S251" s="837">
        <v>0</v>
      </c>
      <c r="T251" s="836"/>
      <c r="U251" s="838">
        <v>0</v>
      </c>
    </row>
    <row r="252" spans="1:21" ht="14.45" customHeight="1" x14ac:dyDescent="0.2">
      <c r="A252" s="831">
        <v>9</v>
      </c>
      <c r="B252" s="832" t="s">
        <v>1022</v>
      </c>
      <c r="C252" s="832" t="s">
        <v>1029</v>
      </c>
      <c r="D252" s="833" t="s">
        <v>1566</v>
      </c>
      <c r="E252" s="834" t="s">
        <v>1042</v>
      </c>
      <c r="F252" s="832" t="s">
        <v>1025</v>
      </c>
      <c r="G252" s="832" t="s">
        <v>1290</v>
      </c>
      <c r="H252" s="832" t="s">
        <v>572</v>
      </c>
      <c r="I252" s="832" t="s">
        <v>1291</v>
      </c>
      <c r="J252" s="832" t="s">
        <v>1292</v>
      </c>
      <c r="K252" s="832" t="s">
        <v>1293</v>
      </c>
      <c r="L252" s="835">
        <v>150</v>
      </c>
      <c r="M252" s="835">
        <v>150</v>
      </c>
      <c r="N252" s="832">
        <v>1</v>
      </c>
      <c r="O252" s="836">
        <v>1</v>
      </c>
      <c r="P252" s="835"/>
      <c r="Q252" s="837">
        <v>0</v>
      </c>
      <c r="R252" s="832"/>
      <c r="S252" s="837">
        <v>0</v>
      </c>
      <c r="T252" s="836"/>
      <c r="U252" s="838">
        <v>0</v>
      </c>
    </row>
    <row r="253" spans="1:21" ht="14.45" customHeight="1" x14ac:dyDescent="0.2">
      <c r="A253" s="831">
        <v>9</v>
      </c>
      <c r="B253" s="832" t="s">
        <v>1022</v>
      </c>
      <c r="C253" s="832" t="s">
        <v>1029</v>
      </c>
      <c r="D253" s="833" t="s">
        <v>1566</v>
      </c>
      <c r="E253" s="834" t="s">
        <v>1042</v>
      </c>
      <c r="F253" s="832" t="s">
        <v>1025</v>
      </c>
      <c r="G253" s="832" t="s">
        <v>1290</v>
      </c>
      <c r="H253" s="832" t="s">
        <v>572</v>
      </c>
      <c r="I253" s="832" t="s">
        <v>1294</v>
      </c>
      <c r="J253" s="832" t="s">
        <v>1121</v>
      </c>
      <c r="K253" s="832"/>
      <c r="L253" s="835">
        <v>60</v>
      </c>
      <c r="M253" s="835">
        <v>60</v>
      </c>
      <c r="N253" s="832">
        <v>1</v>
      </c>
      <c r="O253" s="836">
        <v>1</v>
      </c>
      <c r="P253" s="835"/>
      <c r="Q253" s="837">
        <v>0</v>
      </c>
      <c r="R253" s="832"/>
      <c r="S253" s="837">
        <v>0</v>
      </c>
      <c r="T253" s="836"/>
      <c r="U253" s="838">
        <v>0</v>
      </c>
    </row>
    <row r="254" spans="1:21" ht="14.45" customHeight="1" x14ac:dyDescent="0.2">
      <c r="A254" s="831">
        <v>9</v>
      </c>
      <c r="B254" s="832" t="s">
        <v>1022</v>
      </c>
      <c r="C254" s="832" t="s">
        <v>1029</v>
      </c>
      <c r="D254" s="833" t="s">
        <v>1566</v>
      </c>
      <c r="E254" s="834" t="s">
        <v>1040</v>
      </c>
      <c r="F254" s="832" t="s">
        <v>1023</v>
      </c>
      <c r="G254" s="832" t="s">
        <v>1518</v>
      </c>
      <c r="H254" s="832" t="s">
        <v>572</v>
      </c>
      <c r="I254" s="832" t="s">
        <v>1519</v>
      </c>
      <c r="J254" s="832" t="s">
        <v>1520</v>
      </c>
      <c r="K254" s="832" t="s">
        <v>1521</v>
      </c>
      <c r="L254" s="835">
        <v>603.72</v>
      </c>
      <c r="M254" s="835">
        <v>603.72</v>
      </c>
      <c r="N254" s="832">
        <v>1</v>
      </c>
      <c r="O254" s="836">
        <v>0.5</v>
      </c>
      <c r="P254" s="835">
        <v>603.72</v>
      </c>
      <c r="Q254" s="837">
        <v>1</v>
      </c>
      <c r="R254" s="832">
        <v>1</v>
      </c>
      <c r="S254" s="837">
        <v>1</v>
      </c>
      <c r="T254" s="836">
        <v>0.5</v>
      </c>
      <c r="U254" s="838">
        <v>1</v>
      </c>
    </row>
    <row r="255" spans="1:21" ht="14.45" customHeight="1" x14ac:dyDescent="0.2">
      <c r="A255" s="831">
        <v>9</v>
      </c>
      <c r="B255" s="832" t="s">
        <v>1022</v>
      </c>
      <c r="C255" s="832" t="s">
        <v>1029</v>
      </c>
      <c r="D255" s="833" t="s">
        <v>1566</v>
      </c>
      <c r="E255" s="834" t="s">
        <v>1040</v>
      </c>
      <c r="F255" s="832" t="s">
        <v>1023</v>
      </c>
      <c r="G255" s="832" t="s">
        <v>1522</v>
      </c>
      <c r="H255" s="832" t="s">
        <v>676</v>
      </c>
      <c r="I255" s="832" t="s">
        <v>1523</v>
      </c>
      <c r="J255" s="832" t="s">
        <v>1524</v>
      </c>
      <c r="K255" s="832" t="s">
        <v>1525</v>
      </c>
      <c r="L255" s="835">
        <v>20.83</v>
      </c>
      <c r="M255" s="835">
        <v>41.66</v>
      </c>
      <c r="N255" s="832">
        <v>2</v>
      </c>
      <c r="O255" s="836">
        <v>0.5</v>
      </c>
      <c r="P255" s="835">
        <v>41.66</v>
      </c>
      <c r="Q255" s="837">
        <v>1</v>
      </c>
      <c r="R255" s="832">
        <v>2</v>
      </c>
      <c r="S255" s="837">
        <v>1</v>
      </c>
      <c r="T255" s="836">
        <v>0.5</v>
      </c>
      <c r="U255" s="838">
        <v>1</v>
      </c>
    </row>
    <row r="256" spans="1:21" ht="14.45" customHeight="1" x14ac:dyDescent="0.2">
      <c r="A256" s="831">
        <v>9</v>
      </c>
      <c r="B256" s="832" t="s">
        <v>1022</v>
      </c>
      <c r="C256" s="832" t="s">
        <v>1029</v>
      </c>
      <c r="D256" s="833" t="s">
        <v>1566</v>
      </c>
      <c r="E256" s="834" t="s">
        <v>1040</v>
      </c>
      <c r="F256" s="832" t="s">
        <v>1023</v>
      </c>
      <c r="G256" s="832" t="s">
        <v>1526</v>
      </c>
      <c r="H256" s="832" t="s">
        <v>572</v>
      </c>
      <c r="I256" s="832" t="s">
        <v>1527</v>
      </c>
      <c r="J256" s="832" t="s">
        <v>1528</v>
      </c>
      <c r="K256" s="832" t="s">
        <v>1529</v>
      </c>
      <c r="L256" s="835">
        <v>300.33</v>
      </c>
      <c r="M256" s="835">
        <v>300.33</v>
      </c>
      <c r="N256" s="832">
        <v>1</v>
      </c>
      <c r="O256" s="836">
        <v>0.5</v>
      </c>
      <c r="P256" s="835">
        <v>300.33</v>
      </c>
      <c r="Q256" s="837">
        <v>1</v>
      </c>
      <c r="R256" s="832">
        <v>1</v>
      </c>
      <c r="S256" s="837">
        <v>1</v>
      </c>
      <c r="T256" s="836">
        <v>0.5</v>
      </c>
      <c r="U256" s="838">
        <v>1</v>
      </c>
    </row>
    <row r="257" spans="1:21" ht="14.45" customHeight="1" x14ac:dyDescent="0.2">
      <c r="A257" s="831">
        <v>9</v>
      </c>
      <c r="B257" s="832" t="s">
        <v>1022</v>
      </c>
      <c r="C257" s="832" t="s">
        <v>1029</v>
      </c>
      <c r="D257" s="833" t="s">
        <v>1566</v>
      </c>
      <c r="E257" s="834" t="s">
        <v>1040</v>
      </c>
      <c r="F257" s="832" t="s">
        <v>1023</v>
      </c>
      <c r="G257" s="832" t="s">
        <v>1526</v>
      </c>
      <c r="H257" s="832" t="s">
        <v>572</v>
      </c>
      <c r="I257" s="832" t="s">
        <v>1530</v>
      </c>
      <c r="J257" s="832" t="s">
        <v>1528</v>
      </c>
      <c r="K257" s="832" t="s">
        <v>1529</v>
      </c>
      <c r="L257" s="835">
        <v>300.33</v>
      </c>
      <c r="M257" s="835">
        <v>300.33</v>
      </c>
      <c r="N257" s="832">
        <v>1</v>
      </c>
      <c r="O257" s="836">
        <v>0.5</v>
      </c>
      <c r="P257" s="835">
        <v>300.33</v>
      </c>
      <c r="Q257" s="837">
        <v>1</v>
      </c>
      <c r="R257" s="832">
        <v>1</v>
      </c>
      <c r="S257" s="837">
        <v>1</v>
      </c>
      <c r="T257" s="836">
        <v>0.5</v>
      </c>
      <c r="U257" s="838">
        <v>1</v>
      </c>
    </row>
    <row r="258" spans="1:21" ht="14.45" customHeight="1" x14ac:dyDescent="0.2">
      <c r="A258" s="831">
        <v>9</v>
      </c>
      <c r="B258" s="832" t="s">
        <v>1022</v>
      </c>
      <c r="C258" s="832" t="s">
        <v>1029</v>
      </c>
      <c r="D258" s="833" t="s">
        <v>1566</v>
      </c>
      <c r="E258" s="834" t="s">
        <v>1040</v>
      </c>
      <c r="F258" s="832" t="s">
        <v>1023</v>
      </c>
      <c r="G258" s="832" t="s">
        <v>1531</v>
      </c>
      <c r="H258" s="832" t="s">
        <v>572</v>
      </c>
      <c r="I258" s="832" t="s">
        <v>1532</v>
      </c>
      <c r="J258" s="832" t="s">
        <v>1533</v>
      </c>
      <c r="K258" s="832" t="s">
        <v>1534</v>
      </c>
      <c r="L258" s="835">
        <v>172.82</v>
      </c>
      <c r="M258" s="835">
        <v>345.64</v>
      </c>
      <c r="N258" s="832">
        <v>2</v>
      </c>
      <c r="O258" s="836">
        <v>0.5</v>
      </c>
      <c r="P258" s="835">
        <v>345.64</v>
      </c>
      <c r="Q258" s="837">
        <v>1</v>
      </c>
      <c r="R258" s="832">
        <v>2</v>
      </c>
      <c r="S258" s="837">
        <v>1</v>
      </c>
      <c r="T258" s="836">
        <v>0.5</v>
      </c>
      <c r="U258" s="838">
        <v>1</v>
      </c>
    </row>
    <row r="259" spans="1:21" ht="14.45" customHeight="1" x14ac:dyDescent="0.2">
      <c r="A259" s="831">
        <v>9</v>
      </c>
      <c r="B259" s="832" t="s">
        <v>1022</v>
      </c>
      <c r="C259" s="832" t="s">
        <v>1029</v>
      </c>
      <c r="D259" s="833" t="s">
        <v>1566</v>
      </c>
      <c r="E259" s="834" t="s">
        <v>1040</v>
      </c>
      <c r="F259" s="832" t="s">
        <v>1023</v>
      </c>
      <c r="G259" s="832" t="s">
        <v>1535</v>
      </c>
      <c r="H259" s="832" t="s">
        <v>676</v>
      </c>
      <c r="I259" s="832" t="s">
        <v>1536</v>
      </c>
      <c r="J259" s="832" t="s">
        <v>1537</v>
      </c>
      <c r="K259" s="832" t="s">
        <v>1538</v>
      </c>
      <c r="L259" s="835">
        <v>143.09</v>
      </c>
      <c r="M259" s="835">
        <v>286.18</v>
      </c>
      <c r="N259" s="832">
        <v>2</v>
      </c>
      <c r="O259" s="836">
        <v>0.5</v>
      </c>
      <c r="P259" s="835">
        <v>286.18</v>
      </c>
      <c r="Q259" s="837">
        <v>1</v>
      </c>
      <c r="R259" s="832">
        <v>2</v>
      </c>
      <c r="S259" s="837">
        <v>1</v>
      </c>
      <c r="T259" s="836">
        <v>0.5</v>
      </c>
      <c r="U259" s="838">
        <v>1</v>
      </c>
    </row>
    <row r="260" spans="1:21" ht="14.45" customHeight="1" x14ac:dyDescent="0.2">
      <c r="A260" s="831">
        <v>9</v>
      </c>
      <c r="B260" s="832" t="s">
        <v>1022</v>
      </c>
      <c r="C260" s="832" t="s">
        <v>1029</v>
      </c>
      <c r="D260" s="833" t="s">
        <v>1566</v>
      </c>
      <c r="E260" s="834" t="s">
        <v>1040</v>
      </c>
      <c r="F260" s="832" t="s">
        <v>1023</v>
      </c>
      <c r="G260" s="832" t="s">
        <v>1539</v>
      </c>
      <c r="H260" s="832" t="s">
        <v>676</v>
      </c>
      <c r="I260" s="832" t="s">
        <v>1540</v>
      </c>
      <c r="J260" s="832" t="s">
        <v>1541</v>
      </c>
      <c r="K260" s="832" t="s">
        <v>1542</v>
      </c>
      <c r="L260" s="835">
        <v>15.9</v>
      </c>
      <c r="M260" s="835">
        <v>79.5</v>
      </c>
      <c r="N260" s="832">
        <v>5</v>
      </c>
      <c r="O260" s="836">
        <v>1.5</v>
      </c>
      <c r="P260" s="835">
        <v>79.5</v>
      </c>
      <c r="Q260" s="837">
        <v>1</v>
      </c>
      <c r="R260" s="832">
        <v>5</v>
      </c>
      <c r="S260" s="837">
        <v>1</v>
      </c>
      <c r="T260" s="836">
        <v>1.5</v>
      </c>
      <c r="U260" s="838">
        <v>1</v>
      </c>
    </row>
    <row r="261" spans="1:21" ht="14.45" customHeight="1" x14ac:dyDescent="0.2">
      <c r="A261" s="831">
        <v>9</v>
      </c>
      <c r="B261" s="832" t="s">
        <v>1022</v>
      </c>
      <c r="C261" s="832" t="s">
        <v>1029</v>
      </c>
      <c r="D261" s="833" t="s">
        <v>1566</v>
      </c>
      <c r="E261" s="834" t="s">
        <v>1040</v>
      </c>
      <c r="F261" s="832" t="s">
        <v>1023</v>
      </c>
      <c r="G261" s="832" t="s">
        <v>1543</v>
      </c>
      <c r="H261" s="832" t="s">
        <v>572</v>
      </c>
      <c r="I261" s="832" t="s">
        <v>1544</v>
      </c>
      <c r="J261" s="832" t="s">
        <v>1545</v>
      </c>
      <c r="K261" s="832" t="s">
        <v>1546</v>
      </c>
      <c r="L261" s="835">
        <v>0</v>
      </c>
      <c r="M261" s="835">
        <v>0</v>
      </c>
      <c r="N261" s="832">
        <v>1</v>
      </c>
      <c r="O261" s="836">
        <v>0.5</v>
      </c>
      <c r="P261" s="835">
        <v>0</v>
      </c>
      <c r="Q261" s="837"/>
      <c r="R261" s="832">
        <v>1</v>
      </c>
      <c r="S261" s="837">
        <v>1</v>
      </c>
      <c r="T261" s="836">
        <v>0.5</v>
      </c>
      <c r="U261" s="838">
        <v>1</v>
      </c>
    </row>
    <row r="262" spans="1:21" ht="14.45" customHeight="1" x14ac:dyDescent="0.2">
      <c r="A262" s="831">
        <v>9</v>
      </c>
      <c r="B262" s="832" t="s">
        <v>1022</v>
      </c>
      <c r="C262" s="832" t="s">
        <v>1029</v>
      </c>
      <c r="D262" s="833" t="s">
        <v>1566</v>
      </c>
      <c r="E262" s="834" t="s">
        <v>1040</v>
      </c>
      <c r="F262" s="832" t="s">
        <v>1023</v>
      </c>
      <c r="G262" s="832" t="s">
        <v>1358</v>
      </c>
      <c r="H262" s="832" t="s">
        <v>572</v>
      </c>
      <c r="I262" s="832" t="s">
        <v>1359</v>
      </c>
      <c r="J262" s="832" t="s">
        <v>1360</v>
      </c>
      <c r="K262" s="832" t="s">
        <v>1361</v>
      </c>
      <c r="L262" s="835">
        <v>42.54</v>
      </c>
      <c r="M262" s="835">
        <v>170.16</v>
      </c>
      <c r="N262" s="832">
        <v>4</v>
      </c>
      <c r="O262" s="836">
        <v>1.5</v>
      </c>
      <c r="P262" s="835">
        <v>170.16</v>
      </c>
      <c r="Q262" s="837">
        <v>1</v>
      </c>
      <c r="R262" s="832">
        <v>4</v>
      </c>
      <c r="S262" s="837">
        <v>1</v>
      </c>
      <c r="T262" s="836">
        <v>1.5</v>
      </c>
      <c r="U262" s="838">
        <v>1</v>
      </c>
    </row>
    <row r="263" spans="1:21" ht="14.45" customHeight="1" x14ac:dyDescent="0.2">
      <c r="A263" s="831">
        <v>9</v>
      </c>
      <c r="B263" s="832" t="s">
        <v>1022</v>
      </c>
      <c r="C263" s="832" t="s">
        <v>1029</v>
      </c>
      <c r="D263" s="833" t="s">
        <v>1566</v>
      </c>
      <c r="E263" s="834" t="s">
        <v>1040</v>
      </c>
      <c r="F263" s="832" t="s">
        <v>1023</v>
      </c>
      <c r="G263" s="832" t="s">
        <v>1176</v>
      </c>
      <c r="H263" s="832" t="s">
        <v>572</v>
      </c>
      <c r="I263" s="832" t="s">
        <v>1547</v>
      </c>
      <c r="J263" s="832" t="s">
        <v>1548</v>
      </c>
      <c r="K263" s="832" t="s">
        <v>1549</v>
      </c>
      <c r="L263" s="835">
        <v>111.22</v>
      </c>
      <c r="M263" s="835">
        <v>111.22</v>
      </c>
      <c r="N263" s="832">
        <v>1</v>
      </c>
      <c r="O263" s="836">
        <v>0.5</v>
      </c>
      <c r="P263" s="835">
        <v>111.22</v>
      </c>
      <c r="Q263" s="837">
        <v>1</v>
      </c>
      <c r="R263" s="832">
        <v>1</v>
      </c>
      <c r="S263" s="837">
        <v>1</v>
      </c>
      <c r="T263" s="836">
        <v>0.5</v>
      </c>
      <c r="U263" s="838">
        <v>1</v>
      </c>
    </row>
    <row r="264" spans="1:21" ht="14.45" customHeight="1" x14ac:dyDescent="0.2">
      <c r="A264" s="831">
        <v>9</v>
      </c>
      <c r="B264" s="832" t="s">
        <v>1022</v>
      </c>
      <c r="C264" s="832" t="s">
        <v>1029</v>
      </c>
      <c r="D264" s="833" t="s">
        <v>1566</v>
      </c>
      <c r="E264" s="834" t="s">
        <v>1040</v>
      </c>
      <c r="F264" s="832" t="s">
        <v>1023</v>
      </c>
      <c r="G264" s="832" t="s">
        <v>1550</v>
      </c>
      <c r="H264" s="832" t="s">
        <v>572</v>
      </c>
      <c r="I264" s="832" t="s">
        <v>1551</v>
      </c>
      <c r="J264" s="832" t="s">
        <v>1552</v>
      </c>
      <c r="K264" s="832" t="s">
        <v>1553</v>
      </c>
      <c r="L264" s="835">
        <v>414.73</v>
      </c>
      <c r="M264" s="835">
        <v>414.73</v>
      </c>
      <c r="N264" s="832">
        <v>1</v>
      </c>
      <c r="O264" s="836">
        <v>1</v>
      </c>
      <c r="P264" s="835"/>
      <c r="Q264" s="837">
        <v>0</v>
      </c>
      <c r="R264" s="832"/>
      <c r="S264" s="837">
        <v>0</v>
      </c>
      <c r="T264" s="836"/>
      <c r="U264" s="838">
        <v>0</v>
      </c>
    </row>
    <row r="265" spans="1:21" ht="14.45" customHeight="1" x14ac:dyDescent="0.2">
      <c r="A265" s="831">
        <v>9</v>
      </c>
      <c r="B265" s="832" t="s">
        <v>1022</v>
      </c>
      <c r="C265" s="832" t="s">
        <v>1029</v>
      </c>
      <c r="D265" s="833" t="s">
        <v>1566</v>
      </c>
      <c r="E265" s="834" t="s">
        <v>1035</v>
      </c>
      <c r="F265" s="832" t="s">
        <v>1023</v>
      </c>
      <c r="G265" s="832" t="s">
        <v>1554</v>
      </c>
      <c r="H265" s="832" t="s">
        <v>572</v>
      </c>
      <c r="I265" s="832" t="s">
        <v>1555</v>
      </c>
      <c r="J265" s="832" t="s">
        <v>1556</v>
      </c>
      <c r="K265" s="832" t="s">
        <v>1557</v>
      </c>
      <c r="L265" s="835">
        <v>155.69999999999999</v>
      </c>
      <c r="M265" s="835">
        <v>155.69999999999999</v>
      </c>
      <c r="N265" s="832">
        <v>1</v>
      </c>
      <c r="O265" s="836">
        <v>1</v>
      </c>
      <c r="P265" s="835">
        <v>155.69999999999999</v>
      </c>
      <c r="Q265" s="837">
        <v>1</v>
      </c>
      <c r="R265" s="832">
        <v>1</v>
      </c>
      <c r="S265" s="837">
        <v>1</v>
      </c>
      <c r="T265" s="836">
        <v>1</v>
      </c>
      <c r="U265" s="838">
        <v>1</v>
      </c>
    </row>
    <row r="266" spans="1:21" ht="14.45" customHeight="1" x14ac:dyDescent="0.2">
      <c r="A266" s="831">
        <v>9</v>
      </c>
      <c r="B266" s="832" t="s">
        <v>1022</v>
      </c>
      <c r="C266" s="832" t="s">
        <v>1029</v>
      </c>
      <c r="D266" s="833" t="s">
        <v>1566</v>
      </c>
      <c r="E266" s="834" t="s">
        <v>1035</v>
      </c>
      <c r="F266" s="832" t="s">
        <v>1023</v>
      </c>
      <c r="G266" s="832" t="s">
        <v>1558</v>
      </c>
      <c r="H266" s="832" t="s">
        <v>572</v>
      </c>
      <c r="I266" s="832" t="s">
        <v>1559</v>
      </c>
      <c r="J266" s="832" t="s">
        <v>1560</v>
      </c>
      <c r="K266" s="832" t="s">
        <v>1561</v>
      </c>
      <c r="L266" s="835">
        <v>121.76</v>
      </c>
      <c r="M266" s="835">
        <v>121.76</v>
      </c>
      <c r="N266" s="832">
        <v>1</v>
      </c>
      <c r="O266" s="836">
        <v>1</v>
      </c>
      <c r="P266" s="835"/>
      <c r="Q266" s="837">
        <v>0</v>
      </c>
      <c r="R266" s="832"/>
      <c r="S266" s="837">
        <v>0</v>
      </c>
      <c r="T266" s="836"/>
      <c r="U266" s="838">
        <v>0</v>
      </c>
    </row>
    <row r="267" spans="1:21" ht="14.45" customHeight="1" x14ac:dyDescent="0.2">
      <c r="A267" s="831">
        <v>9</v>
      </c>
      <c r="B267" s="832" t="s">
        <v>1022</v>
      </c>
      <c r="C267" s="832" t="s">
        <v>1029</v>
      </c>
      <c r="D267" s="833" t="s">
        <v>1566</v>
      </c>
      <c r="E267" s="834" t="s">
        <v>1035</v>
      </c>
      <c r="F267" s="832" t="s">
        <v>1023</v>
      </c>
      <c r="G267" s="832" t="s">
        <v>1111</v>
      </c>
      <c r="H267" s="832" t="s">
        <v>676</v>
      </c>
      <c r="I267" s="832" t="s">
        <v>1112</v>
      </c>
      <c r="J267" s="832" t="s">
        <v>1113</v>
      </c>
      <c r="K267" s="832" t="s">
        <v>1114</v>
      </c>
      <c r="L267" s="835">
        <v>294.81</v>
      </c>
      <c r="M267" s="835">
        <v>294.81</v>
      </c>
      <c r="N267" s="832">
        <v>1</v>
      </c>
      <c r="O267" s="836">
        <v>1</v>
      </c>
      <c r="P267" s="835">
        <v>294.81</v>
      </c>
      <c r="Q267" s="837">
        <v>1</v>
      </c>
      <c r="R267" s="832">
        <v>1</v>
      </c>
      <c r="S267" s="837">
        <v>1</v>
      </c>
      <c r="T267" s="836">
        <v>1</v>
      </c>
      <c r="U267" s="838">
        <v>1</v>
      </c>
    </row>
    <row r="268" spans="1:21" ht="14.45" customHeight="1" x14ac:dyDescent="0.2">
      <c r="A268" s="831">
        <v>9</v>
      </c>
      <c r="B268" s="832" t="s">
        <v>1022</v>
      </c>
      <c r="C268" s="832" t="s">
        <v>1029</v>
      </c>
      <c r="D268" s="833" t="s">
        <v>1566</v>
      </c>
      <c r="E268" s="834" t="s">
        <v>1048</v>
      </c>
      <c r="F268" s="832" t="s">
        <v>1023</v>
      </c>
      <c r="G268" s="832" t="s">
        <v>1562</v>
      </c>
      <c r="H268" s="832" t="s">
        <v>572</v>
      </c>
      <c r="I268" s="832" t="s">
        <v>1563</v>
      </c>
      <c r="J268" s="832" t="s">
        <v>1564</v>
      </c>
      <c r="K268" s="832" t="s">
        <v>1565</v>
      </c>
      <c r="L268" s="835">
        <v>590.26</v>
      </c>
      <c r="M268" s="835">
        <v>590.26</v>
      </c>
      <c r="N268" s="832">
        <v>1</v>
      </c>
      <c r="O268" s="836">
        <v>1</v>
      </c>
      <c r="P268" s="835">
        <v>590.26</v>
      </c>
      <c r="Q268" s="837">
        <v>1</v>
      </c>
      <c r="R268" s="832">
        <v>1</v>
      </c>
      <c r="S268" s="837">
        <v>1</v>
      </c>
      <c r="T268" s="836">
        <v>1</v>
      </c>
      <c r="U268" s="838">
        <v>1</v>
      </c>
    </row>
    <row r="269" spans="1:21" ht="14.45" customHeight="1" x14ac:dyDescent="0.2">
      <c r="A269" s="831">
        <v>9</v>
      </c>
      <c r="B269" s="832" t="s">
        <v>1022</v>
      </c>
      <c r="C269" s="832" t="s">
        <v>1029</v>
      </c>
      <c r="D269" s="833" t="s">
        <v>1566</v>
      </c>
      <c r="E269" s="834" t="s">
        <v>1048</v>
      </c>
      <c r="F269" s="832" t="s">
        <v>1023</v>
      </c>
      <c r="G269" s="832" t="s">
        <v>1100</v>
      </c>
      <c r="H269" s="832" t="s">
        <v>572</v>
      </c>
      <c r="I269" s="832" t="s">
        <v>1101</v>
      </c>
      <c r="J269" s="832" t="s">
        <v>681</v>
      </c>
      <c r="K269" s="832" t="s">
        <v>1102</v>
      </c>
      <c r="L269" s="835">
        <v>33.71</v>
      </c>
      <c r="M269" s="835">
        <v>33.71</v>
      </c>
      <c r="N269" s="832">
        <v>1</v>
      </c>
      <c r="O269" s="836">
        <v>1</v>
      </c>
      <c r="P269" s="835"/>
      <c r="Q269" s="837">
        <v>0</v>
      </c>
      <c r="R269" s="832"/>
      <c r="S269" s="837">
        <v>0</v>
      </c>
      <c r="T269" s="836"/>
      <c r="U269" s="838">
        <v>0</v>
      </c>
    </row>
    <row r="270" spans="1:21" ht="14.45" customHeight="1" x14ac:dyDescent="0.2">
      <c r="A270" s="831">
        <v>9</v>
      </c>
      <c r="B270" s="832" t="s">
        <v>1022</v>
      </c>
      <c r="C270" s="832" t="s">
        <v>1029</v>
      </c>
      <c r="D270" s="833" t="s">
        <v>1566</v>
      </c>
      <c r="E270" s="834" t="s">
        <v>1048</v>
      </c>
      <c r="F270" s="832" t="s">
        <v>1023</v>
      </c>
      <c r="G270" s="832" t="s">
        <v>1111</v>
      </c>
      <c r="H270" s="832" t="s">
        <v>676</v>
      </c>
      <c r="I270" s="832" t="s">
        <v>1112</v>
      </c>
      <c r="J270" s="832" t="s">
        <v>1113</v>
      </c>
      <c r="K270" s="832" t="s">
        <v>1114</v>
      </c>
      <c r="L270" s="835">
        <v>294.81</v>
      </c>
      <c r="M270" s="835">
        <v>884.43000000000006</v>
      </c>
      <c r="N270" s="832">
        <v>3</v>
      </c>
      <c r="O270" s="836">
        <v>1</v>
      </c>
      <c r="P270" s="835">
        <v>884.43000000000006</v>
      </c>
      <c r="Q270" s="837">
        <v>1</v>
      </c>
      <c r="R270" s="832">
        <v>3</v>
      </c>
      <c r="S270" s="837">
        <v>1</v>
      </c>
      <c r="T270" s="836">
        <v>1</v>
      </c>
      <c r="U270" s="838">
        <v>1</v>
      </c>
    </row>
    <row r="271" spans="1:21" ht="14.45" customHeight="1" x14ac:dyDescent="0.2">
      <c r="A271" s="831">
        <v>9</v>
      </c>
      <c r="B271" s="832" t="s">
        <v>1022</v>
      </c>
      <c r="C271" s="832" t="s">
        <v>1027</v>
      </c>
      <c r="D271" s="833" t="s">
        <v>1567</v>
      </c>
      <c r="E271" s="834" t="s">
        <v>1046</v>
      </c>
      <c r="F271" s="832" t="s">
        <v>1023</v>
      </c>
      <c r="G271" s="832" t="s">
        <v>1100</v>
      </c>
      <c r="H271" s="832" t="s">
        <v>572</v>
      </c>
      <c r="I271" s="832" t="s">
        <v>1101</v>
      </c>
      <c r="J271" s="832" t="s">
        <v>681</v>
      </c>
      <c r="K271" s="832" t="s">
        <v>1102</v>
      </c>
      <c r="L271" s="835">
        <v>33.71</v>
      </c>
      <c r="M271" s="835">
        <v>33.71</v>
      </c>
      <c r="N271" s="832">
        <v>1</v>
      </c>
      <c r="O271" s="836">
        <v>0.5</v>
      </c>
      <c r="P271" s="835">
        <v>33.71</v>
      </c>
      <c r="Q271" s="837">
        <v>1</v>
      </c>
      <c r="R271" s="832">
        <v>1</v>
      </c>
      <c r="S271" s="837">
        <v>1</v>
      </c>
      <c r="T271" s="836">
        <v>0.5</v>
      </c>
      <c r="U271" s="838">
        <v>1</v>
      </c>
    </row>
    <row r="272" spans="1:21" ht="14.45" customHeight="1" x14ac:dyDescent="0.2">
      <c r="A272" s="831">
        <v>9</v>
      </c>
      <c r="B272" s="832" t="s">
        <v>1022</v>
      </c>
      <c r="C272" s="832" t="s">
        <v>1027</v>
      </c>
      <c r="D272" s="833" t="s">
        <v>1567</v>
      </c>
      <c r="E272" s="834" t="s">
        <v>1046</v>
      </c>
      <c r="F272" s="832" t="s">
        <v>1023</v>
      </c>
      <c r="G272" s="832" t="s">
        <v>1111</v>
      </c>
      <c r="H272" s="832" t="s">
        <v>676</v>
      </c>
      <c r="I272" s="832" t="s">
        <v>1112</v>
      </c>
      <c r="J272" s="832" t="s">
        <v>1113</v>
      </c>
      <c r="K272" s="832" t="s">
        <v>1114</v>
      </c>
      <c r="L272" s="835">
        <v>294.81</v>
      </c>
      <c r="M272" s="835">
        <v>294.81</v>
      </c>
      <c r="N272" s="832">
        <v>1</v>
      </c>
      <c r="O272" s="836">
        <v>0.5</v>
      </c>
      <c r="P272" s="835">
        <v>294.81</v>
      </c>
      <c r="Q272" s="837">
        <v>1</v>
      </c>
      <c r="R272" s="832">
        <v>1</v>
      </c>
      <c r="S272" s="837">
        <v>1</v>
      </c>
      <c r="T272" s="836">
        <v>0.5</v>
      </c>
      <c r="U272" s="838">
        <v>1</v>
      </c>
    </row>
    <row r="273" spans="1:21" ht="14.45" customHeight="1" x14ac:dyDescent="0.2">
      <c r="A273" s="831">
        <v>9</v>
      </c>
      <c r="B273" s="832" t="s">
        <v>1022</v>
      </c>
      <c r="C273" s="832" t="s">
        <v>1027</v>
      </c>
      <c r="D273" s="833" t="s">
        <v>1567</v>
      </c>
      <c r="E273" s="834" t="s">
        <v>1046</v>
      </c>
      <c r="F273" s="832" t="s">
        <v>1024</v>
      </c>
      <c r="G273" s="832" t="s">
        <v>1119</v>
      </c>
      <c r="H273" s="832" t="s">
        <v>572</v>
      </c>
      <c r="I273" s="832" t="s">
        <v>1285</v>
      </c>
      <c r="J273" s="832" t="s">
        <v>1121</v>
      </c>
      <c r="K273" s="832"/>
      <c r="L273" s="835">
        <v>0</v>
      </c>
      <c r="M273" s="835">
        <v>0</v>
      </c>
      <c r="N273" s="832">
        <v>1</v>
      </c>
      <c r="O273" s="836">
        <v>1</v>
      </c>
      <c r="P273" s="835">
        <v>0</v>
      </c>
      <c r="Q273" s="837"/>
      <c r="R273" s="832">
        <v>1</v>
      </c>
      <c r="S273" s="837">
        <v>1</v>
      </c>
      <c r="T273" s="836">
        <v>1</v>
      </c>
      <c r="U273" s="838">
        <v>1</v>
      </c>
    </row>
    <row r="274" spans="1:21" ht="14.45" customHeight="1" x14ac:dyDescent="0.2">
      <c r="A274" s="831">
        <v>9</v>
      </c>
      <c r="B274" s="832" t="s">
        <v>1022</v>
      </c>
      <c r="C274" s="832" t="s">
        <v>1027</v>
      </c>
      <c r="D274" s="833" t="s">
        <v>1567</v>
      </c>
      <c r="E274" s="834" t="s">
        <v>1044</v>
      </c>
      <c r="F274" s="832" t="s">
        <v>1023</v>
      </c>
      <c r="G274" s="832" t="s">
        <v>1100</v>
      </c>
      <c r="H274" s="832" t="s">
        <v>572</v>
      </c>
      <c r="I274" s="832" t="s">
        <v>1101</v>
      </c>
      <c r="J274" s="832" t="s">
        <v>681</v>
      </c>
      <c r="K274" s="832" t="s">
        <v>1102</v>
      </c>
      <c r="L274" s="835">
        <v>33.71</v>
      </c>
      <c r="M274" s="835">
        <v>33.71</v>
      </c>
      <c r="N274" s="832">
        <v>1</v>
      </c>
      <c r="O274" s="836">
        <v>1</v>
      </c>
      <c r="P274" s="835">
        <v>33.71</v>
      </c>
      <c r="Q274" s="837">
        <v>1</v>
      </c>
      <c r="R274" s="832">
        <v>1</v>
      </c>
      <c r="S274" s="837">
        <v>1</v>
      </c>
      <c r="T274" s="836">
        <v>1</v>
      </c>
      <c r="U274" s="838">
        <v>1</v>
      </c>
    </row>
    <row r="275" spans="1:21" ht="14.45" customHeight="1" x14ac:dyDescent="0.2">
      <c r="A275" s="831">
        <v>9</v>
      </c>
      <c r="B275" s="832" t="s">
        <v>1022</v>
      </c>
      <c r="C275" s="832" t="s">
        <v>1027</v>
      </c>
      <c r="D275" s="833" t="s">
        <v>1567</v>
      </c>
      <c r="E275" s="834" t="s">
        <v>1042</v>
      </c>
      <c r="F275" s="832" t="s">
        <v>1023</v>
      </c>
      <c r="G275" s="832" t="s">
        <v>1243</v>
      </c>
      <c r="H275" s="832" t="s">
        <v>572</v>
      </c>
      <c r="I275" s="832" t="s">
        <v>1244</v>
      </c>
      <c r="J275" s="832" t="s">
        <v>625</v>
      </c>
      <c r="K275" s="832" t="s">
        <v>626</v>
      </c>
      <c r="L275" s="835">
        <v>105.63</v>
      </c>
      <c r="M275" s="835">
        <v>105.63</v>
      </c>
      <c r="N275" s="832">
        <v>1</v>
      </c>
      <c r="O275" s="836">
        <v>1</v>
      </c>
      <c r="P275" s="835">
        <v>105.63</v>
      </c>
      <c r="Q275" s="837">
        <v>1</v>
      </c>
      <c r="R275" s="832">
        <v>1</v>
      </c>
      <c r="S275" s="837">
        <v>1</v>
      </c>
      <c r="T275" s="836">
        <v>1</v>
      </c>
      <c r="U275" s="838">
        <v>1</v>
      </c>
    </row>
    <row r="276" spans="1:21" ht="14.45" customHeight="1" x14ac:dyDescent="0.2">
      <c r="A276" s="831">
        <v>9</v>
      </c>
      <c r="B276" s="832" t="s">
        <v>1022</v>
      </c>
      <c r="C276" s="832" t="s">
        <v>1027</v>
      </c>
      <c r="D276" s="833" t="s">
        <v>1567</v>
      </c>
      <c r="E276" s="834" t="s">
        <v>1042</v>
      </c>
      <c r="F276" s="832" t="s">
        <v>1023</v>
      </c>
      <c r="G276" s="832" t="s">
        <v>1073</v>
      </c>
      <c r="H276" s="832" t="s">
        <v>572</v>
      </c>
      <c r="I276" s="832" t="s">
        <v>1074</v>
      </c>
      <c r="J276" s="832" t="s">
        <v>651</v>
      </c>
      <c r="K276" s="832" t="s">
        <v>1075</v>
      </c>
      <c r="L276" s="835">
        <v>94.7</v>
      </c>
      <c r="M276" s="835">
        <v>94.7</v>
      </c>
      <c r="N276" s="832">
        <v>1</v>
      </c>
      <c r="O276" s="836">
        <v>0.5</v>
      </c>
      <c r="P276" s="835">
        <v>94.7</v>
      </c>
      <c r="Q276" s="837">
        <v>1</v>
      </c>
      <c r="R276" s="832">
        <v>1</v>
      </c>
      <c r="S276" s="837">
        <v>1</v>
      </c>
      <c r="T276" s="836">
        <v>0.5</v>
      </c>
      <c r="U276" s="838">
        <v>1</v>
      </c>
    </row>
    <row r="277" spans="1:21" ht="14.45" customHeight="1" thickBot="1" x14ac:dyDescent="0.25">
      <c r="A277" s="839">
        <v>9</v>
      </c>
      <c r="B277" s="840" t="s">
        <v>1022</v>
      </c>
      <c r="C277" s="840" t="s">
        <v>1027</v>
      </c>
      <c r="D277" s="841" t="s">
        <v>1567</v>
      </c>
      <c r="E277" s="842" t="s">
        <v>1042</v>
      </c>
      <c r="F277" s="840" t="s">
        <v>1023</v>
      </c>
      <c r="G277" s="840" t="s">
        <v>1100</v>
      </c>
      <c r="H277" s="840" t="s">
        <v>572</v>
      </c>
      <c r="I277" s="840" t="s">
        <v>1101</v>
      </c>
      <c r="J277" s="840" t="s">
        <v>681</v>
      </c>
      <c r="K277" s="840" t="s">
        <v>1102</v>
      </c>
      <c r="L277" s="843">
        <v>33.71</v>
      </c>
      <c r="M277" s="843">
        <v>33.71</v>
      </c>
      <c r="N277" s="840">
        <v>1</v>
      </c>
      <c r="O277" s="844">
        <v>0.5</v>
      </c>
      <c r="P277" s="843">
        <v>33.71</v>
      </c>
      <c r="Q277" s="845">
        <v>1</v>
      </c>
      <c r="R277" s="840">
        <v>1</v>
      </c>
      <c r="S277" s="845">
        <v>1</v>
      </c>
      <c r="T277" s="844">
        <v>0.5</v>
      </c>
      <c r="U277" s="846">
        <v>1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D184A939-0C2A-4C3D-B0BC-6CACA9B36DDA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41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247" customWidth="1"/>
    <col min="2" max="2" width="10" style="329" customWidth="1"/>
    <col min="3" max="3" width="5.5703125" style="332" customWidth="1"/>
    <col min="4" max="4" width="10" style="329" customWidth="1"/>
    <col min="5" max="5" width="5.5703125" style="332" customWidth="1"/>
    <col min="6" max="6" width="10" style="329" customWidth="1"/>
    <col min="7" max="7" width="8.85546875" style="247" customWidth="1"/>
    <col min="8" max="16384" width="8.85546875" style="247"/>
  </cols>
  <sheetData>
    <row r="1" spans="1:6" ht="37.9" customHeight="1" thickBot="1" x14ac:dyDescent="0.35">
      <c r="A1" s="550" t="s">
        <v>1569</v>
      </c>
      <c r="B1" s="551"/>
      <c r="C1" s="551"/>
      <c r="D1" s="551"/>
      <c r="E1" s="551"/>
      <c r="F1" s="551"/>
    </row>
    <row r="2" spans="1:6" ht="14.45" customHeight="1" thickBot="1" x14ac:dyDescent="0.25">
      <c r="A2" s="371" t="s">
        <v>328</v>
      </c>
      <c r="B2" s="67"/>
      <c r="C2" s="68"/>
      <c r="D2" s="69"/>
      <c r="E2" s="68"/>
      <c r="F2" s="69"/>
    </row>
    <row r="3" spans="1:6" ht="14.45" customHeight="1" thickBot="1" x14ac:dyDescent="0.25">
      <c r="A3" s="205"/>
      <c r="B3" s="552" t="s">
        <v>160</v>
      </c>
      <c r="C3" s="553"/>
      <c r="D3" s="554" t="s">
        <v>159</v>
      </c>
      <c r="E3" s="553"/>
      <c r="F3" s="105" t="s">
        <v>3</v>
      </c>
    </row>
    <row r="4" spans="1:6" ht="14.45" customHeight="1" thickBot="1" x14ac:dyDescent="0.25">
      <c r="A4" s="847" t="s">
        <v>209</v>
      </c>
      <c r="B4" s="762" t="s">
        <v>14</v>
      </c>
      <c r="C4" s="763" t="s">
        <v>2</v>
      </c>
      <c r="D4" s="762" t="s">
        <v>14</v>
      </c>
      <c r="E4" s="763" t="s">
        <v>2</v>
      </c>
      <c r="F4" s="764" t="s">
        <v>14</v>
      </c>
    </row>
    <row r="5" spans="1:6" ht="14.45" customHeight="1" x14ac:dyDescent="0.2">
      <c r="A5" s="856" t="s">
        <v>1040</v>
      </c>
      <c r="B5" s="225">
        <v>1661.24</v>
      </c>
      <c r="C5" s="830">
        <v>0.80308230766999589</v>
      </c>
      <c r="D5" s="225">
        <v>407.34000000000003</v>
      </c>
      <c r="E5" s="830">
        <v>0.19691769233000417</v>
      </c>
      <c r="F5" s="848">
        <v>2068.58</v>
      </c>
    </row>
    <row r="6" spans="1:6" ht="14.45" customHeight="1" x14ac:dyDescent="0.2">
      <c r="A6" s="857" t="s">
        <v>1038</v>
      </c>
      <c r="B6" s="849">
        <v>1501.0700000000002</v>
      </c>
      <c r="C6" s="837">
        <v>8.4640606018777289E-3</v>
      </c>
      <c r="D6" s="849">
        <v>175845.24999999997</v>
      </c>
      <c r="E6" s="837">
        <v>0.99153593939812223</v>
      </c>
      <c r="F6" s="850">
        <v>177346.31999999998</v>
      </c>
    </row>
    <row r="7" spans="1:6" ht="14.45" customHeight="1" x14ac:dyDescent="0.2">
      <c r="A7" s="857" t="s">
        <v>1036</v>
      </c>
      <c r="B7" s="849">
        <v>1397.3400000000001</v>
      </c>
      <c r="C7" s="837">
        <v>0.16178927587680145</v>
      </c>
      <c r="D7" s="849">
        <v>7239.45</v>
      </c>
      <c r="E7" s="837">
        <v>0.83821072412319841</v>
      </c>
      <c r="F7" s="850">
        <v>8636.7900000000009</v>
      </c>
    </row>
    <row r="8" spans="1:6" ht="14.45" customHeight="1" x14ac:dyDescent="0.2">
      <c r="A8" s="857" t="s">
        <v>1043</v>
      </c>
      <c r="B8" s="849">
        <v>959.31</v>
      </c>
      <c r="C8" s="837">
        <v>3.9128149246820546E-3</v>
      </c>
      <c r="D8" s="849">
        <v>244212.01000000004</v>
      </c>
      <c r="E8" s="837">
        <v>0.9960871850753179</v>
      </c>
      <c r="F8" s="850">
        <v>245171.32000000004</v>
      </c>
    </row>
    <row r="9" spans="1:6" ht="14.45" customHeight="1" x14ac:dyDescent="0.2">
      <c r="A9" s="857" t="s">
        <v>1035</v>
      </c>
      <c r="B9" s="849">
        <v>155.69999999999999</v>
      </c>
      <c r="C9" s="837">
        <v>0.34560831058134112</v>
      </c>
      <c r="D9" s="849">
        <v>294.81</v>
      </c>
      <c r="E9" s="837">
        <v>0.65439168941865888</v>
      </c>
      <c r="F9" s="850">
        <v>450.51</v>
      </c>
    </row>
    <row r="10" spans="1:6" ht="14.45" customHeight="1" x14ac:dyDescent="0.2">
      <c r="A10" s="857" t="s">
        <v>1044</v>
      </c>
      <c r="B10" s="849"/>
      <c r="C10" s="837">
        <v>0</v>
      </c>
      <c r="D10" s="849">
        <v>19353.54</v>
      </c>
      <c r="E10" s="837">
        <v>1</v>
      </c>
      <c r="F10" s="850">
        <v>19353.54</v>
      </c>
    </row>
    <row r="11" spans="1:6" ht="14.45" customHeight="1" x14ac:dyDescent="0.2">
      <c r="A11" s="857" t="s">
        <v>1034</v>
      </c>
      <c r="B11" s="849"/>
      <c r="C11" s="837">
        <v>0</v>
      </c>
      <c r="D11" s="849">
        <v>23174.23</v>
      </c>
      <c r="E11" s="837">
        <v>1</v>
      </c>
      <c r="F11" s="850">
        <v>23174.23</v>
      </c>
    </row>
    <row r="12" spans="1:6" ht="14.45" customHeight="1" x14ac:dyDescent="0.2">
      <c r="A12" s="857" t="s">
        <v>1045</v>
      </c>
      <c r="B12" s="849"/>
      <c r="C12" s="837">
        <v>0</v>
      </c>
      <c r="D12" s="849">
        <v>1687.1000000000001</v>
      </c>
      <c r="E12" s="837">
        <v>1</v>
      </c>
      <c r="F12" s="850">
        <v>1687.1000000000001</v>
      </c>
    </row>
    <row r="13" spans="1:6" ht="14.45" customHeight="1" x14ac:dyDescent="0.2">
      <c r="A13" s="857" t="s">
        <v>1041</v>
      </c>
      <c r="B13" s="849"/>
      <c r="C13" s="837">
        <v>0</v>
      </c>
      <c r="D13" s="849">
        <v>1768.8600000000001</v>
      </c>
      <c r="E13" s="837">
        <v>1</v>
      </c>
      <c r="F13" s="850">
        <v>1768.8600000000001</v>
      </c>
    </row>
    <row r="14" spans="1:6" ht="14.45" customHeight="1" x14ac:dyDescent="0.2">
      <c r="A14" s="857" t="s">
        <v>1042</v>
      </c>
      <c r="B14" s="849"/>
      <c r="C14" s="837">
        <v>0</v>
      </c>
      <c r="D14" s="849">
        <v>10613.16</v>
      </c>
      <c r="E14" s="837">
        <v>1</v>
      </c>
      <c r="F14" s="850">
        <v>10613.16</v>
      </c>
    </row>
    <row r="15" spans="1:6" ht="14.45" customHeight="1" x14ac:dyDescent="0.2">
      <c r="A15" s="857" t="s">
        <v>1048</v>
      </c>
      <c r="B15" s="849"/>
      <c r="C15" s="837">
        <v>0</v>
      </c>
      <c r="D15" s="849">
        <v>884.43000000000006</v>
      </c>
      <c r="E15" s="837">
        <v>1</v>
      </c>
      <c r="F15" s="850">
        <v>884.43000000000006</v>
      </c>
    </row>
    <row r="16" spans="1:6" ht="14.45" customHeight="1" x14ac:dyDescent="0.2">
      <c r="A16" s="857" t="s">
        <v>1047</v>
      </c>
      <c r="B16" s="849"/>
      <c r="C16" s="837">
        <v>0</v>
      </c>
      <c r="D16" s="849">
        <v>150773.72000000003</v>
      </c>
      <c r="E16" s="837">
        <v>1</v>
      </c>
      <c r="F16" s="850">
        <v>150773.72000000003</v>
      </c>
    </row>
    <row r="17" spans="1:6" ht="14.45" customHeight="1" x14ac:dyDescent="0.2">
      <c r="A17" s="857" t="s">
        <v>1039</v>
      </c>
      <c r="B17" s="849"/>
      <c r="C17" s="837">
        <v>0</v>
      </c>
      <c r="D17" s="849">
        <v>1431.7800000000002</v>
      </c>
      <c r="E17" s="837">
        <v>1</v>
      </c>
      <c r="F17" s="850">
        <v>1431.7800000000002</v>
      </c>
    </row>
    <row r="18" spans="1:6" ht="14.45" customHeight="1" thickBot="1" x14ac:dyDescent="0.25">
      <c r="A18" s="858" t="s">
        <v>1046</v>
      </c>
      <c r="B18" s="853"/>
      <c r="C18" s="854">
        <v>0</v>
      </c>
      <c r="D18" s="853">
        <v>589.62</v>
      </c>
      <c r="E18" s="854">
        <v>1</v>
      </c>
      <c r="F18" s="855">
        <v>589.62</v>
      </c>
    </row>
    <row r="19" spans="1:6" ht="14.45" customHeight="1" thickBot="1" x14ac:dyDescent="0.25">
      <c r="A19" s="771" t="s">
        <v>3</v>
      </c>
      <c r="B19" s="772">
        <v>5674.66</v>
      </c>
      <c r="C19" s="773">
        <v>8.8122685806207648E-3</v>
      </c>
      <c r="D19" s="772">
        <v>638275.30000000016</v>
      </c>
      <c r="E19" s="773">
        <v>0.99118773141937921</v>
      </c>
      <c r="F19" s="774">
        <v>643949.9600000002</v>
      </c>
    </row>
    <row r="20" spans="1:6" ht="14.45" customHeight="1" thickBot="1" x14ac:dyDescent="0.25"/>
    <row r="21" spans="1:6" ht="14.45" customHeight="1" x14ac:dyDescent="0.2">
      <c r="A21" s="856" t="s">
        <v>944</v>
      </c>
      <c r="B21" s="225">
        <v>959.31</v>
      </c>
      <c r="C21" s="830">
        <v>1.5055175946294991E-3</v>
      </c>
      <c r="D21" s="225">
        <v>636236.82999999891</v>
      </c>
      <c r="E21" s="830">
        <v>0.99849448240537042</v>
      </c>
      <c r="F21" s="848">
        <v>637196.13999999897</v>
      </c>
    </row>
    <row r="22" spans="1:6" ht="14.45" customHeight="1" x14ac:dyDescent="0.2">
      <c r="A22" s="857" t="s">
        <v>1570</v>
      </c>
      <c r="B22" s="849">
        <v>902.57</v>
      </c>
      <c r="C22" s="837">
        <v>1</v>
      </c>
      <c r="D22" s="849"/>
      <c r="E22" s="837">
        <v>0</v>
      </c>
      <c r="F22" s="850">
        <v>902.57</v>
      </c>
    </row>
    <row r="23" spans="1:6" ht="14.45" customHeight="1" x14ac:dyDescent="0.2">
      <c r="A23" s="857" t="s">
        <v>928</v>
      </c>
      <c r="B23" s="849">
        <v>682.08</v>
      </c>
      <c r="C23" s="837">
        <v>0.79998123431305856</v>
      </c>
      <c r="D23" s="849">
        <v>170.54</v>
      </c>
      <c r="E23" s="837">
        <v>0.20001876568694141</v>
      </c>
      <c r="F23" s="850">
        <v>852.62</v>
      </c>
    </row>
    <row r="24" spans="1:6" ht="14.45" customHeight="1" x14ac:dyDescent="0.2">
      <c r="A24" s="857" t="s">
        <v>1571</v>
      </c>
      <c r="B24" s="849">
        <v>611.59</v>
      </c>
      <c r="C24" s="837">
        <v>1</v>
      </c>
      <c r="D24" s="849"/>
      <c r="E24" s="837">
        <v>0</v>
      </c>
      <c r="F24" s="850">
        <v>611.59</v>
      </c>
    </row>
    <row r="25" spans="1:6" ht="14.45" customHeight="1" x14ac:dyDescent="0.2">
      <c r="A25" s="857" t="s">
        <v>1572</v>
      </c>
      <c r="B25" s="849">
        <v>603.72</v>
      </c>
      <c r="C25" s="837">
        <v>1</v>
      </c>
      <c r="D25" s="849"/>
      <c r="E25" s="837">
        <v>0</v>
      </c>
      <c r="F25" s="850">
        <v>603.72</v>
      </c>
    </row>
    <row r="26" spans="1:6" ht="14.45" customHeight="1" x14ac:dyDescent="0.2">
      <c r="A26" s="857" t="s">
        <v>1573</v>
      </c>
      <c r="B26" s="849">
        <v>600.66</v>
      </c>
      <c r="C26" s="837">
        <v>1</v>
      </c>
      <c r="D26" s="849"/>
      <c r="E26" s="837">
        <v>0</v>
      </c>
      <c r="F26" s="850">
        <v>600.66</v>
      </c>
    </row>
    <row r="27" spans="1:6" ht="14.45" customHeight="1" x14ac:dyDescent="0.2">
      <c r="A27" s="857" t="s">
        <v>1574</v>
      </c>
      <c r="B27" s="849">
        <v>598.5</v>
      </c>
      <c r="C27" s="837">
        <v>1</v>
      </c>
      <c r="D27" s="849"/>
      <c r="E27" s="837">
        <v>0</v>
      </c>
      <c r="F27" s="850">
        <v>598.5</v>
      </c>
    </row>
    <row r="28" spans="1:6" ht="14.45" customHeight="1" x14ac:dyDescent="0.2">
      <c r="A28" s="857" t="s">
        <v>1575</v>
      </c>
      <c r="B28" s="849">
        <v>345.64</v>
      </c>
      <c r="C28" s="837">
        <v>1</v>
      </c>
      <c r="D28" s="849"/>
      <c r="E28" s="837">
        <v>0</v>
      </c>
      <c r="F28" s="850">
        <v>345.64</v>
      </c>
    </row>
    <row r="29" spans="1:6" ht="14.45" customHeight="1" x14ac:dyDescent="0.2">
      <c r="A29" s="857" t="s">
        <v>1576</v>
      </c>
      <c r="B29" s="849">
        <v>155.69999999999999</v>
      </c>
      <c r="C29" s="837">
        <v>1</v>
      </c>
      <c r="D29" s="849"/>
      <c r="E29" s="837">
        <v>0</v>
      </c>
      <c r="F29" s="850">
        <v>155.69999999999999</v>
      </c>
    </row>
    <row r="30" spans="1:6" ht="14.45" customHeight="1" x14ac:dyDescent="0.2">
      <c r="A30" s="857" t="s">
        <v>1577</v>
      </c>
      <c r="B30" s="849">
        <v>111.22</v>
      </c>
      <c r="C30" s="837">
        <v>1</v>
      </c>
      <c r="D30" s="849"/>
      <c r="E30" s="837">
        <v>0</v>
      </c>
      <c r="F30" s="850">
        <v>111.22</v>
      </c>
    </row>
    <row r="31" spans="1:6" ht="14.45" customHeight="1" x14ac:dyDescent="0.2">
      <c r="A31" s="857" t="s">
        <v>1578</v>
      </c>
      <c r="B31" s="849">
        <v>103.67</v>
      </c>
      <c r="C31" s="837">
        <v>1</v>
      </c>
      <c r="D31" s="849"/>
      <c r="E31" s="837">
        <v>0</v>
      </c>
      <c r="F31" s="850">
        <v>103.67</v>
      </c>
    </row>
    <row r="32" spans="1:6" ht="14.45" customHeight="1" x14ac:dyDescent="0.2">
      <c r="A32" s="857" t="s">
        <v>1579</v>
      </c>
      <c r="B32" s="849"/>
      <c r="C32" s="837">
        <v>0</v>
      </c>
      <c r="D32" s="849">
        <v>706.25</v>
      </c>
      <c r="E32" s="837">
        <v>1</v>
      </c>
      <c r="F32" s="850">
        <v>706.25</v>
      </c>
    </row>
    <row r="33" spans="1:6" ht="14.45" customHeight="1" x14ac:dyDescent="0.2">
      <c r="A33" s="857" t="s">
        <v>926</v>
      </c>
      <c r="B33" s="849"/>
      <c r="C33" s="837">
        <v>0</v>
      </c>
      <c r="D33" s="849">
        <v>42.51</v>
      </c>
      <c r="E33" s="837">
        <v>1</v>
      </c>
      <c r="F33" s="850">
        <v>42.51</v>
      </c>
    </row>
    <row r="34" spans="1:6" ht="14.45" customHeight="1" x14ac:dyDescent="0.2">
      <c r="A34" s="857" t="s">
        <v>1580</v>
      </c>
      <c r="B34" s="849"/>
      <c r="C34" s="837">
        <v>0</v>
      </c>
      <c r="D34" s="849">
        <v>282.97000000000003</v>
      </c>
      <c r="E34" s="837">
        <v>1</v>
      </c>
      <c r="F34" s="850">
        <v>282.97000000000003</v>
      </c>
    </row>
    <row r="35" spans="1:6" ht="14.45" customHeight="1" x14ac:dyDescent="0.2">
      <c r="A35" s="857" t="s">
        <v>1581</v>
      </c>
      <c r="B35" s="849"/>
      <c r="C35" s="837">
        <v>0</v>
      </c>
      <c r="D35" s="849">
        <v>176.32</v>
      </c>
      <c r="E35" s="837">
        <v>1</v>
      </c>
      <c r="F35" s="850">
        <v>176.32</v>
      </c>
    </row>
    <row r="36" spans="1:6" ht="14.45" customHeight="1" x14ac:dyDescent="0.2">
      <c r="A36" s="857" t="s">
        <v>1582</v>
      </c>
      <c r="B36" s="849"/>
      <c r="C36" s="837">
        <v>0</v>
      </c>
      <c r="D36" s="849">
        <v>286.18</v>
      </c>
      <c r="E36" s="837">
        <v>1</v>
      </c>
      <c r="F36" s="850">
        <v>286.18</v>
      </c>
    </row>
    <row r="37" spans="1:6" ht="14.45" customHeight="1" x14ac:dyDescent="0.2">
      <c r="A37" s="857" t="s">
        <v>1583</v>
      </c>
      <c r="B37" s="849"/>
      <c r="C37" s="837">
        <v>0</v>
      </c>
      <c r="D37" s="849">
        <v>252.54</v>
      </c>
      <c r="E37" s="837">
        <v>1</v>
      </c>
      <c r="F37" s="850">
        <v>252.54</v>
      </c>
    </row>
    <row r="38" spans="1:6" ht="14.45" customHeight="1" x14ac:dyDescent="0.2">
      <c r="A38" s="857" t="s">
        <v>1584</v>
      </c>
      <c r="B38" s="849"/>
      <c r="C38" s="837">
        <v>0</v>
      </c>
      <c r="D38" s="849">
        <v>41.66</v>
      </c>
      <c r="E38" s="837">
        <v>1</v>
      </c>
      <c r="F38" s="850">
        <v>41.66</v>
      </c>
    </row>
    <row r="39" spans="1:6" ht="14.45" customHeight="1" x14ac:dyDescent="0.2">
      <c r="A39" s="857" t="s">
        <v>1585</v>
      </c>
      <c r="B39" s="849"/>
      <c r="C39" s="837">
        <v>0</v>
      </c>
      <c r="D39" s="849">
        <v>79.5</v>
      </c>
      <c r="E39" s="837">
        <v>1</v>
      </c>
      <c r="F39" s="850">
        <v>79.5</v>
      </c>
    </row>
    <row r="40" spans="1:6" ht="14.45" customHeight="1" thickBot="1" x14ac:dyDescent="0.25">
      <c r="A40" s="858" t="s">
        <v>935</v>
      </c>
      <c r="B40" s="853"/>
      <c r="C40" s="854"/>
      <c r="D40" s="853">
        <v>0</v>
      </c>
      <c r="E40" s="854"/>
      <c r="F40" s="855">
        <v>0</v>
      </c>
    </row>
    <row r="41" spans="1:6" ht="14.45" customHeight="1" thickBot="1" x14ac:dyDescent="0.25">
      <c r="A41" s="771" t="s">
        <v>3</v>
      </c>
      <c r="B41" s="772">
        <v>5674.66</v>
      </c>
      <c r="C41" s="773">
        <v>8.8122685806207822E-3</v>
      </c>
      <c r="D41" s="772">
        <v>638275.29999999888</v>
      </c>
      <c r="E41" s="773">
        <v>0.99118773141937921</v>
      </c>
      <c r="F41" s="774">
        <v>643949.95999999892</v>
      </c>
    </row>
  </sheetData>
  <mergeCells count="3">
    <mergeCell ref="A1:F1"/>
    <mergeCell ref="B3:C3"/>
    <mergeCell ref="D3:E3"/>
  </mergeCells>
  <conditionalFormatting sqref="C5:C1048576">
    <cfRule type="cellIs" dxfId="42" priority="12" stopIfTrue="1" operator="greaterThan">
      <formula>0.2</formula>
    </cfRule>
  </conditionalFormatting>
  <conditionalFormatting sqref="F5:F18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{C8FC4317-96DC-4EAD-A7DF-F80F22E29CAC}</x14:id>
        </ext>
      </extLst>
    </cfRule>
  </conditionalFormatting>
  <conditionalFormatting sqref="F21:F40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{9633EC02-AD9B-4A47-89BE-A714AE11D11F}</x14:id>
        </ext>
      </extLst>
    </cfRule>
  </conditionalFormatting>
  <hyperlinks>
    <hyperlink ref="A2" location="Obsah!A1" display="Zpět na Obsah  KL 01  1.-4.měsíc" xr:uid="{A570FDD2-F7F6-42DE-9050-44834C79D4B8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8FC4317-96DC-4EAD-A7DF-F80F22E29C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F5:F18</xm:sqref>
        </x14:conditionalFormatting>
        <x14:conditionalFormatting xmlns:xm="http://schemas.microsoft.com/office/excel/2006/main">
          <x14:cfRule type="dataBar" id="{9633EC02-AD9B-4A47-89BE-A714AE11D11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F21:F40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6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247" customWidth="1"/>
    <col min="2" max="2" width="8.85546875" style="247" bestFit="1" customWidth="1"/>
    <col min="3" max="3" width="7" style="247" bestFit="1" customWidth="1"/>
    <col min="4" max="5" width="22.28515625" style="247" customWidth="1"/>
    <col min="6" max="6" width="6.7109375" style="329" customWidth="1"/>
    <col min="7" max="7" width="10" style="329" customWidth="1"/>
    <col min="8" max="8" width="6.7109375" style="332" customWidth="1"/>
    <col min="9" max="9" width="6.7109375" style="329" customWidth="1"/>
    <col min="10" max="10" width="10" style="329" customWidth="1"/>
    <col min="11" max="11" width="6.7109375" style="332" customWidth="1"/>
    <col min="12" max="12" width="6.7109375" style="329" customWidth="1"/>
    <col min="13" max="13" width="10" style="329" customWidth="1"/>
    <col min="14" max="16384" width="8.85546875" style="247"/>
  </cols>
  <sheetData>
    <row r="1" spans="1:13" ht="18.600000000000001" customHeight="1" thickBot="1" x14ac:dyDescent="0.35">
      <c r="A1" s="551" t="s">
        <v>1602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12"/>
      <c r="M1" s="512"/>
    </row>
    <row r="2" spans="1:13" ht="14.45" customHeight="1" thickBot="1" x14ac:dyDescent="0.25">
      <c r="A2" s="371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5" customHeight="1" thickBot="1" x14ac:dyDescent="0.25">
      <c r="E3" s="104" t="s">
        <v>158</v>
      </c>
      <c r="F3" s="47">
        <f>SUBTOTAL(9,F6:F1048576)</f>
        <v>22</v>
      </c>
      <c r="G3" s="47">
        <f>SUBTOTAL(9,G6:G1048576)</f>
        <v>5674.6600000000008</v>
      </c>
      <c r="H3" s="48">
        <f>IF(M3=0,0,G3/M3)</f>
        <v>8.8122685806207718E-3</v>
      </c>
      <c r="I3" s="47">
        <f>SUBTOTAL(9,I6:I1048576)</f>
        <v>3241</v>
      </c>
      <c r="J3" s="47">
        <f>SUBTOTAL(9,J6:J1048576)</f>
        <v>638275.29999999981</v>
      </c>
      <c r="K3" s="48">
        <f>IF(M3=0,0,J3/M3)</f>
        <v>0.99118773141937933</v>
      </c>
      <c r="L3" s="47">
        <f>SUBTOTAL(9,L6:L1048576)</f>
        <v>3263</v>
      </c>
      <c r="M3" s="49">
        <f>SUBTOTAL(9,M6:M1048576)</f>
        <v>643949.95999999973</v>
      </c>
    </row>
    <row r="4" spans="1:13" ht="14.45" customHeight="1" thickBot="1" x14ac:dyDescent="0.25">
      <c r="A4" s="45"/>
      <c r="B4" s="45"/>
      <c r="C4" s="45"/>
      <c r="D4" s="45"/>
      <c r="E4" s="46"/>
      <c r="F4" s="555" t="s">
        <v>160</v>
      </c>
      <c r="G4" s="556"/>
      <c r="H4" s="557"/>
      <c r="I4" s="558" t="s">
        <v>159</v>
      </c>
      <c r="J4" s="556"/>
      <c r="K4" s="557"/>
      <c r="L4" s="559" t="s">
        <v>3</v>
      </c>
      <c r="M4" s="560"/>
    </row>
    <row r="5" spans="1:13" ht="14.45" customHeight="1" thickBot="1" x14ac:dyDescent="0.25">
      <c r="A5" s="847" t="s">
        <v>166</v>
      </c>
      <c r="B5" s="859" t="s">
        <v>162</v>
      </c>
      <c r="C5" s="859" t="s">
        <v>89</v>
      </c>
      <c r="D5" s="859" t="s">
        <v>163</v>
      </c>
      <c r="E5" s="859" t="s">
        <v>164</v>
      </c>
      <c r="F5" s="780" t="s">
        <v>28</v>
      </c>
      <c r="G5" s="780" t="s">
        <v>14</v>
      </c>
      <c r="H5" s="763" t="s">
        <v>165</v>
      </c>
      <c r="I5" s="762" t="s">
        <v>28</v>
      </c>
      <c r="J5" s="780" t="s">
        <v>14</v>
      </c>
      <c r="K5" s="763" t="s">
        <v>165</v>
      </c>
      <c r="L5" s="762" t="s">
        <v>28</v>
      </c>
      <c r="M5" s="781" t="s">
        <v>14</v>
      </c>
    </row>
    <row r="6" spans="1:13" ht="14.45" customHeight="1" x14ac:dyDescent="0.2">
      <c r="A6" s="824" t="s">
        <v>1034</v>
      </c>
      <c r="B6" s="825" t="s">
        <v>1586</v>
      </c>
      <c r="C6" s="825" t="s">
        <v>1431</v>
      </c>
      <c r="D6" s="825" t="s">
        <v>1432</v>
      </c>
      <c r="E6" s="825" t="s">
        <v>1433</v>
      </c>
      <c r="F6" s="225"/>
      <c r="G6" s="225"/>
      <c r="H6" s="830">
        <v>0</v>
      </c>
      <c r="I6" s="225">
        <v>1</v>
      </c>
      <c r="J6" s="225">
        <v>282.97000000000003</v>
      </c>
      <c r="K6" s="830">
        <v>1</v>
      </c>
      <c r="L6" s="225">
        <v>1</v>
      </c>
      <c r="M6" s="848">
        <v>282.97000000000003</v>
      </c>
    </row>
    <row r="7" spans="1:13" ht="14.45" customHeight="1" x14ac:dyDescent="0.2">
      <c r="A7" s="831" t="s">
        <v>1034</v>
      </c>
      <c r="B7" s="832" t="s">
        <v>1014</v>
      </c>
      <c r="C7" s="832" t="s">
        <v>1196</v>
      </c>
      <c r="D7" s="832" t="s">
        <v>1197</v>
      </c>
      <c r="E7" s="832" t="s">
        <v>1198</v>
      </c>
      <c r="F7" s="849"/>
      <c r="G7" s="849"/>
      <c r="H7" s="837">
        <v>0</v>
      </c>
      <c r="I7" s="849">
        <v>6</v>
      </c>
      <c r="J7" s="849">
        <v>15815.82</v>
      </c>
      <c r="K7" s="837">
        <v>1</v>
      </c>
      <c r="L7" s="849">
        <v>6</v>
      </c>
      <c r="M7" s="850">
        <v>15815.82</v>
      </c>
    </row>
    <row r="8" spans="1:13" ht="14.45" customHeight="1" x14ac:dyDescent="0.2">
      <c r="A8" s="831" t="s">
        <v>1034</v>
      </c>
      <c r="B8" s="832" t="s">
        <v>1014</v>
      </c>
      <c r="C8" s="832" t="s">
        <v>1112</v>
      </c>
      <c r="D8" s="832" t="s">
        <v>1113</v>
      </c>
      <c r="E8" s="832" t="s">
        <v>1114</v>
      </c>
      <c r="F8" s="849"/>
      <c r="G8" s="849"/>
      <c r="H8" s="837">
        <v>0</v>
      </c>
      <c r="I8" s="849">
        <v>24</v>
      </c>
      <c r="J8" s="849">
        <v>7075.4400000000005</v>
      </c>
      <c r="K8" s="837">
        <v>1</v>
      </c>
      <c r="L8" s="849">
        <v>24</v>
      </c>
      <c r="M8" s="850">
        <v>7075.4400000000005</v>
      </c>
    </row>
    <row r="9" spans="1:13" ht="14.45" customHeight="1" x14ac:dyDescent="0.2">
      <c r="A9" s="831" t="s">
        <v>1035</v>
      </c>
      <c r="B9" s="832" t="s">
        <v>1587</v>
      </c>
      <c r="C9" s="832" t="s">
        <v>1555</v>
      </c>
      <c r="D9" s="832" t="s">
        <v>1556</v>
      </c>
      <c r="E9" s="832" t="s">
        <v>1557</v>
      </c>
      <c r="F9" s="849">
        <v>1</v>
      </c>
      <c r="G9" s="849">
        <v>155.69999999999999</v>
      </c>
      <c r="H9" s="837">
        <v>1</v>
      </c>
      <c r="I9" s="849"/>
      <c r="J9" s="849"/>
      <c r="K9" s="837">
        <v>0</v>
      </c>
      <c r="L9" s="849">
        <v>1</v>
      </c>
      <c r="M9" s="850">
        <v>155.69999999999999</v>
      </c>
    </row>
    <row r="10" spans="1:13" ht="14.45" customHeight="1" x14ac:dyDescent="0.2">
      <c r="A10" s="831" t="s">
        <v>1035</v>
      </c>
      <c r="B10" s="832" t="s">
        <v>1014</v>
      </c>
      <c r="C10" s="832" t="s">
        <v>1112</v>
      </c>
      <c r="D10" s="832" t="s">
        <v>1113</v>
      </c>
      <c r="E10" s="832" t="s">
        <v>1114</v>
      </c>
      <c r="F10" s="849"/>
      <c r="G10" s="849"/>
      <c r="H10" s="837">
        <v>0</v>
      </c>
      <c r="I10" s="849">
        <v>1</v>
      </c>
      <c r="J10" s="849">
        <v>294.81</v>
      </c>
      <c r="K10" s="837">
        <v>1</v>
      </c>
      <c r="L10" s="849">
        <v>1</v>
      </c>
      <c r="M10" s="850">
        <v>294.81</v>
      </c>
    </row>
    <row r="11" spans="1:13" ht="14.45" customHeight="1" x14ac:dyDescent="0.2">
      <c r="A11" s="831" t="s">
        <v>1036</v>
      </c>
      <c r="B11" s="832" t="s">
        <v>1588</v>
      </c>
      <c r="C11" s="832" t="s">
        <v>1066</v>
      </c>
      <c r="D11" s="832" t="s">
        <v>1067</v>
      </c>
      <c r="E11" s="832" t="s">
        <v>1068</v>
      </c>
      <c r="F11" s="849">
        <v>1</v>
      </c>
      <c r="G11" s="849">
        <v>103.67</v>
      </c>
      <c r="H11" s="837">
        <v>1</v>
      </c>
      <c r="I11" s="849"/>
      <c r="J11" s="849"/>
      <c r="K11" s="837">
        <v>0</v>
      </c>
      <c r="L11" s="849">
        <v>1</v>
      </c>
      <c r="M11" s="850">
        <v>103.67</v>
      </c>
    </row>
    <row r="12" spans="1:13" ht="14.45" customHeight="1" x14ac:dyDescent="0.2">
      <c r="A12" s="831" t="s">
        <v>1036</v>
      </c>
      <c r="B12" s="832" t="s">
        <v>1589</v>
      </c>
      <c r="C12" s="832" t="s">
        <v>1070</v>
      </c>
      <c r="D12" s="832" t="s">
        <v>1071</v>
      </c>
      <c r="E12" s="832" t="s">
        <v>1072</v>
      </c>
      <c r="F12" s="849">
        <v>1</v>
      </c>
      <c r="G12" s="849">
        <v>611.59</v>
      </c>
      <c r="H12" s="837">
        <v>1</v>
      </c>
      <c r="I12" s="849"/>
      <c r="J12" s="849"/>
      <c r="K12" s="837">
        <v>0</v>
      </c>
      <c r="L12" s="849">
        <v>1</v>
      </c>
      <c r="M12" s="850">
        <v>611.59</v>
      </c>
    </row>
    <row r="13" spans="1:13" ht="14.45" customHeight="1" x14ac:dyDescent="0.2">
      <c r="A13" s="831" t="s">
        <v>1036</v>
      </c>
      <c r="B13" s="832" t="s">
        <v>945</v>
      </c>
      <c r="C13" s="832" t="s">
        <v>1058</v>
      </c>
      <c r="D13" s="832" t="s">
        <v>1059</v>
      </c>
      <c r="E13" s="832" t="s">
        <v>1060</v>
      </c>
      <c r="F13" s="849">
        <v>4</v>
      </c>
      <c r="G13" s="849">
        <v>682.08</v>
      </c>
      <c r="H13" s="837">
        <v>1</v>
      </c>
      <c r="I13" s="849"/>
      <c r="J13" s="849"/>
      <c r="K13" s="837">
        <v>0</v>
      </c>
      <c r="L13" s="849">
        <v>4</v>
      </c>
      <c r="M13" s="850">
        <v>682.08</v>
      </c>
    </row>
    <row r="14" spans="1:13" ht="14.45" customHeight="1" x14ac:dyDescent="0.2">
      <c r="A14" s="831" t="s">
        <v>1036</v>
      </c>
      <c r="B14" s="832" t="s">
        <v>1590</v>
      </c>
      <c r="C14" s="832" t="s">
        <v>1097</v>
      </c>
      <c r="D14" s="832" t="s">
        <v>1098</v>
      </c>
      <c r="E14" s="832" t="s">
        <v>1099</v>
      </c>
      <c r="F14" s="849"/>
      <c r="G14" s="849"/>
      <c r="H14" s="837">
        <v>0</v>
      </c>
      <c r="I14" s="849">
        <v>2</v>
      </c>
      <c r="J14" s="849">
        <v>282.5</v>
      </c>
      <c r="K14" s="837">
        <v>1</v>
      </c>
      <c r="L14" s="849">
        <v>2</v>
      </c>
      <c r="M14" s="850">
        <v>282.5</v>
      </c>
    </row>
    <row r="15" spans="1:13" ht="14.45" customHeight="1" x14ac:dyDescent="0.2">
      <c r="A15" s="831" t="s">
        <v>1036</v>
      </c>
      <c r="B15" s="832" t="s">
        <v>1591</v>
      </c>
      <c r="C15" s="832" t="s">
        <v>1062</v>
      </c>
      <c r="D15" s="832" t="s">
        <v>1063</v>
      </c>
      <c r="E15" s="832" t="s">
        <v>1064</v>
      </c>
      <c r="F15" s="849"/>
      <c r="G15" s="849"/>
      <c r="H15" s="837">
        <v>0</v>
      </c>
      <c r="I15" s="849">
        <v>1</v>
      </c>
      <c r="J15" s="849">
        <v>176.32</v>
      </c>
      <c r="K15" s="837">
        <v>1</v>
      </c>
      <c r="L15" s="849">
        <v>1</v>
      </c>
      <c r="M15" s="850">
        <v>176.32</v>
      </c>
    </row>
    <row r="16" spans="1:13" ht="14.45" customHeight="1" x14ac:dyDescent="0.2">
      <c r="A16" s="831" t="s">
        <v>1036</v>
      </c>
      <c r="B16" s="832" t="s">
        <v>1014</v>
      </c>
      <c r="C16" s="832" t="s">
        <v>1112</v>
      </c>
      <c r="D16" s="832" t="s">
        <v>1113</v>
      </c>
      <c r="E16" s="832" t="s">
        <v>1114</v>
      </c>
      <c r="F16" s="849"/>
      <c r="G16" s="849"/>
      <c r="H16" s="837">
        <v>0</v>
      </c>
      <c r="I16" s="849">
        <v>23</v>
      </c>
      <c r="J16" s="849">
        <v>6780.63</v>
      </c>
      <c r="K16" s="837">
        <v>1</v>
      </c>
      <c r="L16" s="849">
        <v>23</v>
      </c>
      <c r="M16" s="850">
        <v>6780.63</v>
      </c>
    </row>
    <row r="17" spans="1:13" ht="14.45" customHeight="1" x14ac:dyDescent="0.2">
      <c r="A17" s="831" t="s">
        <v>1038</v>
      </c>
      <c r="B17" s="832" t="s">
        <v>1592</v>
      </c>
      <c r="C17" s="832" t="s">
        <v>1124</v>
      </c>
      <c r="D17" s="832" t="s">
        <v>1125</v>
      </c>
      <c r="E17" s="832" t="s">
        <v>1126</v>
      </c>
      <c r="F17" s="849">
        <v>5</v>
      </c>
      <c r="G17" s="849">
        <v>598.5</v>
      </c>
      <c r="H17" s="837">
        <v>1</v>
      </c>
      <c r="I17" s="849"/>
      <c r="J17" s="849"/>
      <c r="K17" s="837">
        <v>0</v>
      </c>
      <c r="L17" s="849">
        <v>5</v>
      </c>
      <c r="M17" s="850">
        <v>598.5</v>
      </c>
    </row>
    <row r="18" spans="1:13" ht="14.45" customHeight="1" x14ac:dyDescent="0.2">
      <c r="A18" s="831" t="s">
        <v>1038</v>
      </c>
      <c r="B18" s="832" t="s">
        <v>1593</v>
      </c>
      <c r="C18" s="832" t="s">
        <v>1169</v>
      </c>
      <c r="D18" s="832" t="s">
        <v>1170</v>
      </c>
      <c r="E18" s="832" t="s">
        <v>1171</v>
      </c>
      <c r="F18" s="849">
        <v>1</v>
      </c>
      <c r="G18" s="849">
        <v>902.57</v>
      </c>
      <c r="H18" s="837">
        <v>1</v>
      </c>
      <c r="I18" s="849"/>
      <c r="J18" s="849"/>
      <c r="K18" s="837">
        <v>0</v>
      </c>
      <c r="L18" s="849">
        <v>1</v>
      </c>
      <c r="M18" s="850">
        <v>902.57</v>
      </c>
    </row>
    <row r="19" spans="1:13" ht="14.45" customHeight="1" x14ac:dyDescent="0.2">
      <c r="A19" s="831" t="s">
        <v>1038</v>
      </c>
      <c r="B19" s="832" t="s">
        <v>1590</v>
      </c>
      <c r="C19" s="832" t="s">
        <v>1097</v>
      </c>
      <c r="D19" s="832" t="s">
        <v>1098</v>
      </c>
      <c r="E19" s="832" t="s">
        <v>1099</v>
      </c>
      <c r="F19" s="849"/>
      <c r="G19" s="849"/>
      <c r="H19" s="837">
        <v>0</v>
      </c>
      <c r="I19" s="849">
        <v>2</v>
      </c>
      <c r="J19" s="849">
        <v>282.5</v>
      </c>
      <c r="K19" s="837">
        <v>1</v>
      </c>
      <c r="L19" s="849">
        <v>2</v>
      </c>
      <c r="M19" s="850">
        <v>282.5</v>
      </c>
    </row>
    <row r="20" spans="1:13" ht="14.45" customHeight="1" x14ac:dyDescent="0.2">
      <c r="A20" s="831" t="s">
        <v>1038</v>
      </c>
      <c r="B20" s="832" t="s">
        <v>1014</v>
      </c>
      <c r="C20" s="832" t="s">
        <v>1180</v>
      </c>
      <c r="D20" s="832" t="s">
        <v>1181</v>
      </c>
      <c r="E20" s="832" t="s">
        <v>1182</v>
      </c>
      <c r="F20" s="849"/>
      <c r="G20" s="849"/>
      <c r="H20" s="837">
        <v>0</v>
      </c>
      <c r="I20" s="849">
        <v>292</v>
      </c>
      <c r="J20" s="849">
        <v>21102.84</v>
      </c>
      <c r="K20" s="837">
        <v>1</v>
      </c>
      <c r="L20" s="849">
        <v>292</v>
      </c>
      <c r="M20" s="850">
        <v>21102.84</v>
      </c>
    </row>
    <row r="21" spans="1:13" ht="14.45" customHeight="1" x14ac:dyDescent="0.2">
      <c r="A21" s="831" t="s">
        <v>1038</v>
      </c>
      <c r="B21" s="832" t="s">
        <v>1014</v>
      </c>
      <c r="C21" s="832" t="s">
        <v>1185</v>
      </c>
      <c r="D21" s="832" t="s">
        <v>1186</v>
      </c>
      <c r="E21" s="832" t="s">
        <v>1182</v>
      </c>
      <c r="F21" s="849"/>
      <c r="G21" s="849"/>
      <c r="H21" s="837">
        <v>0</v>
      </c>
      <c r="I21" s="849">
        <v>24</v>
      </c>
      <c r="J21" s="849">
        <v>1734.48</v>
      </c>
      <c r="K21" s="837">
        <v>1</v>
      </c>
      <c r="L21" s="849">
        <v>24</v>
      </c>
      <c r="M21" s="850">
        <v>1734.48</v>
      </c>
    </row>
    <row r="22" spans="1:13" ht="14.45" customHeight="1" x14ac:dyDescent="0.2">
      <c r="A22" s="831" t="s">
        <v>1038</v>
      </c>
      <c r="B22" s="832" t="s">
        <v>1014</v>
      </c>
      <c r="C22" s="832" t="s">
        <v>1183</v>
      </c>
      <c r="D22" s="832" t="s">
        <v>1184</v>
      </c>
      <c r="E22" s="832" t="s">
        <v>1182</v>
      </c>
      <c r="F22" s="849"/>
      <c r="G22" s="849"/>
      <c r="H22" s="837">
        <v>0</v>
      </c>
      <c r="I22" s="849">
        <v>24</v>
      </c>
      <c r="J22" s="849">
        <v>1734.48</v>
      </c>
      <c r="K22" s="837">
        <v>1</v>
      </c>
      <c r="L22" s="849">
        <v>24</v>
      </c>
      <c r="M22" s="850">
        <v>1734.48</v>
      </c>
    </row>
    <row r="23" spans="1:13" ht="14.45" customHeight="1" x14ac:dyDescent="0.2">
      <c r="A23" s="831" t="s">
        <v>1038</v>
      </c>
      <c r="B23" s="832" t="s">
        <v>1014</v>
      </c>
      <c r="C23" s="832" t="s">
        <v>1187</v>
      </c>
      <c r="D23" s="832" t="s">
        <v>1188</v>
      </c>
      <c r="E23" s="832" t="s">
        <v>1182</v>
      </c>
      <c r="F23" s="849"/>
      <c r="G23" s="849"/>
      <c r="H23" s="837">
        <v>0</v>
      </c>
      <c r="I23" s="849">
        <v>24</v>
      </c>
      <c r="J23" s="849">
        <v>1734.48</v>
      </c>
      <c r="K23" s="837">
        <v>1</v>
      </c>
      <c r="L23" s="849">
        <v>24</v>
      </c>
      <c r="M23" s="850">
        <v>1734.48</v>
      </c>
    </row>
    <row r="24" spans="1:13" ht="14.45" customHeight="1" x14ac:dyDescent="0.2">
      <c r="A24" s="831" t="s">
        <v>1038</v>
      </c>
      <c r="B24" s="832" t="s">
        <v>1014</v>
      </c>
      <c r="C24" s="832" t="s">
        <v>1189</v>
      </c>
      <c r="D24" s="832" t="s">
        <v>1190</v>
      </c>
      <c r="E24" s="832" t="s">
        <v>1182</v>
      </c>
      <c r="F24" s="849"/>
      <c r="G24" s="849"/>
      <c r="H24" s="837">
        <v>0</v>
      </c>
      <c r="I24" s="849">
        <v>24</v>
      </c>
      <c r="J24" s="849">
        <v>1734.48</v>
      </c>
      <c r="K24" s="837">
        <v>1</v>
      </c>
      <c r="L24" s="849">
        <v>24</v>
      </c>
      <c r="M24" s="850">
        <v>1734.48</v>
      </c>
    </row>
    <row r="25" spans="1:13" ht="14.45" customHeight="1" x14ac:dyDescent="0.2">
      <c r="A25" s="831" t="s">
        <v>1038</v>
      </c>
      <c r="B25" s="832" t="s">
        <v>1014</v>
      </c>
      <c r="C25" s="832" t="s">
        <v>1194</v>
      </c>
      <c r="D25" s="832" t="s">
        <v>1195</v>
      </c>
      <c r="E25" s="832" t="s">
        <v>1193</v>
      </c>
      <c r="F25" s="849"/>
      <c r="G25" s="849"/>
      <c r="H25" s="837">
        <v>0</v>
      </c>
      <c r="I25" s="849">
        <v>9</v>
      </c>
      <c r="J25" s="849">
        <v>1219.8599999999999</v>
      </c>
      <c r="K25" s="837">
        <v>1</v>
      </c>
      <c r="L25" s="849">
        <v>9</v>
      </c>
      <c r="M25" s="850">
        <v>1219.8599999999999</v>
      </c>
    </row>
    <row r="26" spans="1:13" ht="14.45" customHeight="1" x14ac:dyDescent="0.2">
      <c r="A26" s="831" t="s">
        <v>1038</v>
      </c>
      <c r="B26" s="832" t="s">
        <v>1014</v>
      </c>
      <c r="C26" s="832" t="s">
        <v>1191</v>
      </c>
      <c r="D26" s="832" t="s">
        <v>1192</v>
      </c>
      <c r="E26" s="832" t="s">
        <v>1193</v>
      </c>
      <c r="F26" s="849"/>
      <c r="G26" s="849"/>
      <c r="H26" s="837">
        <v>0</v>
      </c>
      <c r="I26" s="849">
        <v>9</v>
      </c>
      <c r="J26" s="849">
        <v>1219.8599999999999</v>
      </c>
      <c r="K26" s="837">
        <v>1</v>
      </c>
      <c r="L26" s="849">
        <v>9</v>
      </c>
      <c r="M26" s="850">
        <v>1219.8599999999999</v>
      </c>
    </row>
    <row r="27" spans="1:13" ht="14.45" customHeight="1" x14ac:dyDescent="0.2">
      <c r="A27" s="831" t="s">
        <v>1038</v>
      </c>
      <c r="B27" s="832" t="s">
        <v>1014</v>
      </c>
      <c r="C27" s="832" t="s">
        <v>1196</v>
      </c>
      <c r="D27" s="832" t="s">
        <v>1197</v>
      </c>
      <c r="E27" s="832" t="s">
        <v>1198</v>
      </c>
      <c r="F27" s="849"/>
      <c r="G27" s="849"/>
      <c r="H27" s="837">
        <v>0</v>
      </c>
      <c r="I27" s="849">
        <v>49</v>
      </c>
      <c r="J27" s="849">
        <v>129162.53</v>
      </c>
      <c r="K27" s="837">
        <v>1</v>
      </c>
      <c r="L27" s="849">
        <v>49</v>
      </c>
      <c r="M27" s="850">
        <v>129162.53</v>
      </c>
    </row>
    <row r="28" spans="1:13" ht="14.45" customHeight="1" x14ac:dyDescent="0.2">
      <c r="A28" s="831" t="s">
        <v>1038</v>
      </c>
      <c r="B28" s="832" t="s">
        <v>1014</v>
      </c>
      <c r="C28" s="832" t="s">
        <v>1112</v>
      </c>
      <c r="D28" s="832" t="s">
        <v>1113</v>
      </c>
      <c r="E28" s="832" t="s">
        <v>1114</v>
      </c>
      <c r="F28" s="849"/>
      <c r="G28" s="849"/>
      <c r="H28" s="837">
        <v>0</v>
      </c>
      <c r="I28" s="849">
        <v>44</v>
      </c>
      <c r="J28" s="849">
        <v>12971.64</v>
      </c>
      <c r="K28" s="837">
        <v>1</v>
      </c>
      <c r="L28" s="849">
        <v>44</v>
      </c>
      <c r="M28" s="850">
        <v>12971.64</v>
      </c>
    </row>
    <row r="29" spans="1:13" ht="14.45" customHeight="1" x14ac:dyDescent="0.2">
      <c r="A29" s="831" t="s">
        <v>1038</v>
      </c>
      <c r="B29" s="832" t="s">
        <v>1014</v>
      </c>
      <c r="C29" s="832" t="s">
        <v>1214</v>
      </c>
      <c r="D29" s="832" t="s">
        <v>1215</v>
      </c>
      <c r="E29" s="832" t="s">
        <v>1114</v>
      </c>
      <c r="F29" s="849"/>
      <c r="G29" s="849"/>
      <c r="H29" s="837">
        <v>0</v>
      </c>
      <c r="I29" s="849">
        <v>10</v>
      </c>
      <c r="J29" s="849">
        <v>2948.1</v>
      </c>
      <c r="K29" s="837">
        <v>1</v>
      </c>
      <c r="L29" s="849">
        <v>10</v>
      </c>
      <c r="M29" s="850">
        <v>2948.1</v>
      </c>
    </row>
    <row r="30" spans="1:13" ht="14.45" customHeight="1" x14ac:dyDescent="0.2">
      <c r="A30" s="831" t="s">
        <v>1039</v>
      </c>
      <c r="B30" s="832" t="s">
        <v>1594</v>
      </c>
      <c r="C30" s="832" t="s">
        <v>1389</v>
      </c>
      <c r="D30" s="832" t="s">
        <v>1390</v>
      </c>
      <c r="E30" s="832" t="s">
        <v>1391</v>
      </c>
      <c r="F30" s="849"/>
      <c r="G30" s="849"/>
      <c r="H30" s="837">
        <v>0</v>
      </c>
      <c r="I30" s="849">
        <v>2</v>
      </c>
      <c r="J30" s="849">
        <v>252.54</v>
      </c>
      <c r="K30" s="837">
        <v>1</v>
      </c>
      <c r="L30" s="849">
        <v>2</v>
      </c>
      <c r="M30" s="850">
        <v>252.54</v>
      </c>
    </row>
    <row r="31" spans="1:13" ht="14.45" customHeight="1" x14ac:dyDescent="0.2">
      <c r="A31" s="831" t="s">
        <v>1039</v>
      </c>
      <c r="B31" s="832" t="s">
        <v>1014</v>
      </c>
      <c r="C31" s="832" t="s">
        <v>1112</v>
      </c>
      <c r="D31" s="832" t="s">
        <v>1113</v>
      </c>
      <c r="E31" s="832" t="s">
        <v>1114</v>
      </c>
      <c r="F31" s="849"/>
      <c r="G31" s="849"/>
      <c r="H31" s="837">
        <v>0</v>
      </c>
      <c r="I31" s="849">
        <v>4</v>
      </c>
      <c r="J31" s="849">
        <v>1179.24</v>
      </c>
      <c r="K31" s="837">
        <v>1</v>
      </c>
      <c r="L31" s="849">
        <v>4</v>
      </c>
      <c r="M31" s="850">
        <v>1179.24</v>
      </c>
    </row>
    <row r="32" spans="1:13" ht="14.45" customHeight="1" x14ac:dyDescent="0.2">
      <c r="A32" s="831" t="s">
        <v>1040</v>
      </c>
      <c r="B32" s="832" t="s">
        <v>1595</v>
      </c>
      <c r="C32" s="832" t="s">
        <v>1532</v>
      </c>
      <c r="D32" s="832" t="s">
        <v>1533</v>
      </c>
      <c r="E32" s="832" t="s">
        <v>1534</v>
      </c>
      <c r="F32" s="849">
        <v>2</v>
      </c>
      <c r="G32" s="849">
        <v>345.64</v>
      </c>
      <c r="H32" s="837">
        <v>1</v>
      </c>
      <c r="I32" s="849"/>
      <c r="J32" s="849"/>
      <c r="K32" s="837">
        <v>0</v>
      </c>
      <c r="L32" s="849">
        <v>2</v>
      </c>
      <c r="M32" s="850">
        <v>345.64</v>
      </c>
    </row>
    <row r="33" spans="1:13" ht="14.45" customHeight="1" x14ac:dyDescent="0.2">
      <c r="A33" s="831" t="s">
        <v>1040</v>
      </c>
      <c r="B33" s="832" t="s">
        <v>1596</v>
      </c>
      <c r="C33" s="832" t="s">
        <v>1523</v>
      </c>
      <c r="D33" s="832" t="s">
        <v>1524</v>
      </c>
      <c r="E33" s="832" t="s">
        <v>1525</v>
      </c>
      <c r="F33" s="849"/>
      <c r="G33" s="849"/>
      <c r="H33" s="837">
        <v>0</v>
      </c>
      <c r="I33" s="849">
        <v>2</v>
      </c>
      <c r="J33" s="849">
        <v>41.66</v>
      </c>
      <c r="K33" s="837">
        <v>1</v>
      </c>
      <c r="L33" s="849">
        <v>2</v>
      </c>
      <c r="M33" s="850">
        <v>41.66</v>
      </c>
    </row>
    <row r="34" spans="1:13" ht="14.45" customHeight="1" x14ac:dyDescent="0.2">
      <c r="A34" s="831" t="s">
        <v>1040</v>
      </c>
      <c r="B34" s="832" t="s">
        <v>1597</v>
      </c>
      <c r="C34" s="832" t="s">
        <v>1527</v>
      </c>
      <c r="D34" s="832" t="s">
        <v>1528</v>
      </c>
      <c r="E34" s="832" t="s">
        <v>1529</v>
      </c>
      <c r="F34" s="849">
        <v>1</v>
      </c>
      <c r="G34" s="849">
        <v>300.33</v>
      </c>
      <c r="H34" s="837">
        <v>1</v>
      </c>
      <c r="I34" s="849"/>
      <c r="J34" s="849"/>
      <c r="K34" s="837">
        <v>0</v>
      </c>
      <c r="L34" s="849">
        <v>1</v>
      </c>
      <c r="M34" s="850">
        <v>300.33</v>
      </c>
    </row>
    <row r="35" spans="1:13" ht="14.45" customHeight="1" x14ac:dyDescent="0.2">
      <c r="A35" s="831" t="s">
        <v>1040</v>
      </c>
      <c r="B35" s="832" t="s">
        <v>1597</v>
      </c>
      <c r="C35" s="832" t="s">
        <v>1530</v>
      </c>
      <c r="D35" s="832" t="s">
        <v>1528</v>
      </c>
      <c r="E35" s="832" t="s">
        <v>1529</v>
      </c>
      <c r="F35" s="849">
        <v>1</v>
      </c>
      <c r="G35" s="849">
        <v>300.33</v>
      </c>
      <c r="H35" s="837">
        <v>1</v>
      </c>
      <c r="I35" s="849"/>
      <c r="J35" s="849"/>
      <c r="K35" s="837">
        <v>0</v>
      </c>
      <c r="L35" s="849">
        <v>1</v>
      </c>
      <c r="M35" s="850">
        <v>300.33</v>
      </c>
    </row>
    <row r="36" spans="1:13" ht="14.45" customHeight="1" x14ac:dyDescent="0.2">
      <c r="A36" s="831" t="s">
        <v>1040</v>
      </c>
      <c r="B36" s="832" t="s">
        <v>1598</v>
      </c>
      <c r="C36" s="832" t="s">
        <v>1536</v>
      </c>
      <c r="D36" s="832" t="s">
        <v>1537</v>
      </c>
      <c r="E36" s="832" t="s">
        <v>1538</v>
      </c>
      <c r="F36" s="849"/>
      <c r="G36" s="849"/>
      <c r="H36" s="837">
        <v>0</v>
      </c>
      <c r="I36" s="849">
        <v>2</v>
      </c>
      <c r="J36" s="849">
        <v>286.18</v>
      </c>
      <c r="K36" s="837">
        <v>1</v>
      </c>
      <c r="L36" s="849">
        <v>2</v>
      </c>
      <c r="M36" s="850">
        <v>286.18</v>
      </c>
    </row>
    <row r="37" spans="1:13" ht="14.45" customHeight="1" x14ac:dyDescent="0.2">
      <c r="A37" s="831" t="s">
        <v>1040</v>
      </c>
      <c r="B37" s="832" t="s">
        <v>1599</v>
      </c>
      <c r="C37" s="832" t="s">
        <v>1540</v>
      </c>
      <c r="D37" s="832" t="s">
        <v>1541</v>
      </c>
      <c r="E37" s="832" t="s">
        <v>1542</v>
      </c>
      <c r="F37" s="849"/>
      <c r="G37" s="849"/>
      <c r="H37" s="837">
        <v>0</v>
      </c>
      <c r="I37" s="849">
        <v>5</v>
      </c>
      <c r="J37" s="849">
        <v>79.5</v>
      </c>
      <c r="K37" s="837">
        <v>1</v>
      </c>
      <c r="L37" s="849">
        <v>5</v>
      </c>
      <c r="M37" s="850">
        <v>79.5</v>
      </c>
    </row>
    <row r="38" spans="1:13" ht="14.45" customHeight="1" x14ac:dyDescent="0.2">
      <c r="A38" s="831" t="s">
        <v>1040</v>
      </c>
      <c r="B38" s="832" t="s">
        <v>1600</v>
      </c>
      <c r="C38" s="832" t="s">
        <v>1519</v>
      </c>
      <c r="D38" s="832" t="s">
        <v>1520</v>
      </c>
      <c r="E38" s="832" t="s">
        <v>1521</v>
      </c>
      <c r="F38" s="849">
        <v>1</v>
      </c>
      <c r="G38" s="849">
        <v>603.72</v>
      </c>
      <c r="H38" s="837">
        <v>1</v>
      </c>
      <c r="I38" s="849"/>
      <c r="J38" s="849"/>
      <c r="K38" s="837">
        <v>0</v>
      </c>
      <c r="L38" s="849">
        <v>1</v>
      </c>
      <c r="M38" s="850">
        <v>603.72</v>
      </c>
    </row>
    <row r="39" spans="1:13" ht="14.45" customHeight="1" x14ac:dyDescent="0.2">
      <c r="A39" s="831" t="s">
        <v>1040</v>
      </c>
      <c r="B39" s="832" t="s">
        <v>1601</v>
      </c>
      <c r="C39" s="832" t="s">
        <v>1547</v>
      </c>
      <c r="D39" s="832" t="s">
        <v>1548</v>
      </c>
      <c r="E39" s="832" t="s">
        <v>1549</v>
      </c>
      <c r="F39" s="849">
        <v>1</v>
      </c>
      <c r="G39" s="849">
        <v>111.22</v>
      </c>
      <c r="H39" s="837">
        <v>1</v>
      </c>
      <c r="I39" s="849"/>
      <c r="J39" s="849"/>
      <c r="K39" s="837">
        <v>0</v>
      </c>
      <c r="L39" s="849">
        <v>1</v>
      </c>
      <c r="M39" s="850">
        <v>111.22</v>
      </c>
    </row>
    <row r="40" spans="1:13" ht="14.45" customHeight="1" x14ac:dyDescent="0.2">
      <c r="A40" s="831" t="s">
        <v>1041</v>
      </c>
      <c r="B40" s="832" t="s">
        <v>1014</v>
      </c>
      <c r="C40" s="832" t="s">
        <v>1112</v>
      </c>
      <c r="D40" s="832" t="s">
        <v>1113</v>
      </c>
      <c r="E40" s="832" t="s">
        <v>1114</v>
      </c>
      <c r="F40" s="849"/>
      <c r="G40" s="849"/>
      <c r="H40" s="837">
        <v>0</v>
      </c>
      <c r="I40" s="849">
        <v>6</v>
      </c>
      <c r="J40" s="849">
        <v>1768.8600000000001</v>
      </c>
      <c r="K40" s="837">
        <v>1</v>
      </c>
      <c r="L40" s="849">
        <v>6</v>
      </c>
      <c r="M40" s="850">
        <v>1768.8600000000001</v>
      </c>
    </row>
    <row r="41" spans="1:13" ht="14.45" customHeight="1" x14ac:dyDescent="0.2">
      <c r="A41" s="831" t="s">
        <v>1042</v>
      </c>
      <c r="B41" s="832" t="s">
        <v>1014</v>
      </c>
      <c r="C41" s="832" t="s">
        <v>1112</v>
      </c>
      <c r="D41" s="832" t="s">
        <v>1113</v>
      </c>
      <c r="E41" s="832" t="s">
        <v>1114</v>
      </c>
      <c r="F41" s="849"/>
      <c r="G41" s="849"/>
      <c r="H41" s="837">
        <v>0</v>
      </c>
      <c r="I41" s="849">
        <v>36</v>
      </c>
      <c r="J41" s="849">
        <v>10613.16</v>
      </c>
      <c r="K41" s="837">
        <v>1</v>
      </c>
      <c r="L41" s="849">
        <v>36</v>
      </c>
      <c r="M41" s="850">
        <v>10613.16</v>
      </c>
    </row>
    <row r="42" spans="1:13" ht="14.45" customHeight="1" x14ac:dyDescent="0.2">
      <c r="A42" s="831" t="s">
        <v>1043</v>
      </c>
      <c r="B42" s="832" t="s">
        <v>1590</v>
      </c>
      <c r="C42" s="832" t="s">
        <v>1097</v>
      </c>
      <c r="D42" s="832" t="s">
        <v>1098</v>
      </c>
      <c r="E42" s="832" t="s">
        <v>1099</v>
      </c>
      <c r="F42" s="849"/>
      <c r="G42" s="849"/>
      <c r="H42" s="837">
        <v>0</v>
      </c>
      <c r="I42" s="849">
        <v>1</v>
      </c>
      <c r="J42" s="849">
        <v>141.25</v>
      </c>
      <c r="K42" s="837">
        <v>1</v>
      </c>
      <c r="L42" s="849">
        <v>1</v>
      </c>
      <c r="M42" s="850">
        <v>141.25</v>
      </c>
    </row>
    <row r="43" spans="1:13" ht="14.45" customHeight="1" x14ac:dyDescent="0.2">
      <c r="A43" s="831" t="s">
        <v>1043</v>
      </c>
      <c r="B43" s="832" t="s">
        <v>1014</v>
      </c>
      <c r="C43" s="832" t="s">
        <v>1282</v>
      </c>
      <c r="D43" s="832" t="s">
        <v>1283</v>
      </c>
      <c r="E43" s="832" t="s">
        <v>1284</v>
      </c>
      <c r="F43" s="849">
        <v>2</v>
      </c>
      <c r="G43" s="849">
        <v>664.5</v>
      </c>
      <c r="H43" s="837">
        <v>1</v>
      </c>
      <c r="I43" s="849"/>
      <c r="J43" s="849"/>
      <c r="K43" s="837">
        <v>0</v>
      </c>
      <c r="L43" s="849">
        <v>2</v>
      </c>
      <c r="M43" s="850">
        <v>664.5</v>
      </c>
    </row>
    <row r="44" spans="1:13" ht="14.45" customHeight="1" x14ac:dyDescent="0.2">
      <c r="A44" s="831" t="s">
        <v>1043</v>
      </c>
      <c r="B44" s="832" t="s">
        <v>1014</v>
      </c>
      <c r="C44" s="832" t="s">
        <v>1180</v>
      </c>
      <c r="D44" s="832" t="s">
        <v>1181</v>
      </c>
      <c r="E44" s="832" t="s">
        <v>1182</v>
      </c>
      <c r="F44" s="849"/>
      <c r="G44" s="849"/>
      <c r="H44" s="837">
        <v>0</v>
      </c>
      <c r="I44" s="849">
        <v>1371</v>
      </c>
      <c r="J44" s="849">
        <v>99082.17</v>
      </c>
      <c r="K44" s="837">
        <v>1</v>
      </c>
      <c r="L44" s="849">
        <v>1371</v>
      </c>
      <c r="M44" s="850">
        <v>99082.17</v>
      </c>
    </row>
    <row r="45" spans="1:13" ht="14.45" customHeight="1" x14ac:dyDescent="0.2">
      <c r="A45" s="831" t="s">
        <v>1043</v>
      </c>
      <c r="B45" s="832" t="s">
        <v>1014</v>
      </c>
      <c r="C45" s="832" t="s">
        <v>1189</v>
      </c>
      <c r="D45" s="832" t="s">
        <v>1190</v>
      </c>
      <c r="E45" s="832" t="s">
        <v>1182</v>
      </c>
      <c r="F45" s="849"/>
      <c r="G45" s="849"/>
      <c r="H45" s="837">
        <v>0</v>
      </c>
      <c r="I45" s="849">
        <v>336</v>
      </c>
      <c r="J45" s="849">
        <v>24282.719999999998</v>
      </c>
      <c r="K45" s="837">
        <v>1</v>
      </c>
      <c r="L45" s="849">
        <v>336</v>
      </c>
      <c r="M45" s="850">
        <v>24282.719999999998</v>
      </c>
    </row>
    <row r="46" spans="1:13" ht="14.45" customHeight="1" x14ac:dyDescent="0.2">
      <c r="A46" s="831" t="s">
        <v>1043</v>
      </c>
      <c r="B46" s="832" t="s">
        <v>1014</v>
      </c>
      <c r="C46" s="832" t="s">
        <v>1194</v>
      </c>
      <c r="D46" s="832" t="s">
        <v>1195</v>
      </c>
      <c r="E46" s="832" t="s">
        <v>1193</v>
      </c>
      <c r="F46" s="849"/>
      <c r="G46" s="849"/>
      <c r="H46" s="837">
        <v>0</v>
      </c>
      <c r="I46" s="849">
        <v>18</v>
      </c>
      <c r="J46" s="849">
        <v>2439.7199999999998</v>
      </c>
      <c r="K46" s="837">
        <v>1</v>
      </c>
      <c r="L46" s="849">
        <v>18</v>
      </c>
      <c r="M46" s="850">
        <v>2439.7199999999998</v>
      </c>
    </row>
    <row r="47" spans="1:13" ht="14.45" customHeight="1" x14ac:dyDescent="0.2">
      <c r="A47" s="831" t="s">
        <v>1043</v>
      </c>
      <c r="B47" s="832" t="s">
        <v>1014</v>
      </c>
      <c r="C47" s="832" t="s">
        <v>1191</v>
      </c>
      <c r="D47" s="832" t="s">
        <v>1192</v>
      </c>
      <c r="E47" s="832" t="s">
        <v>1193</v>
      </c>
      <c r="F47" s="849"/>
      <c r="G47" s="849"/>
      <c r="H47" s="837">
        <v>0</v>
      </c>
      <c r="I47" s="849">
        <v>18</v>
      </c>
      <c r="J47" s="849">
        <v>2439.7199999999998</v>
      </c>
      <c r="K47" s="837">
        <v>1</v>
      </c>
      <c r="L47" s="849">
        <v>18</v>
      </c>
      <c r="M47" s="850">
        <v>2439.7199999999998</v>
      </c>
    </row>
    <row r="48" spans="1:13" ht="14.45" customHeight="1" x14ac:dyDescent="0.2">
      <c r="A48" s="831" t="s">
        <v>1043</v>
      </c>
      <c r="B48" s="832" t="s">
        <v>1014</v>
      </c>
      <c r="C48" s="832" t="s">
        <v>1196</v>
      </c>
      <c r="D48" s="832" t="s">
        <v>1197</v>
      </c>
      <c r="E48" s="832" t="s">
        <v>1198</v>
      </c>
      <c r="F48" s="849"/>
      <c r="G48" s="849"/>
      <c r="H48" s="837">
        <v>0</v>
      </c>
      <c r="I48" s="849">
        <v>36</v>
      </c>
      <c r="J48" s="849">
        <v>94894.920000000013</v>
      </c>
      <c r="K48" s="837">
        <v>1</v>
      </c>
      <c r="L48" s="849">
        <v>36</v>
      </c>
      <c r="M48" s="850">
        <v>94894.920000000013</v>
      </c>
    </row>
    <row r="49" spans="1:13" ht="14.45" customHeight="1" x14ac:dyDescent="0.2">
      <c r="A49" s="831" t="s">
        <v>1043</v>
      </c>
      <c r="B49" s="832" t="s">
        <v>1014</v>
      </c>
      <c r="C49" s="832" t="s">
        <v>1278</v>
      </c>
      <c r="D49" s="832" t="s">
        <v>1279</v>
      </c>
      <c r="E49" s="832" t="s">
        <v>1114</v>
      </c>
      <c r="F49" s="849"/>
      <c r="G49" s="849"/>
      <c r="H49" s="837">
        <v>0</v>
      </c>
      <c r="I49" s="849">
        <v>3</v>
      </c>
      <c r="J49" s="849">
        <v>884.43000000000006</v>
      </c>
      <c r="K49" s="837">
        <v>1</v>
      </c>
      <c r="L49" s="849">
        <v>3</v>
      </c>
      <c r="M49" s="850">
        <v>884.43000000000006</v>
      </c>
    </row>
    <row r="50" spans="1:13" ht="14.45" customHeight="1" x14ac:dyDescent="0.2">
      <c r="A50" s="831" t="s">
        <v>1043</v>
      </c>
      <c r="B50" s="832" t="s">
        <v>1014</v>
      </c>
      <c r="C50" s="832" t="s">
        <v>1112</v>
      </c>
      <c r="D50" s="832" t="s">
        <v>1113</v>
      </c>
      <c r="E50" s="832" t="s">
        <v>1114</v>
      </c>
      <c r="F50" s="849"/>
      <c r="G50" s="849"/>
      <c r="H50" s="837">
        <v>0</v>
      </c>
      <c r="I50" s="849">
        <v>68</v>
      </c>
      <c r="J50" s="849">
        <v>20047.079999999998</v>
      </c>
      <c r="K50" s="837">
        <v>1</v>
      </c>
      <c r="L50" s="849">
        <v>68</v>
      </c>
      <c r="M50" s="850">
        <v>20047.079999999998</v>
      </c>
    </row>
    <row r="51" spans="1:13" ht="14.45" customHeight="1" x14ac:dyDescent="0.2">
      <c r="A51" s="831" t="s">
        <v>1043</v>
      </c>
      <c r="B51" s="832" t="s">
        <v>1014</v>
      </c>
      <c r="C51" s="832" t="s">
        <v>1280</v>
      </c>
      <c r="D51" s="832" t="s">
        <v>1281</v>
      </c>
      <c r="E51" s="832" t="s">
        <v>1114</v>
      </c>
      <c r="F51" s="849">
        <v>1</v>
      </c>
      <c r="G51" s="849">
        <v>294.81</v>
      </c>
      <c r="H51" s="837">
        <v>1</v>
      </c>
      <c r="I51" s="849"/>
      <c r="J51" s="849"/>
      <c r="K51" s="837">
        <v>0</v>
      </c>
      <c r="L51" s="849">
        <v>1</v>
      </c>
      <c r="M51" s="850">
        <v>294.81</v>
      </c>
    </row>
    <row r="52" spans="1:13" ht="14.45" customHeight="1" x14ac:dyDescent="0.2">
      <c r="A52" s="831" t="s">
        <v>1044</v>
      </c>
      <c r="B52" s="832" t="s">
        <v>1014</v>
      </c>
      <c r="C52" s="832" t="s">
        <v>1196</v>
      </c>
      <c r="D52" s="832" t="s">
        <v>1197</v>
      </c>
      <c r="E52" s="832" t="s">
        <v>1198</v>
      </c>
      <c r="F52" s="849"/>
      <c r="G52" s="849"/>
      <c r="H52" s="837">
        <v>0</v>
      </c>
      <c r="I52" s="849">
        <v>6</v>
      </c>
      <c r="J52" s="849">
        <v>15815.82</v>
      </c>
      <c r="K52" s="837">
        <v>1</v>
      </c>
      <c r="L52" s="849">
        <v>6</v>
      </c>
      <c r="M52" s="850">
        <v>15815.82</v>
      </c>
    </row>
    <row r="53" spans="1:13" ht="14.45" customHeight="1" x14ac:dyDescent="0.2">
      <c r="A53" s="831" t="s">
        <v>1044</v>
      </c>
      <c r="B53" s="832" t="s">
        <v>1014</v>
      </c>
      <c r="C53" s="832" t="s">
        <v>1112</v>
      </c>
      <c r="D53" s="832" t="s">
        <v>1113</v>
      </c>
      <c r="E53" s="832" t="s">
        <v>1114</v>
      </c>
      <c r="F53" s="849"/>
      <c r="G53" s="849"/>
      <c r="H53" s="837">
        <v>0</v>
      </c>
      <c r="I53" s="849">
        <v>12</v>
      </c>
      <c r="J53" s="849">
        <v>3537.7200000000003</v>
      </c>
      <c r="K53" s="837">
        <v>1</v>
      </c>
      <c r="L53" s="849">
        <v>12</v>
      </c>
      <c r="M53" s="850">
        <v>3537.7200000000003</v>
      </c>
    </row>
    <row r="54" spans="1:13" ht="14.45" customHeight="1" x14ac:dyDescent="0.2">
      <c r="A54" s="831" t="s">
        <v>1045</v>
      </c>
      <c r="B54" s="832" t="s">
        <v>957</v>
      </c>
      <c r="C54" s="832" t="s">
        <v>1330</v>
      </c>
      <c r="D54" s="832" t="s">
        <v>1331</v>
      </c>
      <c r="E54" s="832" t="s">
        <v>1332</v>
      </c>
      <c r="F54" s="849"/>
      <c r="G54" s="849"/>
      <c r="H54" s="837">
        <v>0</v>
      </c>
      <c r="I54" s="849">
        <v>1</v>
      </c>
      <c r="J54" s="849">
        <v>42.51</v>
      </c>
      <c r="K54" s="837">
        <v>1</v>
      </c>
      <c r="L54" s="849">
        <v>1</v>
      </c>
      <c r="M54" s="850">
        <v>42.51</v>
      </c>
    </row>
    <row r="55" spans="1:13" ht="14.45" customHeight="1" x14ac:dyDescent="0.2">
      <c r="A55" s="831" t="s">
        <v>1045</v>
      </c>
      <c r="B55" s="832" t="s">
        <v>945</v>
      </c>
      <c r="C55" s="832" t="s">
        <v>1312</v>
      </c>
      <c r="D55" s="832" t="s">
        <v>1313</v>
      </c>
      <c r="E55" s="832" t="s">
        <v>1314</v>
      </c>
      <c r="F55" s="849"/>
      <c r="G55" s="849"/>
      <c r="H55" s="837">
        <v>0</v>
      </c>
      <c r="I55" s="849">
        <v>2</v>
      </c>
      <c r="J55" s="849">
        <v>170.54</v>
      </c>
      <c r="K55" s="837">
        <v>1</v>
      </c>
      <c r="L55" s="849">
        <v>2</v>
      </c>
      <c r="M55" s="850">
        <v>170.54</v>
      </c>
    </row>
    <row r="56" spans="1:13" ht="14.45" customHeight="1" x14ac:dyDescent="0.2">
      <c r="A56" s="831" t="s">
        <v>1045</v>
      </c>
      <c r="B56" s="832" t="s">
        <v>994</v>
      </c>
      <c r="C56" s="832" t="s">
        <v>1357</v>
      </c>
      <c r="D56" s="832" t="s">
        <v>821</v>
      </c>
      <c r="E56" s="832" t="s">
        <v>1256</v>
      </c>
      <c r="F56" s="849"/>
      <c r="G56" s="849"/>
      <c r="H56" s="837"/>
      <c r="I56" s="849">
        <v>1</v>
      </c>
      <c r="J56" s="849">
        <v>0</v>
      </c>
      <c r="K56" s="837"/>
      <c r="L56" s="849">
        <v>1</v>
      </c>
      <c r="M56" s="850">
        <v>0</v>
      </c>
    </row>
    <row r="57" spans="1:13" ht="14.45" customHeight="1" x14ac:dyDescent="0.2">
      <c r="A57" s="831" t="s">
        <v>1045</v>
      </c>
      <c r="B57" s="832" t="s">
        <v>1014</v>
      </c>
      <c r="C57" s="832" t="s">
        <v>1112</v>
      </c>
      <c r="D57" s="832" t="s">
        <v>1113</v>
      </c>
      <c r="E57" s="832" t="s">
        <v>1114</v>
      </c>
      <c r="F57" s="849"/>
      <c r="G57" s="849"/>
      <c r="H57" s="837">
        <v>0</v>
      </c>
      <c r="I57" s="849">
        <v>5</v>
      </c>
      <c r="J57" s="849">
        <v>1474.05</v>
      </c>
      <c r="K57" s="837">
        <v>1</v>
      </c>
      <c r="L57" s="849">
        <v>5</v>
      </c>
      <c r="M57" s="850">
        <v>1474.05</v>
      </c>
    </row>
    <row r="58" spans="1:13" ht="14.45" customHeight="1" x14ac:dyDescent="0.2">
      <c r="A58" s="831" t="s">
        <v>1046</v>
      </c>
      <c r="B58" s="832" t="s">
        <v>1014</v>
      </c>
      <c r="C58" s="832" t="s">
        <v>1278</v>
      </c>
      <c r="D58" s="832" t="s">
        <v>1279</v>
      </c>
      <c r="E58" s="832" t="s">
        <v>1114</v>
      </c>
      <c r="F58" s="849"/>
      <c r="G58" s="849"/>
      <c r="H58" s="837">
        <v>0</v>
      </c>
      <c r="I58" s="849">
        <v>1</v>
      </c>
      <c r="J58" s="849">
        <v>294.81</v>
      </c>
      <c r="K58" s="837">
        <v>1</v>
      </c>
      <c r="L58" s="849">
        <v>1</v>
      </c>
      <c r="M58" s="850">
        <v>294.81</v>
      </c>
    </row>
    <row r="59" spans="1:13" ht="14.45" customHeight="1" x14ac:dyDescent="0.2">
      <c r="A59" s="831" t="s">
        <v>1046</v>
      </c>
      <c r="B59" s="832" t="s">
        <v>1014</v>
      </c>
      <c r="C59" s="832" t="s">
        <v>1112</v>
      </c>
      <c r="D59" s="832" t="s">
        <v>1113</v>
      </c>
      <c r="E59" s="832" t="s">
        <v>1114</v>
      </c>
      <c r="F59" s="849"/>
      <c r="G59" s="849"/>
      <c r="H59" s="837">
        <v>0</v>
      </c>
      <c r="I59" s="849">
        <v>1</v>
      </c>
      <c r="J59" s="849">
        <v>294.81</v>
      </c>
      <c r="K59" s="837">
        <v>1</v>
      </c>
      <c r="L59" s="849">
        <v>1</v>
      </c>
      <c r="M59" s="850">
        <v>294.81</v>
      </c>
    </row>
    <row r="60" spans="1:13" ht="14.45" customHeight="1" x14ac:dyDescent="0.2">
      <c r="A60" s="831" t="s">
        <v>1047</v>
      </c>
      <c r="B60" s="832" t="s">
        <v>1014</v>
      </c>
      <c r="C60" s="832" t="s">
        <v>1180</v>
      </c>
      <c r="D60" s="832" t="s">
        <v>1181</v>
      </c>
      <c r="E60" s="832" t="s">
        <v>1182</v>
      </c>
      <c r="F60" s="849"/>
      <c r="G60" s="849"/>
      <c r="H60" s="837">
        <v>0</v>
      </c>
      <c r="I60" s="849">
        <v>332</v>
      </c>
      <c r="J60" s="849">
        <v>23993.64</v>
      </c>
      <c r="K60" s="837">
        <v>1</v>
      </c>
      <c r="L60" s="849">
        <v>332</v>
      </c>
      <c r="M60" s="850">
        <v>23993.64</v>
      </c>
    </row>
    <row r="61" spans="1:13" ht="14.45" customHeight="1" x14ac:dyDescent="0.2">
      <c r="A61" s="831" t="s">
        <v>1047</v>
      </c>
      <c r="B61" s="832" t="s">
        <v>1014</v>
      </c>
      <c r="C61" s="832" t="s">
        <v>1185</v>
      </c>
      <c r="D61" s="832" t="s">
        <v>1186</v>
      </c>
      <c r="E61" s="832" t="s">
        <v>1182</v>
      </c>
      <c r="F61" s="849"/>
      <c r="G61" s="849"/>
      <c r="H61" s="837">
        <v>0</v>
      </c>
      <c r="I61" s="849">
        <v>33</v>
      </c>
      <c r="J61" s="849">
        <v>2384.91</v>
      </c>
      <c r="K61" s="837">
        <v>1</v>
      </c>
      <c r="L61" s="849">
        <v>33</v>
      </c>
      <c r="M61" s="850">
        <v>2384.91</v>
      </c>
    </row>
    <row r="62" spans="1:13" ht="14.45" customHeight="1" x14ac:dyDescent="0.2">
      <c r="A62" s="831" t="s">
        <v>1047</v>
      </c>
      <c r="B62" s="832" t="s">
        <v>1014</v>
      </c>
      <c r="C62" s="832" t="s">
        <v>1183</v>
      </c>
      <c r="D62" s="832" t="s">
        <v>1184</v>
      </c>
      <c r="E62" s="832" t="s">
        <v>1182</v>
      </c>
      <c r="F62" s="849"/>
      <c r="G62" s="849"/>
      <c r="H62" s="837">
        <v>0</v>
      </c>
      <c r="I62" s="849">
        <v>33</v>
      </c>
      <c r="J62" s="849">
        <v>2384.91</v>
      </c>
      <c r="K62" s="837">
        <v>1</v>
      </c>
      <c r="L62" s="849">
        <v>33</v>
      </c>
      <c r="M62" s="850">
        <v>2384.91</v>
      </c>
    </row>
    <row r="63" spans="1:13" ht="14.45" customHeight="1" x14ac:dyDescent="0.2">
      <c r="A63" s="831" t="s">
        <v>1047</v>
      </c>
      <c r="B63" s="832" t="s">
        <v>1014</v>
      </c>
      <c r="C63" s="832" t="s">
        <v>1187</v>
      </c>
      <c r="D63" s="832" t="s">
        <v>1188</v>
      </c>
      <c r="E63" s="832" t="s">
        <v>1182</v>
      </c>
      <c r="F63" s="849"/>
      <c r="G63" s="849"/>
      <c r="H63" s="837">
        <v>0</v>
      </c>
      <c r="I63" s="849">
        <v>33</v>
      </c>
      <c r="J63" s="849">
        <v>2384.91</v>
      </c>
      <c r="K63" s="837">
        <v>1</v>
      </c>
      <c r="L63" s="849">
        <v>33</v>
      </c>
      <c r="M63" s="850">
        <v>2384.91</v>
      </c>
    </row>
    <row r="64" spans="1:13" ht="14.45" customHeight="1" x14ac:dyDescent="0.2">
      <c r="A64" s="831" t="s">
        <v>1047</v>
      </c>
      <c r="B64" s="832" t="s">
        <v>1014</v>
      </c>
      <c r="C64" s="832" t="s">
        <v>1189</v>
      </c>
      <c r="D64" s="832" t="s">
        <v>1190</v>
      </c>
      <c r="E64" s="832" t="s">
        <v>1182</v>
      </c>
      <c r="F64" s="849"/>
      <c r="G64" s="849"/>
      <c r="H64" s="837">
        <v>0</v>
      </c>
      <c r="I64" s="849">
        <v>239</v>
      </c>
      <c r="J64" s="849">
        <v>17272.53</v>
      </c>
      <c r="K64" s="837">
        <v>1</v>
      </c>
      <c r="L64" s="849">
        <v>239</v>
      </c>
      <c r="M64" s="850">
        <v>17272.53</v>
      </c>
    </row>
    <row r="65" spans="1:13" ht="14.45" customHeight="1" x14ac:dyDescent="0.2">
      <c r="A65" s="831" t="s">
        <v>1047</v>
      </c>
      <c r="B65" s="832" t="s">
        <v>1014</v>
      </c>
      <c r="C65" s="832" t="s">
        <v>1194</v>
      </c>
      <c r="D65" s="832" t="s">
        <v>1195</v>
      </c>
      <c r="E65" s="832" t="s">
        <v>1193</v>
      </c>
      <c r="F65" s="849"/>
      <c r="G65" s="849"/>
      <c r="H65" s="837">
        <v>0</v>
      </c>
      <c r="I65" s="849">
        <v>8</v>
      </c>
      <c r="J65" s="849">
        <v>1084.32</v>
      </c>
      <c r="K65" s="837">
        <v>1</v>
      </c>
      <c r="L65" s="849">
        <v>8</v>
      </c>
      <c r="M65" s="850">
        <v>1084.32</v>
      </c>
    </row>
    <row r="66" spans="1:13" ht="14.45" customHeight="1" x14ac:dyDescent="0.2">
      <c r="A66" s="831" t="s">
        <v>1047</v>
      </c>
      <c r="B66" s="832" t="s">
        <v>1014</v>
      </c>
      <c r="C66" s="832" t="s">
        <v>1191</v>
      </c>
      <c r="D66" s="832" t="s">
        <v>1192</v>
      </c>
      <c r="E66" s="832" t="s">
        <v>1193</v>
      </c>
      <c r="F66" s="849"/>
      <c r="G66" s="849"/>
      <c r="H66" s="837">
        <v>0</v>
      </c>
      <c r="I66" s="849">
        <v>8</v>
      </c>
      <c r="J66" s="849">
        <v>1084.32</v>
      </c>
      <c r="K66" s="837">
        <v>1</v>
      </c>
      <c r="L66" s="849">
        <v>8</v>
      </c>
      <c r="M66" s="850">
        <v>1084.32</v>
      </c>
    </row>
    <row r="67" spans="1:13" ht="14.45" customHeight="1" x14ac:dyDescent="0.2">
      <c r="A67" s="831" t="s">
        <v>1047</v>
      </c>
      <c r="B67" s="832" t="s">
        <v>1014</v>
      </c>
      <c r="C67" s="832" t="s">
        <v>1196</v>
      </c>
      <c r="D67" s="832" t="s">
        <v>1197</v>
      </c>
      <c r="E67" s="832" t="s">
        <v>1198</v>
      </c>
      <c r="F67" s="849"/>
      <c r="G67" s="849"/>
      <c r="H67" s="837">
        <v>0</v>
      </c>
      <c r="I67" s="849">
        <v>37</v>
      </c>
      <c r="J67" s="849">
        <v>97530.889999999985</v>
      </c>
      <c r="K67" s="837">
        <v>1</v>
      </c>
      <c r="L67" s="849">
        <v>37</v>
      </c>
      <c r="M67" s="850">
        <v>97530.889999999985</v>
      </c>
    </row>
    <row r="68" spans="1:13" ht="14.45" customHeight="1" x14ac:dyDescent="0.2">
      <c r="A68" s="831" t="s">
        <v>1047</v>
      </c>
      <c r="B68" s="832" t="s">
        <v>1014</v>
      </c>
      <c r="C68" s="832" t="s">
        <v>1112</v>
      </c>
      <c r="D68" s="832" t="s">
        <v>1113</v>
      </c>
      <c r="E68" s="832" t="s">
        <v>1114</v>
      </c>
      <c r="F68" s="849"/>
      <c r="G68" s="849"/>
      <c r="H68" s="837">
        <v>0</v>
      </c>
      <c r="I68" s="849">
        <v>9</v>
      </c>
      <c r="J68" s="849">
        <v>2653.29</v>
      </c>
      <c r="K68" s="837">
        <v>1</v>
      </c>
      <c r="L68" s="849">
        <v>9</v>
      </c>
      <c r="M68" s="850">
        <v>2653.29</v>
      </c>
    </row>
    <row r="69" spans="1:13" ht="14.45" customHeight="1" thickBot="1" x14ac:dyDescent="0.25">
      <c r="A69" s="839" t="s">
        <v>1048</v>
      </c>
      <c r="B69" s="840" t="s">
        <v>1014</v>
      </c>
      <c r="C69" s="840" t="s">
        <v>1112</v>
      </c>
      <c r="D69" s="840" t="s">
        <v>1113</v>
      </c>
      <c r="E69" s="840" t="s">
        <v>1114</v>
      </c>
      <c r="F69" s="851"/>
      <c r="G69" s="851"/>
      <c r="H69" s="845">
        <v>0</v>
      </c>
      <c r="I69" s="851">
        <v>3</v>
      </c>
      <c r="J69" s="851">
        <v>884.43000000000006</v>
      </c>
      <c r="K69" s="845">
        <v>1</v>
      </c>
      <c r="L69" s="851">
        <v>3</v>
      </c>
      <c r="M69" s="852">
        <v>884.43000000000006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82CC8DB0-2815-4BB4-8819-E08622BCE7C5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5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330" customWidth="1"/>
    <col min="2" max="2" width="61.140625" style="330" customWidth="1"/>
    <col min="3" max="3" width="9.5703125" style="247" hidden="1" customWidth="1" outlineLevel="1"/>
    <col min="4" max="4" width="9.5703125" style="331" customWidth="1" collapsed="1"/>
    <col min="5" max="5" width="2.28515625" style="331" customWidth="1"/>
    <col min="6" max="6" width="9.5703125" style="332" customWidth="1"/>
    <col min="7" max="7" width="9.5703125" style="329" customWidth="1"/>
    <col min="8" max="9" width="9.5703125" style="247" customWidth="1"/>
    <col min="10" max="10" width="0" style="247" hidden="1" customWidth="1"/>
    <col min="11" max="16384" width="8.85546875" style="247"/>
  </cols>
  <sheetData>
    <row r="1" spans="1:10" ht="18.600000000000001" customHeight="1" thickBot="1" x14ac:dyDescent="0.35">
      <c r="A1" s="542" t="s">
        <v>177</v>
      </c>
      <c r="B1" s="543"/>
      <c r="C1" s="543"/>
      <c r="D1" s="543"/>
      <c r="E1" s="543"/>
      <c r="F1" s="543"/>
      <c r="G1" s="513"/>
      <c r="H1" s="544"/>
      <c r="I1" s="544"/>
    </row>
    <row r="2" spans="1:10" ht="14.45" customHeight="1" thickBot="1" x14ac:dyDescent="0.25">
      <c r="A2" s="371" t="s">
        <v>328</v>
      </c>
      <c r="B2" s="328"/>
      <c r="C2" s="328"/>
      <c r="D2" s="328"/>
      <c r="E2" s="328"/>
      <c r="F2" s="328"/>
    </row>
    <row r="3" spans="1:10" ht="14.45" customHeight="1" thickBot="1" x14ac:dyDescent="0.25">
      <c r="A3" s="371"/>
      <c r="B3" s="437"/>
      <c r="C3" s="377">
        <v>2015</v>
      </c>
      <c r="D3" s="378">
        <v>2018</v>
      </c>
      <c r="E3" s="11"/>
      <c r="F3" s="521">
        <v>2019</v>
      </c>
      <c r="G3" s="539"/>
      <c r="H3" s="539"/>
      <c r="I3" s="522"/>
    </row>
    <row r="4" spans="1:10" ht="14.45" customHeight="1" thickBot="1" x14ac:dyDescent="0.25">
      <c r="A4" s="382" t="s">
        <v>0</v>
      </c>
      <c r="B4" s="383" t="s">
        <v>239</v>
      </c>
      <c r="C4" s="540" t="s">
        <v>93</v>
      </c>
      <c r="D4" s="541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5" customHeight="1" x14ac:dyDescent="0.2">
      <c r="A5" s="729" t="s">
        <v>570</v>
      </c>
      <c r="B5" s="730" t="s">
        <v>571</v>
      </c>
      <c r="C5" s="731" t="s">
        <v>572</v>
      </c>
      <c r="D5" s="731" t="s">
        <v>572</v>
      </c>
      <c r="E5" s="731"/>
      <c r="F5" s="731" t="s">
        <v>572</v>
      </c>
      <c r="G5" s="731" t="s">
        <v>572</v>
      </c>
      <c r="H5" s="731" t="s">
        <v>572</v>
      </c>
      <c r="I5" s="732" t="s">
        <v>572</v>
      </c>
      <c r="J5" s="733" t="s">
        <v>73</v>
      </c>
    </row>
    <row r="6" spans="1:10" ht="14.45" customHeight="1" x14ac:dyDescent="0.2">
      <c r="A6" s="729" t="s">
        <v>570</v>
      </c>
      <c r="B6" s="730" t="s">
        <v>1603</v>
      </c>
      <c r="C6" s="731">
        <v>400.35412000000002</v>
      </c>
      <c r="D6" s="731">
        <v>433.74094000000002</v>
      </c>
      <c r="E6" s="731"/>
      <c r="F6" s="731">
        <v>452.93918999999994</v>
      </c>
      <c r="G6" s="731">
        <v>476.64998437500003</v>
      </c>
      <c r="H6" s="731">
        <v>-23.710794375000091</v>
      </c>
      <c r="I6" s="732">
        <v>0.95025533378315219</v>
      </c>
      <c r="J6" s="733" t="s">
        <v>1</v>
      </c>
    </row>
    <row r="7" spans="1:10" ht="14.45" customHeight="1" x14ac:dyDescent="0.2">
      <c r="A7" s="729" t="s">
        <v>570</v>
      </c>
      <c r="B7" s="730" t="s">
        <v>1604</v>
      </c>
      <c r="C7" s="731">
        <v>156.51785000000001</v>
      </c>
      <c r="D7" s="731">
        <v>160.84650000000008</v>
      </c>
      <c r="E7" s="731"/>
      <c r="F7" s="731">
        <v>137.96558000000002</v>
      </c>
      <c r="G7" s="731">
        <v>161.2500078125</v>
      </c>
      <c r="H7" s="731">
        <v>-23.284427812499985</v>
      </c>
      <c r="I7" s="732">
        <v>0.8556004546705207</v>
      </c>
      <c r="J7" s="733" t="s">
        <v>1</v>
      </c>
    </row>
    <row r="8" spans="1:10" ht="14.45" customHeight="1" x14ac:dyDescent="0.2">
      <c r="A8" s="729" t="s">
        <v>570</v>
      </c>
      <c r="B8" s="730" t="s">
        <v>1605</v>
      </c>
      <c r="C8" s="731">
        <v>2330.6429200000002</v>
      </c>
      <c r="D8" s="731">
        <v>1977.1347899999992</v>
      </c>
      <c r="E8" s="731"/>
      <c r="F8" s="731">
        <v>1954.6970399999998</v>
      </c>
      <c r="G8" s="731">
        <v>2175.0000618133545</v>
      </c>
      <c r="H8" s="731">
        <v>-220.30302181335469</v>
      </c>
      <c r="I8" s="732">
        <v>0.89871125721730682</v>
      </c>
      <c r="J8" s="733" t="s">
        <v>1</v>
      </c>
    </row>
    <row r="9" spans="1:10" ht="14.45" customHeight="1" x14ac:dyDescent="0.2">
      <c r="A9" s="729" t="s">
        <v>570</v>
      </c>
      <c r="B9" s="730" t="s">
        <v>1606</v>
      </c>
      <c r="C9" s="731">
        <v>28.048739999999995</v>
      </c>
      <c r="D9" s="731">
        <v>27.897870000000001</v>
      </c>
      <c r="E9" s="731"/>
      <c r="F9" s="731">
        <v>17.343309999999999</v>
      </c>
      <c r="G9" s="731">
        <v>29.999999023437503</v>
      </c>
      <c r="H9" s="731">
        <v>-12.656689023437504</v>
      </c>
      <c r="I9" s="732">
        <v>0.57811035215202955</v>
      </c>
      <c r="J9" s="733" t="s">
        <v>1</v>
      </c>
    </row>
    <row r="10" spans="1:10" ht="14.45" customHeight="1" x14ac:dyDescent="0.2">
      <c r="A10" s="729" t="s">
        <v>570</v>
      </c>
      <c r="B10" s="730" t="s">
        <v>1607</v>
      </c>
      <c r="C10" s="731">
        <v>3.5893800000000002</v>
      </c>
      <c r="D10" s="731">
        <v>4.7858400000000003</v>
      </c>
      <c r="E10" s="731"/>
      <c r="F10" s="731">
        <v>2.3929200000000002</v>
      </c>
      <c r="G10" s="731">
        <v>7.5</v>
      </c>
      <c r="H10" s="731">
        <v>-5.1070799999999998</v>
      </c>
      <c r="I10" s="732">
        <v>0.31905600000000001</v>
      </c>
      <c r="J10" s="733" t="s">
        <v>1</v>
      </c>
    </row>
    <row r="11" spans="1:10" ht="14.45" customHeight="1" x14ac:dyDescent="0.2">
      <c r="A11" s="729" t="s">
        <v>570</v>
      </c>
      <c r="B11" s="730" t="s">
        <v>1608</v>
      </c>
      <c r="C11" s="731">
        <v>6.1611600000000006</v>
      </c>
      <c r="D11" s="731">
        <v>4.4461500000000003</v>
      </c>
      <c r="E11" s="731"/>
      <c r="F11" s="731">
        <v>3.3037900000000002</v>
      </c>
      <c r="G11" s="731">
        <v>7.499999877929687</v>
      </c>
      <c r="H11" s="731">
        <v>-4.1962098779296868</v>
      </c>
      <c r="I11" s="732">
        <v>0.44050534050301665</v>
      </c>
      <c r="J11" s="733" t="s">
        <v>1</v>
      </c>
    </row>
    <row r="12" spans="1:10" ht="14.45" customHeight="1" x14ac:dyDescent="0.2">
      <c r="A12" s="729" t="s">
        <v>570</v>
      </c>
      <c r="B12" s="730" t="s">
        <v>1609</v>
      </c>
      <c r="C12" s="731">
        <v>122.16933999999999</v>
      </c>
      <c r="D12" s="731">
        <v>109.73738</v>
      </c>
      <c r="E12" s="731"/>
      <c r="F12" s="731">
        <v>114.82474000000002</v>
      </c>
      <c r="G12" s="731">
        <v>119.99999978637695</v>
      </c>
      <c r="H12" s="731">
        <v>-5.1752597863769267</v>
      </c>
      <c r="I12" s="732">
        <v>0.95687283503675102</v>
      </c>
      <c r="J12" s="733" t="s">
        <v>1</v>
      </c>
    </row>
    <row r="13" spans="1:10" ht="14.45" customHeight="1" x14ac:dyDescent="0.2">
      <c r="A13" s="729" t="s">
        <v>570</v>
      </c>
      <c r="B13" s="730" t="s">
        <v>1610</v>
      </c>
      <c r="C13" s="731">
        <v>93.797169999999994</v>
      </c>
      <c r="D13" s="731">
        <v>132.32066999999998</v>
      </c>
      <c r="E13" s="731"/>
      <c r="F13" s="731">
        <v>178.1362</v>
      </c>
      <c r="G13" s="731">
        <v>135</v>
      </c>
      <c r="H13" s="731">
        <v>43.136200000000002</v>
      </c>
      <c r="I13" s="732">
        <v>1.3195274074074075</v>
      </c>
      <c r="J13" s="733" t="s">
        <v>1</v>
      </c>
    </row>
    <row r="14" spans="1:10" ht="14.45" customHeight="1" x14ac:dyDescent="0.2">
      <c r="A14" s="729" t="s">
        <v>570</v>
      </c>
      <c r="B14" s="730" t="s">
        <v>1611</v>
      </c>
      <c r="C14" s="731">
        <v>205.30107999999998</v>
      </c>
      <c r="D14" s="731">
        <v>219.16443999999996</v>
      </c>
      <c r="E14" s="731"/>
      <c r="F14" s="731">
        <v>160.37563999999998</v>
      </c>
      <c r="G14" s="731">
        <v>225.0000153808594</v>
      </c>
      <c r="H14" s="731">
        <v>-64.624375380859419</v>
      </c>
      <c r="I14" s="732">
        <v>0.71278057349698754</v>
      </c>
      <c r="J14" s="733" t="s">
        <v>1</v>
      </c>
    </row>
    <row r="15" spans="1:10" ht="14.45" customHeight="1" x14ac:dyDescent="0.2">
      <c r="A15" s="729" t="s">
        <v>570</v>
      </c>
      <c r="B15" s="730" t="s">
        <v>583</v>
      </c>
      <c r="C15" s="731">
        <v>3346.5817600000005</v>
      </c>
      <c r="D15" s="731">
        <v>3070.0745799999995</v>
      </c>
      <c r="E15" s="731"/>
      <c r="F15" s="731">
        <v>3021.9784099999997</v>
      </c>
      <c r="G15" s="731">
        <v>3337.900068069458</v>
      </c>
      <c r="H15" s="731">
        <v>-315.92165806945832</v>
      </c>
      <c r="I15" s="732">
        <v>0.90535317066811472</v>
      </c>
      <c r="J15" s="733" t="s">
        <v>584</v>
      </c>
    </row>
    <row r="17" spans="1:10" ht="14.45" customHeight="1" x14ac:dyDescent="0.2">
      <c r="A17" s="729" t="s">
        <v>570</v>
      </c>
      <c r="B17" s="730" t="s">
        <v>571</v>
      </c>
      <c r="C17" s="731" t="s">
        <v>572</v>
      </c>
      <c r="D17" s="731" t="s">
        <v>572</v>
      </c>
      <c r="E17" s="731"/>
      <c r="F17" s="731" t="s">
        <v>572</v>
      </c>
      <c r="G17" s="731" t="s">
        <v>572</v>
      </c>
      <c r="H17" s="731" t="s">
        <v>572</v>
      </c>
      <c r="I17" s="732" t="s">
        <v>572</v>
      </c>
      <c r="J17" s="733" t="s">
        <v>73</v>
      </c>
    </row>
    <row r="18" spans="1:10" ht="14.45" customHeight="1" x14ac:dyDescent="0.2">
      <c r="A18" s="729" t="s">
        <v>585</v>
      </c>
      <c r="B18" s="730" t="s">
        <v>586</v>
      </c>
      <c r="C18" s="731" t="s">
        <v>572</v>
      </c>
      <c r="D18" s="731" t="s">
        <v>572</v>
      </c>
      <c r="E18" s="731"/>
      <c r="F18" s="731" t="s">
        <v>572</v>
      </c>
      <c r="G18" s="731" t="s">
        <v>572</v>
      </c>
      <c r="H18" s="731" t="s">
        <v>572</v>
      </c>
      <c r="I18" s="732" t="s">
        <v>572</v>
      </c>
      <c r="J18" s="733" t="s">
        <v>0</v>
      </c>
    </row>
    <row r="19" spans="1:10" ht="14.45" customHeight="1" x14ac:dyDescent="0.2">
      <c r="A19" s="729" t="s">
        <v>585</v>
      </c>
      <c r="B19" s="730" t="s">
        <v>1603</v>
      </c>
      <c r="C19" s="731">
        <v>94.878720000000001</v>
      </c>
      <c r="D19" s="731">
        <v>317.15289000000001</v>
      </c>
      <c r="E19" s="731"/>
      <c r="F19" s="731">
        <v>324.95283999999998</v>
      </c>
      <c r="G19" s="731">
        <v>351</v>
      </c>
      <c r="H19" s="731">
        <v>-26.047160000000019</v>
      </c>
      <c r="I19" s="732">
        <v>0.92579156695156695</v>
      </c>
      <c r="J19" s="733" t="s">
        <v>1</v>
      </c>
    </row>
    <row r="20" spans="1:10" ht="14.45" customHeight="1" x14ac:dyDescent="0.2">
      <c r="A20" s="729" t="s">
        <v>585</v>
      </c>
      <c r="B20" s="730" t="s">
        <v>1604</v>
      </c>
      <c r="C20" s="731">
        <v>29.706899999999994</v>
      </c>
      <c r="D20" s="731">
        <v>29.78679</v>
      </c>
      <c r="E20" s="731"/>
      <c r="F20" s="731">
        <v>27.438789999999997</v>
      </c>
      <c r="G20" s="731">
        <v>35</v>
      </c>
      <c r="H20" s="731">
        <v>-7.5612100000000027</v>
      </c>
      <c r="I20" s="732">
        <v>0.78396542857142848</v>
      </c>
      <c r="J20" s="733" t="s">
        <v>1</v>
      </c>
    </row>
    <row r="21" spans="1:10" ht="14.45" customHeight="1" x14ac:dyDescent="0.2">
      <c r="A21" s="729" t="s">
        <v>585</v>
      </c>
      <c r="B21" s="730" t="s">
        <v>1605</v>
      </c>
      <c r="C21" s="731">
        <v>233.81904000000003</v>
      </c>
      <c r="D21" s="731">
        <v>237.09578000000005</v>
      </c>
      <c r="E21" s="731"/>
      <c r="F21" s="731">
        <v>262.8296499999999</v>
      </c>
      <c r="G21" s="731">
        <v>273</v>
      </c>
      <c r="H21" s="731">
        <v>-10.170350000000099</v>
      </c>
      <c r="I21" s="732">
        <v>0.96274597069597034</v>
      </c>
      <c r="J21" s="733" t="s">
        <v>1</v>
      </c>
    </row>
    <row r="22" spans="1:10" ht="14.45" customHeight="1" x14ac:dyDescent="0.2">
      <c r="A22" s="729" t="s">
        <v>585</v>
      </c>
      <c r="B22" s="730" t="s">
        <v>1606</v>
      </c>
      <c r="C22" s="731">
        <v>0</v>
      </c>
      <c r="D22" s="731">
        <v>5.6143999999999998</v>
      </c>
      <c r="E22" s="731"/>
      <c r="F22" s="731">
        <v>0</v>
      </c>
      <c r="G22" s="731">
        <v>5</v>
      </c>
      <c r="H22" s="731">
        <v>-5</v>
      </c>
      <c r="I22" s="732">
        <v>0</v>
      </c>
      <c r="J22" s="733" t="s">
        <v>1</v>
      </c>
    </row>
    <row r="23" spans="1:10" ht="14.45" customHeight="1" x14ac:dyDescent="0.2">
      <c r="A23" s="729" t="s">
        <v>585</v>
      </c>
      <c r="B23" s="730" t="s">
        <v>1608</v>
      </c>
      <c r="C23" s="731">
        <v>0.746</v>
      </c>
      <c r="D23" s="731">
        <v>1.0401500000000001</v>
      </c>
      <c r="E23" s="731"/>
      <c r="F23" s="731">
        <v>0.44208000000000003</v>
      </c>
      <c r="G23" s="731">
        <v>2</v>
      </c>
      <c r="H23" s="731">
        <v>-1.55792</v>
      </c>
      <c r="I23" s="732">
        <v>0.22104000000000001</v>
      </c>
      <c r="J23" s="733" t="s">
        <v>1</v>
      </c>
    </row>
    <row r="24" spans="1:10" ht="14.45" customHeight="1" x14ac:dyDescent="0.2">
      <c r="A24" s="729" t="s">
        <v>585</v>
      </c>
      <c r="B24" s="730" t="s">
        <v>1609</v>
      </c>
      <c r="C24" s="731">
        <v>34.6374</v>
      </c>
      <c r="D24" s="731">
        <v>37.733400000000003</v>
      </c>
      <c r="E24" s="731"/>
      <c r="F24" s="731">
        <v>49.79992</v>
      </c>
      <c r="G24" s="731">
        <v>43</v>
      </c>
      <c r="H24" s="731">
        <v>6.7999200000000002</v>
      </c>
      <c r="I24" s="732">
        <v>1.1581376744186047</v>
      </c>
      <c r="J24" s="733" t="s">
        <v>1</v>
      </c>
    </row>
    <row r="25" spans="1:10" ht="14.45" customHeight="1" x14ac:dyDescent="0.2">
      <c r="A25" s="729" t="s">
        <v>585</v>
      </c>
      <c r="B25" s="730" t="s">
        <v>1611</v>
      </c>
      <c r="C25" s="731">
        <v>0.9788</v>
      </c>
      <c r="D25" s="731">
        <v>3.3069299999999999</v>
      </c>
      <c r="E25" s="731"/>
      <c r="F25" s="731">
        <v>0</v>
      </c>
      <c r="G25" s="731">
        <v>3</v>
      </c>
      <c r="H25" s="731">
        <v>-3</v>
      </c>
      <c r="I25" s="732">
        <v>0</v>
      </c>
      <c r="J25" s="733" t="s">
        <v>1</v>
      </c>
    </row>
    <row r="26" spans="1:10" ht="14.45" customHeight="1" x14ac:dyDescent="0.2">
      <c r="A26" s="729" t="s">
        <v>585</v>
      </c>
      <c r="B26" s="730" t="s">
        <v>587</v>
      </c>
      <c r="C26" s="731">
        <v>394.76686000000001</v>
      </c>
      <c r="D26" s="731">
        <v>631.73034000000007</v>
      </c>
      <c r="E26" s="731"/>
      <c r="F26" s="731">
        <v>665.46327999999994</v>
      </c>
      <c r="G26" s="731">
        <v>712</v>
      </c>
      <c r="H26" s="731">
        <v>-46.536720000000059</v>
      </c>
      <c r="I26" s="732">
        <v>0.93463943820224715</v>
      </c>
      <c r="J26" s="733" t="s">
        <v>588</v>
      </c>
    </row>
    <row r="27" spans="1:10" ht="14.45" customHeight="1" x14ac:dyDescent="0.2">
      <c r="A27" s="729" t="s">
        <v>572</v>
      </c>
      <c r="B27" s="730" t="s">
        <v>572</v>
      </c>
      <c r="C27" s="731" t="s">
        <v>572</v>
      </c>
      <c r="D27" s="731" t="s">
        <v>572</v>
      </c>
      <c r="E27" s="731"/>
      <c r="F27" s="731" t="s">
        <v>572</v>
      </c>
      <c r="G27" s="731" t="s">
        <v>572</v>
      </c>
      <c r="H27" s="731" t="s">
        <v>572</v>
      </c>
      <c r="I27" s="732" t="s">
        <v>572</v>
      </c>
      <c r="J27" s="733" t="s">
        <v>589</v>
      </c>
    </row>
    <row r="28" spans="1:10" ht="14.45" customHeight="1" x14ac:dyDescent="0.2">
      <c r="A28" s="729" t="s">
        <v>590</v>
      </c>
      <c r="B28" s="730" t="s">
        <v>591</v>
      </c>
      <c r="C28" s="731" t="s">
        <v>572</v>
      </c>
      <c r="D28" s="731" t="s">
        <v>572</v>
      </c>
      <c r="E28" s="731"/>
      <c r="F28" s="731" t="s">
        <v>572</v>
      </c>
      <c r="G28" s="731" t="s">
        <v>572</v>
      </c>
      <c r="H28" s="731" t="s">
        <v>572</v>
      </c>
      <c r="I28" s="732" t="s">
        <v>572</v>
      </c>
      <c r="J28" s="733" t="s">
        <v>0</v>
      </c>
    </row>
    <row r="29" spans="1:10" ht="14.45" customHeight="1" x14ac:dyDescent="0.2">
      <c r="A29" s="729" t="s">
        <v>590</v>
      </c>
      <c r="B29" s="730" t="s">
        <v>1603</v>
      </c>
      <c r="C29" s="731">
        <v>232.71449000000001</v>
      </c>
      <c r="D29" s="731">
        <v>0</v>
      </c>
      <c r="E29" s="731"/>
      <c r="F29" s="731">
        <v>0</v>
      </c>
      <c r="G29" s="731">
        <v>0</v>
      </c>
      <c r="H29" s="731">
        <v>0</v>
      </c>
      <c r="I29" s="732" t="s">
        <v>572</v>
      </c>
      <c r="J29" s="733" t="s">
        <v>1</v>
      </c>
    </row>
    <row r="30" spans="1:10" ht="14.45" customHeight="1" x14ac:dyDescent="0.2">
      <c r="A30" s="729" t="s">
        <v>590</v>
      </c>
      <c r="B30" s="730" t="s">
        <v>1604</v>
      </c>
      <c r="C30" s="731">
        <v>19.728519999999996</v>
      </c>
      <c r="D30" s="731">
        <v>0</v>
      </c>
      <c r="E30" s="731"/>
      <c r="F30" s="731">
        <v>0</v>
      </c>
      <c r="G30" s="731">
        <v>0</v>
      </c>
      <c r="H30" s="731">
        <v>0</v>
      </c>
      <c r="I30" s="732" t="s">
        <v>572</v>
      </c>
      <c r="J30" s="733" t="s">
        <v>1</v>
      </c>
    </row>
    <row r="31" spans="1:10" ht="14.45" customHeight="1" x14ac:dyDescent="0.2">
      <c r="A31" s="729" t="s">
        <v>590</v>
      </c>
      <c r="B31" s="730" t="s">
        <v>1605</v>
      </c>
      <c r="C31" s="731">
        <v>700.80113000000006</v>
      </c>
      <c r="D31" s="731">
        <v>0</v>
      </c>
      <c r="E31" s="731"/>
      <c r="F31" s="731">
        <v>0</v>
      </c>
      <c r="G31" s="731">
        <v>0</v>
      </c>
      <c r="H31" s="731">
        <v>0</v>
      </c>
      <c r="I31" s="732" t="s">
        <v>572</v>
      </c>
      <c r="J31" s="733" t="s">
        <v>1</v>
      </c>
    </row>
    <row r="32" spans="1:10" ht="14.45" customHeight="1" x14ac:dyDescent="0.2">
      <c r="A32" s="729" t="s">
        <v>590</v>
      </c>
      <c r="B32" s="730" t="s">
        <v>1608</v>
      </c>
      <c r="C32" s="731">
        <v>0.59344000000000008</v>
      </c>
      <c r="D32" s="731">
        <v>0</v>
      </c>
      <c r="E32" s="731"/>
      <c r="F32" s="731">
        <v>0</v>
      </c>
      <c r="G32" s="731">
        <v>0</v>
      </c>
      <c r="H32" s="731">
        <v>0</v>
      </c>
      <c r="I32" s="732" t="s">
        <v>572</v>
      </c>
      <c r="J32" s="733" t="s">
        <v>1</v>
      </c>
    </row>
    <row r="33" spans="1:10" ht="14.45" customHeight="1" x14ac:dyDescent="0.2">
      <c r="A33" s="729" t="s">
        <v>590</v>
      </c>
      <c r="B33" s="730" t="s">
        <v>1609</v>
      </c>
      <c r="C33" s="731">
        <v>20.3095</v>
      </c>
      <c r="D33" s="731">
        <v>0</v>
      </c>
      <c r="E33" s="731"/>
      <c r="F33" s="731">
        <v>0</v>
      </c>
      <c r="G33" s="731">
        <v>0</v>
      </c>
      <c r="H33" s="731">
        <v>0</v>
      </c>
      <c r="I33" s="732" t="s">
        <v>572</v>
      </c>
      <c r="J33" s="733" t="s">
        <v>1</v>
      </c>
    </row>
    <row r="34" spans="1:10" ht="14.45" customHeight="1" x14ac:dyDescent="0.2">
      <c r="A34" s="729" t="s">
        <v>590</v>
      </c>
      <c r="B34" s="730" t="s">
        <v>592</v>
      </c>
      <c r="C34" s="731">
        <v>974.14707999999996</v>
      </c>
      <c r="D34" s="731">
        <v>0</v>
      </c>
      <c r="E34" s="731"/>
      <c r="F34" s="731">
        <v>0</v>
      </c>
      <c r="G34" s="731">
        <v>0</v>
      </c>
      <c r="H34" s="731">
        <v>0</v>
      </c>
      <c r="I34" s="732" t="s">
        <v>572</v>
      </c>
      <c r="J34" s="733" t="s">
        <v>588</v>
      </c>
    </row>
    <row r="35" spans="1:10" ht="14.45" customHeight="1" x14ac:dyDescent="0.2">
      <c r="A35" s="729" t="s">
        <v>572</v>
      </c>
      <c r="B35" s="730" t="s">
        <v>572</v>
      </c>
      <c r="C35" s="731" t="s">
        <v>572</v>
      </c>
      <c r="D35" s="731" t="s">
        <v>572</v>
      </c>
      <c r="E35" s="731"/>
      <c r="F35" s="731" t="s">
        <v>572</v>
      </c>
      <c r="G35" s="731" t="s">
        <v>572</v>
      </c>
      <c r="H35" s="731" t="s">
        <v>572</v>
      </c>
      <c r="I35" s="732" t="s">
        <v>572</v>
      </c>
      <c r="J35" s="733" t="s">
        <v>589</v>
      </c>
    </row>
    <row r="36" spans="1:10" ht="14.45" customHeight="1" x14ac:dyDescent="0.2">
      <c r="A36" s="729" t="s">
        <v>593</v>
      </c>
      <c r="B36" s="730" t="s">
        <v>594</v>
      </c>
      <c r="C36" s="731" t="s">
        <v>572</v>
      </c>
      <c r="D36" s="731" t="s">
        <v>572</v>
      </c>
      <c r="E36" s="731"/>
      <c r="F36" s="731" t="s">
        <v>572</v>
      </c>
      <c r="G36" s="731" t="s">
        <v>572</v>
      </c>
      <c r="H36" s="731" t="s">
        <v>572</v>
      </c>
      <c r="I36" s="732" t="s">
        <v>572</v>
      </c>
      <c r="J36" s="733" t="s">
        <v>0</v>
      </c>
    </row>
    <row r="37" spans="1:10" ht="14.45" customHeight="1" x14ac:dyDescent="0.2">
      <c r="A37" s="729" t="s">
        <v>593</v>
      </c>
      <c r="B37" s="730" t="s">
        <v>1604</v>
      </c>
      <c r="C37" s="731">
        <v>3.5792100000000002</v>
      </c>
      <c r="D37" s="731">
        <v>0</v>
      </c>
      <c r="E37" s="731"/>
      <c r="F37" s="731">
        <v>0</v>
      </c>
      <c r="G37" s="731">
        <v>0</v>
      </c>
      <c r="H37" s="731">
        <v>0</v>
      </c>
      <c r="I37" s="732" t="s">
        <v>572</v>
      </c>
      <c r="J37" s="733" t="s">
        <v>1</v>
      </c>
    </row>
    <row r="38" spans="1:10" ht="14.45" customHeight="1" x14ac:dyDescent="0.2">
      <c r="A38" s="729" t="s">
        <v>593</v>
      </c>
      <c r="B38" s="730" t="s">
        <v>1605</v>
      </c>
      <c r="C38" s="731">
        <v>10.58961</v>
      </c>
      <c r="D38" s="731">
        <v>0.2114</v>
      </c>
      <c r="E38" s="731"/>
      <c r="F38" s="731">
        <v>0</v>
      </c>
      <c r="G38" s="731">
        <v>0</v>
      </c>
      <c r="H38" s="731">
        <v>0</v>
      </c>
      <c r="I38" s="732" t="s">
        <v>572</v>
      </c>
      <c r="J38" s="733" t="s">
        <v>1</v>
      </c>
    </row>
    <row r="39" spans="1:10" ht="14.45" customHeight="1" x14ac:dyDescent="0.2">
      <c r="A39" s="729" t="s">
        <v>593</v>
      </c>
      <c r="B39" s="730" t="s">
        <v>1608</v>
      </c>
      <c r="C39" s="731">
        <v>0.41172000000000003</v>
      </c>
      <c r="D39" s="731">
        <v>0</v>
      </c>
      <c r="E39" s="731"/>
      <c r="F39" s="731">
        <v>0</v>
      </c>
      <c r="G39" s="731">
        <v>0</v>
      </c>
      <c r="H39" s="731">
        <v>0</v>
      </c>
      <c r="I39" s="732" t="s">
        <v>572</v>
      </c>
      <c r="J39" s="733" t="s">
        <v>1</v>
      </c>
    </row>
    <row r="40" spans="1:10" ht="14.45" customHeight="1" x14ac:dyDescent="0.2">
      <c r="A40" s="729" t="s">
        <v>593</v>
      </c>
      <c r="B40" s="730" t="s">
        <v>1609</v>
      </c>
      <c r="C40" s="731">
        <v>1.5424800000000001</v>
      </c>
      <c r="D40" s="731">
        <v>0.35816000000000003</v>
      </c>
      <c r="E40" s="731"/>
      <c r="F40" s="731">
        <v>0</v>
      </c>
      <c r="G40" s="731">
        <v>0</v>
      </c>
      <c r="H40" s="731">
        <v>0</v>
      </c>
      <c r="I40" s="732" t="s">
        <v>572</v>
      </c>
      <c r="J40" s="733" t="s">
        <v>1</v>
      </c>
    </row>
    <row r="41" spans="1:10" ht="14.45" customHeight="1" x14ac:dyDescent="0.2">
      <c r="A41" s="729" t="s">
        <v>593</v>
      </c>
      <c r="B41" s="730" t="s">
        <v>595</v>
      </c>
      <c r="C41" s="731">
        <v>16.12302</v>
      </c>
      <c r="D41" s="731">
        <v>0.56956000000000007</v>
      </c>
      <c r="E41" s="731"/>
      <c r="F41" s="731">
        <v>0</v>
      </c>
      <c r="G41" s="731">
        <v>0</v>
      </c>
      <c r="H41" s="731">
        <v>0</v>
      </c>
      <c r="I41" s="732" t="s">
        <v>572</v>
      </c>
      <c r="J41" s="733" t="s">
        <v>588</v>
      </c>
    </row>
    <row r="42" spans="1:10" ht="14.45" customHeight="1" x14ac:dyDescent="0.2">
      <c r="A42" s="729" t="s">
        <v>572</v>
      </c>
      <c r="B42" s="730" t="s">
        <v>572</v>
      </c>
      <c r="C42" s="731" t="s">
        <v>572</v>
      </c>
      <c r="D42" s="731" t="s">
        <v>572</v>
      </c>
      <c r="E42" s="731"/>
      <c r="F42" s="731" t="s">
        <v>572</v>
      </c>
      <c r="G42" s="731" t="s">
        <v>572</v>
      </c>
      <c r="H42" s="731" t="s">
        <v>572</v>
      </c>
      <c r="I42" s="732" t="s">
        <v>572</v>
      </c>
      <c r="J42" s="733" t="s">
        <v>589</v>
      </c>
    </row>
    <row r="43" spans="1:10" ht="14.45" customHeight="1" x14ac:dyDescent="0.2">
      <c r="A43" s="729" t="s">
        <v>596</v>
      </c>
      <c r="B43" s="730" t="s">
        <v>597</v>
      </c>
      <c r="C43" s="731" t="s">
        <v>572</v>
      </c>
      <c r="D43" s="731" t="s">
        <v>572</v>
      </c>
      <c r="E43" s="731"/>
      <c r="F43" s="731" t="s">
        <v>572</v>
      </c>
      <c r="G43" s="731" t="s">
        <v>572</v>
      </c>
      <c r="H43" s="731" t="s">
        <v>572</v>
      </c>
      <c r="I43" s="732" t="s">
        <v>572</v>
      </c>
      <c r="J43" s="733" t="s">
        <v>0</v>
      </c>
    </row>
    <row r="44" spans="1:10" ht="14.45" customHeight="1" x14ac:dyDescent="0.2">
      <c r="A44" s="729" t="s">
        <v>596</v>
      </c>
      <c r="B44" s="730" t="s">
        <v>1603</v>
      </c>
      <c r="C44" s="731">
        <v>72.76091000000001</v>
      </c>
      <c r="D44" s="731">
        <v>116.58805000000002</v>
      </c>
      <c r="E44" s="731"/>
      <c r="F44" s="731">
        <v>127.98634999999999</v>
      </c>
      <c r="G44" s="731">
        <v>126</v>
      </c>
      <c r="H44" s="731">
        <v>1.9863499999999874</v>
      </c>
      <c r="I44" s="732">
        <v>1.0157646825396824</v>
      </c>
      <c r="J44" s="733" t="s">
        <v>1</v>
      </c>
    </row>
    <row r="45" spans="1:10" ht="14.45" customHeight="1" x14ac:dyDescent="0.2">
      <c r="A45" s="729" t="s">
        <v>596</v>
      </c>
      <c r="B45" s="730" t="s">
        <v>1604</v>
      </c>
      <c r="C45" s="731">
        <v>103.50322000000001</v>
      </c>
      <c r="D45" s="731">
        <v>131.05971000000008</v>
      </c>
      <c r="E45" s="731"/>
      <c r="F45" s="731">
        <v>110.52679000000002</v>
      </c>
      <c r="G45" s="731">
        <v>126</v>
      </c>
      <c r="H45" s="731">
        <v>-15.47320999999998</v>
      </c>
      <c r="I45" s="732">
        <v>0.87719674603174613</v>
      </c>
      <c r="J45" s="733" t="s">
        <v>1</v>
      </c>
    </row>
    <row r="46" spans="1:10" ht="14.45" customHeight="1" x14ac:dyDescent="0.2">
      <c r="A46" s="729" t="s">
        <v>596</v>
      </c>
      <c r="B46" s="730" t="s">
        <v>1605</v>
      </c>
      <c r="C46" s="731">
        <v>1385.4331400000001</v>
      </c>
      <c r="D46" s="731">
        <v>1739.8276099999991</v>
      </c>
      <c r="E46" s="731"/>
      <c r="F46" s="731">
        <v>1691.8673899999999</v>
      </c>
      <c r="G46" s="731">
        <v>1902</v>
      </c>
      <c r="H46" s="731">
        <v>-210.13261000000011</v>
      </c>
      <c r="I46" s="732">
        <v>0.88952018401682431</v>
      </c>
      <c r="J46" s="733" t="s">
        <v>1</v>
      </c>
    </row>
    <row r="47" spans="1:10" ht="14.45" customHeight="1" x14ac:dyDescent="0.2">
      <c r="A47" s="729" t="s">
        <v>596</v>
      </c>
      <c r="B47" s="730" t="s">
        <v>1606</v>
      </c>
      <c r="C47" s="731">
        <v>28.048739999999995</v>
      </c>
      <c r="D47" s="731">
        <v>22.283470000000001</v>
      </c>
      <c r="E47" s="731"/>
      <c r="F47" s="731">
        <v>17.343309999999999</v>
      </c>
      <c r="G47" s="731">
        <v>25</v>
      </c>
      <c r="H47" s="731">
        <v>-7.6566900000000011</v>
      </c>
      <c r="I47" s="732">
        <v>0.69373239999999992</v>
      </c>
      <c r="J47" s="733" t="s">
        <v>1</v>
      </c>
    </row>
    <row r="48" spans="1:10" ht="14.45" customHeight="1" x14ac:dyDescent="0.2">
      <c r="A48" s="729" t="s">
        <v>596</v>
      </c>
      <c r="B48" s="730" t="s">
        <v>1607</v>
      </c>
      <c r="C48" s="731">
        <v>3.5893800000000002</v>
      </c>
      <c r="D48" s="731">
        <v>4.7858400000000003</v>
      </c>
      <c r="E48" s="731"/>
      <c r="F48" s="731">
        <v>2.3929200000000002</v>
      </c>
      <c r="G48" s="731">
        <v>8</v>
      </c>
      <c r="H48" s="731">
        <v>-5.6070799999999998</v>
      </c>
      <c r="I48" s="732">
        <v>0.29911500000000002</v>
      </c>
      <c r="J48" s="733" t="s">
        <v>1</v>
      </c>
    </row>
    <row r="49" spans="1:10" ht="14.45" customHeight="1" x14ac:dyDescent="0.2">
      <c r="A49" s="729" t="s">
        <v>596</v>
      </c>
      <c r="B49" s="730" t="s">
        <v>1608</v>
      </c>
      <c r="C49" s="731">
        <v>4.41</v>
      </c>
      <c r="D49" s="731">
        <v>3.4060000000000001</v>
      </c>
      <c r="E49" s="731"/>
      <c r="F49" s="731">
        <v>2.86171</v>
      </c>
      <c r="G49" s="731">
        <v>6</v>
      </c>
      <c r="H49" s="731">
        <v>-3.13829</v>
      </c>
      <c r="I49" s="732">
        <v>0.47695166666666666</v>
      </c>
      <c r="J49" s="733" t="s">
        <v>1</v>
      </c>
    </row>
    <row r="50" spans="1:10" ht="14.45" customHeight="1" x14ac:dyDescent="0.2">
      <c r="A50" s="729" t="s">
        <v>596</v>
      </c>
      <c r="B50" s="730" t="s">
        <v>1609</v>
      </c>
      <c r="C50" s="731">
        <v>65.679959999999994</v>
      </c>
      <c r="D50" s="731">
        <v>71.645820000000001</v>
      </c>
      <c r="E50" s="731"/>
      <c r="F50" s="731">
        <v>65.02482000000002</v>
      </c>
      <c r="G50" s="731">
        <v>76</v>
      </c>
      <c r="H50" s="731">
        <v>-10.97517999999998</v>
      </c>
      <c r="I50" s="732">
        <v>0.85558973684210549</v>
      </c>
      <c r="J50" s="733" t="s">
        <v>1</v>
      </c>
    </row>
    <row r="51" spans="1:10" ht="14.45" customHeight="1" x14ac:dyDescent="0.2">
      <c r="A51" s="729" t="s">
        <v>596</v>
      </c>
      <c r="B51" s="730" t="s">
        <v>1610</v>
      </c>
      <c r="C51" s="731">
        <v>93.797169999999994</v>
      </c>
      <c r="D51" s="731">
        <v>132.32066999999998</v>
      </c>
      <c r="E51" s="731"/>
      <c r="F51" s="731">
        <v>178.1362</v>
      </c>
      <c r="G51" s="731">
        <v>135</v>
      </c>
      <c r="H51" s="731">
        <v>43.136200000000002</v>
      </c>
      <c r="I51" s="732">
        <v>1.3195274074074075</v>
      </c>
      <c r="J51" s="733" t="s">
        <v>1</v>
      </c>
    </row>
    <row r="52" spans="1:10" ht="14.45" customHeight="1" x14ac:dyDescent="0.2">
      <c r="A52" s="729" t="s">
        <v>596</v>
      </c>
      <c r="B52" s="730" t="s">
        <v>1611</v>
      </c>
      <c r="C52" s="731">
        <v>204.32227999999998</v>
      </c>
      <c r="D52" s="731">
        <v>215.85750999999996</v>
      </c>
      <c r="E52" s="731"/>
      <c r="F52" s="731">
        <v>160.37563999999998</v>
      </c>
      <c r="G52" s="731">
        <v>222</v>
      </c>
      <c r="H52" s="731">
        <v>-61.624360000000024</v>
      </c>
      <c r="I52" s="732">
        <v>0.72241279279279269</v>
      </c>
      <c r="J52" s="733" t="s">
        <v>1</v>
      </c>
    </row>
    <row r="53" spans="1:10" ht="14.45" customHeight="1" x14ac:dyDescent="0.2">
      <c r="A53" s="729" t="s">
        <v>596</v>
      </c>
      <c r="B53" s="730" t="s">
        <v>598</v>
      </c>
      <c r="C53" s="731">
        <v>1961.5448000000001</v>
      </c>
      <c r="D53" s="731">
        <v>2437.7746799999991</v>
      </c>
      <c r="E53" s="731"/>
      <c r="F53" s="731">
        <v>2356.5151299999998</v>
      </c>
      <c r="G53" s="731">
        <v>2625</v>
      </c>
      <c r="H53" s="731">
        <v>-268.48487000000023</v>
      </c>
      <c r="I53" s="732">
        <v>0.89772004952380946</v>
      </c>
      <c r="J53" s="733" t="s">
        <v>588</v>
      </c>
    </row>
    <row r="54" spans="1:10" ht="14.45" customHeight="1" x14ac:dyDescent="0.2">
      <c r="A54" s="729" t="s">
        <v>572</v>
      </c>
      <c r="B54" s="730" t="s">
        <v>572</v>
      </c>
      <c r="C54" s="731" t="s">
        <v>572</v>
      </c>
      <c r="D54" s="731" t="s">
        <v>572</v>
      </c>
      <c r="E54" s="731"/>
      <c r="F54" s="731" t="s">
        <v>572</v>
      </c>
      <c r="G54" s="731" t="s">
        <v>572</v>
      </c>
      <c r="H54" s="731" t="s">
        <v>572</v>
      </c>
      <c r="I54" s="732" t="s">
        <v>572</v>
      </c>
      <c r="J54" s="733" t="s">
        <v>589</v>
      </c>
    </row>
    <row r="55" spans="1:10" ht="14.45" customHeight="1" x14ac:dyDescent="0.2">
      <c r="A55" s="729" t="s">
        <v>570</v>
      </c>
      <c r="B55" s="730" t="s">
        <v>583</v>
      </c>
      <c r="C55" s="731">
        <v>3346.58176</v>
      </c>
      <c r="D55" s="731">
        <v>3070.0745799999991</v>
      </c>
      <c r="E55" s="731"/>
      <c r="F55" s="731">
        <v>3021.9784099999997</v>
      </c>
      <c r="G55" s="731">
        <v>3338</v>
      </c>
      <c r="H55" s="731">
        <v>-316.02159000000029</v>
      </c>
      <c r="I55" s="732">
        <v>0.90532606650689029</v>
      </c>
      <c r="J55" s="733" t="s">
        <v>584</v>
      </c>
    </row>
  </sheetData>
  <mergeCells count="3">
    <mergeCell ref="A1:I1"/>
    <mergeCell ref="F3:I3"/>
    <mergeCell ref="C4:D4"/>
  </mergeCells>
  <conditionalFormatting sqref="F16 F56:F65537">
    <cfRule type="cellIs" dxfId="41" priority="18" stopIfTrue="1" operator="greaterThan">
      <formula>1</formula>
    </cfRule>
  </conditionalFormatting>
  <conditionalFormatting sqref="H5:H15">
    <cfRule type="expression" dxfId="40" priority="14">
      <formula>$H5&gt;0</formula>
    </cfRule>
  </conditionalFormatting>
  <conditionalFormatting sqref="I5:I15">
    <cfRule type="expression" dxfId="39" priority="15">
      <formula>$I5&gt;1</formula>
    </cfRule>
  </conditionalFormatting>
  <conditionalFormatting sqref="B5:B15">
    <cfRule type="expression" dxfId="38" priority="11">
      <formula>OR($J5="NS",$J5="SumaNS",$J5="Účet")</formula>
    </cfRule>
  </conditionalFormatting>
  <conditionalFormatting sqref="F5:I15 B5:D15">
    <cfRule type="expression" dxfId="37" priority="17">
      <formula>AND($J5&lt;&gt;"",$J5&lt;&gt;"mezeraKL")</formula>
    </cfRule>
  </conditionalFormatting>
  <conditionalFormatting sqref="B5:D15 F5:I15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B5:D15 F5:I15">
    <cfRule type="expression" dxfId="35" priority="13">
      <formula>OR($J5="SumaNS",$J5="NS")</formula>
    </cfRule>
  </conditionalFormatting>
  <conditionalFormatting sqref="A5:A15">
    <cfRule type="expression" dxfId="34" priority="9">
      <formula>AND($J5&lt;&gt;"mezeraKL",$J5&lt;&gt;"")</formula>
    </cfRule>
  </conditionalFormatting>
  <conditionalFormatting sqref="A5:A15">
    <cfRule type="expression" dxfId="33" priority="10">
      <formula>AND($J5&lt;&gt;"",$J5&lt;&gt;"mezeraKL")</formula>
    </cfRule>
  </conditionalFormatting>
  <conditionalFormatting sqref="H17:H55">
    <cfRule type="expression" dxfId="32" priority="6">
      <formula>$H17&gt;0</formula>
    </cfRule>
  </conditionalFormatting>
  <conditionalFormatting sqref="A17:A55">
    <cfRule type="expression" dxfId="31" priority="5">
      <formula>AND($J17&lt;&gt;"mezeraKL",$J17&lt;&gt;"")</formula>
    </cfRule>
  </conditionalFormatting>
  <conditionalFormatting sqref="I17:I55">
    <cfRule type="expression" dxfId="30" priority="7">
      <formula>$I17&gt;1</formula>
    </cfRule>
  </conditionalFormatting>
  <conditionalFormatting sqref="B17:B55">
    <cfRule type="expression" dxfId="29" priority="4">
      <formula>OR($J17="NS",$J17="SumaNS",$J17="Účet")</formula>
    </cfRule>
  </conditionalFormatting>
  <conditionalFormatting sqref="A17:D55 F17:I55">
    <cfRule type="expression" dxfId="28" priority="8">
      <formula>AND($J17&lt;&gt;"",$J17&lt;&gt;"mezeraKL")</formula>
    </cfRule>
  </conditionalFormatting>
  <conditionalFormatting sqref="B17:D55 F17:I55">
    <cfRule type="expression" dxfId="27" priority="1">
      <formula>OR($J17="KL",$J17="SumaKL")</formula>
    </cfRule>
    <cfRule type="expression" priority="3" stopIfTrue="1">
      <formula>OR($J17="mezeraNS",$J17="mezeraKL")</formula>
    </cfRule>
  </conditionalFormatting>
  <conditionalFormatting sqref="B17:D55 F17:I55">
    <cfRule type="expression" dxfId="26" priority="2">
      <formula>OR($J17="SumaNS",$J17="NS")</formula>
    </cfRule>
  </conditionalFormatting>
  <hyperlinks>
    <hyperlink ref="A2" location="Obsah!A1" display="Zpět na Obsah  KL 01  1.-4.měsíc" xr:uid="{BE6FC400-C03E-4132-B059-32F2194B3ED6}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487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247" hidden="1" customWidth="1" outlineLevel="1"/>
    <col min="2" max="2" width="28.28515625" style="247" hidden="1" customWidth="1" outlineLevel="1"/>
    <col min="3" max="3" width="5.28515625" style="331" bestFit="1" customWidth="1" collapsed="1"/>
    <col min="4" max="4" width="18.7109375" style="335" customWidth="1"/>
    <col min="5" max="5" width="9" style="331" bestFit="1" customWidth="1"/>
    <col min="6" max="6" width="18.7109375" style="335" customWidth="1"/>
    <col min="7" max="7" width="12.42578125" style="331" hidden="1" customWidth="1" outlineLevel="1"/>
    <col min="8" max="8" width="25.7109375" style="331" customWidth="1" collapsed="1"/>
    <col min="9" max="9" width="7.7109375" style="329" customWidth="1"/>
    <col min="10" max="10" width="10" style="329" customWidth="1"/>
    <col min="11" max="11" width="11.140625" style="329" customWidth="1"/>
    <col min="12" max="16384" width="8.85546875" style="247"/>
  </cols>
  <sheetData>
    <row r="1" spans="1:11" ht="18.600000000000001" customHeight="1" thickBot="1" x14ac:dyDescent="0.35">
      <c r="A1" s="549" t="s">
        <v>2304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</row>
    <row r="2" spans="1:11" ht="14.45" customHeight="1" thickBot="1" x14ac:dyDescent="0.25">
      <c r="A2" s="371" t="s">
        <v>328</v>
      </c>
      <c r="B2" s="66"/>
      <c r="C2" s="333"/>
      <c r="D2" s="333"/>
      <c r="E2" s="333"/>
      <c r="F2" s="333"/>
      <c r="G2" s="333"/>
      <c r="H2" s="333"/>
      <c r="I2" s="334"/>
      <c r="J2" s="334"/>
      <c r="K2" s="334"/>
    </row>
    <row r="3" spans="1:11" ht="14.45" customHeight="1" thickBot="1" x14ac:dyDescent="0.25">
      <c r="A3" s="66"/>
      <c r="B3" s="66"/>
      <c r="C3" s="545"/>
      <c r="D3" s="546"/>
      <c r="E3" s="546"/>
      <c r="F3" s="546"/>
      <c r="G3" s="546"/>
      <c r="H3" s="260" t="s">
        <v>158</v>
      </c>
      <c r="I3" s="203">
        <f>IF(J3&lt;&gt;0,K3/J3,0)</f>
        <v>7.4576332471556031</v>
      </c>
      <c r="J3" s="203">
        <f>SUBTOTAL(9,J5:J1048576)</f>
        <v>405219.5</v>
      </c>
      <c r="K3" s="204">
        <f>SUBTOTAL(9,K5:K1048576)</f>
        <v>3021978.4155957699</v>
      </c>
    </row>
    <row r="4" spans="1:11" s="330" customFormat="1" ht="14.45" customHeight="1" thickBot="1" x14ac:dyDescent="0.25">
      <c r="A4" s="860" t="s">
        <v>4</v>
      </c>
      <c r="B4" s="861" t="s">
        <v>5</v>
      </c>
      <c r="C4" s="861" t="s">
        <v>0</v>
      </c>
      <c r="D4" s="861" t="s">
        <v>6</v>
      </c>
      <c r="E4" s="861" t="s">
        <v>7</v>
      </c>
      <c r="F4" s="861" t="s">
        <v>1</v>
      </c>
      <c r="G4" s="861" t="s">
        <v>89</v>
      </c>
      <c r="H4" s="737" t="s">
        <v>11</v>
      </c>
      <c r="I4" s="738" t="s">
        <v>183</v>
      </c>
      <c r="J4" s="738" t="s">
        <v>13</v>
      </c>
      <c r="K4" s="739" t="s">
        <v>200</v>
      </c>
    </row>
    <row r="5" spans="1:11" ht="14.45" customHeight="1" x14ac:dyDescent="0.2">
      <c r="A5" s="824" t="s">
        <v>570</v>
      </c>
      <c r="B5" s="825" t="s">
        <v>571</v>
      </c>
      <c r="C5" s="828" t="s">
        <v>585</v>
      </c>
      <c r="D5" s="862" t="s">
        <v>586</v>
      </c>
      <c r="E5" s="828" t="s">
        <v>1612</v>
      </c>
      <c r="F5" s="862" t="s">
        <v>1613</v>
      </c>
      <c r="G5" s="828" t="s">
        <v>1614</v>
      </c>
      <c r="H5" s="828" t="s">
        <v>1615</v>
      </c>
      <c r="I5" s="225">
        <v>147.17999267578125</v>
      </c>
      <c r="J5" s="225">
        <v>30</v>
      </c>
      <c r="K5" s="848">
        <v>4415.43994140625</v>
      </c>
    </row>
    <row r="6" spans="1:11" ht="14.45" customHeight="1" x14ac:dyDescent="0.2">
      <c r="A6" s="831" t="s">
        <v>570</v>
      </c>
      <c r="B6" s="832" t="s">
        <v>571</v>
      </c>
      <c r="C6" s="835" t="s">
        <v>585</v>
      </c>
      <c r="D6" s="863" t="s">
        <v>586</v>
      </c>
      <c r="E6" s="835" t="s">
        <v>1612</v>
      </c>
      <c r="F6" s="863" t="s">
        <v>1613</v>
      </c>
      <c r="G6" s="835" t="s">
        <v>1616</v>
      </c>
      <c r="H6" s="835" t="s">
        <v>1617</v>
      </c>
      <c r="I6" s="849">
        <v>116.08999824523926</v>
      </c>
      <c r="J6" s="849">
        <v>8</v>
      </c>
      <c r="K6" s="850">
        <v>928.71998596191406</v>
      </c>
    </row>
    <row r="7" spans="1:11" ht="14.45" customHeight="1" x14ac:dyDescent="0.2">
      <c r="A7" s="831" t="s">
        <v>570</v>
      </c>
      <c r="B7" s="832" t="s">
        <v>571</v>
      </c>
      <c r="C7" s="835" t="s">
        <v>585</v>
      </c>
      <c r="D7" s="863" t="s">
        <v>586</v>
      </c>
      <c r="E7" s="835" t="s">
        <v>1612</v>
      </c>
      <c r="F7" s="863" t="s">
        <v>1613</v>
      </c>
      <c r="G7" s="835" t="s">
        <v>1618</v>
      </c>
      <c r="H7" s="835" t="s">
        <v>1619</v>
      </c>
      <c r="I7" s="849">
        <v>9228.1201171875</v>
      </c>
      <c r="J7" s="849">
        <v>0.25</v>
      </c>
      <c r="K7" s="850">
        <v>2307.030029296875</v>
      </c>
    </row>
    <row r="8" spans="1:11" ht="14.45" customHeight="1" x14ac:dyDescent="0.2">
      <c r="A8" s="831" t="s">
        <v>570</v>
      </c>
      <c r="B8" s="832" t="s">
        <v>571</v>
      </c>
      <c r="C8" s="835" t="s">
        <v>585</v>
      </c>
      <c r="D8" s="863" t="s">
        <v>586</v>
      </c>
      <c r="E8" s="835" t="s">
        <v>1612</v>
      </c>
      <c r="F8" s="863" t="s">
        <v>1613</v>
      </c>
      <c r="G8" s="835" t="s">
        <v>1618</v>
      </c>
      <c r="H8" s="835" t="s">
        <v>1620</v>
      </c>
      <c r="I8" s="849">
        <v>9228.2001953125</v>
      </c>
      <c r="J8" s="849">
        <v>0.75</v>
      </c>
      <c r="K8" s="850">
        <v>6921.150146484375</v>
      </c>
    </row>
    <row r="9" spans="1:11" ht="14.45" customHeight="1" x14ac:dyDescent="0.2">
      <c r="A9" s="831" t="s">
        <v>570</v>
      </c>
      <c r="B9" s="832" t="s">
        <v>571</v>
      </c>
      <c r="C9" s="835" t="s">
        <v>585</v>
      </c>
      <c r="D9" s="863" t="s">
        <v>586</v>
      </c>
      <c r="E9" s="835" t="s">
        <v>1612</v>
      </c>
      <c r="F9" s="863" t="s">
        <v>1613</v>
      </c>
      <c r="G9" s="835" t="s">
        <v>1621</v>
      </c>
      <c r="H9" s="835" t="s">
        <v>1622</v>
      </c>
      <c r="I9" s="849">
        <v>12.699999809265137</v>
      </c>
      <c r="J9" s="849">
        <v>10</v>
      </c>
      <c r="K9" s="850">
        <v>127</v>
      </c>
    </row>
    <row r="10" spans="1:11" ht="14.45" customHeight="1" x14ac:dyDescent="0.2">
      <c r="A10" s="831" t="s">
        <v>570</v>
      </c>
      <c r="B10" s="832" t="s">
        <v>571</v>
      </c>
      <c r="C10" s="835" t="s">
        <v>585</v>
      </c>
      <c r="D10" s="863" t="s">
        <v>586</v>
      </c>
      <c r="E10" s="835" t="s">
        <v>1612</v>
      </c>
      <c r="F10" s="863" t="s">
        <v>1613</v>
      </c>
      <c r="G10" s="835" t="s">
        <v>1621</v>
      </c>
      <c r="H10" s="835" t="s">
        <v>1623</v>
      </c>
      <c r="I10" s="849">
        <v>12.174999713897705</v>
      </c>
      <c r="J10" s="849">
        <v>20</v>
      </c>
      <c r="K10" s="850">
        <v>243.5</v>
      </c>
    </row>
    <row r="11" spans="1:11" ht="14.45" customHeight="1" x14ac:dyDescent="0.2">
      <c r="A11" s="831" t="s">
        <v>570</v>
      </c>
      <c r="B11" s="832" t="s">
        <v>571</v>
      </c>
      <c r="C11" s="835" t="s">
        <v>585</v>
      </c>
      <c r="D11" s="863" t="s">
        <v>586</v>
      </c>
      <c r="E11" s="835" t="s">
        <v>1612</v>
      </c>
      <c r="F11" s="863" t="s">
        <v>1613</v>
      </c>
      <c r="G11" s="835" t="s">
        <v>1624</v>
      </c>
      <c r="H11" s="835" t="s">
        <v>1625</v>
      </c>
      <c r="I11" s="849">
        <v>3035.31005859375</v>
      </c>
      <c r="J11" s="849">
        <v>3</v>
      </c>
      <c r="K11" s="850">
        <v>9105.93017578125</v>
      </c>
    </row>
    <row r="12" spans="1:11" ht="14.45" customHeight="1" x14ac:dyDescent="0.2">
      <c r="A12" s="831" t="s">
        <v>570</v>
      </c>
      <c r="B12" s="832" t="s">
        <v>571</v>
      </c>
      <c r="C12" s="835" t="s">
        <v>585</v>
      </c>
      <c r="D12" s="863" t="s">
        <v>586</v>
      </c>
      <c r="E12" s="835" t="s">
        <v>1612</v>
      </c>
      <c r="F12" s="863" t="s">
        <v>1613</v>
      </c>
      <c r="G12" s="835" t="s">
        <v>1626</v>
      </c>
      <c r="H12" s="835" t="s">
        <v>1627</v>
      </c>
      <c r="I12" s="849">
        <v>3035.31005859375</v>
      </c>
      <c r="J12" s="849">
        <v>2</v>
      </c>
      <c r="K12" s="850">
        <v>6070.6201171875</v>
      </c>
    </row>
    <row r="13" spans="1:11" ht="14.45" customHeight="1" x14ac:dyDescent="0.2">
      <c r="A13" s="831" t="s">
        <v>570</v>
      </c>
      <c r="B13" s="832" t="s">
        <v>571</v>
      </c>
      <c r="C13" s="835" t="s">
        <v>585</v>
      </c>
      <c r="D13" s="863" t="s">
        <v>586</v>
      </c>
      <c r="E13" s="835" t="s">
        <v>1612</v>
      </c>
      <c r="F13" s="863" t="s">
        <v>1613</v>
      </c>
      <c r="G13" s="835" t="s">
        <v>1628</v>
      </c>
      <c r="H13" s="835" t="s">
        <v>1629</v>
      </c>
      <c r="I13" s="849">
        <v>2277.85009765625</v>
      </c>
      <c r="J13" s="849">
        <v>1</v>
      </c>
      <c r="K13" s="850">
        <v>2277.85009765625</v>
      </c>
    </row>
    <row r="14" spans="1:11" ht="14.45" customHeight="1" x14ac:dyDescent="0.2">
      <c r="A14" s="831" t="s">
        <v>570</v>
      </c>
      <c r="B14" s="832" t="s">
        <v>571</v>
      </c>
      <c r="C14" s="835" t="s">
        <v>585</v>
      </c>
      <c r="D14" s="863" t="s">
        <v>586</v>
      </c>
      <c r="E14" s="835" t="s">
        <v>1612</v>
      </c>
      <c r="F14" s="863" t="s">
        <v>1613</v>
      </c>
      <c r="G14" s="835" t="s">
        <v>1624</v>
      </c>
      <c r="H14" s="835" t="s">
        <v>1630</v>
      </c>
      <c r="I14" s="849">
        <v>3035.31005859375</v>
      </c>
      <c r="J14" s="849">
        <v>4</v>
      </c>
      <c r="K14" s="850">
        <v>12141.240234375</v>
      </c>
    </row>
    <row r="15" spans="1:11" ht="14.45" customHeight="1" x14ac:dyDescent="0.2">
      <c r="A15" s="831" t="s">
        <v>570</v>
      </c>
      <c r="B15" s="832" t="s">
        <v>571</v>
      </c>
      <c r="C15" s="835" t="s">
        <v>585</v>
      </c>
      <c r="D15" s="863" t="s">
        <v>586</v>
      </c>
      <c r="E15" s="835" t="s">
        <v>1612</v>
      </c>
      <c r="F15" s="863" t="s">
        <v>1613</v>
      </c>
      <c r="G15" s="835" t="s">
        <v>1626</v>
      </c>
      <c r="H15" s="835" t="s">
        <v>1631</v>
      </c>
      <c r="I15" s="849">
        <v>3035.31005859375</v>
      </c>
      <c r="J15" s="849">
        <v>2</v>
      </c>
      <c r="K15" s="850">
        <v>6070.6201171875</v>
      </c>
    </row>
    <row r="16" spans="1:11" ht="14.45" customHeight="1" x14ac:dyDescent="0.2">
      <c r="A16" s="831" t="s">
        <v>570</v>
      </c>
      <c r="B16" s="832" t="s">
        <v>571</v>
      </c>
      <c r="C16" s="835" t="s">
        <v>585</v>
      </c>
      <c r="D16" s="863" t="s">
        <v>586</v>
      </c>
      <c r="E16" s="835" t="s">
        <v>1612</v>
      </c>
      <c r="F16" s="863" t="s">
        <v>1613</v>
      </c>
      <c r="G16" s="835" t="s">
        <v>1632</v>
      </c>
      <c r="H16" s="835" t="s">
        <v>1633</v>
      </c>
      <c r="I16" s="849">
        <v>4598.1359375000002</v>
      </c>
      <c r="J16" s="849">
        <v>13</v>
      </c>
      <c r="K16" s="850">
        <v>59775.779296875</v>
      </c>
    </row>
    <row r="17" spans="1:11" ht="14.45" customHeight="1" x14ac:dyDescent="0.2">
      <c r="A17" s="831" t="s">
        <v>570</v>
      </c>
      <c r="B17" s="832" t="s">
        <v>571</v>
      </c>
      <c r="C17" s="835" t="s">
        <v>585</v>
      </c>
      <c r="D17" s="863" t="s">
        <v>586</v>
      </c>
      <c r="E17" s="835" t="s">
        <v>1612</v>
      </c>
      <c r="F17" s="863" t="s">
        <v>1613</v>
      </c>
      <c r="G17" s="835" t="s">
        <v>1632</v>
      </c>
      <c r="H17" s="835" t="s">
        <v>1634</v>
      </c>
      <c r="I17" s="849">
        <v>4598.180989583333</v>
      </c>
      <c r="J17" s="849">
        <v>8</v>
      </c>
      <c r="K17" s="850">
        <v>36785.5</v>
      </c>
    </row>
    <row r="18" spans="1:11" ht="14.45" customHeight="1" x14ac:dyDescent="0.2">
      <c r="A18" s="831" t="s">
        <v>570</v>
      </c>
      <c r="B18" s="832" t="s">
        <v>571</v>
      </c>
      <c r="C18" s="835" t="s">
        <v>585</v>
      </c>
      <c r="D18" s="863" t="s">
        <v>586</v>
      </c>
      <c r="E18" s="835" t="s">
        <v>1612</v>
      </c>
      <c r="F18" s="863" t="s">
        <v>1613</v>
      </c>
      <c r="G18" s="835" t="s">
        <v>1635</v>
      </c>
      <c r="H18" s="835" t="s">
        <v>1636</v>
      </c>
      <c r="I18" s="849">
        <v>9228.2001953125</v>
      </c>
      <c r="J18" s="849">
        <v>0.5</v>
      </c>
      <c r="K18" s="850">
        <v>4614.10009765625</v>
      </c>
    </row>
    <row r="19" spans="1:11" ht="14.45" customHeight="1" x14ac:dyDescent="0.2">
      <c r="A19" s="831" t="s">
        <v>570</v>
      </c>
      <c r="B19" s="832" t="s">
        <v>571</v>
      </c>
      <c r="C19" s="835" t="s">
        <v>585</v>
      </c>
      <c r="D19" s="863" t="s">
        <v>586</v>
      </c>
      <c r="E19" s="835" t="s">
        <v>1612</v>
      </c>
      <c r="F19" s="863" t="s">
        <v>1613</v>
      </c>
      <c r="G19" s="835" t="s">
        <v>1635</v>
      </c>
      <c r="H19" s="835" t="s">
        <v>1637</v>
      </c>
      <c r="I19" s="849">
        <v>9228.2001953125</v>
      </c>
      <c r="J19" s="849">
        <v>1.25</v>
      </c>
      <c r="K19" s="850">
        <v>11535.250244140625</v>
      </c>
    </row>
    <row r="20" spans="1:11" ht="14.45" customHeight="1" x14ac:dyDescent="0.2">
      <c r="A20" s="831" t="s">
        <v>570</v>
      </c>
      <c r="B20" s="832" t="s">
        <v>571</v>
      </c>
      <c r="C20" s="835" t="s">
        <v>585</v>
      </c>
      <c r="D20" s="863" t="s">
        <v>586</v>
      </c>
      <c r="E20" s="835" t="s">
        <v>1612</v>
      </c>
      <c r="F20" s="863" t="s">
        <v>1613</v>
      </c>
      <c r="G20" s="835" t="s">
        <v>1638</v>
      </c>
      <c r="H20" s="835" t="s">
        <v>1639</v>
      </c>
      <c r="I20" s="849">
        <v>22994.599609375</v>
      </c>
      <c r="J20" s="849">
        <v>0.25</v>
      </c>
      <c r="K20" s="850">
        <v>5748.64990234375</v>
      </c>
    </row>
    <row r="21" spans="1:11" ht="14.45" customHeight="1" x14ac:dyDescent="0.2">
      <c r="A21" s="831" t="s">
        <v>570</v>
      </c>
      <c r="B21" s="832" t="s">
        <v>571</v>
      </c>
      <c r="C21" s="835" t="s">
        <v>585</v>
      </c>
      <c r="D21" s="863" t="s">
        <v>586</v>
      </c>
      <c r="E21" s="835" t="s">
        <v>1612</v>
      </c>
      <c r="F21" s="863" t="s">
        <v>1613</v>
      </c>
      <c r="G21" s="835" t="s">
        <v>1640</v>
      </c>
      <c r="H21" s="835" t="s">
        <v>1641</v>
      </c>
      <c r="I21" s="849">
        <v>16187.7197265625</v>
      </c>
      <c r="J21" s="849">
        <v>0.25</v>
      </c>
      <c r="K21" s="850">
        <v>4046.929931640625</v>
      </c>
    </row>
    <row r="22" spans="1:11" ht="14.45" customHeight="1" x14ac:dyDescent="0.2">
      <c r="A22" s="831" t="s">
        <v>570</v>
      </c>
      <c r="B22" s="832" t="s">
        <v>571</v>
      </c>
      <c r="C22" s="835" t="s">
        <v>585</v>
      </c>
      <c r="D22" s="863" t="s">
        <v>586</v>
      </c>
      <c r="E22" s="835" t="s">
        <v>1612</v>
      </c>
      <c r="F22" s="863" t="s">
        <v>1613</v>
      </c>
      <c r="G22" s="835" t="s">
        <v>1642</v>
      </c>
      <c r="H22" s="835" t="s">
        <v>1643</v>
      </c>
      <c r="I22" s="849">
        <v>16187.7197265625</v>
      </c>
      <c r="J22" s="849">
        <v>0.25</v>
      </c>
      <c r="K22" s="850">
        <v>4046.929931640625</v>
      </c>
    </row>
    <row r="23" spans="1:11" ht="14.45" customHeight="1" x14ac:dyDescent="0.2">
      <c r="A23" s="831" t="s">
        <v>570</v>
      </c>
      <c r="B23" s="832" t="s">
        <v>571</v>
      </c>
      <c r="C23" s="835" t="s">
        <v>585</v>
      </c>
      <c r="D23" s="863" t="s">
        <v>586</v>
      </c>
      <c r="E23" s="835" t="s">
        <v>1612</v>
      </c>
      <c r="F23" s="863" t="s">
        <v>1613</v>
      </c>
      <c r="G23" s="835" t="s">
        <v>1644</v>
      </c>
      <c r="H23" s="835" t="s">
        <v>1645</v>
      </c>
      <c r="I23" s="849">
        <v>3709.679931640625</v>
      </c>
      <c r="J23" s="849">
        <v>0.75</v>
      </c>
      <c r="K23" s="850">
        <v>2782.2599487304688</v>
      </c>
    </row>
    <row r="24" spans="1:11" ht="14.45" customHeight="1" x14ac:dyDescent="0.2">
      <c r="A24" s="831" t="s">
        <v>570</v>
      </c>
      <c r="B24" s="832" t="s">
        <v>571</v>
      </c>
      <c r="C24" s="835" t="s">
        <v>585</v>
      </c>
      <c r="D24" s="863" t="s">
        <v>586</v>
      </c>
      <c r="E24" s="835" t="s">
        <v>1612</v>
      </c>
      <c r="F24" s="863" t="s">
        <v>1613</v>
      </c>
      <c r="G24" s="835" t="s">
        <v>1644</v>
      </c>
      <c r="H24" s="835" t="s">
        <v>1646</v>
      </c>
      <c r="I24" s="849">
        <v>3709.679931640625</v>
      </c>
      <c r="J24" s="849">
        <v>0.25</v>
      </c>
      <c r="K24" s="850">
        <v>927.41998291015625</v>
      </c>
    </row>
    <row r="25" spans="1:11" ht="14.45" customHeight="1" x14ac:dyDescent="0.2">
      <c r="A25" s="831" t="s">
        <v>570</v>
      </c>
      <c r="B25" s="832" t="s">
        <v>571</v>
      </c>
      <c r="C25" s="835" t="s">
        <v>585</v>
      </c>
      <c r="D25" s="863" t="s">
        <v>586</v>
      </c>
      <c r="E25" s="835" t="s">
        <v>1612</v>
      </c>
      <c r="F25" s="863" t="s">
        <v>1613</v>
      </c>
      <c r="G25" s="835" t="s">
        <v>1647</v>
      </c>
      <c r="H25" s="835" t="s">
        <v>1648</v>
      </c>
      <c r="I25" s="849">
        <v>3130.75</v>
      </c>
      <c r="J25" s="849">
        <v>3</v>
      </c>
      <c r="K25" s="850">
        <v>9392.25</v>
      </c>
    </row>
    <row r="26" spans="1:11" ht="14.45" customHeight="1" x14ac:dyDescent="0.2">
      <c r="A26" s="831" t="s">
        <v>570</v>
      </c>
      <c r="B26" s="832" t="s">
        <v>571</v>
      </c>
      <c r="C26" s="835" t="s">
        <v>585</v>
      </c>
      <c r="D26" s="863" t="s">
        <v>586</v>
      </c>
      <c r="E26" s="835" t="s">
        <v>1612</v>
      </c>
      <c r="F26" s="863" t="s">
        <v>1613</v>
      </c>
      <c r="G26" s="835" t="s">
        <v>1647</v>
      </c>
      <c r="H26" s="835" t="s">
        <v>1649</v>
      </c>
      <c r="I26" s="849">
        <v>3130.7533365885415</v>
      </c>
      <c r="J26" s="849">
        <v>4</v>
      </c>
      <c r="K26" s="850">
        <v>12523.009765625</v>
      </c>
    </row>
    <row r="27" spans="1:11" ht="14.45" customHeight="1" x14ac:dyDescent="0.2">
      <c r="A27" s="831" t="s">
        <v>570</v>
      </c>
      <c r="B27" s="832" t="s">
        <v>571</v>
      </c>
      <c r="C27" s="835" t="s">
        <v>585</v>
      </c>
      <c r="D27" s="863" t="s">
        <v>586</v>
      </c>
      <c r="E27" s="835" t="s">
        <v>1612</v>
      </c>
      <c r="F27" s="863" t="s">
        <v>1613</v>
      </c>
      <c r="G27" s="835" t="s">
        <v>1650</v>
      </c>
      <c r="H27" s="835" t="s">
        <v>1651</v>
      </c>
      <c r="I27" s="849">
        <v>213.35000610351563</v>
      </c>
      <c r="J27" s="849">
        <v>24</v>
      </c>
      <c r="K27" s="850">
        <v>5120.340087890625</v>
      </c>
    </row>
    <row r="28" spans="1:11" ht="14.45" customHeight="1" x14ac:dyDescent="0.2">
      <c r="A28" s="831" t="s">
        <v>570</v>
      </c>
      <c r="B28" s="832" t="s">
        <v>571</v>
      </c>
      <c r="C28" s="835" t="s">
        <v>585</v>
      </c>
      <c r="D28" s="863" t="s">
        <v>586</v>
      </c>
      <c r="E28" s="835" t="s">
        <v>1612</v>
      </c>
      <c r="F28" s="863" t="s">
        <v>1613</v>
      </c>
      <c r="G28" s="835" t="s">
        <v>1652</v>
      </c>
      <c r="H28" s="835" t="s">
        <v>1653</v>
      </c>
      <c r="I28" s="849">
        <v>2722.5</v>
      </c>
      <c r="J28" s="849">
        <v>16</v>
      </c>
      <c r="K28" s="850">
        <v>43560</v>
      </c>
    </row>
    <row r="29" spans="1:11" ht="14.45" customHeight="1" x14ac:dyDescent="0.2">
      <c r="A29" s="831" t="s">
        <v>570</v>
      </c>
      <c r="B29" s="832" t="s">
        <v>571</v>
      </c>
      <c r="C29" s="835" t="s">
        <v>585</v>
      </c>
      <c r="D29" s="863" t="s">
        <v>586</v>
      </c>
      <c r="E29" s="835" t="s">
        <v>1612</v>
      </c>
      <c r="F29" s="863" t="s">
        <v>1613</v>
      </c>
      <c r="G29" s="835" t="s">
        <v>1652</v>
      </c>
      <c r="H29" s="835" t="s">
        <v>1654</v>
      </c>
      <c r="I29" s="849">
        <v>2722.498779296875</v>
      </c>
      <c r="J29" s="849">
        <v>23</v>
      </c>
      <c r="K29" s="850">
        <v>62617.48046875</v>
      </c>
    </row>
    <row r="30" spans="1:11" ht="14.45" customHeight="1" x14ac:dyDescent="0.2">
      <c r="A30" s="831" t="s">
        <v>570</v>
      </c>
      <c r="B30" s="832" t="s">
        <v>571</v>
      </c>
      <c r="C30" s="835" t="s">
        <v>585</v>
      </c>
      <c r="D30" s="863" t="s">
        <v>586</v>
      </c>
      <c r="E30" s="835" t="s">
        <v>1612</v>
      </c>
      <c r="F30" s="863" t="s">
        <v>1613</v>
      </c>
      <c r="G30" s="835" t="s">
        <v>1655</v>
      </c>
      <c r="H30" s="835" t="s">
        <v>1656</v>
      </c>
      <c r="I30" s="849">
        <v>2397.39990234375</v>
      </c>
      <c r="J30" s="849">
        <v>1</v>
      </c>
      <c r="K30" s="850">
        <v>2397.39990234375</v>
      </c>
    </row>
    <row r="31" spans="1:11" ht="14.45" customHeight="1" x14ac:dyDescent="0.2">
      <c r="A31" s="831" t="s">
        <v>570</v>
      </c>
      <c r="B31" s="832" t="s">
        <v>571</v>
      </c>
      <c r="C31" s="835" t="s">
        <v>585</v>
      </c>
      <c r="D31" s="863" t="s">
        <v>586</v>
      </c>
      <c r="E31" s="835" t="s">
        <v>1612</v>
      </c>
      <c r="F31" s="863" t="s">
        <v>1613</v>
      </c>
      <c r="G31" s="835" t="s">
        <v>1655</v>
      </c>
      <c r="H31" s="835" t="s">
        <v>1657</v>
      </c>
      <c r="I31" s="849">
        <v>2397.39990234375</v>
      </c>
      <c r="J31" s="849">
        <v>1</v>
      </c>
      <c r="K31" s="850">
        <v>2397.39990234375</v>
      </c>
    </row>
    <row r="32" spans="1:11" ht="14.45" customHeight="1" x14ac:dyDescent="0.2">
      <c r="A32" s="831" t="s">
        <v>570</v>
      </c>
      <c r="B32" s="832" t="s">
        <v>571</v>
      </c>
      <c r="C32" s="835" t="s">
        <v>585</v>
      </c>
      <c r="D32" s="863" t="s">
        <v>586</v>
      </c>
      <c r="E32" s="835" t="s">
        <v>1612</v>
      </c>
      <c r="F32" s="863" t="s">
        <v>1613</v>
      </c>
      <c r="G32" s="835" t="s">
        <v>1658</v>
      </c>
      <c r="H32" s="835" t="s">
        <v>1659</v>
      </c>
      <c r="I32" s="849">
        <v>2624.5400390625</v>
      </c>
      <c r="J32" s="849">
        <v>1</v>
      </c>
      <c r="K32" s="850">
        <v>2624.5400390625</v>
      </c>
    </row>
    <row r="33" spans="1:11" ht="14.45" customHeight="1" x14ac:dyDescent="0.2">
      <c r="A33" s="831" t="s">
        <v>570</v>
      </c>
      <c r="B33" s="832" t="s">
        <v>571</v>
      </c>
      <c r="C33" s="835" t="s">
        <v>585</v>
      </c>
      <c r="D33" s="863" t="s">
        <v>586</v>
      </c>
      <c r="E33" s="835" t="s">
        <v>1612</v>
      </c>
      <c r="F33" s="863" t="s">
        <v>1613</v>
      </c>
      <c r="G33" s="835" t="s">
        <v>1660</v>
      </c>
      <c r="H33" s="835" t="s">
        <v>1661</v>
      </c>
      <c r="I33" s="849">
        <v>1149.5</v>
      </c>
      <c r="J33" s="849">
        <v>3</v>
      </c>
      <c r="K33" s="850">
        <v>3448.5</v>
      </c>
    </row>
    <row r="34" spans="1:11" ht="14.45" customHeight="1" x14ac:dyDescent="0.2">
      <c r="A34" s="831" t="s">
        <v>570</v>
      </c>
      <c r="B34" s="832" t="s">
        <v>571</v>
      </c>
      <c r="C34" s="835" t="s">
        <v>585</v>
      </c>
      <c r="D34" s="863" t="s">
        <v>586</v>
      </c>
      <c r="E34" s="835" t="s">
        <v>1662</v>
      </c>
      <c r="F34" s="863" t="s">
        <v>1663</v>
      </c>
      <c r="G34" s="835" t="s">
        <v>1664</v>
      </c>
      <c r="H34" s="835" t="s">
        <v>1665</v>
      </c>
      <c r="I34" s="849">
        <v>790.8800048828125</v>
      </c>
      <c r="J34" s="849">
        <v>2</v>
      </c>
      <c r="K34" s="850">
        <v>1581.760009765625</v>
      </c>
    </row>
    <row r="35" spans="1:11" ht="14.45" customHeight="1" x14ac:dyDescent="0.2">
      <c r="A35" s="831" t="s">
        <v>570</v>
      </c>
      <c r="B35" s="832" t="s">
        <v>571</v>
      </c>
      <c r="C35" s="835" t="s">
        <v>585</v>
      </c>
      <c r="D35" s="863" t="s">
        <v>586</v>
      </c>
      <c r="E35" s="835" t="s">
        <v>1662</v>
      </c>
      <c r="F35" s="863" t="s">
        <v>1663</v>
      </c>
      <c r="G35" s="835" t="s">
        <v>1666</v>
      </c>
      <c r="H35" s="835" t="s">
        <v>1667</v>
      </c>
      <c r="I35" s="849">
        <v>6.0933334032694502</v>
      </c>
      <c r="J35" s="849">
        <v>600</v>
      </c>
      <c r="K35" s="850">
        <v>3654.5</v>
      </c>
    </row>
    <row r="36" spans="1:11" ht="14.45" customHeight="1" x14ac:dyDescent="0.2">
      <c r="A36" s="831" t="s">
        <v>570</v>
      </c>
      <c r="B36" s="832" t="s">
        <v>571</v>
      </c>
      <c r="C36" s="835" t="s">
        <v>585</v>
      </c>
      <c r="D36" s="863" t="s">
        <v>586</v>
      </c>
      <c r="E36" s="835" t="s">
        <v>1662</v>
      </c>
      <c r="F36" s="863" t="s">
        <v>1663</v>
      </c>
      <c r="G36" s="835" t="s">
        <v>1668</v>
      </c>
      <c r="H36" s="835" t="s">
        <v>1669</v>
      </c>
      <c r="I36" s="849">
        <v>0.30000001192092896</v>
      </c>
      <c r="J36" s="849">
        <v>1000</v>
      </c>
      <c r="K36" s="850">
        <v>303.07998657226563</v>
      </c>
    </row>
    <row r="37" spans="1:11" ht="14.45" customHeight="1" x14ac:dyDescent="0.2">
      <c r="A37" s="831" t="s">
        <v>570</v>
      </c>
      <c r="B37" s="832" t="s">
        <v>571</v>
      </c>
      <c r="C37" s="835" t="s">
        <v>585</v>
      </c>
      <c r="D37" s="863" t="s">
        <v>586</v>
      </c>
      <c r="E37" s="835" t="s">
        <v>1662</v>
      </c>
      <c r="F37" s="863" t="s">
        <v>1663</v>
      </c>
      <c r="G37" s="835" t="s">
        <v>1670</v>
      </c>
      <c r="H37" s="835" t="s">
        <v>1671</v>
      </c>
      <c r="I37" s="849">
        <v>0.37999999523162842</v>
      </c>
      <c r="J37" s="849">
        <v>10</v>
      </c>
      <c r="K37" s="850">
        <v>3.7999999523162842</v>
      </c>
    </row>
    <row r="38" spans="1:11" ht="14.45" customHeight="1" x14ac:dyDescent="0.2">
      <c r="A38" s="831" t="s">
        <v>570</v>
      </c>
      <c r="B38" s="832" t="s">
        <v>571</v>
      </c>
      <c r="C38" s="835" t="s">
        <v>585</v>
      </c>
      <c r="D38" s="863" t="s">
        <v>586</v>
      </c>
      <c r="E38" s="835" t="s">
        <v>1662</v>
      </c>
      <c r="F38" s="863" t="s">
        <v>1663</v>
      </c>
      <c r="G38" s="835" t="s">
        <v>1668</v>
      </c>
      <c r="H38" s="835" t="s">
        <v>1672</v>
      </c>
      <c r="I38" s="849">
        <v>0.30250000953674316</v>
      </c>
      <c r="J38" s="849">
        <v>2500</v>
      </c>
      <c r="K38" s="850">
        <v>758.02998352050781</v>
      </c>
    </row>
    <row r="39" spans="1:11" ht="14.45" customHeight="1" x14ac:dyDescent="0.2">
      <c r="A39" s="831" t="s">
        <v>570</v>
      </c>
      <c r="B39" s="832" t="s">
        <v>571</v>
      </c>
      <c r="C39" s="835" t="s">
        <v>585</v>
      </c>
      <c r="D39" s="863" t="s">
        <v>586</v>
      </c>
      <c r="E39" s="835" t="s">
        <v>1662</v>
      </c>
      <c r="F39" s="863" t="s">
        <v>1663</v>
      </c>
      <c r="G39" s="835" t="s">
        <v>1673</v>
      </c>
      <c r="H39" s="835" t="s">
        <v>1674</v>
      </c>
      <c r="I39" s="849">
        <v>7.630000114440918</v>
      </c>
      <c r="J39" s="849">
        <v>48</v>
      </c>
      <c r="K39" s="850">
        <v>366.239990234375</v>
      </c>
    </row>
    <row r="40" spans="1:11" ht="14.45" customHeight="1" x14ac:dyDescent="0.2">
      <c r="A40" s="831" t="s">
        <v>570</v>
      </c>
      <c r="B40" s="832" t="s">
        <v>571</v>
      </c>
      <c r="C40" s="835" t="s">
        <v>585</v>
      </c>
      <c r="D40" s="863" t="s">
        <v>586</v>
      </c>
      <c r="E40" s="835" t="s">
        <v>1662</v>
      </c>
      <c r="F40" s="863" t="s">
        <v>1663</v>
      </c>
      <c r="G40" s="835" t="s">
        <v>1675</v>
      </c>
      <c r="H40" s="835" t="s">
        <v>1676</v>
      </c>
      <c r="I40" s="849">
        <v>8.3400001525878906</v>
      </c>
      <c r="J40" s="849">
        <v>1</v>
      </c>
      <c r="K40" s="850">
        <v>8.3400001525878906</v>
      </c>
    </row>
    <row r="41" spans="1:11" ht="14.45" customHeight="1" x14ac:dyDescent="0.2">
      <c r="A41" s="831" t="s">
        <v>570</v>
      </c>
      <c r="B41" s="832" t="s">
        <v>571</v>
      </c>
      <c r="C41" s="835" t="s">
        <v>585</v>
      </c>
      <c r="D41" s="863" t="s">
        <v>586</v>
      </c>
      <c r="E41" s="835" t="s">
        <v>1662</v>
      </c>
      <c r="F41" s="863" t="s">
        <v>1663</v>
      </c>
      <c r="G41" s="835" t="s">
        <v>1677</v>
      </c>
      <c r="H41" s="835" t="s">
        <v>1678</v>
      </c>
      <c r="I41" s="849">
        <v>0.31000000238418579</v>
      </c>
      <c r="J41" s="849">
        <v>38400</v>
      </c>
      <c r="K41" s="850">
        <v>11964.48046875</v>
      </c>
    </row>
    <row r="42" spans="1:11" ht="14.45" customHeight="1" x14ac:dyDescent="0.2">
      <c r="A42" s="831" t="s">
        <v>570</v>
      </c>
      <c r="B42" s="832" t="s">
        <v>571</v>
      </c>
      <c r="C42" s="835" t="s">
        <v>585</v>
      </c>
      <c r="D42" s="863" t="s">
        <v>586</v>
      </c>
      <c r="E42" s="835" t="s">
        <v>1662</v>
      </c>
      <c r="F42" s="863" t="s">
        <v>1663</v>
      </c>
      <c r="G42" s="835" t="s">
        <v>1677</v>
      </c>
      <c r="H42" s="835" t="s">
        <v>1679</v>
      </c>
      <c r="I42" s="849">
        <v>0.29999999701976776</v>
      </c>
      <c r="J42" s="849">
        <v>26400</v>
      </c>
      <c r="K42" s="850">
        <v>7819.020263671875</v>
      </c>
    </row>
    <row r="43" spans="1:11" ht="14.45" customHeight="1" x14ac:dyDescent="0.2">
      <c r="A43" s="831" t="s">
        <v>570</v>
      </c>
      <c r="B43" s="832" t="s">
        <v>571</v>
      </c>
      <c r="C43" s="835" t="s">
        <v>585</v>
      </c>
      <c r="D43" s="863" t="s">
        <v>586</v>
      </c>
      <c r="E43" s="835" t="s">
        <v>1662</v>
      </c>
      <c r="F43" s="863" t="s">
        <v>1663</v>
      </c>
      <c r="G43" s="835" t="s">
        <v>1680</v>
      </c>
      <c r="H43" s="835" t="s">
        <v>1681</v>
      </c>
      <c r="I43" s="849">
        <v>0.14000000059604645</v>
      </c>
      <c r="J43" s="849">
        <v>1000</v>
      </c>
      <c r="K43" s="850">
        <v>139.73999786376953</v>
      </c>
    </row>
    <row r="44" spans="1:11" ht="14.45" customHeight="1" x14ac:dyDescent="0.2">
      <c r="A44" s="831" t="s">
        <v>570</v>
      </c>
      <c r="B44" s="832" t="s">
        <v>571</v>
      </c>
      <c r="C44" s="835" t="s">
        <v>585</v>
      </c>
      <c r="D44" s="863" t="s">
        <v>586</v>
      </c>
      <c r="E44" s="835" t="s">
        <v>1662</v>
      </c>
      <c r="F44" s="863" t="s">
        <v>1663</v>
      </c>
      <c r="G44" s="835" t="s">
        <v>1680</v>
      </c>
      <c r="H44" s="835" t="s">
        <v>1682</v>
      </c>
      <c r="I44" s="849">
        <v>0.14666667083899179</v>
      </c>
      <c r="J44" s="849">
        <v>2000</v>
      </c>
      <c r="K44" s="850">
        <v>295</v>
      </c>
    </row>
    <row r="45" spans="1:11" ht="14.45" customHeight="1" x14ac:dyDescent="0.2">
      <c r="A45" s="831" t="s">
        <v>570</v>
      </c>
      <c r="B45" s="832" t="s">
        <v>571</v>
      </c>
      <c r="C45" s="835" t="s">
        <v>585</v>
      </c>
      <c r="D45" s="863" t="s">
        <v>586</v>
      </c>
      <c r="E45" s="835" t="s">
        <v>1662</v>
      </c>
      <c r="F45" s="863" t="s">
        <v>1663</v>
      </c>
      <c r="G45" s="835" t="s">
        <v>1683</v>
      </c>
      <c r="H45" s="835" t="s">
        <v>1684</v>
      </c>
      <c r="I45" s="849">
        <v>29.879999160766602</v>
      </c>
      <c r="J45" s="849">
        <v>6</v>
      </c>
      <c r="K45" s="850">
        <v>179.27999496459961</v>
      </c>
    </row>
    <row r="46" spans="1:11" ht="14.45" customHeight="1" x14ac:dyDescent="0.2">
      <c r="A46" s="831" t="s">
        <v>570</v>
      </c>
      <c r="B46" s="832" t="s">
        <v>571</v>
      </c>
      <c r="C46" s="835" t="s">
        <v>585</v>
      </c>
      <c r="D46" s="863" t="s">
        <v>586</v>
      </c>
      <c r="E46" s="835" t="s">
        <v>1662</v>
      </c>
      <c r="F46" s="863" t="s">
        <v>1663</v>
      </c>
      <c r="G46" s="835" t="s">
        <v>1683</v>
      </c>
      <c r="H46" s="835" t="s">
        <v>1685</v>
      </c>
      <c r="I46" s="849">
        <v>29.503332773844402</v>
      </c>
      <c r="J46" s="849">
        <v>12</v>
      </c>
      <c r="K46" s="850">
        <v>355.16999816894531</v>
      </c>
    </row>
    <row r="47" spans="1:11" ht="14.45" customHeight="1" x14ac:dyDescent="0.2">
      <c r="A47" s="831" t="s">
        <v>570</v>
      </c>
      <c r="B47" s="832" t="s">
        <v>571</v>
      </c>
      <c r="C47" s="835" t="s">
        <v>585</v>
      </c>
      <c r="D47" s="863" t="s">
        <v>586</v>
      </c>
      <c r="E47" s="835" t="s">
        <v>1662</v>
      </c>
      <c r="F47" s="863" t="s">
        <v>1663</v>
      </c>
      <c r="G47" s="835" t="s">
        <v>1686</v>
      </c>
      <c r="H47" s="835" t="s">
        <v>1687</v>
      </c>
      <c r="I47" s="849">
        <v>10.350000381469727</v>
      </c>
      <c r="J47" s="849">
        <v>1</v>
      </c>
      <c r="K47" s="850">
        <v>10.350000381469727</v>
      </c>
    </row>
    <row r="48" spans="1:11" ht="14.45" customHeight="1" x14ac:dyDescent="0.2">
      <c r="A48" s="831" t="s">
        <v>570</v>
      </c>
      <c r="B48" s="832" t="s">
        <v>571</v>
      </c>
      <c r="C48" s="835" t="s">
        <v>585</v>
      </c>
      <c r="D48" s="863" t="s">
        <v>586</v>
      </c>
      <c r="E48" s="835" t="s">
        <v>1688</v>
      </c>
      <c r="F48" s="863" t="s">
        <v>1689</v>
      </c>
      <c r="G48" s="835" t="s">
        <v>1690</v>
      </c>
      <c r="H48" s="835" t="s">
        <v>1691</v>
      </c>
      <c r="I48" s="849">
        <v>492.47000122070313</v>
      </c>
      <c r="J48" s="849">
        <v>60</v>
      </c>
      <c r="K48" s="850">
        <v>29548.201171875</v>
      </c>
    </row>
    <row r="49" spans="1:11" ht="14.45" customHeight="1" x14ac:dyDescent="0.2">
      <c r="A49" s="831" t="s">
        <v>570</v>
      </c>
      <c r="B49" s="832" t="s">
        <v>571</v>
      </c>
      <c r="C49" s="835" t="s">
        <v>585</v>
      </c>
      <c r="D49" s="863" t="s">
        <v>586</v>
      </c>
      <c r="E49" s="835" t="s">
        <v>1688</v>
      </c>
      <c r="F49" s="863" t="s">
        <v>1689</v>
      </c>
      <c r="G49" s="835" t="s">
        <v>1692</v>
      </c>
      <c r="H49" s="835" t="s">
        <v>1693</v>
      </c>
      <c r="I49" s="849">
        <v>17.459999084472656</v>
      </c>
      <c r="J49" s="849">
        <v>1200</v>
      </c>
      <c r="K49" s="850">
        <v>20952.3603515625</v>
      </c>
    </row>
    <row r="50" spans="1:11" ht="14.45" customHeight="1" x14ac:dyDescent="0.2">
      <c r="A50" s="831" t="s">
        <v>570</v>
      </c>
      <c r="B50" s="832" t="s">
        <v>571</v>
      </c>
      <c r="C50" s="835" t="s">
        <v>585</v>
      </c>
      <c r="D50" s="863" t="s">
        <v>586</v>
      </c>
      <c r="E50" s="835" t="s">
        <v>1688</v>
      </c>
      <c r="F50" s="863" t="s">
        <v>1689</v>
      </c>
      <c r="G50" s="835" t="s">
        <v>1694</v>
      </c>
      <c r="H50" s="835" t="s">
        <v>1695</v>
      </c>
      <c r="I50" s="849">
        <v>4.3600001335144043</v>
      </c>
      <c r="J50" s="849">
        <v>50</v>
      </c>
      <c r="K50" s="850">
        <v>217.80000305175781</v>
      </c>
    </row>
    <row r="51" spans="1:11" ht="14.45" customHeight="1" x14ac:dyDescent="0.2">
      <c r="A51" s="831" t="s">
        <v>570</v>
      </c>
      <c r="B51" s="832" t="s">
        <v>571</v>
      </c>
      <c r="C51" s="835" t="s">
        <v>585</v>
      </c>
      <c r="D51" s="863" t="s">
        <v>586</v>
      </c>
      <c r="E51" s="835" t="s">
        <v>1688</v>
      </c>
      <c r="F51" s="863" t="s">
        <v>1689</v>
      </c>
      <c r="G51" s="835" t="s">
        <v>1692</v>
      </c>
      <c r="H51" s="835" t="s">
        <v>1696</v>
      </c>
      <c r="I51" s="849">
        <v>17.459999084472656</v>
      </c>
      <c r="J51" s="849">
        <v>2400</v>
      </c>
      <c r="K51" s="850">
        <v>41904.3603515625</v>
      </c>
    </row>
    <row r="52" spans="1:11" ht="14.45" customHeight="1" x14ac:dyDescent="0.2">
      <c r="A52" s="831" t="s">
        <v>570</v>
      </c>
      <c r="B52" s="832" t="s">
        <v>571</v>
      </c>
      <c r="C52" s="835" t="s">
        <v>585</v>
      </c>
      <c r="D52" s="863" t="s">
        <v>586</v>
      </c>
      <c r="E52" s="835" t="s">
        <v>1688</v>
      </c>
      <c r="F52" s="863" t="s">
        <v>1689</v>
      </c>
      <c r="G52" s="835" t="s">
        <v>1690</v>
      </c>
      <c r="H52" s="835" t="s">
        <v>1697</v>
      </c>
      <c r="I52" s="849">
        <v>492.47000122070313</v>
      </c>
      <c r="J52" s="849">
        <v>120</v>
      </c>
      <c r="K52" s="850">
        <v>59096.40234375</v>
      </c>
    </row>
    <row r="53" spans="1:11" ht="14.45" customHeight="1" x14ac:dyDescent="0.2">
      <c r="A53" s="831" t="s">
        <v>570</v>
      </c>
      <c r="B53" s="832" t="s">
        <v>571</v>
      </c>
      <c r="C53" s="835" t="s">
        <v>585</v>
      </c>
      <c r="D53" s="863" t="s">
        <v>586</v>
      </c>
      <c r="E53" s="835" t="s">
        <v>1688</v>
      </c>
      <c r="F53" s="863" t="s">
        <v>1689</v>
      </c>
      <c r="G53" s="835" t="s">
        <v>1698</v>
      </c>
      <c r="H53" s="835" t="s">
        <v>1699</v>
      </c>
      <c r="I53" s="849">
        <v>25.409999847412109</v>
      </c>
      <c r="J53" s="849">
        <v>150</v>
      </c>
      <c r="K53" s="850">
        <v>3811.5</v>
      </c>
    </row>
    <row r="54" spans="1:11" ht="14.45" customHeight="1" x14ac:dyDescent="0.2">
      <c r="A54" s="831" t="s">
        <v>570</v>
      </c>
      <c r="B54" s="832" t="s">
        <v>571</v>
      </c>
      <c r="C54" s="835" t="s">
        <v>585</v>
      </c>
      <c r="D54" s="863" t="s">
        <v>586</v>
      </c>
      <c r="E54" s="835" t="s">
        <v>1688</v>
      </c>
      <c r="F54" s="863" t="s">
        <v>1689</v>
      </c>
      <c r="G54" s="835" t="s">
        <v>1700</v>
      </c>
      <c r="H54" s="835" t="s">
        <v>1701</v>
      </c>
      <c r="I54" s="849">
        <v>261.60000610351563</v>
      </c>
      <c r="J54" s="849">
        <v>20</v>
      </c>
      <c r="K54" s="850">
        <v>5232.0400390625</v>
      </c>
    </row>
    <row r="55" spans="1:11" ht="14.45" customHeight="1" x14ac:dyDescent="0.2">
      <c r="A55" s="831" t="s">
        <v>570</v>
      </c>
      <c r="B55" s="832" t="s">
        <v>571</v>
      </c>
      <c r="C55" s="835" t="s">
        <v>585</v>
      </c>
      <c r="D55" s="863" t="s">
        <v>586</v>
      </c>
      <c r="E55" s="835" t="s">
        <v>1688</v>
      </c>
      <c r="F55" s="863" t="s">
        <v>1689</v>
      </c>
      <c r="G55" s="835" t="s">
        <v>1702</v>
      </c>
      <c r="H55" s="835" t="s">
        <v>1703</v>
      </c>
      <c r="I55" s="849">
        <v>15.930000305175781</v>
      </c>
      <c r="J55" s="849">
        <v>50</v>
      </c>
      <c r="K55" s="850">
        <v>796.5</v>
      </c>
    </row>
    <row r="56" spans="1:11" ht="14.45" customHeight="1" x14ac:dyDescent="0.2">
      <c r="A56" s="831" t="s">
        <v>570</v>
      </c>
      <c r="B56" s="832" t="s">
        <v>571</v>
      </c>
      <c r="C56" s="835" t="s">
        <v>585</v>
      </c>
      <c r="D56" s="863" t="s">
        <v>586</v>
      </c>
      <c r="E56" s="835" t="s">
        <v>1688</v>
      </c>
      <c r="F56" s="863" t="s">
        <v>1689</v>
      </c>
      <c r="G56" s="835" t="s">
        <v>1704</v>
      </c>
      <c r="H56" s="835" t="s">
        <v>1705</v>
      </c>
      <c r="I56" s="849">
        <v>371.47000122070313</v>
      </c>
      <c r="J56" s="849">
        <v>15</v>
      </c>
      <c r="K56" s="850">
        <v>5572.0499267578125</v>
      </c>
    </row>
    <row r="57" spans="1:11" ht="14.45" customHeight="1" x14ac:dyDescent="0.2">
      <c r="A57" s="831" t="s">
        <v>570</v>
      </c>
      <c r="B57" s="832" t="s">
        <v>571</v>
      </c>
      <c r="C57" s="835" t="s">
        <v>585</v>
      </c>
      <c r="D57" s="863" t="s">
        <v>586</v>
      </c>
      <c r="E57" s="835" t="s">
        <v>1688</v>
      </c>
      <c r="F57" s="863" t="s">
        <v>1689</v>
      </c>
      <c r="G57" s="835" t="s">
        <v>1706</v>
      </c>
      <c r="H57" s="835" t="s">
        <v>1707</v>
      </c>
      <c r="I57" s="849">
        <v>30.25</v>
      </c>
      <c r="J57" s="849">
        <v>200</v>
      </c>
      <c r="K57" s="850">
        <v>6050</v>
      </c>
    </row>
    <row r="58" spans="1:11" ht="14.45" customHeight="1" x14ac:dyDescent="0.2">
      <c r="A58" s="831" t="s">
        <v>570</v>
      </c>
      <c r="B58" s="832" t="s">
        <v>571</v>
      </c>
      <c r="C58" s="835" t="s">
        <v>585</v>
      </c>
      <c r="D58" s="863" t="s">
        <v>586</v>
      </c>
      <c r="E58" s="835" t="s">
        <v>1688</v>
      </c>
      <c r="F58" s="863" t="s">
        <v>1689</v>
      </c>
      <c r="G58" s="835" t="s">
        <v>1708</v>
      </c>
      <c r="H58" s="835" t="s">
        <v>1709</v>
      </c>
      <c r="I58" s="849">
        <v>318</v>
      </c>
      <c r="J58" s="849">
        <v>5</v>
      </c>
      <c r="K58" s="850">
        <v>1590</v>
      </c>
    </row>
    <row r="59" spans="1:11" ht="14.45" customHeight="1" x14ac:dyDescent="0.2">
      <c r="A59" s="831" t="s">
        <v>570</v>
      </c>
      <c r="B59" s="832" t="s">
        <v>571</v>
      </c>
      <c r="C59" s="835" t="s">
        <v>585</v>
      </c>
      <c r="D59" s="863" t="s">
        <v>586</v>
      </c>
      <c r="E59" s="835" t="s">
        <v>1688</v>
      </c>
      <c r="F59" s="863" t="s">
        <v>1689</v>
      </c>
      <c r="G59" s="835" t="s">
        <v>1710</v>
      </c>
      <c r="H59" s="835" t="s">
        <v>1711</v>
      </c>
      <c r="I59" s="849">
        <v>99.220001220703125</v>
      </c>
      <c r="J59" s="849">
        <v>10</v>
      </c>
      <c r="K59" s="850">
        <v>992.20001220703125</v>
      </c>
    </row>
    <row r="60" spans="1:11" ht="14.45" customHeight="1" x14ac:dyDescent="0.2">
      <c r="A60" s="831" t="s">
        <v>570</v>
      </c>
      <c r="B60" s="832" t="s">
        <v>571</v>
      </c>
      <c r="C60" s="835" t="s">
        <v>585</v>
      </c>
      <c r="D60" s="863" t="s">
        <v>586</v>
      </c>
      <c r="E60" s="835" t="s">
        <v>1688</v>
      </c>
      <c r="F60" s="863" t="s">
        <v>1689</v>
      </c>
      <c r="G60" s="835" t="s">
        <v>1712</v>
      </c>
      <c r="H60" s="835" t="s">
        <v>1713</v>
      </c>
      <c r="I60" s="849">
        <v>1.8700000047683716</v>
      </c>
      <c r="J60" s="849">
        <v>400</v>
      </c>
      <c r="K60" s="850">
        <v>749.79998779296875</v>
      </c>
    </row>
    <row r="61" spans="1:11" ht="14.45" customHeight="1" x14ac:dyDescent="0.2">
      <c r="A61" s="831" t="s">
        <v>570</v>
      </c>
      <c r="B61" s="832" t="s">
        <v>571</v>
      </c>
      <c r="C61" s="835" t="s">
        <v>585</v>
      </c>
      <c r="D61" s="863" t="s">
        <v>586</v>
      </c>
      <c r="E61" s="835" t="s">
        <v>1688</v>
      </c>
      <c r="F61" s="863" t="s">
        <v>1689</v>
      </c>
      <c r="G61" s="835" t="s">
        <v>1714</v>
      </c>
      <c r="H61" s="835" t="s">
        <v>1715</v>
      </c>
      <c r="I61" s="849">
        <v>1.8940000057220459</v>
      </c>
      <c r="J61" s="849">
        <v>3900</v>
      </c>
      <c r="K61" s="850">
        <v>7389</v>
      </c>
    </row>
    <row r="62" spans="1:11" ht="14.45" customHeight="1" x14ac:dyDescent="0.2">
      <c r="A62" s="831" t="s">
        <v>570</v>
      </c>
      <c r="B62" s="832" t="s">
        <v>571</v>
      </c>
      <c r="C62" s="835" t="s">
        <v>585</v>
      </c>
      <c r="D62" s="863" t="s">
        <v>586</v>
      </c>
      <c r="E62" s="835" t="s">
        <v>1688</v>
      </c>
      <c r="F62" s="863" t="s">
        <v>1689</v>
      </c>
      <c r="G62" s="835" t="s">
        <v>1714</v>
      </c>
      <c r="H62" s="835" t="s">
        <v>1716</v>
      </c>
      <c r="I62" s="849">
        <v>1.8700000047683716</v>
      </c>
      <c r="J62" s="849">
        <v>1000</v>
      </c>
      <c r="K62" s="850">
        <v>1870</v>
      </c>
    </row>
    <row r="63" spans="1:11" ht="14.45" customHeight="1" x14ac:dyDescent="0.2">
      <c r="A63" s="831" t="s">
        <v>570</v>
      </c>
      <c r="B63" s="832" t="s">
        <v>571</v>
      </c>
      <c r="C63" s="835" t="s">
        <v>585</v>
      </c>
      <c r="D63" s="863" t="s">
        <v>586</v>
      </c>
      <c r="E63" s="835" t="s">
        <v>1688</v>
      </c>
      <c r="F63" s="863" t="s">
        <v>1689</v>
      </c>
      <c r="G63" s="835" t="s">
        <v>1717</v>
      </c>
      <c r="H63" s="835" t="s">
        <v>1718</v>
      </c>
      <c r="I63" s="849">
        <v>1.0549999475479126</v>
      </c>
      <c r="J63" s="849">
        <v>500</v>
      </c>
      <c r="K63" s="850">
        <v>526.35000610351563</v>
      </c>
    </row>
    <row r="64" spans="1:11" ht="14.45" customHeight="1" x14ac:dyDescent="0.2">
      <c r="A64" s="831" t="s">
        <v>570</v>
      </c>
      <c r="B64" s="832" t="s">
        <v>571</v>
      </c>
      <c r="C64" s="835" t="s">
        <v>585</v>
      </c>
      <c r="D64" s="863" t="s">
        <v>586</v>
      </c>
      <c r="E64" s="835" t="s">
        <v>1688</v>
      </c>
      <c r="F64" s="863" t="s">
        <v>1689</v>
      </c>
      <c r="G64" s="835" t="s">
        <v>1717</v>
      </c>
      <c r="H64" s="835" t="s">
        <v>1719</v>
      </c>
      <c r="I64" s="849">
        <v>1.059999942779541</v>
      </c>
      <c r="J64" s="849">
        <v>500</v>
      </c>
      <c r="K64" s="850">
        <v>530</v>
      </c>
    </row>
    <row r="65" spans="1:11" ht="14.45" customHeight="1" x14ac:dyDescent="0.2">
      <c r="A65" s="831" t="s">
        <v>570</v>
      </c>
      <c r="B65" s="832" t="s">
        <v>571</v>
      </c>
      <c r="C65" s="835" t="s">
        <v>585</v>
      </c>
      <c r="D65" s="863" t="s">
        <v>586</v>
      </c>
      <c r="E65" s="835" t="s">
        <v>1688</v>
      </c>
      <c r="F65" s="863" t="s">
        <v>1689</v>
      </c>
      <c r="G65" s="835" t="s">
        <v>1720</v>
      </c>
      <c r="H65" s="835" t="s">
        <v>1721</v>
      </c>
      <c r="I65" s="849">
        <v>11.739999771118164</v>
      </c>
      <c r="J65" s="849">
        <v>300</v>
      </c>
      <c r="K65" s="850">
        <v>3522</v>
      </c>
    </row>
    <row r="66" spans="1:11" ht="14.45" customHeight="1" x14ac:dyDescent="0.2">
      <c r="A66" s="831" t="s">
        <v>570</v>
      </c>
      <c r="B66" s="832" t="s">
        <v>571</v>
      </c>
      <c r="C66" s="835" t="s">
        <v>585</v>
      </c>
      <c r="D66" s="863" t="s">
        <v>586</v>
      </c>
      <c r="E66" s="835" t="s">
        <v>1688</v>
      </c>
      <c r="F66" s="863" t="s">
        <v>1689</v>
      </c>
      <c r="G66" s="835" t="s">
        <v>1722</v>
      </c>
      <c r="H66" s="835" t="s">
        <v>1723</v>
      </c>
      <c r="I66" s="849">
        <v>29.670000076293945</v>
      </c>
      <c r="J66" s="849">
        <v>40</v>
      </c>
      <c r="K66" s="850">
        <v>1186.760009765625</v>
      </c>
    </row>
    <row r="67" spans="1:11" ht="14.45" customHeight="1" x14ac:dyDescent="0.2">
      <c r="A67" s="831" t="s">
        <v>570</v>
      </c>
      <c r="B67" s="832" t="s">
        <v>571</v>
      </c>
      <c r="C67" s="835" t="s">
        <v>585</v>
      </c>
      <c r="D67" s="863" t="s">
        <v>586</v>
      </c>
      <c r="E67" s="835" t="s">
        <v>1688</v>
      </c>
      <c r="F67" s="863" t="s">
        <v>1689</v>
      </c>
      <c r="G67" s="835" t="s">
        <v>1724</v>
      </c>
      <c r="H67" s="835" t="s">
        <v>1725</v>
      </c>
      <c r="I67" s="849">
        <v>29.670000076293945</v>
      </c>
      <c r="J67" s="849">
        <v>40</v>
      </c>
      <c r="K67" s="850">
        <v>1186.760009765625</v>
      </c>
    </row>
    <row r="68" spans="1:11" ht="14.45" customHeight="1" x14ac:dyDescent="0.2">
      <c r="A68" s="831" t="s">
        <v>570</v>
      </c>
      <c r="B68" s="832" t="s">
        <v>571</v>
      </c>
      <c r="C68" s="835" t="s">
        <v>585</v>
      </c>
      <c r="D68" s="863" t="s">
        <v>586</v>
      </c>
      <c r="E68" s="835" t="s">
        <v>1688</v>
      </c>
      <c r="F68" s="863" t="s">
        <v>1689</v>
      </c>
      <c r="G68" s="835" t="s">
        <v>1720</v>
      </c>
      <c r="H68" s="835" t="s">
        <v>1726</v>
      </c>
      <c r="I68" s="849">
        <v>11.738333066304525</v>
      </c>
      <c r="J68" s="849">
        <v>450</v>
      </c>
      <c r="K68" s="850">
        <v>5282.0000610351563</v>
      </c>
    </row>
    <row r="69" spans="1:11" ht="14.45" customHeight="1" x14ac:dyDescent="0.2">
      <c r="A69" s="831" t="s">
        <v>570</v>
      </c>
      <c r="B69" s="832" t="s">
        <v>571</v>
      </c>
      <c r="C69" s="835" t="s">
        <v>585</v>
      </c>
      <c r="D69" s="863" t="s">
        <v>586</v>
      </c>
      <c r="E69" s="835" t="s">
        <v>1688</v>
      </c>
      <c r="F69" s="863" t="s">
        <v>1689</v>
      </c>
      <c r="G69" s="835" t="s">
        <v>1727</v>
      </c>
      <c r="H69" s="835" t="s">
        <v>1728</v>
      </c>
      <c r="I69" s="849">
        <v>160.92999267578125</v>
      </c>
      <c r="J69" s="849">
        <v>10</v>
      </c>
      <c r="K69" s="850">
        <v>1609.300048828125</v>
      </c>
    </row>
    <row r="70" spans="1:11" ht="14.45" customHeight="1" x14ac:dyDescent="0.2">
      <c r="A70" s="831" t="s">
        <v>570</v>
      </c>
      <c r="B70" s="832" t="s">
        <v>571</v>
      </c>
      <c r="C70" s="835" t="s">
        <v>585</v>
      </c>
      <c r="D70" s="863" t="s">
        <v>586</v>
      </c>
      <c r="E70" s="835" t="s">
        <v>1688</v>
      </c>
      <c r="F70" s="863" t="s">
        <v>1689</v>
      </c>
      <c r="G70" s="835" t="s">
        <v>1729</v>
      </c>
      <c r="H70" s="835" t="s">
        <v>1730</v>
      </c>
      <c r="I70" s="849">
        <v>4.8000001907348633</v>
      </c>
      <c r="J70" s="849">
        <v>100</v>
      </c>
      <c r="K70" s="850">
        <v>480</v>
      </c>
    </row>
    <row r="71" spans="1:11" ht="14.45" customHeight="1" x14ac:dyDescent="0.2">
      <c r="A71" s="831" t="s">
        <v>570</v>
      </c>
      <c r="B71" s="832" t="s">
        <v>571</v>
      </c>
      <c r="C71" s="835" t="s">
        <v>585</v>
      </c>
      <c r="D71" s="863" t="s">
        <v>586</v>
      </c>
      <c r="E71" s="835" t="s">
        <v>1688</v>
      </c>
      <c r="F71" s="863" t="s">
        <v>1689</v>
      </c>
      <c r="G71" s="835" t="s">
        <v>1729</v>
      </c>
      <c r="H71" s="835" t="s">
        <v>1731</v>
      </c>
      <c r="I71" s="849">
        <v>4.8000001907348633</v>
      </c>
      <c r="J71" s="849">
        <v>400</v>
      </c>
      <c r="K71" s="850">
        <v>1919.9800109863281</v>
      </c>
    </row>
    <row r="72" spans="1:11" ht="14.45" customHeight="1" x14ac:dyDescent="0.2">
      <c r="A72" s="831" t="s">
        <v>570</v>
      </c>
      <c r="B72" s="832" t="s">
        <v>571</v>
      </c>
      <c r="C72" s="835" t="s">
        <v>585</v>
      </c>
      <c r="D72" s="863" t="s">
        <v>586</v>
      </c>
      <c r="E72" s="835" t="s">
        <v>1688</v>
      </c>
      <c r="F72" s="863" t="s">
        <v>1689</v>
      </c>
      <c r="G72" s="835" t="s">
        <v>1732</v>
      </c>
      <c r="H72" s="835" t="s">
        <v>1733</v>
      </c>
      <c r="I72" s="849">
        <v>90.870002746582031</v>
      </c>
      <c r="J72" s="849">
        <v>24</v>
      </c>
      <c r="K72" s="850">
        <v>2180.8798828125</v>
      </c>
    </row>
    <row r="73" spans="1:11" ht="14.45" customHeight="1" x14ac:dyDescent="0.2">
      <c r="A73" s="831" t="s">
        <v>570</v>
      </c>
      <c r="B73" s="832" t="s">
        <v>571</v>
      </c>
      <c r="C73" s="835" t="s">
        <v>585</v>
      </c>
      <c r="D73" s="863" t="s">
        <v>586</v>
      </c>
      <c r="E73" s="835" t="s">
        <v>1688</v>
      </c>
      <c r="F73" s="863" t="s">
        <v>1689</v>
      </c>
      <c r="G73" s="835" t="s">
        <v>1734</v>
      </c>
      <c r="H73" s="835" t="s">
        <v>1735</v>
      </c>
      <c r="I73" s="849">
        <v>1.5</v>
      </c>
      <c r="J73" s="849">
        <v>500</v>
      </c>
      <c r="K73" s="850">
        <v>750</v>
      </c>
    </row>
    <row r="74" spans="1:11" ht="14.45" customHeight="1" x14ac:dyDescent="0.2">
      <c r="A74" s="831" t="s">
        <v>570</v>
      </c>
      <c r="B74" s="832" t="s">
        <v>571</v>
      </c>
      <c r="C74" s="835" t="s">
        <v>585</v>
      </c>
      <c r="D74" s="863" t="s">
        <v>586</v>
      </c>
      <c r="E74" s="835" t="s">
        <v>1688</v>
      </c>
      <c r="F74" s="863" t="s">
        <v>1689</v>
      </c>
      <c r="G74" s="835" t="s">
        <v>1736</v>
      </c>
      <c r="H74" s="835" t="s">
        <v>1737</v>
      </c>
      <c r="I74" s="849">
        <v>21.175000190734863</v>
      </c>
      <c r="J74" s="849">
        <v>20</v>
      </c>
      <c r="K74" s="850">
        <v>423.47999572753906</v>
      </c>
    </row>
    <row r="75" spans="1:11" ht="14.45" customHeight="1" x14ac:dyDescent="0.2">
      <c r="A75" s="831" t="s">
        <v>570</v>
      </c>
      <c r="B75" s="832" t="s">
        <v>571</v>
      </c>
      <c r="C75" s="835" t="s">
        <v>585</v>
      </c>
      <c r="D75" s="863" t="s">
        <v>586</v>
      </c>
      <c r="E75" s="835" t="s">
        <v>1688</v>
      </c>
      <c r="F75" s="863" t="s">
        <v>1689</v>
      </c>
      <c r="G75" s="835" t="s">
        <v>1736</v>
      </c>
      <c r="H75" s="835" t="s">
        <v>1738</v>
      </c>
      <c r="I75" s="849">
        <v>21.176666895548504</v>
      </c>
      <c r="J75" s="849">
        <v>30</v>
      </c>
      <c r="K75" s="850">
        <v>635.24000549316406</v>
      </c>
    </row>
    <row r="76" spans="1:11" ht="14.45" customHeight="1" x14ac:dyDescent="0.2">
      <c r="A76" s="831" t="s">
        <v>570</v>
      </c>
      <c r="B76" s="832" t="s">
        <v>571</v>
      </c>
      <c r="C76" s="835" t="s">
        <v>585</v>
      </c>
      <c r="D76" s="863" t="s">
        <v>586</v>
      </c>
      <c r="E76" s="835" t="s">
        <v>1688</v>
      </c>
      <c r="F76" s="863" t="s">
        <v>1689</v>
      </c>
      <c r="G76" s="835" t="s">
        <v>1739</v>
      </c>
      <c r="H76" s="835" t="s">
        <v>1740</v>
      </c>
      <c r="I76" s="849">
        <v>9.1999998092651367</v>
      </c>
      <c r="J76" s="849">
        <v>400</v>
      </c>
      <c r="K76" s="850">
        <v>3680</v>
      </c>
    </row>
    <row r="77" spans="1:11" ht="14.45" customHeight="1" x14ac:dyDescent="0.2">
      <c r="A77" s="831" t="s">
        <v>570</v>
      </c>
      <c r="B77" s="832" t="s">
        <v>571</v>
      </c>
      <c r="C77" s="835" t="s">
        <v>585</v>
      </c>
      <c r="D77" s="863" t="s">
        <v>586</v>
      </c>
      <c r="E77" s="835" t="s">
        <v>1688</v>
      </c>
      <c r="F77" s="863" t="s">
        <v>1689</v>
      </c>
      <c r="G77" s="835" t="s">
        <v>1739</v>
      </c>
      <c r="H77" s="835" t="s">
        <v>1741</v>
      </c>
      <c r="I77" s="849">
        <v>9.1999998092651367</v>
      </c>
      <c r="J77" s="849">
        <v>500</v>
      </c>
      <c r="K77" s="850">
        <v>4600</v>
      </c>
    </row>
    <row r="78" spans="1:11" ht="14.45" customHeight="1" x14ac:dyDescent="0.2">
      <c r="A78" s="831" t="s">
        <v>570</v>
      </c>
      <c r="B78" s="832" t="s">
        <v>571</v>
      </c>
      <c r="C78" s="835" t="s">
        <v>585</v>
      </c>
      <c r="D78" s="863" t="s">
        <v>586</v>
      </c>
      <c r="E78" s="835" t="s">
        <v>1688</v>
      </c>
      <c r="F78" s="863" t="s">
        <v>1689</v>
      </c>
      <c r="G78" s="835" t="s">
        <v>1742</v>
      </c>
      <c r="H78" s="835" t="s">
        <v>1743</v>
      </c>
      <c r="I78" s="849">
        <v>172.5</v>
      </c>
      <c r="J78" s="849">
        <v>2</v>
      </c>
      <c r="K78" s="850">
        <v>345</v>
      </c>
    </row>
    <row r="79" spans="1:11" ht="14.45" customHeight="1" x14ac:dyDescent="0.2">
      <c r="A79" s="831" t="s">
        <v>570</v>
      </c>
      <c r="B79" s="832" t="s">
        <v>571</v>
      </c>
      <c r="C79" s="835" t="s">
        <v>585</v>
      </c>
      <c r="D79" s="863" t="s">
        <v>586</v>
      </c>
      <c r="E79" s="835" t="s">
        <v>1688</v>
      </c>
      <c r="F79" s="863" t="s">
        <v>1689</v>
      </c>
      <c r="G79" s="835" t="s">
        <v>1742</v>
      </c>
      <c r="H79" s="835" t="s">
        <v>1744</v>
      </c>
      <c r="I79" s="849">
        <v>172.5</v>
      </c>
      <c r="J79" s="849">
        <v>2</v>
      </c>
      <c r="K79" s="850">
        <v>345</v>
      </c>
    </row>
    <row r="80" spans="1:11" ht="14.45" customHeight="1" x14ac:dyDescent="0.2">
      <c r="A80" s="831" t="s">
        <v>570</v>
      </c>
      <c r="B80" s="832" t="s">
        <v>571</v>
      </c>
      <c r="C80" s="835" t="s">
        <v>585</v>
      </c>
      <c r="D80" s="863" t="s">
        <v>586</v>
      </c>
      <c r="E80" s="835" t="s">
        <v>1688</v>
      </c>
      <c r="F80" s="863" t="s">
        <v>1689</v>
      </c>
      <c r="G80" s="835" t="s">
        <v>1745</v>
      </c>
      <c r="H80" s="835" t="s">
        <v>1746</v>
      </c>
      <c r="I80" s="849">
        <v>14.310000419616699</v>
      </c>
      <c r="J80" s="849">
        <v>50</v>
      </c>
      <c r="K80" s="850">
        <v>715.29998779296875</v>
      </c>
    </row>
    <row r="81" spans="1:11" ht="14.45" customHeight="1" x14ac:dyDescent="0.2">
      <c r="A81" s="831" t="s">
        <v>570</v>
      </c>
      <c r="B81" s="832" t="s">
        <v>571</v>
      </c>
      <c r="C81" s="835" t="s">
        <v>585</v>
      </c>
      <c r="D81" s="863" t="s">
        <v>586</v>
      </c>
      <c r="E81" s="835" t="s">
        <v>1688</v>
      </c>
      <c r="F81" s="863" t="s">
        <v>1689</v>
      </c>
      <c r="G81" s="835" t="s">
        <v>1745</v>
      </c>
      <c r="H81" s="835" t="s">
        <v>1747</v>
      </c>
      <c r="I81" s="849">
        <v>14.310000419616699</v>
      </c>
      <c r="J81" s="849">
        <v>40</v>
      </c>
      <c r="K81" s="850">
        <v>572.4000244140625</v>
      </c>
    </row>
    <row r="82" spans="1:11" ht="14.45" customHeight="1" x14ac:dyDescent="0.2">
      <c r="A82" s="831" t="s">
        <v>570</v>
      </c>
      <c r="B82" s="832" t="s">
        <v>571</v>
      </c>
      <c r="C82" s="835" t="s">
        <v>585</v>
      </c>
      <c r="D82" s="863" t="s">
        <v>586</v>
      </c>
      <c r="E82" s="835" t="s">
        <v>1688</v>
      </c>
      <c r="F82" s="863" t="s">
        <v>1689</v>
      </c>
      <c r="G82" s="835" t="s">
        <v>1748</v>
      </c>
      <c r="H82" s="835" t="s">
        <v>1749</v>
      </c>
      <c r="I82" s="849">
        <v>141.89999389648438</v>
      </c>
      <c r="J82" s="849">
        <v>30</v>
      </c>
      <c r="K82" s="850">
        <v>4256.89990234375</v>
      </c>
    </row>
    <row r="83" spans="1:11" ht="14.45" customHeight="1" x14ac:dyDescent="0.2">
      <c r="A83" s="831" t="s">
        <v>570</v>
      </c>
      <c r="B83" s="832" t="s">
        <v>571</v>
      </c>
      <c r="C83" s="835" t="s">
        <v>585</v>
      </c>
      <c r="D83" s="863" t="s">
        <v>586</v>
      </c>
      <c r="E83" s="835" t="s">
        <v>1688</v>
      </c>
      <c r="F83" s="863" t="s">
        <v>1689</v>
      </c>
      <c r="G83" s="835" t="s">
        <v>1750</v>
      </c>
      <c r="H83" s="835" t="s">
        <v>1751</v>
      </c>
      <c r="I83" s="849">
        <v>1.0850000381469727</v>
      </c>
      <c r="J83" s="849">
        <v>1000</v>
      </c>
      <c r="K83" s="850">
        <v>1085</v>
      </c>
    </row>
    <row r="84" spans="1:11" ht="14.45" customHeight="1" x14ac:dyDescent="0.2">
      <c r="A84" s="831" t="s">
        <v>570</v>
      </c>
      <c r="B84" s="832" t="s">
        <v>571</v>
      </c>
      <c r="C84" s="835" t="s">
        <v>585</v>
      </c>
      <c r="D84" s="863" t="s">
        <v>586</v>
      </c>
      <c r="E84" s="835" t="s">
        <v>1688</v>
      </c>
      <c r="F84" s="863" t="s">
        <v>1689</v>
      </c>
      <c r="G84" s="835" t="s">
        <v>1752</v>
      </c>
      <c r="H84" s="835" t="s">
        <v>1753</v>
      </c>
      <c r="I84" s="849">
        <v>0.47999998927116394</v>
      </c>
      <c r="J84" s="849">
        <v>300</v>
      </c>
      <c r="K84" s="850">
        <v>144</v>
      </c>
    </row>
    <row r="85" spans="1:11" ht="14.45" customHeight="1" x14ac:dyDescent="0.2">
      <c r="A85" s="831" t="s">
        <v>570</v>
      </c>
      <c r="B85" s="832" t="s">
        <v>571</v>
      </c>
      <c r="C85" s="835" t="s">
        <v>585</v>
      </c>
      <c r="D85" s="863" t="s">
        <v>586</v>
      </c>
      <c r="E85" s="835" t="s">
        <v>1688</v>
      </c>
      <c r="F85" s="863" t="s">
        <v>1689</v>
      </c>
      <c r="G85" s="835" t="s">
        <v>1752</v>
      </c>
      <c r="H85" s="835" t="s">
        <v>1754</v>
      </c>
      <c r="I85" s="849">
        <v>0.47999998927116394</v>
      </c>
      <c r="J85" s="849">
        <v>300</v>
      </c>
      <c r="K85" s="850">
        <v>144</v>
      </c>
    </row>
    <row r="86" spans="1:11" ht="14.45" customHeight="1" x14ac:dyDescent="0.2">
      <c r="A86" s="831" t="s">
        <v>570</v>
      </c>
      <c r="B86" s="832" t="s">
        <v>571</v>
      </c>
      <c r="C86" s="835" t="s">
        <v>585</v>
      </c>
      <c r="D86" s="863" t="s">
        <v>586</v>
      </c>
      <c r="E86" s="835" t="s">
        <v>1688</v>
      </c>
      <c r="F86" s="863" t="s">
        <v>1689</v>
      </c>
      <c r="G86" s="835" t="s">
        <v>1755</v>
      </c>
      <c r="H86" s="835" t="s">
        <v>1756</v>
      </c>
      <c r="I86" s="849">
        <v>1.1299999952316284</v>
      </c>
      <c r="J86" s="849">
        <v>800</v>
      </c>
      <c r="K86" s="850">
        <v>904</v>
      </c>
    </row>
    <row r="87" spans="1:11" ht="14.45" customHeight="1" x14ac:dyDescent="0.2">
      <c r="A87" s="831" t="s">
        <v>570</v>
      </c>
      <c r="B87" s="832" t="s">
        <v>571</v>
      </c>
      <c r="C87" s="835" t="s">
        <v>585</v>
      </c>
      <c r="D87" s="863" t="s">
        <v>586</v>
      </c>
      <c r="E87" s="835" t="s">
        <v>1688</v>
      </c>
      <c r="F87" s="863" t="s">
        <v>1689</v>
      </c>
      <c r="G87" s="835" t="s">
        <v>1757</v>
      </c>
      <c r="H87" s="835" t="s">
        <v>1758</v>
      </c>
      <c r="I87" s="849">
        <v>1.6699999570846558</v>
      </c>
      <c r="J87" s="849">
        <v>2000</v>
      </c>
      <c r="K87" s="850">
        <v>3340</v>
      </c>
    </row>
    <row r="88" spans="1:11" ht="14.45" customHeight="1" x14ac:dyDescent="0.2">
      <c r="A88" s="831" t="s">
        <v>570</v>
      </c>
      <c r="B88" s="832" t="s">
        <v>571</v>
      </c>
      <c r="C88" s="835" t="s">
        <v>585</v>
      </c>
      <c r="D88" s="863" t="s">
        <v>586</v>
      </c>
      <c r="E88" s="835" t="s">
        <v>1688</v>
      </c>
      <c r="F88" s="863" t="s">
        <v>1689</v>
      </c>
      <c r="G88" s="835" t="s">
        <v>1759</v>
      </c>
      <c r="H88" s="835" t="s">
        <v>1760</v>
      </c>
      <c r="I88" s="849">
        <v>0.67000001668930054</v>
      </c>
      <c r="J88" s="849">
        <v>600</v>
      </c>
      <c r="K88" s="850">
        <v>402</v>
      </c>
    </row>
    <row r="89" spans="1:11" ht="14.45" customHeight="1" x14ac:dyDescent="0.2">
      <c r="A89" s="831" t="s">
        <v>570</v>
      </c>
      <c r="B89" s="832" t="s">
        <v>571</v>
      </c>
      <c r="C89" s="835" t="s">
        <v>585</v>
      </c>
      <c r="D89" s="863" t="s">
        <v>586</v>
      </c>
      <c r="E89" s="835" t="s">
        <v>1688</v>
      </c>
      <c r="F89" s="863" t="s">
        <v>1689</v>
      </c>
      <c r="G89" s="835" t="s">
        <v>1761</v>
      </c>
      <c r="H89" s="835" t="s">
        <v>1762</v>
      </c>
      <c r="I89" s="849">
        <v>2.75</v>
      </c>
      <c r="J89" s="849">
        <v>100</v>
      </c>
      <c r="K89" s="850">
        <v>275</v>
      </c>
    </row>
    <row r="90" spans="1:11" ht="14.45" customHeight="1" x14ac:dyDescent="0.2">
      <c r="A90" s="831" t="s">
        <v>570</v>
      </c>
      <c r="B90" s="832" t="s">
        <v>571</v>
      </c>
      <c r="C90" s="835" t="s">
        <v>585</v>
      </c>
      <c r="D90" s="863" t="s">
        <v>586</v>
      </c>
      <c r="E90" s="835" t="s">
        <v>1688</v>
      </c>
      <c r="F90" s="863" t="s">
        <v>1689</v>
      </c>
      <c r="G90" s="835" t="s">
        <v>1750</v>
      </c>
      <c r="H90" s="835" t="s">
        <v>1763</v>
      </c>
      <c r="I90" s="849">
        <v>1.0900000333786011</v>
      </c>
      <c r="J90" s="849">
        <v>3000</v>
      </c>
      <c r="K90" s="850">
        <v>3270</v>
      </c>
    </row>
    <row r="91" spans="1:11" ht="14.45" customHeight="1" x14ac:dyDescent="0.2">
      <c r="A91" s="831" t="s">
        <v>570</v>
      </c>
      <c r="B91" s="832" t="s">
        <v>571</v>
      </c>
      <c r="C91" s="835" t="s">
        <v>585</v>
      </c>
      <c r="D91" s="863" t="s">
        <v>586</v>
      </c>
      <c r="E91" s="835" t="s">
        <v>1688</v>
      </c>
      <c r="F91" s="863" t="s">
        <v>1689</v>
      </c>
      <c r="G91" s="835" t="s">
        <v>1752</v>
      </c>
      <c r="H91" s="835" t="s">
        <v>1764</v>
      </c>
      <c r="I91" s="849">
        <v>0.47999998927116394</v>
      </c>
      <c r="J91" s="849">
        <v>1800</v>
      </c>
      <c r="K91" s="850">
        <v>864</v>
      </c>
    </row>
    <row r="92" spans="1:11" ht="14.45" customHeight="1" x14ac:dyDescent="0.2">
      <c r="A92" s="831" t="s">
        <v>570</v>
      </c>
      <c r="B92" s="832" t="s">
        <v>571</v>
      </c>
      <c r="C92" s="835" t="s">
        <v>585</v>
      </c>
      <c r="D92" s="863" t="s">
        <v>586</v>
      </c>
      <c r="E92" s="835" t="s">
        <v>1688</v>
      </c>
      <c r="F92" s="863" t="s">
        <v>1689</v>
      </c>
      <c r="G92" s="835" t="s">
        <v>1757</v>
      </c>
      <c r="H92" s="835" t="s">
        <v>1765</v>
      </c>
      <c r="I92" s="849">
        <v>1.6749999523162842</v>
      </c>
      <c r="J92" s="849">
        <v>6200</v>
      </c>
      <c r="K92" s="850">
        <v>10386</v>
      </c>
    </row>
    <row r="93" spans="1:11" ht="14.45" customHeight="1" x14ac:dyDescent="0.2">
      <c r="A93" s="831" t="s">
        <v>570</v>
      </c>
      <c r="B93" s="832" t="s">
        <v>571</v>
      </c>
      <c r="C93" s="835" t="s">
        <v>585</v>
      </c>
      <c r="D93" s="863" t="s">
        <v>586</v>
      </c>
      <c r="E93" s="835" t="s">
        <v>1688</v>
      </c>
      <c r="F93" s="863" t="s">
        <v>1689</v>
      </c>
      <c r="G93" s="835" t="s">
        <v>1759</v>
      </c>
      <c r="H93" s="835" t="s">
        <v>1766</v>
      </c>
      <c r="I93" s="849">
        <v>0.67000001668930054</v>
      </c>
      <c r="J93" s="849">
        <v>1800</v>
      </c>
      <c r="K93" s="850">
        <v>1206</v>
      </c>
    </row>
    <row r="94" spans="1:11" ht="14.45" customHeight="1" x14ac:dyDescent="0.2">
      <c r="A94" s="831" t="s">
        <v>570</v>
      </c>
      <c r="B94" s="832" t="s">
        <v>571</v>
      </c>
      <c r="C94" s="835" t="s">
        <v>585</v>
      </c>
      <c r="D94" s="863" t="s">
        <v>586</v>
      </c>
      <c r="E94" s="835" t="s">
        <v>1688</v>
      </c>
      <c r="F94" s="863" t="s">
        <v>1689</v>
      </c>
      <c r="G94" s="835" t="s">
        <v>1761</v>
      </c>
      <c r="H94" s="835" t="s">
        <v>1767</v>
      </c>
      <c r="I94" s="849">
        <v>2.75</v>
      </c>
      <c r="J94" s="849">
        <v>700</v>
      </c>
      <c r="K94" s="850">
        <v>1925</v>
      </c>
    </row>
    <row r="95" spans="1:11" ht="14.45" customHeight="1" x14ac:dyDescent="0.2">
      <c r="A95" s="831" t="s">
        <v>570</v>
      </c>
      <c r="B95" s="832" t="s">
        <v>571</v>
      </c>
      <c r="C95" s="835" t="s">
        <v>585</v>
      </c>
      <c r="D95" s="863" t="s">
        <v>586</v>
      </c>
      <c r="E95" s="835" t="s">
        <v>1688</v>
      </c>
      <c r="F95" s="863" t="s">
        <v>1689</v>
      </c>
      <c r="G95" s="835" t="s">
        <v>1768</v>
      </c>
      <c r="H95" s="835" t="s">
        <v>1769</v>
      </c>
      <c r="I95" s="849">
        <v>9.1499996185302734</v>
      </c>
      <c r="J95" s="849">
        <v>100</v>
      </c>
      <c r="K95" s="850">
        <v>914.6500244140625</v>
      </c>
    </row>
    <row r="96" spans="1:11" ht="14.45" customHeight="1" x14ac:dyDescent="0.2">
      <c r="A96" s="831" t="s">
        <v>570</v>
      </c>
      <c r="B96" s="832" t="s">
        <v>571</v>
      </c>
      <c r="C96" s="835" t="s">
        <v>585</v>
      </c>
      <c r="D96" s="863" t="s">
        <v>586</v>
      </c>
      <c r="E96" s="835" t="s">
        <v>1688</v>
      </c>
      <c r="F96" s="863" t="s">
        <v>1689</v>
      </c>
      <c r="G96" s="835" t="s">
        <v>1770</v>
      </c>
      <c r="H96" s="835" t="s">
        <v>1771</v>
      </c>
      <c r="I96" s="849">
        <v>156.08999633789063</v>
      </c>
      <c r="J96" s="849">
        <v>10</v>
      </c>
      <c r="K96" s="850">
        <v>1560.9000244140625</v>
      </c>
    </row>
    <row r="97" spans="1:11" ht="14.45" customHeight="1" x14ac:dyDescent="0.2">
      <c r="A97" s="831" t="s">
        <v>570</v>
      </c>
      <c r="B97" s="832" t="s">
        <v>571</v>
      </c>
      <c r="C97" s="835" t="s">
        <v>585</v>
      </c>
      <c r="D97" s="863" t="s">
        <v>586</v>
      </c>
      <c r="E97" s="835" t="s">
        <v>1688</v>
      </c>
      <c r="F97" s="863" t="s">
        <v>1689</v>
      </c>
      <c r="G97" s="835" t="s">
        <v>1772</v>
      </c>
      <c r="H97" s="835" t="s">
        <v>1773</v>
      </c>
      <c r="I97" s="849">
        <v>2.8499999046325684</v>
      </c>
      <c r="J97" s="849">
        <v>700</v>
      </c>
      <c r="K97" s="850">
        <v>1996.4400024414063</v>
      </c>
    </row>
    <row r="98" spans="1:11" ht="14.45" customHeight="1" x14ac:dyDescent="0.2">
      <c r="A98" s="831" t="s">
        <v>570</v>
      </c>
      <c r="B98" s="832" t="s">
        <v>571</v>
      </c>
      <c r="C98" s="835" t="s">
        <v>585</v>
      </c>
      <c r="D98" s="863" t="s">
        <v>586</v>
      </c>
      <c r="E98" s="835" t="s">
        <v>1688</v>
      </c>
      <c r="F98" s="863" t="s">
        <v>1689</v>
      </c>
      <c r="G98" s="835" t="s">
        <v>1772</v>
      </c>
      <c r="H98" s="835" t="s">
        <v>1774</v>
      </c>
      <c r="I98" s="849">
        <v>2.8499999046325684</v>
      </c>
      <c r="J98" s="849">
        <v>1400</v>
      </c>
      <c r="K98" s="850">
        <v>3991.2000122070313</v>
      </c>
    </row>
    <row r="99" spans="1:11" ht="14.45" customHeight="1" x14ac:dyDescent="0.2">
      <c r="A99" s="831" t="s">
        <v>570</v>
      </c>
      <c r="B99" s="832" t="s">
        <v>571</v>
      </c>
      <c r="C99" s="835" t="s">
        <v>585</v>
      </c>
      <c r="D99" s="863" t="s">
        <v>586</v>
      </c>
      <c r="E99" s="835" t="s">
        <v>1688</v>
      </c>
      <c r="F99" s="863" t="s">
        <v>1689</v>
      </c>
      <c r="G99" s="835" t="s">
        <v>1775</v>
      </c>
      <c r="H99" s="835" t="s">
        <v>1776</v>
      </c>
      <c r="I99" s="849">
        <v>5.809999942779541</v>
      </c>
      <c r="J99" s="849">
        <v>250</v>
      </c>
      <c r="K99" s="850">
        <v>1452.5</v>
      </c>
    </row>
    <row r="100" spans="1:11" ht="14.45" customHeight="1" x14ac:dyDescent="0.2">
      <c r="A100" s="831" t="s">
        <v>570</v>
      </c>
      <c r="B100" s="832" t="s">
        <v>571</v>
      </c>
      <c r="C100" s="835" t="s">
        <v>585</v>
      </c>
      <c r="D100" s="863" t="s">
        <v>586</v>
      </c>
      <c r="E100" s="835" t="s">
        <v>1688</v>
      </c>
      <c r="F100" s="863" t="s">
        <v>1689</v>
      </c>
      <c r="G100" s="835" t="s">
        <v>1777</v>
      </c>
      <c r="H100" s="835" t="s">
        <v>1778</v>
      </c>
      <c r="I100" s="849">
        <v>209</v>
      </c>
      <c r="J100" s="849">
        <v>5</v>
      </c>
      <c r="K100" s="850">
        <v>1045</v>
      </c>
    </row>
    <row r="101" spans="1:11" ht="14.45" customHeight="1" x14ac:dyDescent="0.2">
      <c r="A101" s="831" t="s">
        <v>570</v>
      </c>
      <c r="B101" s="832" t="s">
        <v>571</v>
      </c>
      <c r="C101" s="835" t="s">
        <v>585</v>
      </c>
      <c r="D101" s="863" t="s">
        <v>586</v>
      </c>
      <c r="E101" s="835" t="s">
        <v>1688</v>
      </c>
      <c r="F101" s="863" t="s">
        <v>1689</v>
      </c>
      <c r="G101" s="835" t="s">
        <v>1779</v>
      </c>
      <c r="H101" s="835" t="s">
        <v>1780</v>
      </c>
      <c r="I101" s="849">
        <v>0.4699999988079071</v>
      </c>
      <c r="J101" s="849">
        <v>200</v>
      </c>
      <c r="K101" s="850">
        <v>94</v>
      </c>
    </row>
    <row r="102" spans="1:11" ht="14.45" customHeight="1" x14ac:dyDescent="0.2">
      <c r="A102" s="831" t="s">
        <v>570</v>
      </c>
      <c r="B102" s="832" t="s">
        <v>571</v>
      </c>
      <c r="C102" s="835" t="s">
        <v>585</v>
      </c>
      <c r="D102" s="863" t="s">
        <v>586</v>
      </c>
      <c r="E102" s="835" t="s">
        <v>1688</v>
      </c>
      <c r="F102" s="863" t="s">
        <v>1689</v>
      </c>
      <c r="G102" s="835" t="s">
        <v>1779</v>
      </c>
      <c r="H102" s="835" t="s">
        <v>1781</v>
      </c>
      <c r="I102" s="849">
        <v>0.47499999403953552</v>
      </c>
      <c r="J102" s="849">
        <v>400</v>
      </c>
      <c r="K102" s="850">
        <v>190</v>
      </c>
    </row>
    <row r="103" spans="1:11" ht="14.45" customHeight="1" x14ac:dyDescent="0.2">
      <c r="A103" s="831" t="s">
        <v>570</v>
      </c>
      <c r="B103" s="832" t="s">
        <v>571</v>
      </c>
      <c r="C103" s="835" t="s">
        <v>585</v>
      </c>
      <c r="D103" s="863" t="s">
        <v>586</v>
      </c>
      <c r="E103" s="835" t="s">
        <v>1688</v>
      </c>
      <c r="F103" s="863" t="s">
        <v>1689</v>
      </c>
      <c r="G103" s="835" t="s">
        <v>1782</v>
      </c>
      <c r="H103" s="835" t="s">
        <v>1783</v>
      </c>
      <c r="I103" s="849">
        <v>2.369999885559082</v>
      </c>
      <c r="J103" s="849">
        <v>50</v>
      </c>
      <c r="K103" s="850">
        <v>118.5</v>
      </c>
    </row>
    <row r="104" spans="1:11" ht="14.45" customHeight="1" x14ac:dyDescent="0.2">
      <c r="A104" s="831" t="s">
        <v>570</v>
      </c>
      <c r="B104" s="832" t="s">
        <v>571</v>
      </c>
      <c r="C104" s="835" t="s">
        <v>585</v>
      </c>
      <c r="D104" s="863" t="s">
        <v>586</v>
      </c>
      <c r="E104" s="835" t="s">
        <v>1688</v>
      </c>
      <c r="F104" s="863" t="s">
        <v>1689</v>
      </c>
      <c r="G104" s="835" t="s">
        <v>1784</v>
      </c>
      <c r="H104" s="835" t="s">
        <v>1785</v>
      </c>
      <c r="I104" s="849">
        <v>3.75</v>
      </c>
      <c r="J104" s="849">
        <v>20</v>
      </c>
      <c r="K104" s="850">
        <v>75</v>
      </c>
    </row>
    <row r="105" spans="1:11" ht="14.45" customHeight="1" x14ac:dyDescent="0.2">
      <c r="A105" s="831" t="s">
        <v>570</v>
      </c>
      <c r="B105" s="832" t="s">
        <v>571</v>
      </c>
      <c r="C105" s="835" t="s">
        <v>585</v>
      </c>
      <c r="D105" s="863" t="s">
        <v>586</v>
      </c>
      <c r="E105" s="835" t="s">
        <v>1688</v>
      </c>
      <c r="F105" s="863" t="s">
        <v>1689</v>
      </c>
      <c r="G105" s="835" t="s">
        <v>1784</v>
      </c>
      <c r="H105" s="835" t="s">
        <v>1786</v>
      </c>
      <c r="I105" s="849">
        <v>3.75</v>
      </c>
      <c r="J105" s="849">
        <v>50</v>
      </c>
      <c r="K105" s="850">
        <v>187.5</v>
      </c>
    </row>
    <row r="106" spans="1:11" ht="14.45" customHeight="1" x14ac:dyDescent="0.2">
      <c r="A106" s="831" t="s">
        <v>570</v>
      </c>
      <c r="B106" s="832" t="s">
        <v>571</v>
      </c>
      <c r="C106" s="835" t="s">
        <v>585</v>
      </c>
      <c r="D106" s="863" t="s">
        <v>586</v>
      </c>
      <c r="E106" s="835" t="s">
        <v>1688</v>
      </c>
      <c r="F106" s="863" t="s">
        <v>1689</v>
      </c>
      <c r="G106" s="835" t="s">
        <v>1787</v>
      </c>
      <c r="H106" s="835" t="s">
        <v>1788</v>
      </c>
      <c r="I106" s="849">
        <v>1.7999999523162842</v>
      </c>
      <c r="J106" s="849">
        <v>20</v>
      </c>
      <c r="K106" s="850">
        <v>36</v>
      </c>
    </row>
    <row r="107" spans="1:11" ht="14.45" customHeight="1" x14ac:dyDescent="0.2">
      <c r="A107" s="831" t="s">
        <v>570</v>
      </c>
      <c r="B107" s="832" t="s">
        <v>571</v>
      </c>
      <c r="C107" s="835" t="s">
        <v>585</v>
      </c>
      <c r="D107" s="863" t="s">
        <v>586</v>
      </c>
      <c r="E107" s="835" t="s">
        <v>1688</v>
      </c>
      <c r="F107" s="863" t="s">
        <v>1689</v>
      </c>
      <c r="G107" s="835" t="s">
        <v>1789</v>
      </c>
      <c r="H107" s="835" t="s">
        <v>1790</v>
      </c>
      <c r="I107" s="849">
        <v>21.239999771118164</v>
      </c>
      <c r="J107" s="849">
        <v>50</v>
      </c>
      <c r="K107" s="850">
        <v>1062</v>
      </c>
    </row>
    <row r="108" spans="1:11" ht="14.45" customHeight="1" x14ac:dyDescent="0.2">
      <c r="A108" s="831" t="s">
        <v>570</v>
      </c>
      <c r="B108" s="832" t="s">
        <v>571</v>
      </c>
      <c r="C108" s="835" t="s">
        <v>585</v>
      </c>
      <c r="D108" s="863" t="s">
        <v>586</v>
      </c>
      <c r="E108" s="835" t="s">
        <v>1688</v>
      </c>
      <c r="F108" s="863" t="s">
        <v>1689</v>
      </c>
      <c r="G108" s="835" t="s">
        <v>1789</v>
      </c>
      <c r="H108" s="835" t="s">
        <v>1791</v>
      </c>
      <c r="I108" s="849">
        <v>21.229999542236328</v>
      </c>
      <c r="J108" s="849">
        <v>50</v>
      </c>
      <c r="K108" s="850">
        <v>1061.5</v>
      </c>
    </row>
    <row r="109" spans="1:11" ht="14.45" customHeight="1" x14ac:dyDescent="0.2">
      <c r="A109" s="831" t="s">
        <v>570</v>
      </c>
      <c r="B109" s="832" t="s">
        <v>571</v>
      </c>
      <c r="C109" s="835" t="s">
        <v>585</v>
      </c>
      <c r="D109" s="863" t="s">
        <v>586</v>
      </c>
      <c r="E109" s="835" t="s">
        <v>1688</v>
      </c>
      <c r="F109" s="863" t="s">
        <v>1689</v>
      </c>
      <c r="G109" s="835" t="s">
        <v>1792</v>
      </c>
      <c r="H109" s="835" t="s">
        <v>1793</v>
      </c>
      <c r="I109" s="849">
        <v>2.5299999713897705</v>
      </c>
      <c r="J109" s="849">
        <v>200</v>
      </c>
      <c r="K109" s="850">
        <v>506</v>
      </c>
    </row>
    <row r="110" spans="1:11" ht="14.45" customHeight="1" x14ac:dyDescent="0.2">
      <c r="A110" s="831" t="s">
        <v>570</v>
      </c>
      <c r="B110" s="832" t="s">
        <v>571</v>
      </c>
      <c r="C110" s="835" t="s">
        <v>585</v>
      </c>
      <c r="D110" s="863" t="s">
        <v>586</v>
      </c>
      <c r="E110" s="835" t="s">
        <v>1688</v>
      </c>
      <c r="F110" s="863" t="s">
        <v>1689</v>
      </c>
      <c r="G110" s="835" t="s">
        <v>1794</v>
      </c>
      <c r="H110" s="835" t="s">
        <v>1795</v>
      </c>
      <c r="I110" s="849">
        <v>3.7400000095367432</v>
      </c>
      <c r="J110" s="849">
        <v>250</v>
      </c>
      <c r="K110" s="850">
        <v>935</v>
      </c>
    </row>
    <row r="111" spans="1:11" ht="14.45" customHeight="1" x14ac:dyDescent="0.2">
      <c r="A111" s="831" t="s">
        <v>570</v>
      </c>
      <c r="B111" s="832" t="s">
        <v>571</v>
      </c>
      <c r="C111" s="835" t="s">
        <v>585</v>
      </c>
      <c r="D111" s="863" t="s">
        <v>586</v>
      </c>
      <c r="E111" s="835" t="s">
        <v>1688</v>
      </c>
      <c r="F111" s="863" t="s">
        <v>1689</v>
      </c>
      <c r="G111" s="835" t="s">
        <v>1792</v>
      </c>
      <c r="H111" s="835" t="s">
        <v>1796</v>
      </c>
      <c r="I111" s="849">
        <v>2.5266666412353516</v>
      </c>
      <c r="J111" s="849">
        <v>250</v>
      </c>
      <c r="K111" s="850">
        <v>632</v>
      </c>
    </row>
    <row r="112" spans="1:11" ht="14.45" customHeight="1" x14ac:dyDescent="0.2">
      <c r="A112" s="831" t="s">
        <v>570</v>
      </c>
      <c r="B112" s="832" t="s">
        <v>571</v>
      </c>
      <c r="C112" s="835" t="s">
        <v>585</v>
      </c>
      <c r="D112" s="863" t="s">
        <v>586</v>
      </c>
      <c r="E112" s="835" t="s">
        <v>1688</v>
      </c>
      <c r="F112" s="863" t="s">
        <v>1689</v>
      </c>
      <c r="G112" s="835" t="s">
        <v>1794</v>
      </c>
      <c r="H112" s="835" t="s">
        <v>1797</v>
      </c>
      <c r="I112" s="849">
        <v>3.7400000095367432</v>
      </c>
      <c r="J112" s="849">
        <v>500</v>
      </c>
      <c r="K112" s="850">
        <v>1870</v>
      </c>
    </row>
    <row r="113" spans="1:11" ht="14.45" customHeight="1" x14ac:dyDescent="0.2">
      <c r="A113" s="831" t="s">
        <v>570</v>
      </c>
      <c r="B113" s="832" t="s">
        <v>571</v>
      </c>
      <c r="C113" s="835" t="s">
        <v>585</v>
      </c>
      <c r="D113" s="863" t="s">
        <v>586</v>
      </c>
      <c r="E113" s="835" t="s">
        <v>1688</v>
      </c>
      <c r="F113" s="863" t="s">
        <v>1689</v>
      </c>
      <c r="G113" s="835" t="s">
        <v>1798</v>
      </c>
      <c r="H113" s="835" t="s">
        <v>1799</v>
      </c>
      <c r="I113" s="849">
        <v>21.229999542236328</v>
      </c>
      <c r="J113" s="849">
        <v>30</v>
      </c>
      <c r="K113" s="850">
        <v>636.9000244140625</v>
      </c>
    </row>
    <row r="114" spans="1:11" ht="14.45" customHeight="1" x14ac:dyDescent="0.2">
      <c r="A114" s="831" t="s">
        <v>570</v>
      </c>
      <c r="B114" s="832" t="s">
        <v>571</v>
      </c>
      <c r="C114" s="835" t="s">
        <v>585</v>
      </c>
      <c r="D114" s="863" t="s">
        <v>586</v>
      </c>
      <c r="E114" s="835" t="s">
        <v>1800</v>
      </c>
      <c r="F114" s="863" t="s">
        <v>1801</v>
      </c>
      <c r="G114" s="835" t="s">
        <v>1802</v>
      </c>
      <c r="H114" s="835" t="s">
        <v>1803</v>
      </c>
      <c r="I114" s="849">
        <v>0.47999998927116394</v>
      </c>
      <c r="J114" s="849">
        <v>100</v>
      </c>
      <c r="K114" s="850">
        <v>48</v>
      </c>
    </row>
    <row r="115" spans="1:11" ht="14.45" customHeight="1" x14ac:dyDescent="0.2">
      <c r="A115" s="831" t="s">
        <v>570</v>
      </c>
      <c r="B115" s="832" t="s">
        <v>571</v>
      </c>
      <c r="C115" s="835" t="s">
        <v>585</v>
      </c>
      <c r="D115" s="863" t="s">
        <v>586</v>
      </c>
      <c r="E115" s="835" t="s">
        <v>1800</v>
      </c>
      <c r="F115" s="863" t="s">
        <v>1801</v>
      </c>
      <c r="G115" s="835" t="s">
        <v>1804</v>
      </c>
      <c r="H115" s="835" t="s">
        <v>1805</v>
      </c>
      <c r="I115" s="849">
        <v>0.30000001192092896</v>
      </c>
      <c r="J115" s="849">
        <v>100</v>
      </c>
      <c r="K115" s="850">
        <v>30.360000610351563</v>
      </c>
    </row>
    <row r="116" spans="1:11" ht="14.45" customHeight="1" x14ac:dyDescent="0.2">
      <c r="A116" s="831" t="s">
        <v>570</v>
      </c>
      <c r="B116" s="832" t="s">
        <v>571</v>
      </c>
      <c r="C116" s="835" t="s">
        <v>585</v>
      </c>
      <c r="D116" s="863" t="s">
        <v>586</v>
      </c>
      <c r="E116" s="835" t="s">
        <v>1800</v>
      </c>
      <c r="F116" s="863" t="s">
        <v>1801</v>
      </c>
      <c r="G116" s="835" t="s">
        <v>1806</v>
      </c>
      <c r="H116" s="835" t="s">
        <v>1807</v>
      </c>
      <c r="I116" s="849">
        <v>0.55000001192092896</v>
      </c>
      <c r="J116" s="849">
        <v>100</v>
      </c>
      <c r="K116" s="850">
        <v>55</v>
      </c>
    </row>
    <row r="117" spans="1:11" ht="14.45" customHeight="1" x14ac:dyDescent="0.2">
      <c r="A117" s="831" t="s">
        <v>570</v>
      </c>
      <c r="B117" s="832" t="s">
        <v>571</v>
      </c>
      <c r="C117" s="835" t="s">
        <v>585</v>
      </c>
      <c r="D117" s="863" t="s">
        <v>586</v>
      </c>
      <c r="E117" s="835" t="s">
        <v>1800</v>
      </c>
      <c r="F117" s="863" t="s">
        <v>1801</v>
      </c>
      <c r="G117" s="835" t="s">
        <v>1808</v>
      </c>
      <c r="H117" s="835" t="s">
        <v>1809</v>
      </c>
      <c r="I117" s="849">
        <v>0.31000000238418579</v>
      </c>
      <c r="J117" s="849">
        <v>200</v>
      </c>
      <c r="K117" s="850">
        <v>62</v>
      </c>
    </row>
    <row r="118" spans="1:11" ht="14.45" customHeight="1" x14ac:dyDescent="0.2">
      <c r="A118" s="831" t="s">
        <v>570</v>
      </c>
      <c r="B118" s="832" t="s">
        <v>571</v>
      </c>
      <c r="C118" s="835" t="s">
        <v>585</v>
      </c>
      <c r="D118" s="863" t="s">
        <v>586</v>
      </c>
      <c r="E118" s="835" t="s">
        <v>1800</v>
      </c>
      <c r="F118" s="863" t="s">
        <v>1801</v>
      </c>
      <c r="G118" s="835" t="s">
        <v>1804</v>
      </c>
      <c r="H118" s="835" t="s">
        <v>1810</v>
      </c>
      <c r="I118" s="849">
        <v>0.30000001192092896</v>
      </c>
      <c r="J118" s="849">
        <v>200</v>
      </c>
      <c r="K118" s="850">
        <v>60.720001220703125</v>
      </c>
    </row>
    <row r="119" spans="1:11" ht="14.45" customHeight="1" x14ac:dyDescent="0.2">
      <c r="A119" s="831" t="s">
        <v>570</v>
      </c>
      <c r="B119" s="832" t="s">
        <v>571</v>
      </c>
      <c r="C119" s="835" t="s">
        <v>585</v>
      </c>
      <c r="D119" s="863" t="s">
        <v>586</v>
      </c>
      <c r="E119" s="835" t="s">
        <v>1800</v>
      </c>
      <c r="F119" s="863" t="s">
        <v>1801</v>
      </c>
      <c r="G119" s="835" t="s">
        <v>1811</v>
      </c>
      <c r="H119" s="835" t="s">
        <v>1812</v>
      </c>
      <c r="I119" s="849">
        <v>0.31000000238418579</v>
      </c>
      <c r="J119" s="849">
        <v>600</v>
      </c>
      <c r="K119" s="850">
        <v>186</v>
      </c>
    </row>
    <row r="120" spans="1:11" ht="14.45" customHeight="1" x14ac:dyDescent="0.2">
      <c r="A120" s="831" t="s">
        <v>570</v>
      </c>
      <c r="B120" s="832" t="s">
        <v>571</v>
      </c>
      <c r="C120" s="835" t="s">
        <v>585</v>
      </c>
      <c r="D120" s="863" t="s">
        <v>586</v>
      </c>
      <c r="E120" s="835" t="s">
        <v>1813</v>
      </c>
      <c r="F120" s="863" t="s">
        <v>1814</v>
      </c>
      <c r="G120" s="835" t="s">
        <v>1815</v>
      </c>
      <c r="H120" s="835" t="s">
        <v>1816</v>
      </c>
      <c r="I120" s="849">
        <v>15.729999542236328</v>
      </c>
      <c r="J120" s="849">
        <v>400</v>
      </c>
      <c r="K120" s="850">
        <v>6292</v>
      </c>
    </row>
    <row r="121" spans="1:11" ht="14.45" customHeight="1" x14ac:dyDescent="0.2">
      <c r="A121" s="831" t="s">
        <v>570</v>
      </c>
      <c r="B121" s="832" t="s">
        <v>571</v>
      </c>
      <c r="C121" s="835" t="s">
        <v>585</v>
      </c>
      <c r="D121" s="863" t="s">
        <v>586</v>
      </c>
      <c r="E121" s="835" t="s">
        <v>1813</v>
      </c>
      <c r="F121" s="863" t="s">
        <v>1814</v>
      </c>
      <c r="G121" s="835" t="s">
        <v>1817</v>
      </c>
      <c r="H121" s="835" t="s">
        <v>1818</v>
      </c>
      <c r="I121" s="849">
        <v>15.729999542236328</v>
      </c>
      <c r="J121" s="849">
        <v>400</v>
      </c>
      <c r="K121" s="850">
        <v>6292</v>
      </c>
    </row>
    <row r="122" spans="1:11" ht="14.45" customHeight="1" x14ac:dyDescent="0.2">
      <c r="A122" s="831" t="s">
        <v>570</v>
      </c>
      <c r="B122" s="832" t="s">
        <v>571</v>
      </c>
      <c r="C122" s="835" t="s">
        <v>585</v>
      </c>
      <c r="D122" s="863" t="s">
        <v>586</v>
      </c>
      <c r="E122" s="835" t="s">
        <v>1813</v>
      </c>
      <c r="F122" s="863" t="s">
        <v>1814</v>
      </c>
      <c r="G122" s="835" t="s">
        <v>1815</v>
      </c>
      <c r="H122" s="835" t="s">
        <v>1819</v>
      </c>
      <c r="I122" s="849">
        <v>15.729999542236328</v>
      </c>
      <c r="J122" s="849">
        <v>500</v>
      </c>
      <c r="K122" s="850">
        <v>7865</v>
      </c>
    </row>
    <row r="123" spans="1:11" ht="14.45" customHeight="1" x14ac:dyDescent="0.2">
      <c r="A123" s="831" t="s">
        <v>570</v>
      </c>
      <c r="B123" s="832" t="s">
        <v>571</v>
      </c>
      <c r="C123" s="835" t="s">
        <v>585</v>
      </c>
      <c r="D123" s="863" t="s">
        <v>586</v>
      </c>
      <c r="E123" s="835" t="s">
        <v>1813</v>
      </c>
      <c r="F123" s="863" t="s">
        <v>1814</v>
      </c>
      <c r="G123" s="835" t="s">
        <v>1817</v>
      </c>
      <c r="H123" s="835" t="s">
        <v>1820</v>
      </c>
      <c r="I123" s="849">
        <v>15.729999542236328</v>
      </c>
      <c r="J123" s="849">
        <v>500</v>
      </c>
      <c r="K123" s="850">
        <v>7865</v>
      </c>
    </row>
    <row r="124" spans="1:11" ht="14.45" customHeight="1" x14ac:dyDescent="0.2">
      <c r="A124" s="831" t="s">
        <v>570</v>
      </c>
      <c r="B124" s="832" t="s">
        <v>571</v>
      </c>
      <c r="C124" s="835" t="s">
        <v>585</v>
      </c>
      <c r="D124" s="863" t="s">
        <v>586</v>
      </c>
      <c r="E124" s="835" t="s">
        <v>1813</v>
      </c>
      <c r="F124" s="863" t="s">
        <v>1814</v>
      </c>
      <c r="G124" s="835" t="s">
        <v>1821</v>
      </c>
      <c r="H124" s="835" t="s">
        <v>1822</v>
      </c>
      <c r="I124" s="849">
        <v>0.62999999523162842</v>
      </c>
      <c r="J124" s="849">
        <v>1600</v>
      </c>
      <c r="K124" s="850">
        <v>1008</v>
      </c>
    </row>
    <row r="125" spans="1:11" ht="14.45" customHeight="1" x14ac:dyDescent="0.2">
      <c r="A125" s="831" t="s">
        <v>570</v>
      </c>
      <c r="B125" s="832" t="s">
        <v>571</v>
      </c>
      <c r="C125" s="835" t="s">
        <v>585</v>
      </c>
      <c r="D125" s="863" t="s">
        <v>586</v>
      </c>
      <c r="E125" s="835" t="s">
        <v>1813</v>
      </c>
      <c r="F125" s="863" t="s">
        <v>1814</v>
      </c>
      <c r="G125" s="835" t="s">
        <v>1823</v>
      </c>
      <c r="H125" s="835" t="s">
        <v>1824</v>
      </c>
      <c r="I125" s="849">
        <v>0.62666666507720947</v>
      </c>
      <c r="J125" s="849">
        <v>7000</v>
      </c>
      <c r="K125" s="850">
        <v>4390</v>
      </c>
    </row>
    <row r="126" spans="1:11" ht="14.45" customHeight="1" x14ac:dyDescent="0.2">
      <c r="A126" s="831" t="s">
        <v>570</v>
      </c>
      <c r="B126" s="832" t="s">
        <v>571</v>
      </c>
      <c r="C126" s="835" t="s">
        <v>585</v>
      </c>
      <c r="D126" s="863" t="s">
        <v>586</v>
      </c>
      <c r="E126" s="835" t="s">
        <v>1813</v>
      </c>
      <c r="F126" s="863" t="s">
        <v>1814</v>
      </c>
      <c r="G126" s="835" t="s">
        <v>1825</v>
      </c>
      <c r="H126" s="835" t="s">
        <v>1826</v>
      </c>
      <c r="I126" s="849">
        <v>0.88999998569488525</v>
      </c>
      <c r="J126" s="849">
        <v>2000</v>
      </c>
      <c r="K126" s="850">
        <v>1789.8800048828125</v>
      </c>
    </row>
    <row r="127" spans="1:11" ht="14.45" customHeight="1" x14ac:dyDescent="0.2">
      <c r="A127" s="831" t="s">
        <v>570</v>
      </c>
      <c r="B127" s="832" t="s">
        <v>571</v>
      </c>
      <c r="C127" s="835" t="s">
        <v>585</v>
      </c>
      <c r="D127" s="863" t="s">
        <v>586</v>
      </c>
      <c r="E127" s="835" t="s">
        <v>1813</v>
      </c>
      <c r="F127" s="863" t="s">
        <v>1814</v>
      </c>
      <c r="G127" s="835" t="s">
        <v>1821</v>
      </c>
      <c r="H127" s="835" t="s">
        <v>1827</v>
      </c>
      <c r="I127" s="849">
        <v>0.62999999523162842</v>
      </c>
      <c r="J127" s="849">
        <v>3000</v>
      </c>
      <c r="K127" s="850">
        <v>1890</v>
      </c>
    </row>
    <row r="128" spans="1:11" ht="14.45" customHeight="1" x14ac:dyDescent="0.2">
      <c r="A128" s="831" t="s">
        <v>570</v>
      </c>
      <c r="B128" s="832" t="s">
        <v>571</v>
      </c>
      <c r="C128" s="835" t="s">
        <v>585</v>
      </c>
      <c r="D128" s="863" t="s">
        <v>586</v>
      </c>
      <c r="E128" s="835" t="s">
        <v>1813</v>
      </c>
      <c r="F128" s="863" t="s">
        <v>1814</v>
      </c>
      <c r="G128" s="835" t="s">
        <v>1823</v>
      </c>
      <c r="H128" s="835" t="s">
        <v>1828</v>
      </c>
      <c r="I128" s="849">
        <v>0.62999999523162842</v>
      </c>
      <c r="J128" s="849">
        <v>16000</v>
      </c>
      <c r="K128" s="850">
        <v>10080</v>
      </c>
    </row>
    <row r="129" spans="1:11" ht="14.45" customHeight="1" x14ac:dyDescent="0.2">
      <c r="A129" s="831" t="s">
        <v>570</v>
      </c>
      <c r="B129" s="832" t="s">
        <v>571</v>
      </c>
      <c r="C129" s="835" t="s">
        <v>585</v>
      </c>
      <c r="D129" s="863" t="s">
        <v>586</v>
      </c>
      <c r="E129" s="835" t="s">
        <v>1813</v>
      </c>
      <c r="F129" s="863" t="s">
        <v>1814</v>
      </c>
      <c r="G129" s="835" t="s">
        <v>1825</v>
      </c>
      <c r="H129" s="835" t="s">
        <v>1829</v>
      </c>
      <c r="I129" s="849">
        <v>0.89999997615814209</v>
      </c>
      <c r="J129" s="849">
        <v>1000</v>
      </c>
      <c r="K129" s="850">
        <v>895.4000244140625</v>
      </c>
    </row>
    <row r="130" spans="1:11" ht="14.45" customHeight="1" x14ac:dyDescent="0.2">
      <c r="A130" s="831" t="s">
        <v>570</v>
      </c>
      <c r="B130" s="832" t="s">
        <v>571</v>
      </c>
      <c r="C130" s="835" t="s">
        <v>585</v>
      </c>
      <c r="D130" s="863" t="s">
        <v>586</v>
      </c>
      <c r="E130" s="835" t="s">
        <v>1813</v>
      </c>
      <c r="F130" s="863" t="s">
        <v>1814</v>
      </c>
      <c r="G130" s="835" t="s">
        <v>1830</v>
      </c>
      <c r="H130" s="835" t="s">
        <v>1831</v>
      </c>
      <c r="I130" s="849">
        <v>0.89999997615814209</v>
      </c>
      <c r="J130" s="849">
        <v>600</v>
      </c>
      <c r="K130" s="850">
        <v>537.239990234375</v>
      </c>
    </row>
    <row r="131" spans="1:11" ht="14.45" customHeight="1" x14ac:dyDescent="0.2">
      <c r="A131" s="831" t="s">
        <v>570</v>
      </c>
      <c r="B131" s="832" t="s">
        <v>571</v>
      </c>
      <c r="C131" s="835" t="s">
        <v>585</v>
      </c>
      <c r="D131" s="863" t="s">
        <v>586</v>
      </c>
      <c r="E131" s="835" t="s">
        <v>1813</v>
      </c>
      <c r="F131" s="863" t="s">
        <v>1814</v>
      </c>
      <c r="G131" s="835" t="s">
        <v>1832</v>
      </c>
      <c r="H131" s="835" t="s">
        <v>1833</v>
      </c>
      <c r="I131" s="849">
        <v>0.89999997615814209</v>
      </c>
      <c r="J131" s="849">
        <v>1000</v>
      </c>
      <c r="K131" s="850">
        <v>895.4000244140625</v>
      </c>
    </row>
    <row r="132" spans="1:11" ht="14.45" customHeight="1" x14ac:dyDescent="0.2">
      <c r="A132" s="831" t="s">
        <v>570</v>
      </c>
      <c r="B132" s="832" t="s">
        <v>571</v>
      </c>
      <c r="C132" s="835" t="s">
        <v>596</v>
      </c>
      <c r="D132" s="863" t="s">
        <v>597</v>
      </c>
      <c r="E132" s="835" t="s">
        <v>1612</v>
      </c>
      <c r="F132" s="863" t="s">
        <v>1613</v>
      </c>
      <c r="G132" s="835" t="s">
        <v>1834</v>
      </c>
      <c r="H132" s="835" t="s">
        <v>1835</v>
      </c>
      <c r="I132" s="849">
        <v>5445</v>
      </c>
      <c r="J132" s="849">
        <v>3</v>
      </c>
      <c r="K132" s="850">
        <v>16335</v>
      </c>
    </row>
    <row r="133" spans="1:11" ht="14.45" customHeight="1" x14ac:dyDescent="0.2">
      <c r="A133" s="831" t="s">
        <v>570</v>
      </c>
      <c r="B133" s="832" t="s">
        <v>571</v>
      </c>
      <c r="C133" s="835" t="s">
        <v>596</v>
      </c>
      <c r="D133" s="863" t="s">
        <v>597</v>
      </c>
      <c r="E133" s="835" t="s">
        <v>1612</v>
      </c>
      <c r="F133" s="863" t="s">
        <v>1613</v>
      </c>
      <c r="G133" s="835" t="s">
        <v>1836</v>
      </c>
      <c r="H133" s="835" t="s">
        <v>1837</v>
      </c>
      <c r="I133" s="849">
        <v>5445</v>
      </c>
      <c r="J133" s="849">
        <v>2</v>
      </c>
      <c r="K133" s="850">
        <v>10890</v>
      </c>
    </row>
    <row r="134" spans="1:11" ht="14.45" customHeight="1" x14ac:dyDescent="0.2">
      <c r="A134" s="831" t="s">
        <v>570</v>
      </c>
      <c r="B134" s="832" t="s">
        <v>571</v>
      </c>
      <c r="C134" s="835" t="s">
        <v>596</v>
      </c>
      <c r="D134" s="863" t="s">
        <v>597</v>
      </c>
      <c r="E134" s="835" t="s">
        <v>1612</v>
      </c>
      <c r="F134" s="863" t="s">
        <v>1613</v>
      </c>
      <c r="G134" s="835" t="s">
        <v>1838</v>
      </c>
      <c r="H134" s="835" t="s">
        <v>1839</v>
      </c>
      <c r="I134" s="849">
        <v>5445</v>
      </c>
      <c r="J134" s="849">
        <v>3</v>
      </c>
      <c r="K134" s="850">
        <v>16335</v>
      </c>
    </row>
    <row r="135" spans="1:11" ht="14.45" customHeight="1" x14ac:dyDescent="0.2">
      <c r="A135" s="831" t="s">
        <v>570</v>
      </c>
      <c r="B135" s="832" t="s">
        <v>571</v>
      </c>
      <c r="C135" s="835" t="s">
        <v>596</v>
      </c>
      <c r="D135" s="863" t="s">
        <v>597</v>
      </c>
      <c r="E135" s="835" t="s">
        <v>1612</v>
      </c>
      <c r="F135" s="863" t="s">
        <v>1613</v>
      </c>
      <c r="G135" s="835" t="s">
        <v>1840</v>
      </c>
      <c r="H135" s="835" t="s">
        <v>1841</v>
      </c>
      <c r="I135" s="849">
        <v>5445</v>
      </c>
      <c r="J135" s="849">
        <v>1</v>
      </c>
      <c r="K135" s="850">
        <v>5445</v>
      </c>
    </row>
    <row r="136" spans="1:11" ht="14.45" customHeight="1" x14ac:dyDescent="0.2">
      <c r="A136" s="831" t="s">
        <v>570</v>
      </c>
      <c r="B136" s="832" t="s">
        <v>571</v>
      </c>
      <c r="C136" s="835" t="s">
        <v>596</v>
      </c>
      <c r="D136" s="863" t="s">
        <v>597</v>
      </c>
      <c r="E136" s="835" t="s">
        <v>1612</v>
      </c>
      <c r="F136" s="863" t="s">
        <v>1613</v>
      </c>
      <c r="G136" s="835" t="s">
        <v>1614</v>
      </c>
      <c r="H136" s="835" t="s">
        <v>1615</v>
      </c>
      <c r="I136" s="849">
        <v>147.17999267578125</v>
      </c>
      <c r="J136" s="849">
        <v>56</v>
      </c>
      <c r="K136" s="850">
        <v>8242.1500244140625</v>
      </c>
    </row>
    <row r="137" spans="1:11" ht="14.45" customHeight="1" x14ac:dyDescent="0.2">
      <c r="A137" s="831" t="s">
        <v>570</v>
      </c>
      <c r="B137" s="832" t="s">
        <v>571</v>
      </c>
      <c r="C137" s="835" t="s">
        <v>596</v>
      </c>
      <c r="D137" s="863" t="s">
        <v>597</v>
      </c>
      <c r="E137" s="835" t="s">
        <v>1612</v>
      </c>
      <c r="F137" s="863" t="s">
        <v>1613</v>
      </c>
      <c r="G137" s="835" t="s">
        <v>1842</v>
      </c>
      <c r="H137" s="835" t="s">
        <v>1843</v>
      </c>
      <c r="I137" s="849">
        <v>141.58000183105469</v>
      </c>
      <c r="J137" s="849">
        <v>3</v>
      </c>
      <c r="K137" s="850">
        <v>424.739990234375</v>
      </c>
    </row>
    <row r="138" spans="1:11" ht="14.45" customHeight="1" x14ac:dyDescent="0.2">
      <c r="A138" s="831" t="s">
        <v>570</v>
      </c>
      <c r="B138" s="832" t="s">
        <v>571</v>
      </c>
      <c r="C138" s="835" t="s">
        <v>596</v>
      </c>
      <c r="D138" s="863" t="s">
        <v>597</v>
      </c>
      <c r="E138" s="835" t="s">
        <v>1612</v>
      </c>
      <c r="F138" s="863" t="s">
        <v>1613</v>
      </c>
      <c r="G138" s="835" t="s">
        <v>1621</v>
      </c>
      <c r="H138" s="835" t="s">
        <v>1622</v>
      </c>
      <c r="I138" s="849">
        <v>13.300000190734863</v>
      </c>
      <c r="J138" s="849">
        <v>10</v>
      </c>
      <c r="K138" s="850">
        <v>133</v>
      </c>
    </row>
    <row r="139" spans="1:11" ht="14.45" customHeight="1" x14ac:dyDescent="0.2">
      <c r="A139" s="831" t="s">
        <v>570</v>
      </c>
      <c r="B139" s="832" t="s">
        <v>571</v>
      </c>
      <c r="C139" s="835" t="s">
        <v>596</v>
      </c>
      <c r="D139" s="863" t="s">
        <v>597</v>
      </c>
      <c r="E139" s="835" t="s">
        <v>1612</v>
      </c>
      <c r="F139" s="863" t="s">
        <v>1613</v>
      </c>
      <c r="G139" s="835" t="s">
        <v>1621</v>
      </c>
      <c r="H139" s="835" t="s">
        <v>1623</v>
      </c>
      <c r="I139" s="849">
        <v>12.34999974568685</v>
      </c>
      <c r="J139" s="849">
        <v>30</v>
      </c>
      <c r="K139" s="850">
        <v>370.52999877929688</v>
      </c>
    </row>
    <row r="140" spans="1:11" ht="14.45" customHeight="1" x14ac:dyDescent="0.2">
      <c r="A140" s="831" t="s">
        <v>570</v>
      </c>
      <c r="B140" s="832" t="s">
        <v>571</v>
      </c>
      <c r="C140" s="835" t="s">
        <v>596</v>
      </c>
      <c r="D140" s="863" t="s">
        <v>597</v>
      </c>
      <c r="E140" s="835" t="s">
        <v>1612</v>
      </c>
      <c r="F140" s="863" t="s">
        <v>1613</v>
      </c>
      <c r="G140" s="835" t="s">
        <v>1628</v>
      </c>
      <c r="H140" s="835" t="s">
        <v>1629</v>
      </c>
      <c r="I140" s="849">
        <v>2277.85009765625</v>
      </c>
      <c r="J140" s="849">
        <v>2</v>
      </c>
      <c r="K140" s="850">
        <v>4555.7001953125</v>
      </c>
    </row>
    <row r="141" spans="1:11" ht="14.45" customHeight="1" x14ac:dyDescent="0.2">
      <c r="A141" s="831" t="s">
        <v>570</v>
      </c>
      <c r="B141" s="832" t="s">
        <v>571</v>
      </c>
      <c r="C141" s="835" t="s">
        <v>596</v>
      </c>
      <c r="D141" s="863" t="s">
        <v>597</v>
      </c>
      <c r="E141" s="835" t="s">
        <v>1612</v>
      </c>
      <c r="F141" s="863" t="s">
        <v>1613</v>
      </c>
      <c r="G141" s="835" t="s">
        <v>1844</v>
      </c>
      <c r="H141" s="835" t="s">
        <v>1845</v>
      </c>
      <c r="I141" s="849">
        <v>2277.85009765625</v>
      </c>
      <c r="J141" s="849">
        <v>4</v>
      </c>
      <c r="K141" s="850">
        <v>9111.400390625</v>
      </c>
    </row>
    <row r="142" spans="1:11" ht="14.45" customHeight="1" x14ac:dyDescent="0.2">
      <c r="A142" s="831" t="s">
        <v>570</v>
      </c>
      <c r="B142" s="832" t="s">
        <v>571</v>
      </c>
      <c r="C142" s="835" t="s">
        <v>596</v>
      </c>
      <c r="D142" s="863" t="s">
        <v>597</v>
      </c>
      <c r="E142" s="835" t="s">
        <v>1612</v>
      </c>
      <c r="F142" s="863" t="s">
        <v>1613</v>
      </c>
      <c r="G142" s="835" t="s">
        <v>1624</v>
      </c>
      <c r="H142" s="835" t="s">
        <v>1630</v>
      </c>
      <c r="I142" s="849">
        <v>3035.31005859375</v>
      </c>
      <c r="J142" s="849">
        <v>2</v>
      </c>
      <c r="K142" s="850">
        <v>6070.6201171875</v>
      </c>
    </row>
    <row r="143" spans="1:11" ht="14.45" customHeight="1" x14ac:dyDescent="0.2">
      <c r="A143" s="831" t="s">
        <v>570</v>
      </c>
      <c r="B143" s="832" t="s">
        <v>571</v>
      </c>
      <c r="C143" s="835" t="s">
        <v>596</v>
      </c>
      <c r="D143" s="863" t="s">
        <v>597</v>
      </c>
      <c r="E143" s="835" t="s">
        <v>1612</v>
      </c>
      <c r="F143" s="863" t="s">
        <v>1613</v>
      </c>
      <c r="G143" s="835" t="s">
        <v>1846</v>
      </c>
      <c r="H143" s="835" t="s">
        <v>1847</v>
      </c>
      <c r="I143" s="849">
        <v>22994.599609375</v>
      </c>
      <c r="J143" s="849">
        <v>0.25</v>
      </c>
      <c r="K143" s="850">
        <v>5748.64990234375</v>
      </c>
    </row>
    <row r="144" spans="1:11" ht="14.45" customHeight="1" x14ac:dyDescent="0.2">
      <c r="A144" s="831" t="s">
        <v>570</v>
      </c>
      <c r="B144" s="832" t="s">
        <v>571</v>
      </c>
      <c r="C144" s="835" t="s">
        <v>596</v>
      </c>
      <c r="D144" s="863" t="s">
        <v>597</v>
      </c>
      <c r="E144" s="835" t="s">
        <v>1612</v>
      </c>
      <c r="F144" s="863" t="s">
        <v>1613</v>
      </c>
      <c r="G144" s="835" t="s">
        <v>1848</v>
      </c>
      <c r="H144" s="835" t="s">
        <v>1849</v>
      </c>
      <c r="I144" s="849">
        <v>22994.560546875</v>
      </c>
      <c r="J144" s="849">
        <v>0.25</v>
      </c>
      <c r="K144" s="850">
        <v>5748.64013671875</v>
      </c>
    </row>
    <row r="145" spans="1:11" ht="14.45" customHeight="1" x14ac:dyDescent="0.2">
      <c r="A145" s="831" t="s">
        <v>570</v>
      </c>
      <c r="B145" s="832" t="s">
        <v>571</v>
      </c>
      <c r="C145" s="835" t="s">
        <v>596</v>
      </c>
      <c r="D145" s="863" t="s">
        <v>597</v>
      </c>
      <c r="E145" s="835" t="s">
        <v>1612</v>
      </c>
      <c r="F145" s="863" t="s">
        <v>1613</v>
      </c>
      <c r="G145" s="835" t="s">
        <v>1850</v>
      </c>
      <c r="H145" s="835" t="s">
        <v>1851</v>
      </c>
      <c r="I145" s="849">
        <v>22994.599609375</v>
      </c>
      <c r="J145" s="849">
        <v>0.25</v>
      </c>
      <c r="K145" s="850">
        <v>5748.64990234375</v>
      </c>
    </row>
    <row r="146" spans="1:11" ht="14.45" customHeight="1" x14ac:dyDescent="0.2">
      <c r="A146" s="831" t="s">
        <v>570</v>
      </c>
      <c r="B146" s="832" t="s">
        <v>571</v>
      </c>
      <c r="C146" s="835" t="s">
        <v>596</v>
      </c>
      <c r="D146" s="863" t="s">
        <v>597</v>
      </c>
      <c r="E146" s="835" t="s">
        <v>1612</v>
      </c>
      <c r="F146" s="863" t="s">
        <v>1613</v>
      </c>
      <c r="G146" s="835" t="s">
        <v>1640</v>
      </c>
      <c r="H146" s="835" t="s">
        <v>1852</v>
      </c>
      <c r="I146" s="849">
        <v>16187.7197265625</v>
      </c>
      <c r="J146" s="849">
        <v>0.25</v>
      </c>
      <c r="K146" s="850">
        <v>4046.929931640625</v>
      </c>
    </row>
    <row r="147" spans="1:11" ht="14.45" customHeight="1" x14ac:dyDescent="0.2">
      <c r="A147" s="831" t="s">
        <v>570</v>
      </c>
      <c r="B147" s="832" t="s">
        <v>571</v>
      </c>
      <c r="C147" s="835" t="s">
        <v>596</v>
      </c>
      <c r="D147" s="863" t="s">
        <v>597</v>
      </c>
      <c r="E147" s="835" t="s">
        <v>1612</v>
      </c>
      <c r="F147" s="863" t="s">
        <v>1613</v>
      </c>
      <c r="G147" s="835" t="s">
        <v>1644</v>
      </c>
      <c r="H147" s="835" t="s">
        <v>1645</v>
      </c>
      <c r="I147" s="849">
        <v>3709.669921875</v>
      </c>
      <c r="J147" s="849">
        <v>2</v>
      </c>
      <c r="K147" s="850">
        <v>7419.33984375</v>
      </c>
    </row>
    <row r="148" spans="1:11" ht="14.45" customHeight="1" x14ac:dyDescent="0.2">
      <c r="A148" s="831" t="s">
        <v>570</v>
      </c>
      <c r="B148" s="832" t="s">
        <v>571</v>
      </c>
      <c r="C148" s="835" t="s">
        <v>596</v>
      </c>
      <c r="D148" s="863" t="s">
        <v>597</v>
      </c>
      <c r="E148" s="835" t="s">
        <v>1612</v>
      </c>
      <c r="F148" s="863" t="s">
        <v>1613</v>
      </c>
      <c r="G148" s="835" t="s">
        <v>1647</v>
      </c>
      <c r="H148" s="835" t="s">
        <v>1648</v>
      </c>
      <c r="I148" s="849">
        <v>3130.75</v>
      </c>
      <c r="J148" s="849">
        <v>1</v>
      </c>
      <c r="K148" s="850">
        <v>3130.75</v>
      </c>
    </row>
    <row r="149" spans="1:11" ht="14.45" customHeight="1" x14ac:dyDescent="0.2">
      <c r="A149" s="831" t="s">
        <v>570</v>
      </c>
      <c r="B149" s="832" t="s">
        <v>571</v>
      </c>
      <c r="C149" s="835" t="s">
        <v>596</v>
      </c>
      <c r="D149" s="863" t="s">
        <v>597</v>
      </c>
      <c r="E149" s="835" t="s">
        <v>1612</v>
      </c>
      <c r="F149" s="863" t="s">
        <v>1613</v>
      </c>
      <c r="G149" s="835" t="s">
        <v>1647</v>
      </c>
      <c r="H149" s="835" t="s">
        <v>1649</v>
      </c>
      <c r="I149" s="849">
        <v>3130.75</v>
      </c>
      <c r="J149" s="849">
        <v>1</v>
      </c>
      <c r="K149" s="850">
        <v>3130.75</v>
      </c>
    </row>
    <row r="150" spans="1:11" ht="14.45" customHeight="1" x14ac:dyDescent="0.2">
      <c r="A150" s="831" t="s">
        <v>570</v>
      </c>
      <c r="B150" s="832" t="s">
        <v>571</v>
      </c>
      <c r="C150" s="835" t="s">
        <v>596</v>
      </c>
      <c r="D150" s="863" t="s">
        <v>597</v>
      </c>
      <c r="E150" s="835" t="s">
        <v>1612</v>
      </c>
      <c r="F150" s="863" t="s">
        <v>1613</v>
      </c>
      <c r="G150" s="835" t="s">
        <v>1650</v>
      </c>
      <c r="H150" s="835" t="s">
        <v>1651</v>
      </c>
      <c r="I150" s="849">
        <v>213.35000610351563</v>
      </c>
      <c r="J150" s="849">
        <v>1</v>
      </c>
      <c r="K150" s="850">
        <v>213.35000610351563</v>
      </c>
    </row>
    <row r="151" spans="1:11" ht="14.45" customHeight="1" x14ac:dyDescent="0.2">
      <c r="A151" s="831" t="s">
        <v>570</v>
      </c>
      <c r="B151" s="832" t="s">
        <v>571</v>
      </c>
      <c r="C151" s="835" t="s">
        <v>596</v>
      </c>
      <c r="D151" s="863" t="s">
        <v>597</v>
      </c>
      <c r="E151" s="835" t="s">
        <v>1612</v>
      </c>
      <c r="F151" s="863" t="s">
        <v>1613</v>
      </c>
      <c r="G151" s="835" t="s">
        <v>1652</v>
      </c>
      <c r="H151" s="835" t="s">
        <v>1653</v>
      </c>
      <c r="I151" s="849">
        <v>2722.5</v>
      </c>
      <c r="J151" s="849">
        <v>2</v>
      </c>
      <c r="K151" s="850">
        <v>5445</v>
      </c>
    </row>
    <row r="152" spans="1:11" ht="14.45" customHeight="1" x14ac:dyDescent="0.2">
      <c r="A152" s="831" t="s">
        <v>570</v>
      </c>
      <c r="B152" s="832" t="s">
        <v>571</v>
      </c>
      <c r="C152" s="835" t="s">
        <v>596</v>
      </c>
      <c r="D152" s="863" t="s">
        <v>597</v>
      </c>
      <c r="E152" s="835" t="s">
        <v>1612</v>
      </c>
      <c r="F152" s="863" t="s">
        <v>1613</v>
      </c>
      <c r="G152" s="835" t="s">
        <v>1652</v>
      </c>
      <c r="H152" s="835" t="s">
        <v>1654</v>
      </c>
      <c r="I152" s="849">
        <v>2722.5</v>
      </c>
      <c r="J152" s="849">
        <v>3</v>
      </c>
      <c r="K152" s="850">
        <v>8167.5</v>
      </c>
    </row>
    <row r="153" spans="1:11" ht="14.45" customHeight="1" x14ac:dyDescent="0.2">
      <c r="A153" s="831" t="s">
        <v>570</v>
      </c>
      <c r="B153" s="832" t="s">
        <v>571</v>
      </c>
      <c r="C153" s="835" t="s">
        <v>596</v>
      </c>
      <c r="D153" s="863" t="s">
        <v>597</v>
      </c>
      <c r="E153" s="835" t="s">
        <v>1612</v>
      </c>
      <c r="F153" s="863" t="s">
        <v>1613</v>
      </c>
      <c r="G153" s="835" t="s">
        <v>1853</v>
      </c>
      <c r="H153" s="835" t="s">
        <v>1854</v>
      </c>
      <c r="I153" s="849">
        <v>62.080001831054688</v>
      </c>
      <c r="J153" s="849">
        <v>2</v>
      </c>
      <c r="K153" s="850">
        <v>124.15000152587891</v>
      </c>
    </row>
    <row r="154" spans="1:11" ht="14.45" customHeight="1" x14ac:dyDescent="0.2">
      <c r="A154" s="831" t="s">
        <v>570</v>
      </c>
      <c r="B154" s="832" t="s">
        <v>571</v>
      </c>
      <c r="C154" s="835" t="s">
        <v>596</v>
      </c>
      <c r="D154" s="863" t="s">
        <v>597</v>
      </c>
      <c r="E154" s="835" t="s">
        <v>1612</v>
      </c>
      <c r="F154" s="863" t="s">
        <v>1613</v>
      </c>
      <c r="G154" s="835" t="s">
        <v>1660</v>
      </c>
      <c r="H154" s="835" t="s">
        <v>1661</v>
      </c>
      <c r="I154" s="849">
        <v>1149.5</v>
      </c>
      <c r="J154" s="849">
        <v>1</v>
      </c>
      <c r="K154" s="850">
        <v>1149.5</v>
      </c>
    </row>
    <row r="155" spans="1:11" ht="14.45" customHeight="1" x14ac:dyDescent="0.2">
      <c r="A155" s="831" t="s">
        <v>570</v>
      </c>
      <c r="B155" s="832" t="s">
        <v>571</v>
      </c>
      <c r="C155" s="835" t="s">
        <v>596</v>
      </c>
      <c r="D155" s="863" t="s">
        <v>597</v>
      </c>
      <c r="E155" s="835" t="s">
        <v>1662</v>
      </c>
      <c r="F155" s="863" t="s">
        <v>1663</v>
      </c>
      <c r="G155" s="835" t="s">
        <v>1855</v>
      </c>
      <c r="H155" s="835" t="s">
        <v>1856</v>
      </c>
      <c r="I155" s="849">
        <v>9.7799997329711914</v>
      </c>
      <c r="J155" s="849">
        <v>300</v>
      </c>
      <c r="K155" s="850">
        <v>2932.5</v>
      </c>
    </row>
    <row r="156" spans="1:11" ht="14.45" customHeight="1" x14ac:dyDescent="0.2">
      <c r="A156" s="831" t="s">
        <v>570</v>
      </c>
      <c r="B156" s="832" t="s">
        <v>571</v>
      </c>
      <c r="C156" s="835" t="s">
        <v>596</v>
      </c>
      <c r="D156" s="863" t="s">
        <v>597</v>
      </c>
      <c r="E156" s="835" t="s">
        <v>1662</v>
      </c>
      <c r="F156" s="863" t="s">
        <v>1663</v>
      </c>
      <c r="G156" s="835" t="s">
        <v>1855</v>
      </c>
      <c r="H156" s="835" t="s">
        <v>1857</v>
      </c>
      <c r="I156" s="849">
        <v>9.7799997329711914</v>
      </c>
      <c r="J156" s="849">
        <v>400</v>
      </c>
      <c r="K156" s="850">
        <v>3910</v>
      </c>
    </row>
    <row r="157" spans="1:11" ht="14.45" customHeight="1" x14ac:dyDescent="0.2">
      <c r="A157" s="831" t="s">
        <v>570</v>
      </c>
      <c r="B157" s="832" t="s">
        <v>571</v>
      </c>
      <c r="C157" s="835" t="s">
        <v>596</v>
      </c>
      <c r="D157" s="863" t="s">
        <v>597</v>
      </c>
      <c r="E157" s="835" t="s">
        <v>1662</v>
      </c>
      <c r="F157" s="863" t="s">
        <v>1663</v>
      </c>
      <c r="G157" s="835" t="s">
        <v>1858</v>
      </c>
      <c r="H157" s="835" t="s">
        <v>1859</v>
      </c>
      <c r="I157" s="849">
        <v>1.2899999618530273</v>
      </c>
      <c r="J157" s="849">
        <v>1900</v>
      </c>
      <c r="K157" s="850">
        <v>2451</v>
      </c>
    </row>
    <row r="158" spans="1:11" ht="14.45" customHeight="1" x14ac:dyDescent="0.2">
      <c r="A158" s="831" t="s">
        <v>570</v>
      </c>
      <c r="B158" s="832" t="s">
        <v>571</v>
      </c>
      <c r="C158" s="835" t="s">
        <v>596</v>
      </c>
      <c r="D158" s="863" t="s">
        <v>597</v>
      </c>
      <c r="E158" s="835" t="s">
        <v>1662</v>
      </c>
      <c r="F158" s="863" t="s">
        <v>1663</v>
      </c>
      <c r="G158" s="835" t="s">
        <v>1858</v>
      </c>
      <c r="H158" s="835" t="s">
        <v>1860</v>
      </c>
      <c r="I158" s="849">
        <v>1.2899999618530273</v>
      </c>
      <c r="J158" s="849">
        <v>4000</v>
      </c>
      <c r="K158" s="850">
        <v>5160</v>
      </c>
    </row>
    <row r="159" spans="1:11" ht="14.45" customHeight="1" x14ac:dyDescent="0.2">
      <c r="A159" s="831" t="s">
        <v>570</v>
      </c>
      <c r="B159" s="832" t="s">
        <v>571</v>
      </c>
      <c r="C159" s="835" t="s">
        <v>596</v>
      </c>
      <c r="D159" s="863" t="s">
        <v>597</v>
      </c>
      <c r="E159" s="835" t="s">
        <v>1662</v>
      </c>
      <c r="F159" s="863" t="s">
        <v>1663</v>
      </c>
      <c r="G159" s="835" t="s">
        <v>1861</v>
      </c>
      <c r="H159" s="835" t="s">
        <v>1862</v>
      </c>
      <c r="I159" s="849">
        <v>0.31999999284744263</v>
      </c>
      <c r="J159" s="849">
        <v>5000</v>
      </c>
      <c r="K159" s="850">
        <v>1598.5000610351563</v>
      </c>
    </row>
    <row r="160" spans="1:11" ht="14.45" customHeight="1" x14ac:dyDescent="0.2">
      <c r="A160" s="831" t="s">
        <v>570</v>
      </c>
      <c r="B160" s="832" t="s">
        <v>571</v>
      </c>
      <c r="C160" s="835" t="s">
        <v>596</v>
      </c>
      <c r="D160" s="863" t="s">
        <v>597</v>
      </c>
      <c r="E160" s="835" t="s">
        <v>1662</v>
      </c>
      <c r="F160" s="863" t="s">
        <v>1663</v>
      </c>
      <c r="G160" s="835" t="s">
        <v>1861</v>
      </c>
      <c r="H160" s="835" t="s">
        <v>1863</v>
      </c>
      <c r="I160" s="849">
        <v>0.31999999284744263</v>
      </c>
      <c r="J160" s="849">
        <v>12000</v>
      </c>
      <c r="K160" s="850">
        <v>3836.4000244140625</v>
      </c>
    </row>
    <row r="161" spans="1:11" ht="14.45" customHeight="1" x14ac:dyDescent="0.2">
      <c r="A161" s="831" t="s">
        <v>570</v>
      </c>
      <c r="B161" s="832" t="s">
        <v>571</v>
      </c>
      <c r="C161" s="835" t="s">
        <v>596</v>
      </c>
      <c r="D161" s="863" t="s">
        <v>597</v>
      </c>
      <c r="E161" s="835" t="s">
        <v>1662</v>
      </c>
      <c r="F161" s="863" t="s">
        <v>1663</v>
      </c>
      <c r="G161" s="835" t="s">
        <v>1864</v>
      </c>
      <c r="H161" s="835" t="s">
        <v>1865</v>
      </c>
      <c r="I161" s="849">
        <v>157.32000732421875</v>
      </c>
      <c r="J161" s="849">
        <v>3</v>
      </c>
      <c r="K161" s="850">
        <v>471.95999145507813</v>
      </c>
    </row>
    <row r="162" spans="1:11" ht="14.45" customHeight="1" x14ac:dyDescent="0.2">
      <c r="A162" s="831" t="s">
        <v>570</v>
      </c>
      <c r="B162" s="832" t="s">
        <v>571</v>
      </c>
      <c r="C162" s="835" t="s">
        <v>596</v>
      </c>
      <c r="D162" s="863" t="s">
        <v>597</v>
      </c>
      <c r="E162" s="835" t="s">
        <v>1662</v>
      </c>
      <c r="F162" s="863" t="s">
        <v>1663</v>
      </c>
      <c r="G162" s="835" t="s">
        <v>1866</v>
      </c>
      <c r="H162" s="835" t="s">
        <v>1867</v>
      </c>
      <c r="I162" s="849">
        <v>43.310001373291016</v>
      </c>
      <c r="J162" s="849">
        <v>20</v>
      </c>
      <c r="K162" s="850">
        <v>866.17999267578125</v>
      </c>
    </row>
    <row r="163" spans="1:11" ht="14.45" customHeight="1" x14ac:dyDescent="0.2">
      <c r="A163" s="831" t="s">
        <v>570</v>
      </c>
      <c r="B163" s="832" t="s">
        <v>571</v>
      </c>
      <c r="C163" s="835" t="s">
        <v>596</v>
      </c>
      <c r="D163" s="863" t="s">
        <v>597</v>
      </c>
      <c r="E163" s="835" t="s">
        <v>1662</v>
      </c>
      <c r="F163" s="863" t="s">
        <v>1663</v>
      </c>
      <c r="G163" s="835" t="s">
        <v>1664</v>
      </c>
      <c r="H163" s="835" t="s">
        <v>1868</v>
      </c>
      <c r="I163" s="849">
        <v>790.8800048828125</v>
      </c>
      <c r="J163" s="849">
        <v>3</v>
      </c>
      <c r="K163" s="850">
        <v>2372.6400146484375</v>
      </c>
    </row>
    <row r="164" spans="1:11" ht="14.45" customHeight="1" x14ac:dyDescent="0.2">
      <c r="A164" s="831" t="s">
        <v>570</v>
      </c>
      <c r="B164" s="832" t="s">
        <v>571</v>
      </c>
      <c r="C164" s="835" t="s">
        <v>596</v>
      </c>
      <c r="D164" s="863" t="s">
        <v>597</v>
      </c>
      <c r="E164" s="835" t="s">
        <v>1662</v>
      </c>
      <c r="F164" s="863" t="s">
        <v>1663</v>
      </c>
      <c r="G164" s="835" t="s">
        <v>1869</v>
      </c>
      <c r="H164" s="835" t="s">
        <v>1870</v>
      </c>
      <c r="I164" s="849">
        <v>355.35000610351563</v>
      </c>
      <c r="J164" s="849">
        <v>5</v>
      </c>
      <c r="K164" s="850">
        <v>1776.7500305175781</v>
      </c>
    </row>
    <row r="165" spans="1:11" ht="14.45" customHeight="1" x14ac:dyDescent="0.2">
      <c r="A165" s="831" t="s">
        <v>570</v>
      </c>
      <c r="B165" s="832" t="s">
        <v>571</v>
      </c>
      <c r="C165" s="835" t="s">
        <v>596</v>
      </c>
      <c r="D165" s="863" t="s">
        <v>597</v>
      </c>
      <c r="E165" s="835" t="s">
        <v>1662</v>
      </c>
      <c r="F165" s="863" t="s">
        <v>1663</v>
      </c>
      <c r="G165" s="835" t="s">
        <v>1871</v>
      </c>
      <c r="H165" s="835" t="s">
        <v>1872</v>
      </c>
      <c r="I165" s="849">
        <v>48.479999542236328</v>
      </c>
      <c r="J165" s="849">
        <v>50</v>
      </c>
      <c r="K165" s="850">
        <v>2423.9999389648438</v>
      </c>
    </row>
    <row r="166" spans="1:11" ht="14.45" customHeight="1" x14ac:dyDescent="0.2">
      <c r="A166" s="831" t="s">
        <v>570</v>
      </c>
      <c r="B166" s="832" t="s">
        <v>571</v>
      </c>
      <c r="C166" s="835" t="s">
        <v>596</v>
      </c>
      <c r="D166" s="863" t="s">
        <v>597</v>
      </c>
      <c r="E166" s="835" t="s">
        <v>1662</v>
      </c>
      <c r="F166" s="863" t="s">
        <v>1663</v>
      </c>
      <c r="G166" s="835" t="s">
        <v>1873</v>
      </c>
      <c r="H166" s="835" t="s">
        <v>1874</v>
      </c>
      <c r="I166" s="849">
        <v>63.150001525878906</v>
      </c>
      <c r="J166" s="849">
        <v>10</v>
      </c>
      <c r="K166" s="850">
        <v>631.47998046875</v>
      </c>
    </row>
    <row r="167" spans="1:11" ht="14.45" customHeight="1" x14ac:dyDescent="0.2">
      <c r="A167" s="831" t="s">
        <v>570</v>
      </c>
      <c r="B167" s="832" t="s">
        <v>571</v>
      </c>
      <c r="C167" s="835" t="s">
        <v>596</v>
      </c>
      <c r="D167" s="863" t="s">
        <v>597</v>
      </c>
      <c r="E167" s="835" t="s">
        <v>1662</v>
      </c>
      <c r="F167" s="863" t="s">
        <v>1663</v>
      </c>
      <c r="G167" s="835" t="s">
        <v>1875</v>
      </c>
      <c r="H167" s="835" t="s">
        <v>1876</v>
      </c>
      <c r="I167" s="849">
        <v>22.149999618530273</v>
      </c>
      <c r="J167" s="849">
        <v>25</v>
      </c>
      <c r="K167" s="850">
        <v>553.75</v>
      </c>
    </row>
    <row r="168" spans="1:11" ht="14.45" customHeight="1" x14ac:dyDescent="0.2">
      <c r="A168" s="831" t="s">
        <v>570</v>
      </c>
      <c r="B168" s="832" t="s">
        <v>571</v>
      </c>
      <c r="C168" s="835" t="s">
        <v>596</v>
      </c>
      <c r="D168" s="863" t="s">
        <v>597</v>
      </c>
      <c r="E168" s="835" t="s">
        <v>1662</v>
      </c>
      <c r="F168" s="863" t="s">
        <v>1663</v>
      </c>
      <c r="G168" s="835" t="s">
        <v>1877</v>
      </c>
      <c r="H168" s="835" t="s">
        <v>1878</v>
      </c>
      <c r="I168" s="849">
        <v>12.833333333333334</v>
      </c>
      <c r="J168" s="849">
        <v>100</v>
      </c>
      <c r="K168" s="850">
        <v>1297.8400115966797</v>
      </c>
    </row>
    <row r="169" spans="1:11" ht="14.45" customHeight="1" x14ac:dyDescent="0.2">
      <c r="A169" s="831" t="s">
        <v>570</v>
      </c>
      <c r="B169" s="832" t="s">
        <v>571</v>
      </c>
      <c r="C169" s="835" t="s">
        <v>596</v>
      </c>
      <c r="D169" s="863" t="s">
        <v>597</v>
      </c>
      <c r="E169" s="835" t="s">
        <v>1662</v>
      </c>
      <c r="F169" s="863" t="s">
        <v>1663</v>
      </c>
      <c r="G169" s="835" t="s">
        <v>1879</v>
      </c>
      <c r="H169" s="835" t="s">
        <v>1880</v>
      </c>
      <c r="I169" s="849">
        <v>120.69000244140625</v>
      </c>
      <c r="J169" s="849">
        <v>40</v>
      </c>
      <c r="K169" s="850">
        <v>4827.7100830078125</v>
      </c>
    </row>
    <row r="170" spans="1:11" ht="14.45" customHeight="1" x14ac:dyDescent="0.2">
      <c r="A170" s="831" t="s">
        <v>570</v>
      </c>
      <c r="B170" s="832" t="s">
        <v>571</v>
      </c>
      <c r="C170" s="835" t="s">
        <v>596</v>
      </c>
      <c r="D170" s="863" t="s">
        <v>597</v>
      </c>
      <c r="E170" s="835" t="s">
        <v>1662</v>
      </c>
      <c r="F170" s="863" t="s">
        <v>1663</v>
      </c>
      <c r="G170" s="835" t="s">
        <v>1881</v>
      </c>
      <c r="H170" s="835" t="s">
        <v>1882</v>
      </c>
      <c r="I170" s="849">
        <v>85.419998168945313</v>
      </c>
      <c r="J170" s="849">
        <v>60</v>
      </c>
      <c r="K170" s="850">
        <v>5125.329833984375</v>
      </c>
    </row>
    <row r="171" spans="1:11" ht="14.45" customHeight="1" x14ac:dyDescent="0.2">
      <c r="A171" s="831" t="s">
        <v>570</v>
      </c>
      <c r="B171" s="832" t="s">
        <v>571</v>
      </c>
      <c r="C171" s="835" t="s">
        <v>596</v>
      </c>
      <c r="D171" s="863" t="s">
        <v>597</v>
      </c>
      <c r="E171" s="835" t="s">
        <v>1662</v>
      </c>
      <c r="F171" s="863" t="s">
        <v>1663</v>
      </c>
      <c r="G171" s="835" t="s">
        <v>1883</v>
      </c>
      <c r="H171" s="835" t="s">
        <v>1884</v>
      </c>
      <c r="I171" s="849">
        <v>124.41000366210938</v>
      </c>
      <c r="J171" s="849">
        <v>5</v>
      </c>
      <c r="K171" s="850">
        <v>622.03997802734375</v>
      </c>
    </row>
    <row r="172" spans="1:11" ht="14.45" customHeight="1" x14ac:dyDescent="0.2">
      <c r="A172" s="831" t="s">
        <v>570</v>
      </c>
      <c r="B172" s="832" t="s">
        <v>571</v>
      </c>
      <c r="C172" s="835" t="s">
        <v>596</v>
      </c>
      <c r="D172" s="863" t="s">
        <v>597</v>
      </c>
      <c r="E172" s="835" t="s">
        <v>1662</v>
      </c>
      <c r="F172" s="863" t="s">
        <v>1663</v>
      </c>
      <c r="G172" s="835" t="s">
        <v>1885</v>
      </c>
      <c r="H172" s="835" t="s">
        <v>1886</v>
      </c>
      <c r="I172" s="849">
        <v>131.10000610351563</v>
      </c>
      <c r="J172" s="849">
        <v>2</v>
      </c>
      <c r="K172" s="850">
        <v>262.20001220703125</v>
      </c>
    </row>
    <row r="173" spans="1:11" ht="14.45" customHeight="1" x14ac:dyDescent="0.2">
      <c r="A173" s="831" t="s">
        <v>570</v>
      </c>
      <c r="B173" s="832" t="s">
        <v>571</v>
      </c>
      <c r="C173" s="835" t="s">
        <v>596</v>
      </c>
      <c r="D173" s="863" t="s">
        <v>597</v>
      </c>
      <c r="E173" s="835" t="s">
        <v>1662</v>
      </c>
      <c r="F173" s="863" t="s">
        <v>1663</v>
      </c>
      <c r="G173" s="835" t="s">
        <v>1887</v>
      </c>
      <c r="H173" s="835" t="s">
        <v>1888</v>
      </c>
      <c r="I173" s="849">
        <v>190.89999389648438</v>
      </c>
      <c r="J173" s="849">
        <v>5</v>
      </c>
      <c r="K173" s="850">
        <v>954.5</v>
      </c>
    </row>
    <row r="174" spans="1:11" ht="14.45" customHeight="1" x14ac:dyDescent="0.2">
      <c r="A174" s="831" t="s">
        <v>570</v>
      </c>
      <c r="B174" s="832" t="s">
        <v>571</v>
      </c>
      <c r="C174" s="835" t="s">
        <v>596</v>
      </c>
      <c r="D174" s="863" t="s">
        <v>597</v>
      </c>
      <c r="E174" s="835" t="s">
        <v>1662</v>
      </c>
      <c r="F174" s="863" t="s">
        <v>1663</v>
      </c>
      <c r="G174" s="835" t="s">
        <v>1889</v>
      </c>
      <c r="H174" s="835" t="s">
        <v>1890</v>
      </c>
      <c r="I174" s="849">
        <v>139.16999816894531</v>
      </c>
      <c r="J174" s="849">
        <v>6</v>
      </c>
      <c r="K174" s="850">
        <v>835.02001953125</v>
      </c>
    </row>
    <row r="175" spans="1:11" ht="14.45" customHeight="1" x14ac:dyDescent="0.2">
      <c r="A175" s="831" t="s">
        <v>570</v>
      </c>
      <c r="B175" s="832" t="s">
        <v>571</v>
      </c>
      <c r="C175" s="835" t="s">
        <v>596</v>
      </c>
      <c r="D175" s="863" t="s">
        <v>597</v>
      </c>
      <c r="E175" s="835" t="s">
        <v>1662</v>
      </c>
      <c r="F175" s="863" t="s">
        <v>1663</v>
      </c>
      <c r="G175" s="835" t="s">
        <v>1891</v>
      </c>
      <c r="H175" s="835" t="s">
        <v>1892</v>
      </c>
      <c r="I175" s="849">
        <v>309.35000610351563</v>
      </c>
      <c r="J175" s="849">
        <v>1</v>
      </c>
      <c r="K175" s="850">
        <v>309.35000610351563</v>
      </c>
    </row>
    <row r="176" spans="1:11" ht="14.45" customHeight="1" x14ac:dyDescent="0.2">
      <c r="A176" s="831" t="s">
        <v>570</v>
      </c>
      <c r="B176" s="832" t="s">
        <v>571</v>
      </c>
      <c r="C176" s="835" t="s">
        <v>596</v>
      </c>
      <c r="D176" s="863" t="s">
        <v>597</v>
      </c>
      <c r="E176" s="835" t="s">
        <v>1662</v>
      </c>
      <c r="F176" s="863" t="s">
        <v>1663</v>
      </c>
      <c r="G176" s="835" t="s">
        <v>1893</v>
      </c>
      <c r="H176" s="835" t="s">
        <v>1894</v>
      </c>
      <c r="I176" s="849">
        <v>6.869999885559082</v>
      </c>
      <c r="J176" s="849">
        <v>400</v>
      </c>
      <c r="K176" s="850">
        <v>2748.9599609375</v>
      </c>
    </row>
    <row r="177" spans="1:11" ht="14.45" customHeight="1" x14ac:dyDescent="0.2">
      <c r="A177" s="831" t="s">
        <v>570</v>
      </c>
      <c r="B177" s="832" t="s">
        <v>571</v>
      </c>
      <c r="C177" s="835" t="s">
        <v>596</v>
      </c>
      <c r="D177" s="863" t="s">
        <v>597</v>
      </c>
      <c r="E177" s="835" t="s">
        <v>1662</v>
      </c>
      <c r="F177" s="863" t="s">
        <v>1663</v>
      </c>
      <c r="G177" s="835" t="s">
        <v>1666</v>
      </c>
      <c r="H177" s="835" t="s">
        <v>1895</v>
      </c>
      <c r="I177" s="849">
        <v>6.0999999046325684</v>
      </c>
      <c r="J177" s="849">
        <v>100</v>
      </c>
      <c r="K177" s="850">
        <v>609.5</v>
      </c>
    </row>
    <row r="178" spans="1:11" ht="14.45" customHeight="1" x14ac:dyDescent="0.2">
      <c r="A178" s="831" t="s">
        <v>570</v>
      </c>
      <c r="B178" s="832" t="s">
        <v>571</v>
      </c>
      <c r="C178" s="835" t="s">
        <v>596</v>
      </c>
      <c r="D178" s="863" t="s">
        <v>597</v>
      </c>
      <c r="E178" s="835" t="s">
        <v>1662</v>
      </c>
      <c r="F178" s="863" t="s">
        <v>1663</v>
      </c>
      <c r="G178" s="835" t="s">
        <v>1866</v>
      </c>
      <c r="H178" s="835" t="s">
        <v>1896</v>
      </c>
      <c r="I178" s="849">
        <v>43.310001373291016</v>
      </c>
      <c r="J178" s="849">
        <v>20</v>
      </c>
      <c r="K178" s="850">
        <v>866.17999267578125</v>
      </c>
    </row>
    <row r="179" spans="1:11" ht="14.45" customHeight="1" x14ac:dyDescent="0.2">
      <c r="A179" s="831" t="s">
        <v>570</v>
      </c>
      <c r="B179" s="832" t="s">
        <v>571</v>
      </c>
      <c r="C179" s="835" t="s">
        <v>596</v>
      </c>
      <c r="D179" s="863" t="s">
        <v>597</v>
      </c>
      <c r="E179" s="835" t="s">
        <v>1662</v>
      </c>
      <c r="F179" s="863" t="s">
        <v>1663</v>
      </c>
      <c r="G179" s="835" t="s">
        <v>1871</v>
      </c>
      <c r="H179" s="835" t="s">
        <v>1897</v>
      </c>
      <c r="I179" s="849">
        <v>48.479999542236328</v>
      </c>
      <c r="J179" s="849">
        <v>70</v>
      </c>
      <c r="K179" s="850">
        <v>3393.4000854492188</v>
      </c>
    </row>
    <row r="180" spans="1:11" ht="14.45" customHeight="1" x14ac:dyDescent="0.2">
      <c r="A180" s="831" t="s">
        <v>570</v>
      </c>
      <c r="B180" s="832" t="s">
        <v>571</v>
      </c>
      <c r="C180" s="835" t="s">
        <v>596</v>
      </c>
      <c r="D180" s="863" t="s">
        <v>597</v>
      </c>
      <c r="E180" s="835" t="s">
        <v>1662</v>
      </c>
      <c r="F180" s="863" t="s">
        <v>1663</v>
      </c>
      <c r="G180" s="835" t="s">
        <v>1873</v>
      </c>
      <c r="H180" s="835" t="s">
        <v>1898</v>
      </c>
      <c r="I180" s="849">
        <v>63.459999084472656</v>
      </c>
      <c r="J180" s="849">
        <v>10</v>
      </c>
      <c r="K180" s="850">
        <v>634.54998779296875</v>
      </c>
    </row>
    <row r="181" spans="1:11" ht="14.45" customHeight="1" x14ac:dyDescent="0.2">
      <c r="A181" s="831" t="s">
        <v>570</v>
      </c>
      <c r="B181" s="832" t="s">
        <v>571</v>
      </c>
      <c r="C181" s="835" t="s">
        <v>596</v>
      </c>
      <c r="D181" s="863" t="s">
        <v>597</v>
      </c>
      <c r="E181" s="835" t="s">
        <v>1662</v>
      </c>
      <c r="F181" s="863" t="s">
        <v>1663</v>
      </c>
      <c r="G181" s="835" t="s">
        <v>1899</v>
      </c>
      <c r="H181" s="835" t="s">
        <v>1900</v>
      </c>
      <c r="I181" s="849">
        <v>272.44000244140625</v>
      </c>
      <c r="J181" s="849">
        <v>6</v>
      </c>
      <c r="K181" s="850">
        <v>1634.6099853515625</v>
      </c>
    </row>
    <row r="182" spans="1:11" ht="14.45" customHeight="1" x14ac:dyDescent="0.2">
      <c r="A182" s="831" t="s">
        <v>570</v>
      </c>
      <c r="B182" s="832" t="s">
        <v>571</v>
      </c>
      <c r="C182" s="835" t="s">
        <v>596</v>
      </c>
      <c r="D182" s="863" t="s">
        <v>597</v>
      </c>
      <c r="E182" s="835" t="s">
        <v>1662</v>
      </c>
      <c r="F182" s="863" t="s">
        <v>1663</v>
      </c>
      <c r="G182" s="835" t="s">
        <v>1875</v>
      </c>
      <c r="H182" s="835" t="s">
        <v>1901</v>
      </c>
      <c r="I182" s="849">
        <v>22.149999618530273</v>
      </c>
      <c r="J182" s="849">
        <v>50</v>
      </c>
      <c r="K182" s="850">
        <v>1107.5</v>
      </c>
    </row>
    <row r="183" spans="1:11" ht="14.45" customHeight="1" x14ac:dyDescent="0.2">
      <c r="A183" s="831" t="s">
        <v>570</v>
      </c>
      <c r="B183" s="832" t="s">
        <v>571</v>
      </c>
      <c r="C183" s="835" t="s">
        <v>596</v>
      </c>
      <c r="D183" s="863" t="s">
        <v>597</v>
      </c>
      <c r="E183" s="835" t="s">
        <v>1662</v>
      </c>
      <c r="F183" s="863" t="s">
        <v>1663</v>
      </c>
      <c r="G183" s="835" t="s">
        <v>1877</v>
      </c>
      <c r="H183" s="835" t="s">
        <v>1902</v>
      </c>
      <c r="I183" s="849">
        <v>13.039999961853027</v>
      </c>
      <c r="J183" s="849">
        <v>10</v>
      </c>
      <c r="K183" s="850">
        <v>130.39999389648438</v>
      </c>
    </row>
    <row r="184" spans="1:11" ht="14.45" customHeight="1" x14ac:dyDescent="0.2">
      <c r="A184" s="831" t="s">
        <v>570</v>
      </c>
      <c r="B184" s="832" t="s">
        <v>571</v>
      </c>
      <c r="C184" s="835" t="s">
        <v>596</v>
      </c>
      <c r="D184" s="863" t="s">
        <v>597</v>
      </c>
      <c r="E184" s="835" t="s">
        <v>1662</v>
      </c>
      <c r="F184" s="863" t="s">
        <v>1663</v>
      </c>
      <c r="G184" s="835" t="s">
        <v>1903</v>
      </c>
      <c r="H184" s="835" t="s">
        <v>1904</v>
      </c>
      <c r="I184" s="849">
        <v>123.19000244140625</v>
      </c>
      <c r="J184" s="849">
        <v>10</v>
      </c>
      <c r="K184" s="850">
        <v>1231.8800048828125</v>
      </c>
    </row>
    <row r="185" spans="1:11" ht="14.45" customHeight="1" x14ac:dyDescent="0.2">
      <c r="A185" s="831" t="s">
        <v>570</v>
      </c>
      <c r="B185" s="832" t="s">
        <v>571</v>
      </c>
      <c r="C185" s="835" t="s">
        <v>596</v>
      </c>
      <c r="D185" s="863" t="s">
        <v>597</v>
      </c>
      <c r="E185" s="835" t="s">
        <v>1662</v>
      </c>
      <c r="F185" s="863" t="s">
        <v>1663</v>
      </c>
      <c r="G185" s="835" t="s">
        <v>1879</v>
      </c>
      <c r="H185" s="835" t="s">
        <v>1905</v>
      </c>
      <c r="I185" s="849">
        <v>120.69000244140625</v>
      </c>
      <c r="J185" s="849">
        <v>30</v>
      </c>
      <c r="K185" s="850">
        <v>3620.7801513671875</v>
      </c>
    </row>
    <row r="186" spans="1:11" ht="14.45" customHeight="1" x14ac:dyDescent="0.2">
      <c r="A186" s="831" t="s">
        <v>570</v>
      </c>
      <c r="B186" s="832" t="s">
        <v>571</v>
      </c>
      <c r="C186" s="835" t="s">
        <v>596</v>
      </c>
      <c r="D186" s="863" t="s">
        <v>597</v>
      </c>
      <c r="E186" s="835" t="s">
        <v>1662</v>
      </c>
      <c r="F186" s="863" t="s">
        <v>1663</v>
      </c>
      <c r="G186" s="835" t="s">
        <v>1881</v>
      </c>
      <c r="H186" s="835" t="s">
        <v>1906</v>
      </c>
      <c r="I186" s="849">
        <v>85.419998168945313</v>
      </c>
      <c r="J186" s="849">
        <v>65</v>
      </c>
      <c r="K186" s="850">
        <v>5552.4300537109375</v>
      </c>
    </row>
    <row r="187" spans="1:11" ht="14.45" customHeight="1" x14ac:dyDescent="0.2">
      <c r="A187" s="831" t="s">
        <v>570</v>
      </c>
      <c r="B187" s="832" t="s">
        <v>571</v>
      </c>
      <c r="C187" s="835" t="s">
        <v>596</v>
      </c>
      <c r="D187" s="863" t="s">
        <v>597</v>
      </c>
      <c r="E187" s="835" t="s">
        <v>1662</v>
      </c>
      <c r="F187" s="863" t="s">
        <v>1663</v>
      </c>
      <c r="G187" s="835" t="s">
        <v>1883</v>
      </c>
      <c r="H187" s="835" t="s">
        <v>1907</v>
      </c>
      <c r="I187" s="849">
        <v>124.41000366210938</v>
      </c>
      <c r="J187" s="849">
        <v>15</v>
      </c>
      <c r="K187" s="850">
        <v>1866.1099243164063</v>
      </c>
    </row>
    <row r="188" spans="1:11" ht="14.45" customHeight="1" x14ac:dyDescent="0.2">
      <c r="A188" s="831" t="s">
        <v>570</v>
      </c>
      <c r="B188" s="832" t="s">
        <v>571</v>
      </c>
      <c r="C188" s="835" t="s">
        <v>596</v>
      </c>
      <c r="D188" s="863" t="s">
        <v>597</v>
      </c>
      <c r="E188" s="835" t="s">
        <v>1662</v>
      </c>
      <c r="F188" s="863" t="s">
        <v>1663</v>
      </c>
      <c r="G188" s="835" t="s">
        <v>1891</v>
      </c>
      <c r="H188" s="835" t="s">
        <v>1908</v>
      </c>
      <c r="I188" s="849">
        <v>309.35000610351563</v>
      </c>
      <c r="J188" s="849">
        <v>2</v>
      </c>
      <c r="K188" s="850">
        <v>618.70001220703125</v>
      </c>
    </row>
    <row r="189" spans="1:11" ht="14.45" customHeight="1" x14ac:dyDescent="0.2">
      <c r="A189" s="831" t="s">
        <v>570</v>
      </c>
      <c r="B189" s="832" t="s">
        <v>571</v>
      </c>
      <c r="C189" s="835" t="s">
        <v>596</v>
      </c>
      <c r="D189" s="863" t="s">
        <v>597</v>
      </c>
      <c r="E189" s="835" t="s">
        <v>1662</v>
      </c>
      <c r="F189" s="863" t="s">
        <v>1663</v>
      </c>
      <c r="G189" s="835" t="s">
        <v>1909</v>
      </c>
      <c r="H189" s="835" t="s">
        <v>1910</v>
      </c>
      <c r="I189" s="849">
        <v>27.5</v>
      </c>
      <c r="J189" s="849">
        <v>200</v>
      </c>
      <c r="K189" s="850">
        <v>5499.759765625</v>
      </c>
    </row>
    <row r="190" spans="1:11" ht="14.45" customHeight="1" x14ac:dyDescent="0.2">
      <c r="A190" s="831" t="s">
        <v>570</v>
      </c>
      <c r="B190" s="832" t="s">
        <v>571</v>
      </c>
      <c r="C190" s="835" t="s">
        <v>596</v>
      </c>
      <c r="D190" s="863" t="s">
        <v>597</v>
      </c>
      <c r="E190" s="835" t="s">
        <v>1662</v>
      </c>
      <c r="F190" s="863" t="s">
        <v>1663</v>
      </c>
      <c r="G190" s="835" t="s">
        <v>1911</v>
      </c>
      <c r="H190" s="835" t="s">
        <v>1912</v>
      </c>
      <c r="I190" s="849">
        <v>27.5</v>
      </c>
      <c r="J190" s="849">
        <v>100</v>
      </c>
      <c r="K190" s="850">
        <v>2749.8798828125</v>
      </c>
    </row>
    <row r="191" spans="1:11" ht="14.45" customHeight="1" x14ac:dyDescent="0.2">
      <c r="A191" s="831" t="s">
        <v>570</v>
      </c>
      <c r="B191" s="832" t="s">
        <v>571</v>
      </c>
      <c r="C191" s="835" t="s">
        <v>596</v>
      </c>
      <c r="D191" s="863" t="s">
        <v>597</v>
      </c>
      <c r="E191" s="835" t="s">
        <v>1662</v>
      </c>
      <c r="F191" s="863" t="s">
        <v>1663</v>
      </c>
      <c r="G191" s="835" t="s">
        <v>1666</v>
      </c>
      <c r="H191" s="835" t="s">
        <v>1667</v>
      </c>
      <c r="I191" s="849">
        <v>6.0999999046325684</v>
      </c>
      <c r="J191" s="849">
        <v>1100</v>
      </c>
      <c r="K191" s="850">
        <v>6707</v>
      </c>
    </row>
    <row r="192" spans="1:11" ht="14.45" customHeight="1" x14ac:dyDescent="0.2">
      <c r="A192" s="831" t="s">
        <v>570</v>
      </c>
      <c r="B192" s="832" t="s">
        <v>571</v>
      </c>
      <c r="C192" s="835" t="s">
        <v>596</v>
      </c>
      <c r="D192" s="863" t="s">
        <v>597</v>
      </c>
      <c r="E192" s="835" t="s">
        <v>1662</v>
      </c>
      <c r="F192" s="863" t="s">
        <v>1663</v>
      </c>
      <c r="G192" s="835" t="s">
        <v>1913</v>
      </c>
      <c r="H192" s="835" t="s">
        <v>1914</v>
      </c>
      <c r="I192" s="849">
        <v>0.85500001907348633</v>
      </c>
      <c r="J192" s="849">
        <v>200</v>
      </c>
      <c r="K192" s="850">
        <v>171</v>
      </c>
    </row>
    <row r="193" spans="1:11" ht="14.45" customHeight="1" x14ac:dyDescent="0.2">
      <c r="A193" s="831" t="s">
        <v>570</v>
      </c>
      <c r="B193" s="832" t="s">
        <v>571</v>
      </c>
      <c r="C193" s="835" t="s">
        <v>596</v>
      </c>
      <c r="D193" s="863" t="s">
        <v>597</v>
      </c>
      <c r="E193" s="835" t="s">
        <v>1662</v>
      </c>
      <c r="F193" s="863" t="s">
        <v>1663</v>
      </c>
      <c r="G193" s="835" t="s">
        <v>1915</v>
      </c>
      <c r="H193" s="835" t="s">
        <v>1916</v>
      </c>
      <c r="I193" s="849">
        <v>1.5199999809265137</v>
      </c>
      <c r="J193" s="849">
        <v>100</v>
      </c>
      <c r="K193" s="850">
        <v>152</v>
      </c>
    </row>
    <row r="194" spans="1:11" ht="14.45" customHeight="1" x14ac:dyDescent="0.2">
      <c r="A194" s="831" t="s">
        <v>570</v>
      </c>
      <c r="B194" s="832" t="s">
        <v>571</v>
      </c>
      <c r="C194" s="835" t="s">
        <v>596</v>
      </c>
      <c r="D194" s="863" t="s">
        <v>597</v>
      </c>
      <c r="E194" s="835" t="s">
        <v>1662</v>
      </c>
      <c r="F194" s="863" t="s">
        <v>1663</v>
      </c>
      <c r="G194" s="835" t="s">
        <v>1917</v>
      </c>
      <c r="H194" s="835" t="s">
        <v>1918</v>
      </c>
      <c r="I194" s="849">
        <v>21.780000686645508</v>
      </c>
      <c r="J194" s="849">
        <v>150</v>
      </c>
      <c r="K194" s="850">
        <v>3267</v>
      </c>
    </row>
    <row r="195" spans="1:11" ht="14.45" customHeight="1" x14ac:dyDescent="0.2">
      <c r="A195" s="831" t="s">
        <v>570</v>
      </c>
      <c r="B195" s="832" t="s">
        <v>571</v>
      </c>
      <c r="C195" s="835" t="s">
        <v>596</v>
      </c>
      <c r="D195" s="863" t="s">
        <v>597</v>
      </c>
      <c r="E195" s="835" t="s">
        <v>1662</v>
      </c>
      <c r="F195" s="863" t="s">
        <v>1663</v>
      </c>
      <c r="G195" s="835" t="s">
        <v>1919</v>
      </c>
      <c r="H195" s="835" t="s">
        <v>1920</v>
      </c>
      <c r="I195" s="849">
        <v>23.229999542236328</v>
      </c>
      <c r="J195" s="849">
        <v>50</v>
      </c>
      <c r="K195" s="850">
        <v>1161.5999755859375</v>
      </c>
    </row>
    <row r="196" spans="1:11" ht="14.45" customHeight="1" x14ac:dyDescent="0.2">
      <c r="A196" s="831" t="s">
        <v>570</v>
      </c>
      <c r="B196" s="832" t="s">
        <v>571</v>
      </c>
      <c r="C196" s="835" t="s">
        <v>596</v>
      </c>
      <c r="D196" s="863" t="s">
        <v>597</v>
      </c>
      <c r="E196" s="835" t="s">
        <v>1662</v>
      </c>
      <c r="F196" s="863" t="s">
        <v>1663</v>
      </c>
      <c r="G196" s="835" t="s">
        <v>1673</v>
      </c>
      <c r="H196" s="835" t="s">
        <v>1921</v>
      </c>
      <c r="I196" s="849">
        <v>7.630000114440918</v>
      </c>
      <c r="J196" s="849">
        <v>72</v>
      </c>
      <c r="K196" s="850">
        <v>549.3599853515625</v>
      </c>
    </row>
    <row r="197" spans="1:11" ht="14.45" customHeight="1" x14ac:dyDescent="0.2">
      <c r="A197" s="831" t="s">
        <v>570</v>
      </c>
      <c r="B197" s="832" t="s">
        <v>571</v>
      </c>
      <c r="C197" s="835" t="s">
        <v>596</v>
      </c>
      <c r="D197" s="863" t="s">
        <v>597</v>
      </c>
      <c r="E197" s="835" t="s">
        <v>1662</v>
      </c>
      <c r="F197" s="863" t="s">
        <v>1663</v>
      </c>
      <c r="G197" s="835" t="s">
        <v>1922</v>
      </c>
      <c r="H197" s="835" t="s">
        <v>1923</v>
      </c>
      <c r="I197" s="849">
        <v>9.4899997711181641</v>
      </c>
      <c r="J197" s="849">
        <v>48</v>
      </c>
      <c r="K197" s="850">
        <v>455.39999389648438</v>
      </c>
    </row>
    <row r="198" spans="1:11" ht="14.45" customHeight="1" x14ac:dyDescent="0.2">
      <c r="A198" s="831" t="s">
        <v>570</v>
      </c>
      <c r="B198" s="832" t="s">
        <v>571</v>
      </c>
      <c r="C198" s="835" t="s">
        <v>596</v>
      </c>
      <c r="D198" s="863" t="s">
        <v>597</v>
      </c>
      <c r="E198" s="835" t="s">
        <v>1662</v>
      </c>
      <c r="F198" s="863" t="s">
        <v>1663</v>
      </c>
      <c r="G198" s="835" t="s">
        <v>1913</v>
      </c>
      <c r="H198" s="835" t="s">
        <v>1924</v>
      </c>
      <c r="I198" s="849">
        <v>0.8566666841506958</v>
      </c>
      <c r="J198" s="849">
        <v>300</v>
      </c>
      <c r="K198" s="850">
        <v>257</v>
      </c>
    </row>
    <row r="199" spans="1:11" ht="14.45" customHeight="1" x14ac:dyDescent="0.2">
      <c r="A199" s="831" t="s">
        <v>570</v>
      </c>
      <c r="B199" s="832" t="s">
        <v>571</v>
      </c>
      <c r="C199" s="835" t="s">
        <v>596</v>
      </c>
      <c r="D199" s="863" t="s">
        <v>597</v>
      </c>
      <c r="E199" s="835" t="s">
        <v>1662</v>
      </c>
      <c r="F199" s="863" t="s">
        <v>1663</v>
      </c>
      <c r="G199" s="835" t="s">
        <v>1915</v>
      </c>
      <c r="H199" s="835" t="s">
        <v>1925</v>
      </c>
      <c r="I199" s="849">
        <v>1.5199999809265137</v>
      </c>
      <c r="J199" s="849">
        <v>50</v>
      </c>
      <c r="K199" s="850">
        <v>76</v>
      </c>
    </row>
    <row r="200" spans="1:11" ht="14.45" customHeight="1" x14ac:dyDescent="0.2">
      <c r="A200" s="831" t="s">
        <v>570</v>
      </c>
      <c r="B200" s="832" t="s">
        <v>571</v>
      </c>
      <c r="C200" s="835" t="s">
        <v>596</v>
      </c>
      <c r="D200" s="863" t="s">
        <v>597</v>
      </c>
      <c r="E200" s="835" t="s">
        <v>1662</v>
      </c>
      <c r="F200" s="863" t="s">
        <v>1663</v>
      </c>
      <c r="G200" s="835" t="s">
        <v>1919</v>
      </c>
      <c r="H200" s="835" t="s">
        <v>1926</v>
      </c>
      <c r="I200" s="849">
        <v>23.229999542236328</v>
      </c>
      <c r="J200" s="849">
        <v>50</v>
      </c>
      <c r="K200" s="850">
        <v>1161.5999755859375</v>
      </c>
    </row>
    <row r="201" spans="1:11" ht="14.45" customHeight="1" x14ac:dyDescent="0.2">
      <c r="A201" s="831" t="s">
        <v>570</v>
      </c>
      <c r="B201" s="832" t="s">
        <v>571</v>
      </c>
      <c r="C201" s="835" t="s">
        <v>596</v>
      </c>
      <c r="D201" s="863" t="s">
        <v>597</v>
      </c>
      <c r="E201" s="835" t="s">
        <v>1662</v>
      </c>
      <c r="F201" s="863" t="s">
        <v>1663</v>
      </c>
      <c r="G201" s="835" t="s">
        <v>1673</v>
      </c>
      <c r="H201" s="835" t="s">
        <v>1674</v>
      </c>
      <c r="I201" s="849">
        <v>7.630000114440918</v>
      </c>
      <c r="J201" s="849">
        <v>192</v>
      </c>
      <c r="K201" s="850">
        <v>1464.9599609375</v>
      </c>
    </row>
    <row r="202" spans="1:11" ht="14.45" customHeight="1" x14ac:dyDescent="0.2">
      <c r="A202" s="831" t="s">
        <v>570</v>
      </c>
      <c r="B202" s="832" t="s">
        <v>571</v>
      </c>
      <c r="C202" s="835" t="s">
        <v>596</v>
      </c>
      <c r="D202" s="863" t="s">
        <v>597</v>
      </c>
      <c r="E202" s="835" t="s">
        <v>1662</v>
      </c>
      <c r="F202" s="863" t="s">
        <v>1663</v>
      </c>
      <c r="G202" s="835" t="s">
        <v>1922</v>
      </c>
      <c r="H202" s="835" t="s">
        <v>1927</v>
      </c>
      <c r="I202" s="849">
        <v>9.4899997711181641</v>
      </c>
      <c r="J202" s="849">
        <v>144</v>
      </c>
      <c r="K202" s="850">
        <v>1366.2599639892578</v>
      </c>
    </row>
    <row r="203" spans="1:11" ht="14.45" customHeight="1" x14ac:dyDescent="0.2">
      <c r="A203" s="831" t="s">
        <v>570</v>
      </c>
      <c r="B203" s="832" t="s">
        <v>571</v>
      </c>
      <c r="C203" s="835" t="s">
        <v>596</v>
      </c>
      <c r="D203" s="863" t="s">
        <v>597</v>
      </c>
      <c r="E203" s="835" t="s">
        <v>1662</v>
      </c>
      <c r="F203" s="863" t="s">
        <v>1663</v>
      </c>
      <c r="G203" s="835" t="s">
        <v>1928</v>
      </c>
      <c r="H203" s="835" t="s">
        <v>1929</v>
      </c>
      <c r="I203" s="849">
        <v>114.76999664306641</v>
      </c>
      <c r="J203" s="849">
        <v>4</v>
      </c>
      <c r="K203" s="850">
        <v>459.07998657226563</v>
      </c>
    </row>
    <row r="204" spans="1:11" ht="14.45" customHeight="1" x14ac:dyDescent="0.2">
      <c r="A204" s="831" t="s">
        <v>570</v>
      </c>
      <c r="B204" s="832" t="s">
        <v>571</v>
      </c>
      <c r="C204" s="835" t="s">
        <v>596</v>
      </c>
      <c r="D204" s="863" t="s">
        <v>597</v>
      </c>
      <c r="E204" s="835" t="s">
        <v>1662</v>
      </c>
      <c r="F204" s="863" t="s">
        <v>1663</v>
      </c>
      <c r="G204" s="835" t="s">
        <v>1930</v>
      </c>
      <c r="H204" s="835" t="s">
        <v>1931</v>
      </c>
      <c r="I204" s="849">
        <v>7.4800000190734863</v>
      </c>
      <c r="J204" s="849">
        <v>100</v>
      </c>
      <c r="K204" s="850">
        <v>747.5</v>
      </c>
    </row>
    <row r="205" spans="1:11" ht="14.45" customHeight="1" x14ac:dyDescent="0.2">
      <c r="A205" s="831" t="s">
        <v>570</v>
      </c>
      <c r="B205" s="832" t="s">
        <v>571</v>
      </c>
      <c r="C205" s="835" t="s">
        <v>596</v>
      </c>
      <c r="D205" s="863" t="s">
        <v>597</v>
      </c>
      <c r="E205" s="835" t="s">
        <v>1662</v>
      </c>
      <c r="F205" s="863" t="s">
        <v>1663</v>
      </c>
      <c r="G205" s="835" t="s">
        <v>1932</v>
      </c>
      <c r="H205" s="835" t="s">
        <v>1933</v>
      </c>
      <c r="I205" s="849">
        <v>13.039999961853027</v>
      </c>
      <c r="J205" s="849">
        <v>50</v>
      </c>
      <c r="K205" s="850">
        <v>652</v>
      </c>
    </row>
    <row r="206" spans="1:11" ht="14.45" customHeight="1" x14ac:dyDescent="0.2">
      <c r="A206" s="831" t="s">
        <v>570</v>
      </c>
      <c r="B206" s="832" t="s">
        <v>571</v>
      </c>
      <c r="C206" s="835" t="s">
        <v>596</v>
      </c>
      <c r="D206" s="863" t="s">
        <v>597</v>
      </c>
      <c r="E206" s="835" t="s">
        <v>1662</v>
      </c>
      <c r="F206" s="863" t="s">
        <v>1663</v>
      </c>
      <c r="G206" s="835" t="s">
        <v>1934</v>
      </c>
      <c r="H206" s="835" t="s">
        <v>1935</v>
      </c>
      <c r="I206" s="849">
        <v>34.130001068115234</v>
      </c>
      <c r="J206" s="849">
        <v>50</v>
      </c>
      <c r="K206" s="850">
        <v>1706.5999755859375</v>
      </c>
    </row>
    <row r="207" spans="1:11" ht="14.45" customHeight="1" x14ac:dyDescent="0.2">
      <c r="A207" s="831" t="s">
        <v>570</v>
      </c>
      <c r="B207" s="832" t="s">
        <v>571</v>
      </c>
      <c r="C207" s="835" t="s">
        <v>596</v>
      </c>
      <c r="D207" s="863" t="s">
        <v>597</v>
      </c>
      <c r="E207" s="835" t="s">
        <v>1662</v>
      </c>
      <c r="F207" s="863" t="s">
        <v>1663</v>
      </c>
      <c r="G207" s="835" t="s">
        <v>1936</v>
      </c>
      <c r="H207" s="835" t="s">
        <v>1937</v>
      </c>
      <c r="I207" s="849">
        <v>0.49000000953674316</v>
      </c>
      <c r="J207" s="849">
        <v>200</v>
      </c>
      <c r="K207" s="850">
        <v>98</v>
      </c>
    </row>
    <row r="208" spans="1:11" ht="14.45" customHeight="1" x14ac:dyDescent="0.2">
      <c r="A208" s="831" t="s">
        <v>570</v>
      </c>
      <c r="B208" s="832" t="s">
        <v>571</v>
      </c>
      <c r="C208" s="835" t="s">
        <v>596</v>
      </c>
      <c r="D208" s="863" t="s">
        <v>597</v>
      </c>
      <c r="E208" s="835" t="s">
        <v>1662</v>
      </c>
      <c r="F208" s="863" t="s">
        <v>1663</v>
      </c>
      <c r="G208" s="835" t="s">
        <v>1936</v>
      </c>
      <c r="H208" s="835" t="s">
        <v>1938</v>
      </c>
      <c r="I208" s="849">
        <v>0.49666666984558105</v>
      </c>
      <c r="J208" s="849">
        <v>600</v>
      </c>
      <c r="K208" s="850">
        <v>298</v>
      </c>
    </row>
    <row r="209" spans="1:11" ht="14.45" customHeight="1" x14ac:dyDescent="0.2">
      <c r="A209" s="831" t="s">
        <v>570</v>
      </c>
      <c r="B209" s="832" t="s">
        <v>571</v>
      </c>
      <c r="C209" s="835" t="s">
        <v>596</v>
      </c>
      <c r="D209" s="863" t="s">
        <v>597</v>
      </c>
      <c r="E209" s="835" t="s">
        <v>1662</v>
      </c>
      <c r="F209" s="863" t="s">
        <v>1663</v>
      </c>
      <c r="G209" s="835" t="s">
        <v>1939</v>
      </c>
      <c r="H209" s="835" t="s">
        <v>1940</v>
      </c>
      <c r="I209" s="849">
        <v>0.66500002145767212</v>
      </c>
      <c r="J209" s="849">
        <v>1000</v>
      </c>
      <c r="K209" s="850">
        <v>665</v>
      </c>
    </row>
    <row r="210" spans="1:11" ht="14.45" customHeight="1" x14ac:dyDescent="0.2">
      <c r="A210" s="831" t="s">
        <v>570</v>
      </c>
      <c r="B210" s="832" t="s">
        <v>571</v>
      </c>
      <c r="C210" s="835" t="s">
        <v>596</v>
      </c>
      <c r="D210" s="863" t="s">
        <v>597</v>
      </c>
      <c r="E210" s="835" t="s">
        <v>1662</v>
      </c>
      <c r="F210" s="863" t="s">
        <v>1663</v>
      </c>
      <c r="G210" s="835" t="s">
        <v>1939</v>
      </c>
      <c r="H210" s="835" t="s">
        <v>1941</v>
      </c>
      <c r="I210" s="849">
        <v>0.67000001668930054</v>
      </c>
      <c r="J210" s="849">
        <v>2700</v>
      </c>
      <c r="K210" s="850">
        <v>1809</v>
      </c>
    </row>
    <row r="211" spans="1:11" ht="14.45" customHeight="1" x14ac:dyDescent="0.2">
      <c r="A211" s="831" t="s">
        <v>570</v>
      </c>
      <c r="B211" s="832" t="s">
        <v>571</v>
      </c>
      <c r="C211" s="835" t="s">
        <v>596</v>
      </c>
      <c r="D211" s="863" t="s">
        <v>597</v>
      </c>
      <c r="E211" s="835" t="s">
        <v>1662</v>
      </c>
      <c r="F211" s="863" t="s">
        <v>1663</v>
      </c>
      <c r="G211" s="835" t="s">
        <v>1942</v>
      </c>
      <c r="H211" s="835" t="s">
        <v>1943</v>
      </c>
      <c r="I211" s="849">
        <v>1.059999942779541</v>
      </c>
      <c r="J211" s="849">
        <v>650</v>
      </c>
      <c r="K211" s="850">
        <v>686.21002197265625</v>
      </c>
    </row>
    <row r="212" spans="1:11" ht="14.45" customHeight="1" x14ac:dyDescent="0.2">
      <c r="A212" s="831" t="s">
        <v>570</v>
      </c>
      <c r="B212" s="832" t="s">
        <v>571</v>
      </c>
      <c r="C212" s="835" t="s">
        <v>596</v>
      </c>
      <c r="D212" s="863" t="s">
        <v>597</v>
      </c>
      <c r="E212" s="835" t="s">
        <v>1662</v>
      </c>
      <c r="F212" s="863" t="s">
        <v>1663</v>
      </c>
      <c r="G212" s="835" t="s">
        <v>1677</v>
      </c>
      <c r="H212" s="835" t="s">
        <v>1679</v>
      </c>
      <c r="I212" s="849">
        <v>0.31000000238418579</v>
      </c>
      <c r="J212" s="849">
        <v>28800</v>
      </c>
      <c r="K212" s="850">
        <v>8973.3603515625</v>
      </c>
    </row>
    <row r="213" spans="1:11" ht="14.45" customHeight="1" x14ac:dyDescent="0.2">
      <c r="A213" s="831" t="s">
        <v>570</v>
      </c>
      <c r="B213" s="832" t="s">
        <v>571</v>
      </c>
      <c r="C213" s="835" t="s">
        <v>596</v>
      </c>
      <c r="D213" s="863" t="s">
        <v>597</v>
      </c>
      <c r="E213" s="835" t="s">
        <v>1662</v>
      </c>
      <c r="F213" s="863" t="s">
        <v>1663</v>
      </c>
      <c r="G213" s="835" t="s">
        <v>1944</v>
      </c>
      <c r="H213" s="835" t="s">
        <v>1945</v>
      </c>
      <c r="I213" s="849">
        <v>7.5</v>
      </c>
      <c r="J213" s="849">
        <v>96</v>
      </c>
      <c r="K213" s="850">
        <v>719.69000244140625</v>
      </c>
    </row>
    <row r="214" spans="1:11" ht="14.45" customHeight="1" x14ac:dyDescent="0.2">
      <c r="A214" s="831" t="s">
        <v>570</v>
      </c>
      <c r="B214" s="832" t="s">
        <v>571</v>
      </c>
      <c r="C214" s="835" t="s">
        <v>596</v>
      </c>
      <c r="D214" s="863" t="s">
        <v>597</v>
      </c>
      <c r="E214" s="835" t="s">
        <v>1662</v>
      </c>
      <c r="F214" s="863" t="s">
        <v>1663</v>
      </c>
      <c r="G214" s="835" t="s">
        <v>1944</v>
      </c>
      <c r="H214" s="835" t="s">
        <v>1946</v>
      </c>
      <c r="I214" s="849">
        <v>7.5</v>
      </c>
      <c r="J214" s="849">
        <v>192</v>
      </c>
      <c r="K214" s="850">
        <v>1439.3800048828125</v>
      </c>
    </row>
    <row r="215" spans="1:11" ht="14.45" customHeight="1" x14ac:dyDescent="0.2">
      <c r="A215" s="831" t="s">
        <v>570</v>
      </c>
      <c r="B215" s="832" t="s">
        <v>571</v>
      </c>
      <c r="C215" s="835" t="s">
        <v>596</v>
      </c>
      <c r="D215" s="863" t="s">
        <v>597</v>
      </c>
      <c r="E215" s="835" t="s">
        <v>1688</v>
      </c>
      <c r="F215" s="863" t="s">
        <v>1689</v>
      </c>
      <c r="G215" s="835" t="s">
        <v>1947</v>
      </c>
      <c r="H215" s="835" t="s">
        <v>1948</v>
      </c>
      <c r="I215" s="849">
        <v>1560.9100341796875</v>
      </c>
      <c r="J215" s="849">
        <v>8</v>
      </c>
      <c r="K215" s="850">
        <v>12487.25</v>
      </c>
    </row>
    <row r="216" spans="1:11" ht="14.45" customHeight="1" x14ac:dyDescent="0.2">
      <c r="A216" s="831" t="s">
        <v>570</v>
      </c>
      <c r="B216" s="832" t="s">
        <v>571</v>
      </c>
      <c r="C216" s="835" t="s">
        <v>596</v>
      </c>
      <c r="D216" s="863" t="s">
        <v>597</v>
      </c>
      <c r="E216" s="835" t="s">
        <v>1688</v>
      </c>
      <c r="F216" s="863" t="s">
        <v>1689</v>
      </c>
      <c r="G216" s="835" t="s">
        <v>1949</v>
      </c>
      <c r="H216" s="835" t="s">
        <v>1950</v>
      </c>
      <c r="I216" s="849">
        <v>1113.199951171875</v>
      </c>
      <c r="J216" s="849">
        <v>80</v>
      </c>
      <c r="K216" s="850">
        <v>89056</v>
      </c>
    </row>
    <row r="217" spans="1:11" ht="14.45" customHeight="1" x14ac:dyDescent="0.2">
      <c r="A217" s="831" t="s">
        <v>570</v>
      </c>
      <c r="B217" s="832" t="s">
        <v>571</v>
      </c>
      <c r="C217" s="835" t="s">
        <v>596</v>
      </c>
      <c r="D217" s="863" t="s">
        <v>597</v>
      </c>
      <c r="E217" s="835" t="s">
        <v>1688</v>
      </c>
      <c r="F217" s="863" t="s">
        <v>1689</v>
      </c>
      <c r="G217" s="835" t="s">
        <v>1951</v>
      </c>
      <c r="H217" s="835" t="s">
        <v>1952</v>
      </c>
      <c r="I217" s="849">
        <v>696.96002197265625</v>
      </c>
      <c r="J217" s="849">
        <v>10</v>
      </c>
      <c r="K217" s="850">
        <v>6969.60009765625</v>
      </c>
    </row>
    <row r="218" spans="1:11" ht="14.45" customHeight="1" x14ac:dyDescent="0.2">
      <c r="A218" s="831" t="s">
        <v>570</v>
      </c>
      <c r="B218" s="832" t="s">
        <v>571</v>
      </c>
      <c r="C218" s="835" t="s">
        <v>596</v>
      </c>
      <c r="D218" s="863" t="s">
        <v>597</v>
      </c>
      <c r="E218" s="835" t="s">
        <v>1688</v>
      </c>
      <c r="F218" s="863" t="s">
        <v>1689</v>
      </c>
      <c r="G218" s="835" t="s">
        <v>1953</v>
      </c>
      <c r="H218" s="835" t="s">
        <v>1954</v>
      </c>
      <c r="I218" s="849">
        <v>696.96002197265625</v>
      </c>
      <c r="J218" s="849">
        <v>20</v>
      </c>
      <c r="K218" s="850">
        <v>13939.200439453125</v>
      </c>
    </row>
    <row r="219" spans="1:11" ht="14.45" customHeight="1" x14ac:dyDescent="0.2">
      <c r="A219" s="831" t="s">
        <v>570</v>
      </c>
      <c r="B219" s="832" t="s">
        <v>571</v>
      </c>
      <c r="C219" s="835" t="s">
        <v>596</v>
      </c>
      <c r="D219" s="863" t="s">
        <v>597</v>
      </c>
      <c r="E219" s="835" t="s">
        <v>1688</v>
      </c>
      <c r="F219" s="863" t="s">
        <v>1689</v>
      </c>
      <c r="G219" s="835" t="s">
        <v>1955</v>
      </c>
      <c r="H219" s="835" t="s">
        <v>1956</v>
      </c>
      <c r="I219" s="849">
        <v>696.96002197265625</v>
      </c>
      <c r="J219" s="849">
        <v>10</v>
      </c>
      <c r="K219" s="850">
        <v>6969.60009765625</v>
      </c>
    </row>
    <row r="220" spans="1:11" ht="14.45" customHeight="1" x14ac:dyDescent="0.2">
      <c r="A220" s="831" t="s">
        <v>570</v>
      </c>
      <c r="B220" s="832" t="s">
        <v>571</v>
      </c>
      <c r="C220" s="835" t="s">
        <v>596</v>
      </c>
      <c r="D220" s="863" t="s">
        <v>597</v>
      </c>
      <c r="E220" s="835" t="s">
        <v>1688</v>
      </c>
      <c r="F220" s="863" t="s">
        <v>1689</v>
      </c>
      <c r="G220" s="835" t="s">
        <v>1957</v>
      </c>
      <c r="H220" s="835" t="s">
        <v>1958</v>
      </c>
      <c r="I220" s="849">
        <v>696.96002197265625</v>
      </c>
      <c r="J220" s="849">
        <v>5</v>
      </c>
      <c r="K220" s="850">
        <v>3484.800048828125</v>
      </c>
    </row>
    <row r="221" spans="1:11" ht="14.45" customHeight="1" x14ac:dyDescent="0.2">
      <c r="A221" s="831" t="s">
        <v>570</v>
      </c>
      <c r="B221" s="832" t="s">
        <v>571</v>
      </c>
      <c r="C221" s="835" t="s">
        <v>596</v>
      </c>
      <c r="D221" s="863" t="s">
        <v>597</v>
      </c>
      <c r="E221" s="835" t="s">
        <v>1688</v>
      </c>
      <c r="F221" s="863" t="s">
        <v>1689</v>
      </c>
      <c r="G221" s="835" t="s">
        <v>1959</v>
      </c>
      <c r="H221" s="835" t="s">
        <v>1960</v>
      </c>
      <c r="I221" s="849">
        <v>696.96002197265625</v>
      </c>
      <c r="J221" s="849">
        <v>5</v>
      </c>
      <c r="K221" s="850">
        <v>3484.800048828125</v>
      </c>
    </row>
    <row r="222" spans="1:11" ht="14.45" customHeight="1" x14ac:dyDescent="0.2">
      <c r="A222" s="831" t="s">
        <v>570</v>
      </c>
      <c r="B222" s="832" t="s">
        <v>571</v>
      </c>
      <c r="C222" s="835" t="s">
        <v>596</v>
      </c>
      <c r="D222" s="863" t="s">
        <v>597</v>
      </c>
      <c r="E222" s="835" t="s">
        <v>1688</v>
      </c>
      <c r="F222" s="863" t="s">
        <v>1689</v>
      </c>
      <c r="G222" s="835" t="s">
        <v>1690</v>
      </c>
      <c r="H222" s="835" t="s">
        <v>1691</v>
      </c>
      <c r="I222" s="849">
        <v>492.47000122070313</v>
      </c>
      <c r="J222" s="849">
        <v>60</v>
      </c>
      <c r="K222" s="850">
        <v>29548.201171875</v>
      </c>
    </row>
    <row r="223" spans="1:11" ht="14.45" customHeight="1" x14ac:dyDescent="0.2">
      <c r="A223" s="831" t="s">
        <v>570</v>
      </c>
      <c r="B223" s="832" t="s">
        <v>571</v>
      </c>
      <c r="C223" s="835" t="s">
        <v>596</v>
      </c>
      <c r="D223" s="863" t="s">
        <v>597</v>
      </c>
      <c r="E223" s="835" t="s">
        <v>1688</v>
      </c>
      <c r="F223" s="863" t="s">
        <v>1689</v>
      </c>
      <c r="G223" s="835" t="s">
        <v>1961</v>
      </c>
      <c r="H223" s="835" t="s">
        <v>1962</v>
      </c>
      <c r="I223" s="849">
        <v>502.14999389648438</v>
      </c>
      <c r="J223" s="849">
        <v>40</v>
      </c>
      <c r="K223" s="850">
        <v>20086</v>
      </c>
    </row>
    <row r="224" spans="1:11" ht="14.45" customHeight="1" x14ac:dyDescent="0.2">
      <c r="A224" s="831" t="s">
        <v>570</v>
      </c>
      <c r="B224" s="832" t="s">
        <v>571</v>
      </c>
      <c r="C224" s="835" t="s">
        <v>596</v>
      </c>
      <c r="D224" s="863" t="s">
        <v>597</v>
      </c>
      <c r="E224" s="835" t="s">
        <v>1688</v>
      </c>
      <c r="F224" s="863" t="s">
        <v>1689</v>
      </c>
      <c r="G224" s="835" t="s">
        <v>1963</v>
      </c>
      <c r="H224" s="835" t="s">
        <v>1964</v>
      </c>
      <c r="I224" s="849">
        <v>302.01998901367188</v>
      </c>
      <c r="J224" s="849">
        <v>60</v>
      </c>
      <c r="K224" s="850">
        <v>18120.95947265625</v>
      </c>
    </row>
    <row r="225" spans="1:11" ht="14.45" customHeight="1" x14ac:dyDescent="0.2">
      <c r="A225" s="831" t="s">
        <v>570</v>
      </c>
      <c r="B225" s="832" t="s">
        <v>571</v>
      </c>
      <c r="C225" s="835" t="s">
        <v>596</v>
      </c>
      <c r="D225" s="863" t="s">
        <v>597</v>
      </c>
      <c r="E225" s="835" t="s">
        <v>1688</v>
      </c>
      <c r="F225" s="863" t="s">
        <v>1689</v>
      </c>
      <c r="G225" s="835" t="s">
        <v>1692</v>
      </c>
      <c r="H225" s="835" t="s">
        <v>1696</v>
      </c>
      <c r="I225" s="849">
        <v>17.459999084472656</v>
      </c>
      <c r="J225" s="849">
        <v>1600</v>
      </c>
      <c r="K225" s="850">
        <v>27936.6005859375</v>
      </c>
    </row>
    <row r="226" spans="1:11" ht="14.45" customHeight="1" x14ac:dyDescent="0.2">
      <c r="A226" s="831" t="s">
        <v>570</v>
      </c>
      <c r="B226" s="832" t="s">
        <v>571</v>
      </c>
      <c r="C226" s="835" t="s">
        <v>596</v>
      </c>
      <c r="D226" s="863" t="s">
        <v>597</v>
      </c>
      <c r="E226" s="835" t="s">
        <v>1688</v>
      </c>
      <c r="F226" s="863" t="s">
        <v>1689</v>
      </c>
      <c r="G226" s="835" t="s">
        <v>1694</v>
      </c>
      <c r="H226" s="835" t="s">
        <v>1965</v>
      </c>
      <c r="I226" s="849">
        <v>4.3600001335144043</v>
      </c>
      <c r="J226" s="849">
        <v>500</v>
      </c>
      <c r="K226" s="850">
        <v>2178.0000305175781</v>
      </c>
    </row>
    <row r="227" spans="1:11" ht="14.45" customHeight="1" x14ac:dyDescent="0.2">
      <c r="A227" s="831" t="s">
        <v>570</v>
      </c>
      <c r="B227" s="832" t="s">
        <v>571</v>
      </c>
      <c r="C227" s="835" t="s">
        <v>596</v>
      </c>
      <c r="D227" s="863" t="s">
        <v>597</v>
      </c>
      <c r="E227" s="835" t="s">
        <v>1688</v>
      </c>
      <c r="F227" s="863" t="s">
        <v>1689</v>
      </c>
      <c r="G227" s="835" t="s">
        <v>1966</v>
      </c>
      <c r="H227" s="835" t="s">
        <v>1967</v>
      </c>
      <c r="I227" s="849">
        <v>12.340000152587891</v>
      </c>
      <c r="J227" s="849">
        <v>40</v>
      </c>
      <c r="K227" s="850">
        <v>493.67999267578125</v>
      </c>
    </row>
    <row r="228" spans="1:11" ht="14.45" customHeight="1" x14ac:dyDescent="0.2">
      <c r="A228" s="831" t="s">
        <v>570</v>
      </c>
      <c r="B228" s="832" t="s">
        <v>571</v>
      </c>
      <c r="C228" s="835" t="s">
        <v>596</v>
      </c>
      <c r="D228" s="863" t="s">
        <v>597</v>
      </c>
      <c r="E228" s="835" t="s">
        <v>1688</v>
      </c>
      <c r="F228" s="863" t="s">
        <v>1689</v>
      </c>
      <c r="G228" s="835" t="s">
        <v>1968</v>
      </c>
      <c r="H228" s="835" t="s">
        <v>1969</v>
      </c>
      <c r="I228" s="849">
        <v>11.675000190734863</v>
      </c>
      <c r="J228" s="849">
        <v>80</v>
      </c>
      <c r="K228" s="850">
        <v>934</v>
      </c>
    </row>
    <row r="229" spans="1:11" ht="14.45" customHeight="1" x14ac:dyDescent="0.2">
      <c r="A229" s="831" t="s">
        <v>570</v>
      </c>
      <c r="B229" s="832" t="s">
        <v>571</v>
      </c>
      <c r="C229" s="835" t="s">
        <v>596</v>
      </c>
      <c r="D229" s="863" t="s">
        <v>597</v>
      </c>
      <c r="E229" s="835" t="s">
        <v>1688</v>
      </c>
      <c r="F229" s="863" t="s">
        <v>1689</v>
      </c>
      <c r="G229" s="835" t="s">
        <v>1951</v>
      </c>
      <c r="H229" s="835" t="s">
        <v>1970</v>
      </c>
      <c r="I229" s="849">
        <v>696.96002197265625</v>
      </c>
      <c r="J229" s="849">
        <v>10</v>
      </c>
      <c r="K229" s="850">
        <v>6969.60009765625</v>
      </c>
    </row>
    <row r="230" spans="1:11" ht="14.45" customHeight="1" x14ac:dyDescent="0.2">
      <c r="A230" s="831" t="s">
        <v>570</v>
      </c>
      <c r="B230" s="832" t="s">
        <v>571</v>
      </c>
      <c r="C230" s="835" t="s">
        <v>596</v>
      </c>
      <c r="D230" s="863" t="s">
        <v>597</v>
      </c>
      <c r="E230" s="835" t="s">
        <v>1688</v>
      </c>
      <c r="F230" s="863" t="s">
        <v>1689</v>
      </c>
      <c r="G230" s="835" t="s">
        <v>1953</v>
      </c>
      <c r="H230" s="835" t="s">
        <v>1971</v>
      </c>
      <c r="I230" s="849">
        <v>696.96002197265625</v>
      </c>
      <c r="J230" s="849">
        <v>20</v>
      </c>
      <c r="K230" s="850">
        <v>13939.2001953125</v>
      </c>
    </row>
    <row r="231" spans="1:11" ht="14.45" customHeight="1" x14ac:dyDescent="0.2">
      <c r="A231" s="831" t="s">
        <v>570</v>
      </c>
      <c r="B231" s="832" t="s">
        <v>571</v>
      </c>
      <c r="C231" s="835" t="s">
        <v>596</v>
      </c>
      <c r="D231" s="863" t="s">
        <v>597</v>
      </c>
      <c r="E231" s="835" t="s">
        <v>1688</v>
      </c>
      <c r="F231" s="863" t="s">
        <v>1689</v>
      </c>
      <c r="G231" s="835" t="s">
        <v>1955</v>
      </c>
      <c r="H231" s="835" t="s">
        <v>1972</v>
      </c>
      <c r="I231" s="849">
        <v>696.96002197265625</v>
      </c>
      <c r="J231" s="849">
        <v>20</v>
      </c>
      <c r="K231" s="850">
        <v>13939.2001953125</v>
      </c>
    </row>
    <row r="232" spans="1:11" ht="14.45" customHeight="1" x14ac:dyDescent="0.2">
      <c r="A232" s="831" t="s">
        <v>570</v>
      </c>
      <c r="B232" s="832" t="s">
        <v>571</v>
      </c>
      <c r="C232" s="835" t="s">
        <v>596</v>
      </c>
      <c r="D232" s="863" t="s">
        <v>597</v>
      </c>
      <c r="E232" s="835" t="s">
        <v>1688</v>
      </c>
      <c r="F232" s="863" t="s">
        <v>1689</v>
      </c>
      <c r="G232" s="835" t="s">
        <v>1957</v>
      </c>
      <c r="H232" s="835" t="s">
        <v>1973</v>
      </c>
      <c r="I232" s="849">
        <v>696.96002197265625</v>
      </c>
      <c r="J232" s="849">
        <v>10</v>
      </c>
      <c r="K232" s="850">
        <v>6969.60009765625</v>
      </c>
    </row>
    <row r="233" spans="1:11" ht="14.45" customHeight="1" x14ac:dyDescent="0.2">
      <c r="A233" s="831" t="s">
        <v>570</v>
      </c>
      <c r="B233" s="832" t="s">
        <v>571</v>
      </c>
      <c r="C233" s="835" t="s">
        <v>596</v>
      </c>
      <c r="D233" s="863" t="s">
        <v>597</v>
      </c>
      <c r="E233" s="835" t="s">
        <v>1688</v>
      </c>
      <c r="F233" s="863" t="s">
        <v>1689</v>
      </c>
      <c r="G233" s="835" t="s">
        <v>1959</v>
      </c>
      <c r="H233" s="835" t="s">
        <v>1974</v>
      </c>
      <c r="I233" s="849">
        <v>696.96002197265625</v>
      </c>
      <c r="J233" s="849">
        <v>10</v>
      </c>
      <c r="K233" s="850">
        <v>6969.60009765625</v>
      </c>
    </row>
    <row r="234" spans="1:11" ht="14.45" customHeight="1" x14ac:dyDescent="0.2">
      <c r="A234" s="831" t="s">
        <v>570</v>
      </c>
      <c r="B234" s="832" t="s">
        <v>571</v>
      </c>
      <c r="C234" s="835" t="s">
        <v>596</v>
      </c>
      <c r="D234" s="863" t="s">
        <v>597</v>
      </c>
      <c r="E234" s="835" t="s">
        <v>1688</v>
      </c>
      <c r="F234" s="863" t="s">
        <v>1689</v>
      </c>
      <c r="G234" s="835" t="s">
        <v>1690</v>
      </c>
      <c r="H234" s="835" t="s">
        <v>1697</v>
      </c>
      <c r="I234" s="849">
        <v>492.47000122070313</v>
      </c>
      <c r="J234" s="849">
        <v>120</v>
      </c>
      <c r="K234" s="850">
        <v>59096.40234375</v>
      </c>
    </row>
    <row r="235" spans="1:11" ht="14.45" customHeight="1" x14ac:dyDescent="0.2">
      <c r="A235" s="831" t="s">
        <v>570</v>
      </c>
      <c r="B235" s="832" t="s">
        <v>571</v>
      </c>
      <c r="C235" s="835" t="s">
        <v>596</v>
      </c>
      <c r="D235" s="863" t="s">
        <v>597</v>
      </c>
      <c r="E235" s="835" t="s">
        <v>1688</v>
      </c>
      <c r="F235" s="863" t="s">
        <v>1689</v>
      </c>
      <c r="G235" s="835" t="s">
        <v>1961</v>
      </c>
      <c r="H235" s="835" t="s">
        <v>1975</v>
      </c>
      <c r="I235" s="849">
        <v>502.14999389648438</v>
      </c>
      <c r="J235" s="849">
        <v>180</v>
      </c>
      <c r="K235" s="850">
        <v>90387</v>
      </c>
    </row>
    <row r="236" spans="1:11" ht="14.45" customHeight="1" x14ac:dyDescent="0.2">
      <c r="A236" s="831" t="s">
        <v>570</v>
      </c>
      <c r="B236" s="832" t="s">
        <v>571</v>
      </c>
      <c r="C236" s="835" t="s">
        <v>596</v>
      </c>
      <c r="D236" s="863" t="s">
        <v>597</v>
      </c>
      <c r="E236" s="835" t="s">
        <v>1688</v>
      </c>
      <c r="F236" s="863" t="s">
        <v>1689</v>
      </c>
      <c r="G236" s="835" t="s">
        <v>1963</v>
      </c>
      <c r="H236" s="835" t="s">
        <v>1976</v>
      </c>
      <c r="I236" s="849">
        <v>302.01998901367188</v>
      </c>
      <c r="J236" s="849">
        <v>100</v>
      </c>
      <c r="K236" s="850">
        <v>30201.599853515625</v>
      </c>
    </row>
    <row r="237" spans="1:11" ht="14.45" customHeight="1" x14ac:dyDescent="0.2">
      <c r="A237" s="831" t="s">
        <v>570</v>
      </c>
      <c r="B237" s="832" t="s">
        <v>571</v>
      </c>
      <c r="C237" s="835" t="s">
        <v>596</v>
      </c>
      <c r="D237" s="863" t="s">
        <v>597</v>
      </c>
      <c r="E237" s="835" t="s">
        <v>1688</v>
      </c>
      <c r="F237" s="863" t="s">
        <v>1689</v>
      </c>
      <c r="G237" s="835" t="s">
        <v>1977</v>
      </c>
      <c r="H237" s="835" t="s">
        <v>1978</v>
      </c>
      <c r="I237" s="849">
        <v>0.27000001072883606</v>
      </c>
      <c r="J237" s="849">
        <v>1500</v>
      </c>
      <c r="K237" s="850">
        <v>399.30001831054688</v>
      </c>
    </row>
    <row r="238" spans="1:11" ht="14.45" customHeight="1" x14ac:dyDescent="0.2">
      <c r="A238" s="831" t="s">
        <v>570</v>
      </c>
      <c r="B238" s="832" t="s">
        <v>571</v>
      </c>
      <c r="C238" s="835" t="s">
        <v>596</v>
      </c>
      <c r="D238" s="863" t="s">
        <v>597</v>
      </c>
      <c r="E238" s="835" t="s">
        <v>1688</v>
      </c>
      <c r="F238" s="863" t="s">
        <v>1689</v>
      </c>
      <c r="G238" s="835" t="s">
        <v>1979</v>
      </c>
      <c r="H238" s="835" t="s">
        <v>1980</v>
      </c>
      <c r="I238" s="849">
        <v>373.64999389648438</v>
      </c>
      <c r="J238" s="849">
        <v>2</v>
      </c>
      <c r="K238" s="850">
        <v>747.29998779296875</v>
      </c>
    </row>
    <row r="239" spans="1:11" ht="14.45" customHeight="1" x14ac:dyDescent="0.2">
      <c r="A239" s="831" t="s">
        <v>570</v>
      </c>
      <c r="B239" s="832" t="s">
        <v>571</v>
      </c>
      <c r="C239" s="835" t="s">
        <v>596</v>
      </c>
      <c r="D239" s="863" t="s">
        <v>597</v>
      </c>
      <c r="E239" s="835" t="s">
        <v>1688</v>
      </c>
      <c r="F239" s="863" t="s">
        <v>1689</v>
      </c>
      <c r="G239" s="835" t="s">
        <v>1981</v>
      </c>
      <c r="H239" s="835" t="s">
        <v>1982</v>
      </c>
      <c r="I239" s="849">
        <v>672.760009765625</v>
      </c>
      <c r="J239" s="849">
        <v>21</v>
      </c>
      <c r="K239" s="850">
        <v>14127.9599609375</v>
      </c>
    </row>
    <row r="240" spans="1:11" ht="14.45" customHeight="1" x14ac:dyDescent="0.2">
      <c r="A240" s="831" t="s">
        <v>570</v>
      </c>
      <c r="B240" s="832" t="s">
        <v>571</v>
      </c>
      <c r="C240" s="835" t="s">
        <v>596</v>
      </c>
      <c r="D240" s="863" t="s">
        <v>597</v>
      </c>
      <c r="E240" s="835" t="s">
        <v>1688</v>
      </c>
      <c r="F240" s="863" t="s">
        <v>1689</v>
      </c>
      <c r="G240" s="835" t="s">
        <v>1983</v>
      </c>
      <c r="H240" s="835" t="s">
        <v>1984</v>
      </c>
      <c r="I240" s="849">
        <v>8.8299999237060547</v>
      </c>
      <c r="J240" s="849">
        <v>900</v>
      </c>
      <c r="K240" s="850">
        <v>7949.69970703125</v>
      </c>
    </row>
    <row r="241" spans="1:11" ht="14.45" customHeight="1" x14ac:dyDescent="0.2">
      <c r="A241" s="831" t="s">
        <v>570</v>
      </c>
      <c r="B241" s="832" t="s">
        <v>571</v>
      </c>
      <c r="C241" s="835" t="s">
        <v>596</v>
      </c>
      <c r="D241" s="863" t="s">
        <v>597</v>
      </c>
      <c r="E241" s="835" t="s">
        <v>1688</v>
      </c>
      <c r="F241" s="863" t="s">
        <v>1689</v>
      </c>
      <c r="G241" s="835" t="s">
        <v>1985</v>
      </c>
      <c r="H241" s="835" t="s">
        <v>1986</v>
      </c>
      <c r="I241" s="849">
        <v>10.159999847412109</v>
      </c>
      <c r="J241" s="849">
        <v>360</v>
      </c>
      <c r="K241" s="850">
        <v>3659.0400390625</v>
      </c>
    </row>
    <row r="242" spans="1:11" ht="14.45" customHeight="1" x14ac:dyDescent="0.2">
      <c r="A242" s="831" t="s">
        <v>570</v>
      </c>
      <c r="B242" s="832" t="s">
        <v>571</v>
      </c>
      <c r="C242" s="835" t="s">
        <v>596</v>
      </c>
      <c r="D242" s="863" t="s">
        <v>597</v>
      </c>
      <c r="E242" s="835" t="s">
        <v>1688</v>
      </c>
      <c r="F242" s="863" t="s">
        <v>1689</v>
      </c>
      <c r="G242" s="835" t="s">
        <v>1987</v>
      </c>
      <c r="H242" s="835" t="s">
        <v>1988</v>
      </c>
      <c r="I242" s="849">
        <v>10.159999847412109</v>
      </c>
      <c r="J242" s="849">
        <v>360</v>
      </c>
      <c r="K242" s="850">
        <v>3659.0400390625</v>
      </c>
    </row>
    <row r="243" spans="1:11" ht="14.45" customHeight="1" x14ac:dyDescent="0.2">
      <c r="A243" s="831" t="s">
        <v>570</v>
      </c>
      <c r="B243" s="832" t="s">
        <v>571</v>
      </c>
      <c r="C243" s="835" t="s">
        <v>596</v>
      </c>
      <c r="D243" s="863" t="s">
        <v>597</v>
      </c>
      <c r="E243" s="835" t="s">
        <v>1688</v>
      </c>
      <c r="F243" s="863" t="s">
        <v>1689</v>
      </c>
      <c r="G243" s="835" t="s">
        <v>1983</v>
      </c>
      <c r="H243" s="835" t="s">
        <v>1989</v>
      </c>
      <c r="I243" s="849">
        <v>8.8299999237060547</v>
      </c>
      <c r="J243" s="849">
        <v>3720</v>
      </c>
      <c r="K243" s="850">
        <v>32858.7587890625</v>
      </c>
    </row>
    <row r="244" spans="1:11" ht="14.45" customHeight="1" x14ac:dyDescent="0.2">
      <c r="A244" s="831" t="s">
        <v>570</v>
      </c>
      <c r="B244" s="832" t="s">
        <v>571</v>
      </c>
      <c r="C244" s="835" t="s">
        <v>596</v>
      </c>
      <c r="D244" s="863" t="s">
        <v>597</v>
      </c>
      <c r="E244" s="835" t="s">
        <v>1688</v>
      </c>
      <c r="F244" s="863" t="s">
        <v>1689</v>
      </c>
      <c r="G244" s="835" t="s">
        <v>1985</v>
      </c>
      <c r="H244" s="835" t="s">
        <v>1990</v>
      </c>
      <c r="I244" s="849">
        <v>10.159999847412109</v>
      </c>
      <c r="J244" s="849">
        <v>2340</v>
      </c>
      <c r="K244" s="850">
        <v>23783.76025390625</v>
      </c>
    </row>
    <row r="245" spans="1:11" ht="14.45" customHeight="1" x14ac:dyDescent="0.2">
      <c r="A245" s="831" t="s">
        <v>570</v>
      </c>
      <c r="B245" s="832" t="s">
        <v>571</v>
      </c>
      <c r="C245" s="835" t="s">
        <v>596</v>
      </c>
      <c r="D245" s="863" t="s">
        <v>597</v>
      </c>
      <c r="E245" s="835" t="s">
        <v>1688</v>
      </c>
      <c r="F245" s="863" t="s">
        <v>1689</v>
      </c>
      <c r="G245" s="835" t="s">
        <v>1987</v>
      </c>
      <c r="H245" s="835" t="s">
        <v>1991</v>
      </c>
      <c r="I245" s="849">
        <v>10.159999847412109</v>
      </c>
      <c r="J245" s="849">
        <v>3060</v>
      </c>
      <c r="K245" s="850">
        <v>31101.83984375</v>
      </c>
    </row>
    <row r="246" spans="1:11" ht="14.45" customHeight="1" x14ac:dyDescent="0.2">
      <c r="A246" s="831" t="s">
        <v>570</v>
      </c>
      <c r="B246" s="832" t="s">
        <v>571</v>
      </c>
      <c r="C246" s="835" t="s">
        <v>596</v>
      </c>
      <c r="D246" s="863" t="s">
        <v>597</v>
      </c>
      <c r="E246" s="835" t="s">
        <v>1688</v>
      </c>
      <c r="F246" s="863" t="s">
        <v>1689</v>
      </c>
      <c r="G246" s="835" t="s">
        <v>1992</v>
      </c>
      <c r="H246" s="835" t="s">
        <v>1993</v>
      </c>
      <c r="I246" s="849">
        <v>316.82000732421875</v>
      </c>
      <c r="J246" s="849">
        <v>30</v>
      </c>
      <c r="K246" s="850">
        <v>9504.5498046875</v>
      </c>
    </row>
    <row r="247" spans="1:11" ht="14.45" customHeight="1" x14ac:dyDescent="0.2">
      <c r="A247" s="831" t="s">
        <v>570</v>
      </c>
      <c r="B247" s="832" t="s">
        <v>571</v>
      </c>
      <c r="C247" s="835" t="s">
        <v>596</v>
      </c>
      <c r="D247" s="863" t="s">
        <v>597</v>
      </c>
      <c r="E247" s="835" t="s">
        <v>1688</v>
      </c>
      <c r="F247" s="863" t="s">
        <v>1689</v>
      </c>
      <c r="G247" s="835" t="s">
        <v>1702</v>
      </c>
      <c r="H247" s="835" t="s">
        <v>1994</v>
      </c>
      <c r="I247" s="849">
        <v>15.920000076293945</v>
      </c>
      <c r="J247" s="849">
        <v>250</v>
      </c>
      <c r="K247" s="850">
        <v>3980</v>
      </c>
    </row>
    <row r="248" spans="1:11" ht="14.45" customHeight="1" x14ac:dyDescent="0.2">
      <c r="A248" s="831" t="s">
        <v>570</v>
      </c>
      <c r="B248" s="832" t="s">
        <v>571</v>
      </c>
      <c r="C248" s="835" t="s">
        <v>596</v>
      </c>
      <c r="D248" s="863" t="s">
        <v>597</v>
      </c>
      <c r="E248" s="835" t="s">
        <v>1688</v>
      </c>
      <c r="F248" s="863" t="s">
        <v>1689</v>
      </c>
      <c r="G248" s="835" t="s">
        <v>1702</v>
      </c>
      <c r="H248" s="835" t="s">
        <v>1703</v>
      </c>
      <c r="I248" s="849">
        <v>15.922000122070312</v>
      </c>
      <c r="J248" s="849">
        <v>450</v>
      </c>
      <c r="K248" s="850">
        <v>7165</v>
      </c>
    </row>
    <row r="249" spans="1:11" ht="14.45" customHeight="1" x14ac:dyDescent="0.2">
      <c r="A249" s="831" t="s">
        <v>570</v>
      </c>
      <c r="B249" s="832" t="s">
        <v>571</v>
      </c>
      <c r="C249" s="835" t="s">
        <v>596</v>
      </c>
      <c r="D249" s="863" t="s">
        <v>597</v>
      </c>
      <c r="E249" s="835" t="s">
        <v>1688</v>
      </c>
      <c r="F249" s="863" t="s">
        <v>1689</v>
      </c>
      <c r="G249" s="835" t="s">
        <v>1995</v>
      </c>
      <c r="H249" s="835" t="s">
        <v>1996</v>
      </c>
      <c r="I249" s="849">
        <v>367.83999633789063</v>
      </c>
      <c r="J249" s="849">
        <v>40</v>
      </c>
      <c r="K249" s="850">
        <v>14713.599609375</v>
      </c>
    </row>
    <row r="250" spans="1:11" ht="14.45" customHeight="1" x14ac:dyDescent="0.2">
      <c r="A250" s="831" t="s">
        <v>570</v>
      </c>
      <c r="B250" s="832" t="s">
        <v>571</v>
      </c>
      <c r="C250" s="835" t="s">
        <v>596</v>
      </c>
      <c r="D250" s="863" t="s">
        <v>597</v>
      </c>
      <c r="E250" s="835" t="s">
        <v>1688</v>
      </c>
      <c r="F250" s="863" t="s">
        <v>1689</v>
      </c>
      <c r="G250" s="835" t="s">
        <v>1997</v>
      </c>
      <c r="H250" s="835" t="s">
        <v>1998</v>
      </c>
      <c r="I250" s="849">
        <v>26.020000457763672</v>
      </c>
      <c r="J250" s="849">
        <v>1160</v>
      </c>
      <c r="K250" s="850">
        <v>30177.400390625</v>
      </c>
    </row>
    <row r="251" spans="1:11" ht="14.45" customHeight="1" x14ac:dyDescent="0.2">
      <c r="A251" s="831" t="s">
        <v>570</v>
      </c>
      <c r="B251" s="832" t="s">
        <v>571</v>
      </c>
      <c r="C251" s="835" t="s">
        <v>596</v>
      </c>
      <c r="D251" s="863" t="s">
        <v>597</v>
      </c>
      <c r="E251" s="835" t="s">
        <v>1688</v>
      </c>
      <c r="F251" s="863" t="s">
        <v>1689</v>
      </c>
      <c r="G251" s="835" t="s">
        <v>1999</v>
      </c>
      <c r="H251" s="835" t="s">
        <v>2000</v>
      </c>
      <c r="I251" s="849">
        <v>26.020000457763672</v>
      </c>
      <c r="J251" s="849">
        <v>320</v>
      </c>
      <c r="K251" s="850">
        <v>8324.7998046875</v>
      </c>
    </row>
    <row r="252" spans="1:11" ht="14.45" customHeight="1" x14ac:dyDescent="0.2">
      <c r="A252" s="831" t="s">
        <v>570</v>
      </c>
      <c r="B252" s="832" t="s">
        <v>571</v>
      </c>
      <c r="C252" s="835" t="s">
        <v>596</v>
      </c>
      <c r="D252" s="863" t="s">
        <v>597</v>
      </c>
      <c r="E252" s="835" t="s">
        <v>1688</v>
      </c>
      <c r="F252" s="863" t="s">
        <v>1689</v>
      </c>
      <c r="G252" s="835" t="s">
        <v>2001</v>
      </c>
      <c r="H252" s="835" t="s">
        <v>2002</v>
      </c>
      <c r="I252" s="849">
        <v>1191.8499755859375</v>
      </c>
      <c r="J252" s="849">
        <v>40</v>
      </c>
      <c r="K252" s="850">
        <v>47674</v>
      </c>
    </row>
    <row r="253" spans="1:11" ht="14.45" customHeight="1" x14ac:dyDescent="0.2">
      <c r="A253" s="831" t="s">
        <v>570</v>
      </c>
      <c r="B253" s="832" t="s">
        <v>571</v>
      </c>
      <c r="C253" s="835" t="s">
        <v>596</v>
      </c>
      <c r="D253" s="863" t="s">
        <v>597</v>
      </c>
      <c r="E253" s="835" t="s">
        <v>1688</v>
      </c>
      <c r="F253" s="863" t="s">
        <v>1689</v>
      </c>
      <c r="G253" s="835" t="s">
        <v>2001</v>
      </c>
      <c r="H253" s="835" t="s">
        <v>2003</v>
      </c>
      <c r="I253" s="849">
        <v>1191.8499755859375</v>
      </c>
      <c r="J253" s="849">
        <v>10</v>
      </c>
      <c r="K253" s="850">
        <v>11918.5</v>
      </c>
    </row>
    <row r="254" spans="1:11" ht="14.45" customHeight="1" x14ac:dyDescent="0.2">
      <c r="A254" s="831" t="s">
        <v>570</v>
      </c>
      <c r="B254" s="832" t="s">
        <v>571</v>
      </c>
      <c r="C254" s="835" t="s">
        <v>596</v>
      </c>
      <c r="D254" s="863" t="s">
        <v>597</v>
      </c>
      <c r="E254" s="835" t="s">
        <v>1688</v>
      </c>
      <c r="F254" s="863" t="s">
        <v>1689</v>
      </c>
      <c r="G254" s="835" t="s">
        <v>1995</v>
      </c>
      <c r="H254" s="835" t="s">
        <v>2004</v>
      </c>
      <c r="I254" s="849">
        <v>367.83999633789063</v>
      </c>
      <c r="J254" s="849">
        <v>40</v>
      </c>
      <c r="K254" s="850">
        <v>14713.599609375</v>
      </c>
    </row>
    <row r="255" spans="1:11" ht="14.45" customHeight="1" x14ac:dyDescent="0.2">
      <c r="A255" s="831" t="s">
        <v>570</v>
      </c>
      <c r="B255" s="832" t="s">
        <v>571</v>
      </c>
      <c r="C255" s="835" t="s">
        <v>596</v>
      </c>
      <c r="D255" s="863" t="s">
        <v>597</v>
      </c>
      <c r="E255" s="835" t="s">
        <v>1688</v>
      </c>
      <c r="F255" s="863" t="s">
        <v>1689</v>
      </c>
      <c r="G255" s="835" t="s">
        <v>2005</v>
      </c>
      <c r="H255" s="835" t="s">
        <v>2006</v>
      </c>
      <c r="I255" s="849">
        <v>3.7200000286102295</v>
      </c>
      <c r="J255" s="849">
        <v>130</v>
      </c>
      <c r="K255" s="850">
        <v>484.5</v>
      </c>
    </row>
    <row r="256" spans="1:11" ht="14.45" customHeight="1" x14ac:dyDescent="0.2">
      <c r="A256" s="831" t="s">
        <v>570</v>
      </c>
      <c r="B256" s="832" t="s">
        <v>571</v>
      </c>
      <c r="C256" s="835" t="s">
        <v>596</v>
      </c>
      <c r="D256" s="863" t="s">
        <v>597</v>
      </c>
      <c r="E256" s="835" t="s">
        <v>1688</v>
      </c>
      <c r="F256" s="863" t="s">
        <v>1689</v>
      </c>
      <c r="G256" s="835" t="s">
        <v>1997</v>
      </c>
      <c r="H256" s="835" t="s">
        <v>2007</v>
      </c>
      <c r="I256" s="849">
        <v>26.017500400543213</v>
      </c>
      <c r="J256" s="849">
        <v>1360</v>
      </c>
      <c r="K256" s="850">
        <v>35379.399780273438</v>
      </c>
    </row>
    <row r="257" spans="1:11" ht="14.45" customHeight="1" x14ac:dyDescent="0.2">
      <c r="A257" s="831" t="s">
        <v>570</v>
      </c>
      <c r="B257" s="832" t="s">
        <v>571</v>
      </c>
      <c r="C257" s="835" t="s">
        <v>596</v>
      </c>
      <c r="D257" s="863" t="s">
        <v>597</v>
      </c>
      <c r="E257" s="835" t="s">
        <v>1688</v>
      </c>
      <c r="F257" s="863" t="s">
        <v>1689</v>
      </c>
      <c r="G257" s="835" t="s">
        <v>2008</v>
      </c>
      <c r="H257" s="835" t="s">
        <v>2009</v>
      </c>
      <c r="I257" s="849">
        <v>16.700000762939453</v>
      </c>
      <c r="J257" s="849">
        <v>80</v>
      </c>
      <c r="K257" s="850">
        <v>1336</v>
      </c>
    </row>
    <row r="258" spans="1:11" ht="14.45" customHeight="1" x14ac:dyDescent="0.2">
      <c r="A258" s="831" t="s">
        <v>570</v>
      </c>
      <c r="B258" s="832" t="s">
        <v>571</v>
      </c>
      <c r="C258" s="835" t="s">
        <v>596</v>
      </c>
      <c r="D258" s="863" t="s">
        <v>597</v>
      </c>
      <c r="E258" s="835" t="s">
        <v>1688</v>
      </c>
      <c r="F258" s="863" t="s">
        <v>1689</v>
      </c>
      <c r="G258" s="835" t="s">
        <v>2010</v>
      </c>
      <c r="H258" s="835" t="s">
        <v>2011</v>
      </c>
      <c r="I258" s="849">
        <v>687.280029296875</v>
      </c>
      <c r="J258" s="849">
        <v>10</v>
      </c>
      <c r="K258" s="850">
        <v>6872.7998046875</v>
      </c>
    </row>
    <row r="259" spans="1:11" ht="14.45" customHeight="1" x14ac:dyDescent="0.2">
      <c r="A259" s="831" t="s">
        <v>570</v>
      </c>
      <c r="B259" s="832" t="s">
        <v>571</v>
      </c>
      <c r="C259" s="835" t="s">
        <v>596</v>
      </c>
      <c r="D259" s="863" t="s">
        <v>597</v>
      </c>
      <c r="E259" s="835" t="s">
        <v>1688</v>
      </c>
      <c r="F259" s="863" t="s">
        <v>1689</v>
      </c>
      <c r="G259" s="835" t="s">
        <v>2012</v>
      </c>
      <c r="H259" s="835" t="s">
        <v>2013</v>
      </c>
      <c r="I259" s="849">
        <v>559.02001953125</v>
      </c>
      <c r="J259" s="849">
        <v>10</v>
      </c>
      <c r="K259" s="850">
        <v>5590.2001953125</v>
      </c>
    </row>
    <row r="260" spans="1:11" ht="14.45" customHeight="1" x14ac:dyDescent="0.2">
      <c r="A260" s="831" t="s">
        <v>570</v>
      </c>
      <c r="B260" s="832" t="s">
        <v>571</v>
      </c>
      <c r="C260" s="835" t="s">
        <v>596</v>
      </c>
      <c r="D260" s="863" t="s">
        <v>597</v>
      </c>
      <c r="E260" s="835" t="s">
        <v>1688</v>
      </c>
      <c r="F260" s="863" t="s">
        <v>1689</v>
      </c>
      <c r="G260" s="835" t="s">
        <v>2014</v>
      </c>
      <c r="H260" s="835" t="s">
        <v>2015</v>
      </c>
      <c r="I260" s="849">
        <v>619.52001953125</v>
      </c>
      <c r="J260" s="849">
        <v>20</v>
      </c>
      <c r="K260" s="850">
        <v>12390.400390625</v>
      </c>
    </row>
    <row r="261" spans="1:11" ht="14.45" customHeight="1" x14ac:dyDescent="0.2">
      <c r="A261" s="831" t="s">
        <v>570</v>
      </c>
      <c r="B261" s="832" t="s">
        <v>571</v>
      </c>
      <c r="C261" s="835" t="s">
        <v>596</v>
      </c>
      <c r="D261" s="863" t="s">
        <v>597</v>
      </c>
      <c r="E261" s="835" t="s">
        <v>1688</v>
      </c>
      <c r="F261" s="863" t="s">
        <v>1689</v>
      </c>
      <c r="G261" s="835" t="s">
        <v>2016</v>
      </c>
      <c r="H261" s="835" t="s">
        <v>2017</v>
      </c>
      <c r="I261" s="849">
        <v>665.8599853515625</v>
      </c>
      <c r="J261" s="849">
        <v>7</v>
      </c>
      <c r="K261" s="850">
        <v>4661.0498046875</v>
      </c>
    </row>
    <row r="262" spans="1:11" ht="14.45" customHeight="1" x14ac:dyDescent="0.2">
      <c r="A262" s="831" t="s">
        <v>570</v>
      </c>
      <c r="B262" s="832" t="s">
        <v>571</v>
      </c>
      <c r="C262" s="835" t="s">
        <v>596</v>
      </c>
      <c r="D262" s="863" t="s">
        <v>597</v>
      </c>
      <c r="E262" s="835" t="s">
        <v>1688</v>
      </c>
      <c r="F262" s="863" t="s">
        <v>1689</v>
      </c>
      <c r="G262" s="835" t="s">
        <v>2016</v>
      </c>
      <c r="H262" s="835" t="s">
        <v>2018</v>
      </c>
      <c r="I262" s="849">
        <v>636.34002685546875</v>
      </c>
      <c r="J262" s="849">
        <v>2</v>
      </c>
      <c r="K262" s="850">
        <v>1272.6800537109375</v>
      </c>
    </row>
    <row r="263" spans="1:11" ht="14.45" customHeight="1" x14ac:dyDescent="0.2">
      <c r="A263" s="831" t="s">
        <v>570</v>
      </c>
      <c r="B263" s="832" t="s">
        <v>571</v>
      </c>
      <c r="C263" s="835" t="s">
        <v>596</v>
      </c>
      <c r="D263" s="863" t="s">
        <v>597</v>
      </c>
      <c r="E263" s="835" t="s">
        <v>1688</v>
      </c>
      <c r="F263" s="863" t="s">
        <v>1689</v>
      </c>
      <c r="G263" s="835" t="s">
        <v>2019</v>
      </c>
      <c r="H263" s="835" t="s">
        <v>2020</v>
      </c>
      <c r="I263" s="849">
        <v>61.709999084472656</v>
      </c>
      <c r="J263" s="849">
        <v>10</v>
      </c>
      <c r="K263" s="850">
        <v>617.0999755859375</v>
      </c>
    </row>
    <row r="264" spans="1:11" ht="14.45" customHeight="1" x14ac:dyDescent="0.2">
      <c r="A264" s="831" t="s">
        <v>570</v>
      </c>
      <c r="B264" s="832" t="s">
        <v>571</v>
      </c>
      <c r="C264" s="835" t="s">
        <v>596</v>
      </c>
      <c r="D264" s="863" t="s">
        <v>597</v>
      </c>
      <c r="E264" s="835" t="s">
        <v>1688</v>
      </c>
      <c r="F264" s="863" t="s">
        <v>1689</v>
      </c>
      <c r="G264" s="835" t="s">
        <v>2021</v>
      </c>
      <c r="H264" s="835" t="s">
        <v>2022</v>
      </c>
      <c r="I264" s="849">
        <v>27.829999923706055</v>
      </c>
      <c r="J264" s="849">
        <v>10</v>
      </c>
      <c r="K264" s="850">
        <v>278.29998779296875</v>
      </c>
    </row>
    <row r="265" spans="1:11" ht="14.45" customHeight="1" x14ac:dyDescent="0.2">
      <c r="A265" s="831" t="s">
        <v>570</v>
      </c>
      <c r="B265" s="832" t="s">
        <v>571</v>
      </c>
      <c r="C265" s="835" t="s">
        <v>596</v>
      </c>
      <c r="D265" s="863" t="s">
        <v>597</v>
      </c>
      <c r="E265" s="835" t="s">
        <v>1688</v>
      </c>
      <c r="F265" s="863" t="s">
        <v>1689</v>
      </c>
      <c r="G265" s="835" t="s">
        <v>1706</v>
      </c>
      <c r="H265" s="835" t="s">
        <v>2023</v>
      </c>
      <c r="I265" s="849">
        <v>30.25</v>
      </c>
      <c r="J265" s="849">
        <v>100</v>
      </c>
      <c r="K265" s="850">
        <v>3025</v>
      </c>
    </row>
    <row r="266" spans="1:11" ht="14.45" customHeight="1" x14ac:dyDescent="0.2">
      <c r="A266" s="831" t="s">
        <v>570</v>
      </c>
      <c r="B266" s="832" t="s">
        <v>571</v>
      </c>
      <c r="C266" s="835" t="s">
        <v>596</v>
      </c>
      <c r="D266" s="863" t="s">
        <v>597</v>
      </c>
      <c r="E266" s="835" t="s">
        <v>1688</v>
      </c>
      <c r="F266" s="863" t="s">
        <v>1689</v>
      </c>
      <c r="G266" s="835" t="s">
        <v>1706</v>
      </c>
      <c r="H266" s="835" t="s">
        <v>1707</v>
      </c>
      <c r="I266" s="849">
        <v>30.25</v>
      </c>
      <c r="J266" s="849">
        <v>500</v>
      </c>
      <c r="K266" s="850">
        <v>15125</v>
      </c>
    </row>
    <row r="267" spans="1:11" ht="14.45" customHeight="1" x14ac:dyDescent="0.2">
      <c r="A267" s="831" t="s">
        <v>570</v>
      </c>
      <c r="B267" s="832" t="s">
        <v>571</v>
      </c>
      <c r="C267" s="835" t="s">
        <v>596</v>
      </c>
      <c r="D267" s="863" t="s">
        <v>597</v>
      </c>
      <c r="E267" s="835" t="s">
        <v>1688</v>
      </c>
      <c r="F267" s="863" t="s">
        <v>1689</v>
      </c>
      <c r="G267" s="835" t="s">
        <v>2024</v>
      </c>
      <c r="H267" s="835" t="s">
        <v>2025</v>
      </c>
      <c r="I267" s="849">
        <v>30.25</v>
      </c>
      <c r="J267" s="849">
        <v>250</v>
      </c>
      <c r="K267" s="850">
        <v>7562.5</v>
      </c>
    </row>
    <row r="268" spans="1:11" ht="14.45" customHeight="1" x14ac:dyDescent="0.2">
      <c r="A268" s="831" t="s">
        <v>570</v>
      </c>
      <c r="B268" s="832" t="s">
        <v>571</v>
      </c>
      <c r="C268" s="835" t="s">
        <v>596</v>
      </c>
      <c r="D268" s="863" t="s">
        <v>597</v>
      </c>
      <c r="E268" s="835" t="s">
        <v>1688</v>
      </c>
      <c r="F268" s="863" t="s">
        <v>1689</v>
      </c>
      <c r="G268" s="835" t="s">
        <v>2024</v>
      </c>
      <c r="H268" s="835" t="s">
        <v>2026</v>
      </c>
      <c r="I268" s="849">
        <v>30.25</v>
      </c>
      <c r="J268" s="849">
        <v>50</v>
      </c>
      <c r="K268" s="850">
        <v>1512.5</v>
      </c>
    </row>
    <row r="269" spans="1:11" ht="14.45" customHeight="1" x14ac:dyDescent="0.2">
      <c r="A269" s="831" t="s">
        <v>570</v>
      </c>
      <c r="B269" s="832" t="s">
        <v>571</v>
      </c>
      <c r="C269" s="835" t="s">
        <v>596</v>
      </c>
      <c r="D269" s="863" t="s">
        <v>597</v>
      </c>
      <c r="E269" s="835" t="s">
        <v>1688</v>
      </c>
      <c r="F269" s="863" t="s">
        <v>1689</v>
      </c>
      <c r="G269" s="835" t="s">
        <v>2027</v>
      </c>
      <c r="H269" s="835" t="s">
        <v>2028</v>
      </c>
      <c r="I269" s="849">
        <v>2.880000114440918</v>
      </c>
      <c r="J269" s="849">
        <v>100</v>
      </c>
      <c r="K269" s="850">
        <v>287.98001098632813</v>
      </c>
    </row>
    <row r="270" spans="1:11" ht="14.45" customHeight="1" x14ac:dyDescent="0.2">
      <c r="A270" s="831" t="s">
        <v>570</v>
      </c>
      <c r="B270" s="832" t="s">
        <v>571</v>
      </c>
      <c r="C270" s="835" t="s">
        <v>596</v>
      </c>
      <c r="D270" s="863" t="s">
        <v>597</v>
      </c>
      <c r="E270" s="835" t="s">
        <v>1688</v>
      </c>
      <c r="F270" s="863" t="s">
        <v>1689</v>
      </c>
      <c r="G270" s="835" t="s">
        <v>2027</v>
      </c>
      <c r="H270" s="835" t="s">
        <v>2029</v>
      </c>
      <c r="I270" s="849">
        <v>2.880000114440918</v>
      </c>
      <c r="J270" s="849">
        <v>1400</v>
      </c>
      <c r="K270" s="850">
        <v>4031.7200622558594</v>
      </c>
    </row>
    <row r="271" spans="1:11" ht="14.45" customHeight="1" x14ac:dyDescent="0.2">
      <c r="A271" s="831" t="s">
        <v>570</v>
      </c>
      <c r="B271" s="832" t="s">
        <v>571</v>
      </c>
      <c r="C271" s="835" t="s">
        <v>596</v>
      </c>
      <c r="D271" s="863" t="s">
        <v>597</v>
      </c>
      <c r="E271" s="835" t="s">
        <v>1688</v>
      </c>
      <c r="F271" s="863" t="s">
        <v>1689</v>
      </c>
      <c r="G271" s="835" t="s">
        <v>1708</v>
      </c>
      <c r="H271" s="835" t="s">
        <v>1709</v>
      </c>
      <c r="I271" s="849">
        <v>318</v>
      </c>
      <c r="J271" s="849">
        <v>20</v>
      </c>
      <c r="K271" s="850">
        <v>6360.009765625</v>
      </c>
    </row>
    <row r="272" spans="1:11" ht="14.45" customHeight="1" x14ac:dyDescent="0.2">
      <c r="A272" s="831" t="s">
        <v>570</v>
      </c>
      <c r="B272" s="832" t="s">
        <v>571</v>
      </c>
      <c r="C272" s="835" t="s">
        <v>596</v>
      </c>
      <c r="D272" s="863" t="s">
        <v>597</v>
      </c>
      <c r="E272" s="835" t="s">
        <v>1688</v>
      </c>
      <c r="F272" s="863" t="s">
        <v>1689</v>
      </c>
      <c r="G272" s="835" t="s">
        <v>2030</v>
      </c>
      <c r="H272" s="835" t="s">
        <v>2031</v>
      </c>
      <c r="I272" s="849">
        <v>4.0300002098083496</v>
      </c>
      <c r="J272" s="849">
        <v>400</v>
      </c>
      <c r="K272" s="850">
        <v>1612</v>
      </c>
    </row>
    <row r="273" spans="1:11" ht="14.45" customHeight="1" x14ac:dyDescent="0.2">
      <c r="A273" s="831" t="s">
        <v>570</v>
      </c>
      <c r="B273" s="832" t="s">
        <v>571</v>
      </c>
      <c r="C273" s="835" t="s">
        <v>596</v>
      </c>
      <c r="D273" s="863" t="s">
        <v>597</v>
      </c>
      <c r="E273" s="835" t="s">
        <v>1688</v>
      </c>
      <c r="F273" s="863" t="s">
        <v>1689</v>
      </c>
      <c r="G273" s="835" t="s">
        <v>2030</v>
      </c>
      <c r="H273" s="835" t="s">
        <v>2032</v>
      </c>
      <c r="I273" s="849">
        <v>4.0300002098083496</v>
      </c>
      <c r="J273" s="849">
        <v>550</v>
      </c>
      <c r="K273" s="850">
        <v>2216.5</v>
      </c>
    </row>
    <row r="274" spans="1:11" ht="14.45" customHeight="1" x14ac:dyDescent="0.2">
      <c r="A274" s="831" t="s">
        <v>570</v>
      </c>
      <c r="B274" s="832" t="s">
        <v>571</v>
      </c>
      <c r="C274" s="835" t="s">
        <v>596</v>
      </c>
      <c r="D274" s="863" t="s">
        <v>597</v>
      </c>
      <c r="E274" s="835" t="s">
        <v>1688</v>
      </c>
      <c r="F274" s="863" t="s">
        <v>1689</v>
      </c>
      <c r="G274" s="835" t="s">
        <v>2033</v>
      </c>
      <c r="H274" s="835" t="s">
        <v>2034</v>
      </c>
      <c r="I274" s="849">
        <v>18.149999618530273</v>
      </c>
      <c r="J274" s="849">
        <v>800</v>
      </c>
      <c r="K274" s="850">
        <v>14520</v>
      </c>
    </row>
    <row r="275" spans="1:11" ht="14.45" customHeight="1" x14ac:dyDescent="0.2">
      <c r="A275" s="831" t="s">
        <v>570</v>
      </c>
      <c r="B275" s="832" t="s">
        <v>571</v>
      </c>
      <c r="C275" s="835" t="s">
        <v>596</v>
      </c>
      <c r="D275" s="863" t="s">
        <v>597</v>
      </c>
      <c r="E275" s="835" t="s">
        <v>1688</v>
      </c>
      <c r="F275" s="863" t="s">
        <v>1689</v>
      </c>
      <c r="G275" s="835" t="s">
        <v>2035</v>
      </c>
      <c r="H275" s="835" t="s">
        <v>2036</v>
      </c>
      <c r="I275" s="849">
        <v>15.729999542236328</v>
      </c>
      <c r="J275" s="849">
        <v>250</v>
      </c>
      <c r="K275" s="850">
        <v>3932.5</v>
      </c>
    </row>
    <row r="276" spans="1:11" ht="14.45" customHeight="1" x14ac:dyDescent="0.2">
      <c r="A276" s="831" t="s">
        <v>570</v>
      </c>
      <c r="B276" s="832" t="s">
        <v>571</v>
      </c>
      <c r="C276" s="835" t="s">
        <v>596</v>
      </c>
      <c r="D276" s="863" t="s">
        <v>597</v>
      </c>
      <c r="E276" s="835" t="s">
        <v>1688</v>
      </c>
      <c r="F276" s="863" t="s">
        <v>1689</v>
      </c>
      <c r="G276" s="835" t="s">
        <v>2037</v>
      </c>
      <c r="H276" s="835" t="s">
        <v>2038</v>
      </c>
      <c r="I276" s="849">
        <v>31.940000534057617</v>
      </c>
      <c r="J276" s="849">
        <v>200</v>
      </c>
      <c r="K276" s="850">
        <v>6388.7998046875</v>
      </c>
    </row>
    <row r="277" spans="1:11" ht="14.45" customHeight="1" x14ac:dyDescent="0.2">
      <c r="A277" s="831" t="s">
        <v>570</v>
      </c>
      <c r="B277" s="832" t="s">
        <v>571</v>
      </c>
      <c r="C277" s="835" t="s">
        <v>596</v>
      </c>
      <c r="D277" s="863" t="s">
        <v>597</v>
      </c>
      <c r="E277" s="835" t="s">
        <v>1688</v>
      </c>
      <c r="F277" s="863" t="s">
        <v>1689</v>
      </c>
      <c r="G277" s="835" t="s">
        <v>2039</v>
      </c>
      <c r="H277" s="835" t="s">
        <v>2040</v>
      </c>
      <c r="I277" s="849">
        <v>33.650001525878906</v>
      </c>
      <c r="J277" s="849">
        <v>100</v>
      </c>
      <c r="K277" s="850">
        <v>3365.010009765625</v>
      </c>
    </row>
    <row r="278" spans="1:11" ht="14.45" customHeight="1" x14ac:dyDescent="0.2">
      <c r="A278" s="831" t="s">
        <v>570</v>
      </c>
      <c r="B278" s="832" t="s">
        <v>571</v>
      </c>
      <c r="C278" s="835" t="s">
        <v>596</v>
      </c>
      <c r="D278" s="863" t="s">
        <v>597</v>
      </c>
      <c r="E278" s="835" t="s">
        <v>1688</v>
      </c>
      <c r="F278" s="863" t="s">
        <v>1689</v>
      </c>
      <c r="G278" s="835" t="s">
        <v>2035</v>
      </c>
      <c r="H278" s="835" t="s">
        <v>2041</v>
      </c>
      <c r="I278" s="849">
        <v>15.729999542236328</v>
      </c>
      <c r="J278" s="849">
        <v>300</v>
      </c>
      <c r="K278" s="850">
        <v>4719</v>
      </c>
    </row>
    <row r="279" spans="1:11" ht="14.45" customHeight="1" x14ac:dyDescent="0.2">
      <c r="A279" s="831" t="s">
        <v>570</v>
      </c>
      <c r="B279" s="832" t="s">
        <v>571</v>
      </c>
      <c r="C279" s="835" t="s">
        <v>596</v>
      </c>
      <c r="D279" s="863" t="s">
        <v>597</v>
      </c>
      <c r="E279" s="835" t="s">
        <v>1688</v>
      </c>
      <c r="F279" s="863" t="s">
        <v>1689</v>
      </c>
      <c r="G279" s="835" t="s">
        <v>2039</v>
      </c>
      <c r="H279" s="835" t="s">
        <v>2042</v>
      </c>
      <c r="I279" s="849">
        <v>33.650001525878906</v>
      </c>
      <c r="J279" s="849">
        <v>500</v>
      </c>
      <c r="K279" s="850">
        <v>16825.050048828125</v>
      </c>
    </row>
    <row r="280" spans="1:11" ht="14.45" customHeight="1" x14ac:dyDescent="0.2">
      <c r="A280" s="831" t="s">
        <v>570</v>
      </c>
      <c r="B280" s="832" t="s">
        <v>571</v>
      </c>
      <c r="C280" s="835" t="s">
        <v>596</v>
      </c>
      <c r="D280" s="863" t="s">
        <v>597</v>
      </c>
      <c r="E280" s="835" t="s">
        <v>1688</v>
      </c>
      <c r="F280" s="863" t="s">
        <v>1689</v>
      </c>
      <c r="G280" s="835" t="s">
        <v>2043</v>
      </c>
      <c r="H280" s="835" t="s">
        <v>2044</v>
      </c>
      <c r="I280" s="849">
        <v>15.430000305175781</v>
      </c>
      <c r="J280" s="849">
        <v>40</v>
      </c>
      <c r="K280" s="850">
        <v>617.1099853515625</v>
      </c>
    </row>
    <row r="281" spans="1:11" ht="14.45" customHeight="1" x14ac:dyDescent="0.2">
      <c r="A281" s="831" t="s">
        <v>570</v>
      </c>
      <c r="B281" s="832" t="s">
        <v>571</v>
      </c>
      <c r="C281" s="835" t="s">
        <v>596</v>
      </c>
      <c r="D281" s="863" t="s">
        <v>597</v>
      </c>
      <c r="E281" s="835" t="s">
        <v>1688</v>
      </c>
      <c r="F281" s="863" t="s">
        <v>1689</v>
      </c>
      <c r="G281" s="835" t="s">
        <v>2045</v>
      </c>
      <c r="H281" s="835" t="s">
        <v>2046</v>
      </c>
      <c r="I281" s="849">
        <v>58.200000762939453</v>
      </c>
      <c r="J281" s="849">
        <v>20</v>
      </c>
      <c r="K281" s="850">
        <v>1164.02001953125</v>
      </c>
    </row>
    <row r="282" spans="1:11" ht="14.45" customHeight="1" x14ac:dyDescent="0.2">
      <c r="A282" s="831" t="s">
        <v>570</v>
      </c>
      <c r="B282" s="832" t="s">
        <v>571</v>
      </c>
      <c r="C282" s="835" t="s">
        <v>596</v>
      </c>
      <c r="D282" s="863" t="s">
        <v>597</v>
      </c>
      <c r="E282" s="835" t="s">
        <v>1688</v>
      </c>
      <c r="F282" s="863" t="s">
        <v>1689</v>
      </c>
      <c r="G282" s="835" t="s">
        <v>2047</v>
      </c>
      <c r="H282" s="835" t="s">
        <v>2048</v>
      </c>
      <c r="I282" s="849">
        <v>2.0499999523162842</v>
      </c>
      <c r="J282" s="849">
        <v>10</v>
      </c>
      <c r="K282" s="850">
        <v>20.5</v>
      </c>
    </row>
    <row r="283" spans="1:11" ht="14.45" customHeight="1" x14ac:dyDescent="0.2">
      <c r="A283" s="831" t="s">
        <v>570</v>
      </c>
      <c r="B283" s="832" t="s">
        <v>571</v>
      </c>
      <c r="C283" s="835" t="s">
        <v>596</v>
      </c>
      <c r="D283" s="863" t="s">
        <v>597</v>
      </c>
      <c r="E283" s="835" t="s">
        <v>1688</v>
      </c>
      <c r="F283" s="863" t="s">
        <v>1689</v>
      </c>
      <c r="G283" s="835" t="s">
        <v>2049</v>
      </c>
      <c r="H283" s="835" t="s">
        <v>2050</v>
      </c>
      <c r="I283" s="849">
        <v>314.60000610351563</v>
      </c>
      <c r="J283" s="849">
        <v>20</v>
      </c>
      <c r="K283" s="850">
        <v>6292</v>
      </c>
    </row>
    <row r="284" spans="1:11" ht="14.45" customHeight="1" x14ac:dyDescent="0.2">
      <c r="A284" s="831" t="s">
        <v>570</v>
      </c>
      <c r="B284" s="832" t="s">
        <v>571</v>
      </c>
      <c r="C284" s="835" t="s">
        <v>596</v>
      </c>
      <c r="D284" s="863" t="s">
        <v>597</v>
      </c>
      <c r="E284" s="835" t="s">
        <v>1688</v>
      </c>
      <c r="F284" s="863" t="s">
        <v>1689</v>
      </c>
      <c r="G284" s="835" t="s">
        <v>2051</v>
      </c>
      <c r="H284" s="835" t="s">
        <v>2052</v>
      </c>
      <c r="I284" s="849">
        <v>13.310000419616699</v>
      </c>
      <c r="J284" s="849">
        <v>30</v>
      </c>
      <c r="K284" s="850">
        <v>399.29998779296875</v>
      </c>
    </row>
    <row r="285" spans="1:11" ht="14.45" customHeight="1" x14ac:dyDescent="0.2">
      <c r="A285" s="831" t="s">
        <v>570</v>
      </c>
      <c r="B285" s="832" t="s">
        <v>571</v>
      </c>
      <c r="C285" s="835" t="s">
        <v>596</v>
      </c>
      <c r="D285" s="863" t="s">
        <v>597</v>
      </c>
      <c r="E285" s="835" t="s">
        <v>1688</v>
      </c>
      <c r="F285" s="863" t="s">
        <v>1689</v>
      </c>
      <c r="G285" s="835" t="s">
        <v>2053</v>
      </c>
      <c r="H285" s="835" t="s">
        <v>2054</v>
      </c>
      <c r="I285" s="849">
        <v>120.51999664306641</v>
      </c>
      <c r="J285" s="849">
        <v>10</v>
      </c>
      <c r="K285" s="850">
        <v>1205.1600341796875</v>
      </c>
    </row>
    <row r="286" spans="1:11" ht="14.45" customHeight="1" x14ac:dyDescent="0.2">
      <c r="A286" s="831" t="s">
        <v>570</v>
      </c>
      <c r="B286" s="832" t="s">
        <v>571</v>
      </c>
      <c r="C286" s="835" t="s">
        <v>596</v>
      </c>
      <c r="D286" s="863" t="s">
        <v>597</v>
      </c>
      <c r="E286" s="835" t="s">
        <v>1688</v>
      </c>
      <c r="F286" s="863" t="s">
        <v>1689</v>
      </c>
      <c r="G286" s="835" t="s">
        <v>2055</v>
      </c>
      <c r="H286" s="835" t="s">
        <v>2056</v>
      </c>
      <c r="I286" s="849">
        <v>81.730003356933594</v>
      </c>
      <c r="J286" s="849">
        <v>45</v>
      </c>
      <c r="K286" s="850">
        <v>3677.85009765625</v>
      </c>
    </row>
    <row r="287" spans="1:11" ht="14.45" customHeight="1" x14ac:dyDescent="0.2">
      <c r="A287" s="831" t="s">
        <v>570</v>
      </c>
      <c r="B287" s="832" t="s">
        <v>571</v>
      </c>
      <c r="C287" s="835" t="s">
        <v>596</v>
      </c>
      <c r="D287" s="863" t="s">
        <v>597</v>
      </c>
      <c r="E287" s="835" t="s">
        <v>1688</v>
      </c>
      <c r="F287" s="863" t="s">
        <v>1689</v>
      </c>
      <c r="G287" s="835" t="s">
        <v>2057</v>
      </c>
      <c r="H287" s="835" t="s">
        <v>2058</v>
      </c>
      <c r="I287" s="849">
        <v>7.429999828338623</v>
      </c>
      <c r="J287" s="849">
        <v>1200</v>
      </c>
      <c r="K287" s="850">
        <v>8915.2802734375</v>
      </c>
    </row>
    <row r="288" spans="1:11" ht="14.45" customHeight="1" x14ac:dyDescent="0.2">
      <c r="A288" s="831" t="s">
        <v>570</v>
      </c>
      <c r="B288" s="832" t="s">
        <v>571</v>
      </c>
      <c r="C288" s="835" t="s">
        <v>596</v>
      </c>
      <c r="D288" s="863" t="s">
        <v>597</v>
      </c>
      <c r="E288" s="835" t="s">
        <v>1688</v>
      </c>
      <c r="F288" s="863" t="s">
        <v>1689</v>
      </c>
      <c r="G288" s="835" t="s">
        <v>2059</v>
      </c>
      <c r="H288" s="835" t="s">
        <v>2060</v>
      </c>
      <c r="I288" s="849">
        <v>8.3500003814697266</v>
      </c>
      <c r="J288" s="849">
        <v>600</v>
      </c>
      <c r="K288" s="850">
        <v>5009.400146484375</v>
      </c>
    </row>
    <row r="289" spans="1:11" ht="14.45" customHeight="1" x14ac:dyDescent="0.2">
      <c r="A289" s="831" t="s">
        <v>570</v>
      </c>
      <c r="B289" s="832" t="s">
        <v>571</v>
      </c>
      <c r="C289" s="835" t="s">
        <v>596</v>
      </c>
      <c r="D289" s="863" t="s">
        <v>597</v>
      </c>
      <c r="E289" s="835" t="s">
        <v>1688</v>
      </c>
      <c r="F289" s="863" t="s">
        <v>1689</v>
      </c>
      <c r="G289" s="835" t="s">
        <v>2061</v>
      </c>
      <c r="H289" s="835" t="s">
        <v>2062</v>
      </c>
      <c r="I289" s="849">
        <v>5.1399998664855957</v>
      </c>
      <c r="J289" s="849">
        <v>5600</v>
      </c>
      <c r="K289" s="850">
        <v>28798</v>
      </c>
    </row>
    <row r="290" spans="1:11" ht="14.45" customHeight="1" x14ac:dyDescent="0.2">
      <c r="A290" s="831" t="s">
        <v>570</v>
      </c>
      <c r="B290" s="832" t="s">
        <v>571</v>
      </c>
      <c r="C290" s="835" t="s">
        <v>596</v>
      </c>
      <c r="D290" s="863" t="s">
        <v>597</v>
      </c>
      <c r="E290" s="835" t="s">
        <v>1688</v>
      </c>
      <c r="F290" s="863" t="s">
        <v>1689</v>
      </c>
      <c r="G290" s="835" t="s">
        <v>2055</v>
      </c>
      <c r="H290" s="835" t="s">
        <v>2063</v>
      </c>
      <c r="I290" s="849">
        <v>81.739997863769531</v>
      </c>
      <c r="J290" s="849">
        <v>45</v>
      </c>
      <c r="K290" s="850">
        <v>3678.300048828125</v>
      </c>
    </row>
    <row r="291" spans="1:11" ht="14.45" customHeight="1" x14ac:dyDescent="0.2">
      <c r="A291" s="831" t="s">
        <v>570</v>
      </c>
      <c r="B291" s="832" t="s">
        <v>571</v>
      </c>
      <c r="C291" s="835" t="s">
        <v>596</v>
      </c>
      <c r="D291" s="863" t="s">
        <v>597</v>
      </c>
      <c r="E291" s="835" t="s">
        <v>1688</v>
      </c>
      <c r="F291" s="863" t="s">
        <v>1689</v>
      </c>
      <c r="G291" s="835" t="s">
        <v>2057</v>
      </c>
      <c r="H291" s="835" t="s">
        <v>2064</v>
      </c>
      <c r="I291" s="849">
        <v>7.429999828338623</v>
      </c>
      <c r="J291" s="849">
        <v>2200</v>
      </c>
      <c r="K291" s="850">
        <v>16344.68017578125</v>
      </c>
    </row>
    <row r="292" spans="1:11" ht="14.45" customHeight="1" x14ac:dyDescent="0.2">
      <c r="A292" s="831" t="s">
        <v>570</v>
      </c>
      <c r="B292" s="832" t="s">
        <v>571</v>
      </c>
      <c r="C292" s="835" t="s">
        <v>596</v>
      </c>
      <c r="D292" s="863" t="s">
        <v>597</v>
      </c>
      <c r="E292" s="835" t="s">
        <v>1688</v>
      </c>
      <c r="F292" s="863" t="s">
        <v>1689</v>
      </c>
      <c r="G292" s="835" t="s">
        <v>2059</v>
      </c>
      <c r="H292" s="835" t="s">
        <v>2065</v>
      </c>
      <c r="I292" s="849">
        <v>8.3500003814697266</v>
      </c>
      <c r="J292" s="849">
        <v>1400</v>
      </c>
      <c r="K292" s="850">
        <v>11688.60009765625</v>
      </c>
    </row>
    <row r="293" spans="1:11" ht="14.45" customHeight="1" x14ac:dyDescent="0.2">
      <c r="A293" s="831" t="s">
        <v>570</v>
      </c>
      <c r="B293" s="832" t="s">
        <v>571</v>
      </c>
      <c r="C293" s="835" t="s">
        <v>596</v>
      </c>
      <c r="D293" s="863" t="s">
        <v>597</v>
      </c>
      <c r="E293" s="835" t="s">
        <v>1688</v>
      </c>
      <c r="F293" s="863" t="s">
        <v>1689</v>
      </c>
      <c r="G293" s="835" t="s">
        <v>2059</v>
      </c>
      <c r="H293" s="835" t="s">
        <v>2066</v>
      </c>
      <c r="I293" s="849">
        <v>8.3500003814697266</v>
      </c>
      <c r="J293" s="849">
        <v>600</v>
      </c>
      <c r="K293" s="850">
        <v>5009.39990234375</v>
      </c>
    </row>
    <row r="294" spans="1:11" ht="14.45" customHeight="1" x14ac:dyDescent="0.2">
      <c r="A294" s="831" t="s">
        <v>570</v>
      </c>
      <c r="B294" s="832" t="s">
        <v>571</v>
      </c>
      <c r="C294" s="835" t="s">
        <v>596</v>
      </c>
      <c r="D294" s="863" t="s">
        <v>597</v>
      </c>
      <c r="E294" s="835" t="s">
        <v>1688</v>
      </c>
      <c r="F294" s="863" t="s">
        <v>1689</v>
      </c>
      <c r="G294" s="835" t="s">
        <v>2061</v>
      </c>
      <c r="H294" s="835" t="s">
        <v>2067</v>
      </c>
      <c r="I294" s="849">
        <v>5.1399998664855957</v>
      </c>
      <c r="J294" s="849">
        <v>19900</v>
      </c>
      <c r="K294" s="850">
        <v>102335.75</v>
      </c>
    </row>
    <row r="295" spans="1:11" ht="14.45" customHeight="1" x14ac:dyDescent="0.2">
      <c r="A295" s="831" t="s">
        <v>570</v>
      </c>
      <c r="B295" s="832" t="s">
        <v>571</v>
      </c>
      <c r="C295" s="835" t="s">
        <v>596</v>
      </c>
      <c r="D295" s="863" t="s">
        <v>597</v>
      </c>
      <c r="E295" s="835" t="s">
        <v>1688</v>
      </c>
      <c r="F295" s="863" t="s">
        <v>1689</v>
      </c>
      <c r="G295" s="835" t="s">
        <v>1712</v>
      </c>
      <c r="H295" s="835" t="s">
        <v>2068</v>
      </c>
      <c r="I295" s="849">
        <v>1.8700000047683716</v>
      </c>
      <c r="J295" s="849">
        <v>100</v>
      </c>
      <c r="K295" s="850">
        <v>187</v>
      </c>
    </row>
    <row r="296" spans="1:11" ht="14.45" customHeight="1" x14ac:dyDescent="0.2">
      <c r="A296" s="831" t="s">
        <v>570</v>
      </c>
      <c r="B296" s="832" t="s">
        <v>571</v>
      </c>
      <c r="C296" s="835" t="s">
        <v>596</v>
      </c>
      <c r="D296" s="863" t="s">
        <v>597</v>
      </c>
      <c r="E296" s="835" t="s">
        <v>1688</v>
      </c>
      <c r="F296" s="863" t="s">
        <v>1689</v>
      </c>
      <c r="G296" s="835" t="s">
        <v>1714</v>
      </c>
      <c r="H296" s="835" t="s">
        <v>1715</v>
      </c>
      <c r="I296" s="849">
        <v>1.9119999885559082</v>
      </c>
      <c r="J296" s="849">
        <v>1900</v>
      </c>
      <c r="K296" s="850">
        <v>3605.9999694824219</v>
      </c>
    </row>
    <row r="297" spans="1:11" ht="14.45" customHeight="1" x14ac:dyDescent="0.2">
      <c r="A297" s="831" t="s">
        <v>570</v>
      </c>
      <c r="B297" s="832" t="s">
        <v>571</v>
      </c>
      <c r="C297" s="835" t="s">
        <v>596</v>
      </c>
      <c r="D297" s="863" t="s">
        <v>597</v>
      </c>
      <c r="E297" s="835" t="s">
        <v>1688</v>
      </c>
      <c r="F297" s="863" t="s">
        <v>1689</v>
      </c>
      <c r="G297" s="835" t="s">
        <v>1714</v>
      </c>
      <c r="H297" s="835" t="s">
        <v>1716</v>
      </c>
      <c r="I297" s="849">
        <v>1.8833333253860474</v>
      </c>
      <c r="J297" s="849">
        <v>400</v>
      </c>
      <c r="K297" s="850">
        <v>753.14999389648438</v>
      </c>
    </row>
    <row r="298" spans="1:11" ht="14.45" customHeight="1" x14ac:dyDescent="0.2">
      <c r="A298" s="831" t="s">
        <v>570</v>
      </c>
      <c r="B298" s="832" t="s">
        <v>571</v>
      </c>
      <c r="C298" s="835" t="s">
        <v>596</v>
      </c>
      <c r="D298" s="863" t="s">
        <v>597</v>
      </c>
      <c r="E298" s="835" t="s">
        <v>1688</v>
      </c>
      <c r="F298" s="863" t="s">
        <v>1689</v>
      </c>
      <c r="G298" s="835" t="s">
        <v>2069</v>
      </c>
      <c r="H298" s="835" t="s">
        <v>2070</v>
      </c>
      <c r="I298" s="849">
        <v>204.49000549316406</v>
      </c>
      <c r="J298" s="849">
        <v>10</v>
      </c>
      <c r="K298" s="850">
        <v>2044.9000244140625</v>
      </c>
    </row>
    <row r="299" spans="1:11" ht="14.45" customHeight="1" x14ac:dyDescent="0.2">
      <c r="A299" s="831" t="s">
        <v>570</v>
      </c>
      <c r="B299" s="832" t="s">
        <v>571</v>
      </c>
      <c r="C299" s="835" t="s">
        <v>596</v>
      </c>
      <c r="D299" s="863" t="s">
        <v>597</v>
      </c>
      <c r="E299" s="835" t="s">
        <v>1688</v>
      </c>
      <c r="F299" s="863" t="s">
        <v>1689</v>
      </c>
      <c r="G299" s="835" t="s">
        <v>2071</v>
      </c>
      <c r="H299" s="835" t="s">
        <v>2072</v>
      </c>
      <c r="I299" s="849">
        <v>204.49000549316406</v>
      </c>
      <c r="J299" s="849">
        <v>10</v>
      </c>
      <c r="K299" s="850">
        <v>2044.9000244140625</v>
      </c>
    </row>
    <row r="300" spans="1:11" ht="14.45" customHeight="1" x14ac:dyDescent="0.2">
      <c r="A300" s="831" t="s">
        <v>570</v>
      </c>
      <c r="B300" s="832" t="s">
        <v>571</v>
      </c>
      <c r="C300" s="835" t="s">
        <v>596</v>
      </c>
      <c r="D300" s="863" t="s">
        <v>597</v>
      </c>
      <c r="E300" s="835" t="s">
        <v>1688</v>
      </c>
      <c r="F300" s="863" t="s">
        <v>1689</v>
      </c>
      <c r="G300" s="835" t="s">
        <v>2073</v>
      </c>
      <c r="H300" s="835" t="s">
        <v>2074</v>
      </c>
      <c r="I300" s="849">
        <v>204.49000549316406</v>
      </c>
      <c r="J300" s="849">
        <v>10</v>
      </c>
      <c r="K300" s="850">
        <v>2044.9000244140625</v>
      </c>
    </row>
    <row r="301" spans="1:11" ht="14.45" customHeight="1" x14ac:dyDescent="0.2">
      <c r="A301" s="831" t="s">
        <v>570</v>
      </c>
      <c r="B301" s="832" t="s">
        <v>571</v>
      </c>
      <c r="C301" s="835" t="s">
        <v>596</v>
      </c>
      <c r="D301" s="863" t="s">
        <v>597</v>
      </c>
      <c r="E301" s="835" t="s">
        <v>1688</v>
      </c>
      <c r="F301" s="863" t="s">
        <v>1689</v>
      </c>
      <c r="G301" s="835" t="s">
        <v>2075</v>
      </c>
      <c r="H301" s="835" t="s">
        <v>2076</v>
      </c>
      <c r="I301" s="849">
        <v>712.69000244140625</v>
      </c>
      <c r="J301" s="849">
        <v>20</v>
      </c>
      <c r="K301" s="850">
        <v>14253.7998046875</v>
      </c>
    </row>
    <row r="302" spans="1:11" ht="14.45" customHeight="1" x14ac:dyDescent="0.2">
      <c r="A302" s="831" t="s">
        <v>570</v>
      </c>
      <c r="B302" s="832" t="s">
        <v>571</v>
      </c>
      <c r="C302" s="835" t="s">
        <v>596</v>
      </c>
      <c r="D302" s="863" t="s">
        <v>597</v>
      </c>
      <c r="E302" s="835" t="s">
        <v>1688</v>
      </c>
      <c r="F302" s="863" t="s">
        <v>1689</v>
      </c>
      <c r="G302" s="835" t="s">
        <v>2077</v>
      </c>
      <c r="H302" s="835" t="s">
        <v>2078</v>
      </c>
      <c r="I302" s="849">
        <v>712.69000244140625</v>
      </c>
      <c r="J302" s="849">
        <v>25</v>
      </c>
      <c r="K302" s="850">
        <v>17817.249755859375</v>
      </c>
    </row>
    <row r="303" spans="1:11" ht="14.45" customHeight="1" x14ac:dyDescent="0.2">
      <c r="A303" s="831" t="s">
        <v>570</v>
      </c>
      <c r="B303" s="832" t="s">
        <v>571</v>
      </c>
      <c r="C303" s="835" t="s">
        <v>596</v>
      </c>
      <c r="D303" s="863" t="s">
        <v>597</v>
      </c>
      <c r="E303" s="835" t="s">
        <v>1688</v>
      </c>
      <c r="F303" s="863" t="s">
        <v>1689</v>
      </c>
      <c r="G303" s="835" t="s">
        <v>2079</v>
      </c>
      <c r="H303" s="835" t="s">
        <v>2080</v>
      </c>
      <c r="I303" s="849">
        <v>712.69000244140625</v>
      </c>
      <c r="J303" s="849">
        <v>25</v>
      </c>
      <c r="K303" s="850">
        <v>17817.249755859375</v>
      </c>
    </row>
    <row r="304" spans="1:11" ht="14.45" customHeight="1" x14ac:dyDescent="0.2">
      <c r="A304" s="831" t="s">
        <v>570</v>
      </c>
      <c r="B304" s="832" t="s">
        <v>571</v>
      </c>
      <c r="C304" s="835" t="s">
        <v>596</v>
      </c>
      <c r="D304" s="863" t="s">
        <v>597</v>
      </c>
      <c r="E304" s="835" t="s">
        <v>1688</v>
      </c>
      <c r="F304" s="863" t="s">
        <v>1689</v>
      </c>
      <c r="G304" s="835" t="s">
        <v>2081</v>
      </c>
      <c r="H304" s="835" t="s">
        <v>2082</v>
      </c>
      <c r="I304" s="849">
        <v>712.69000244140625</v>
      </c>
      <c r="J304" s="849">
        <v>10</v>
      </c>
      <c r="K304" s="850">
        <v>7126.89990234375</v>
      </c>
    </row>
    <row r="305" spans="1:11" ht="14.45" customHeight="1" x14ac:dyDescent="0.2">
      <c r="A305" s="831" t="s">
        <v>570</v>
      </c>
      <c r="B305" s="832" t="s">
        <v>571</v>
      </c>
      <c r="C305" s="835" t="s">
        <v>596</v>
      </c>
      <c r="D305" s="863" t="s">
        <v>597</v>
      </c>
      <c r="E305" s="835" t="s">
        <v>1688</v>
      </c>
      <c r="F305" s="863" t="s">
        <v>1689</v>
      </c>
      <c r="G305" s="835" t="s">
        <v>2075</v>
      </c>
      <c r="H305" s="835" t="s">
        <v>2083</v>
      </c>
      <c r="I305" s="849">
        <v>712.69000244140625</v>
      </c>
      <c r="J305" s="849">
        <v>10</v>
      </c>
      <c r="K305" s="850">
        <v>7126.89990234375</v>
      </c>
    </row>
    <row r="306" spans="1:11" ht="14.45" customHeight="1" x14ac:dyDescent="0.2">
      <c r="A306" s="831" t="s">
        <v>570</v>
      </c>
      <c r="B306" s="832" t="s">
        <v>571</v>
      </c>
      <c r="C306" s="835" t="s">
        <v>596</v>
      </c>
      <c r="D306" s="863" t="s">
        <v>597</v>
      </c>
      <c r="E306" s="835" t="s">
        <v>1688</v>
      </c>
      <c r="F306" s="863" t="s">
        <v>1689</v>
      </c>
      <c r="G306" s="835" t="s">
        <v>2077</v>
      </c>
      <c r="H306" s="835" t="s">
        <v>2084</v>
      </c>
      <c r="I306" s="849">
        <v>712.69000244140625</v>
      </c>
      <c r="J306" s="849">
        <v>10</v>
      </c>
      <c r="K306" s="850">
        <v>7126.89990234375</v>
      </c>
    </row>
    <row r="307" spans="1:11" ht="14.45" customHeight="1" x14ac:dyDescent="0.2">
      <c r="A307" s="831" t="s">
        <v>570</v>
      </c>
      <c r="B307" s="832" t="s">
        <v>571</v>
      </c>
      <c r="C307" s="835" t="s">
        <v>596</v>
      </c>
      <c r="D307" s="863" t="s">
        <v>597</v>
      </c>
      <c r="E307" s="835" t="s">
        <v>1688</v>
      </c>
      <c r="F307" s="863" t="s">
        <v>1689</v>
      </c>
      <c r="G307" s="835" t="s">
        <v>1720</v>
      </c>
      <c r="H307" s="835" t="s">
        <v>1721</v>
      </c>
      <c r="I307" s="849">
        <v>11.736666361490885</v>
      </c>
      <c r="J307" s="849">
        <v>150</v>
      </c>
      <c r="K307" s="850">
        <v>1760.5</v>
      </c>
    </row>
    <row r="308" spans="1:11" ht="14.45" customHeight="1" x14ac:dyDescent="0.2">
      <c r="A308" s="831" t="s">
        <v>570</v>
      </c>
      <c r="B308" s="832" t="s">
        <v>571</v>
      </c>
      <c r="C308" s="835" t="s">
        <v>596</v>
      </c>
      <c r="D308" s="863" t="s">
        <v>597</v>
      </c>
      <c r="E308" s="835" t="s">
        <v>1688</v>
      </c>
      <c r="F308" s="863" t="s">
        <v>1689</v>
      </c>
      <c r="G308" s="835" t="s">
        <v>1720</v>
      </c>
      <c r="H308" s="835" t="s">
        <v>1726</v>
      </c>
      <c r="I308" s="849">
        <v>11.737499713897705</v>
      </c>
      <c r="J308" s="849">
        <v>300</v>
      </c>
      <c r="K308" s="850">
        <v>3521.5</v>
      </c>
    </row>
    <row r="309" spans="1:11" ht="14.45" customHeight="1" x14ac:dyDescent="0.2">
      <c r="A309" s="831" t="s">
        <v>570</v>
      </c>
      <c r="B309" s="832" t="s">
        <v>571</v>
      </c>
      <c r="C309" s="835" t="s">
        <v>596</v>
      </c>
      <c r="D309" s="863" t="s">
        <v>597</v>
      </c>
      <c r="E309" s="835" t="s">
        <v>1688</v>
      </c>
      <c r="F309" s="863" t="s">
        <v>1689</v>
      </c>
      <c r="G309" s="835" t="s">
        <v>2085</v>
      </c>
      <c r="H309" s="835" t="s">
        <v>2086</v>
      </c>
      <c r="I309" s="849">
        <v>677.5999755859375</v>
      </c>
      <c r="J309" s="849">
        <v>20</v>
      </c>
      <c r="K309" s="850">
        <v>13552</v>
      </c>
    </row>
    <row r="310" spans="1:11" ht="14.45" customHeight="1" x14ac:dyDescent="0.2">
      <c r="A310" s="831" t="s">
        <v>570</v>
      </c>
      <c r="B310" s="832" t="s">
        <v>571</v>
      </c>
      <c r="C310" s="835" t="s">
        <v>596</v>
      </c>
      <c r="D310" s="863" t="s">
        <v>597</v>
      </c>
      <c r="E310" s="835" t="s">
        <v>1688</v>
      </c>
      <c r="F310" s="863" t="s">
        <v>1689</v>
      </c>
      <c r="G310" s="835" t="s">
        <v>2087</v>
      </c>
      <c r="H310" s="835" t="s">
        <v>2088</v>
      </c>
      <c r="I310" s="849">
        <v>677.5999755859375</v>
      </c>
      <c r="J310" s="849">
        <v>20</v>
      </c>
      <c r="K310" s="850">
        <v>13552</v>
      </c>
    </row>
    <row r="311" spans="1:11" ht="14.45" customHeight="1" x14ac:dyDescent="0.2">
      <c r="A311" s="831" t="s">
        <v>570</v>
      </c>
      <c r="B311" s="832" t="s">
        <v>571</v>
      </c>
      <c r="C311" s="835" t="s">
        <v>596</v>
      </c>
      <c r="D311" s="863" t="s">
        <v>597</v>
      </c>
      <c r="E311" s="835" t="s">
        <v>1688</v>
      </c>
      <c r="F311" s="863" t="s">
        <v>1689</v>
      </c>
      <c r="G311" s="835" t="s">
        <v>2089</v>
      </c>
      <c r="H311" s="835" t="s">
        <v>2090</v>
      </c>
      <c r="I311" s="849">
        <v>677.5999755859375</v>
      </c>
      <c r="J311" s="849">
        <v>25</v>
      </c>
      <c r="K311" s="850">
        <v>16940</v>
      </c>
    </row>
    <row r="312" spans="1:11" ht="14.45" customHeight="1" x14ac:dyDescent="0.2">
      <c r="A312" s="831" t="s">
        <v>570</v>
      </c>
      <c r="B312" s="832" t="s">
        <v>571</v>
      </c>
      <c r="C312" s="835" t="s">
        <v>596</v>
      </c>
      <c r="D312" s="863" t="s">
        <v>597</v>
      </c>
      <c r="E312" s="835" t="s">
        <v>1688</v>
      </c>
      <c r="F312" s="863" t="s">
        <v>1689</v>
      </c>
      <c r="G312" s="835" t="s">
        <v>2091</v>
      </c>
      <c r="H312" s="835" t="s">
        <v>2092</v>
      </c>
      <c r="I312" s="849">
        <v>677.5999755859375</v>
      </c>
      <c r="J312" s="849">
        <v>25</v>
      </c>
      <c r="K312" s="850">
        <v>16940</v>
      </c>
    </row>
    <row r="313" spans="1:11" ht="14.45" customHeight="1" x14ac:dyDescent="0.2">
      <c r="A313" s="831" t="s">
        <v>570</v>
      </c>
      <c r="B313" s="832" t="s">
        <v>571</v>
      </c>
      <c r="C313" s="835" t="s">
        <v>596</v>
      </c>
      <c r="D313" s="863" t="s">
        <v>597</v>
      </c>
      <c r="E313" s="835" t="s">
        <v>1688</v>
      </c>
      <c r="F313" s="863" t="s">
        <v>1689</v>
      </c>
      <c r="G313" s="835" t="s">
        <v>2085</v>
      </c>
      <c r="H313" s="835" t="s">
        <v>2093</v>
      </c>
      <c r="I313" s="849">
        <v>677.5999755859375</v>
      </c>
      <c r="J313" s="849">
        <v>10</v>
      </c>
      <c r="K313" s="850">
        <v>6776</v>
      </c>
    </row>
    <row r="314" spans="1:11" ht="14.45" customHeight="1" x14ac:dyDescent="0.2">
      <c r="A314" s="831" t="s">
        <v>570</v>
      </c>
      <c r="B314" s="832" t="s">
        <v>571</v>
      </c>
      <c r="C314" s="835" t="s">
        <v>596</v>
      </c>
      <c r="D314" s="863" t="s">
        <v>597</v>
      </c>
      <c r="E314" s="835" t="s">
        <v>1688</v>
      </c>
      <c r="F314" s="863" t="s">
        <v>1689</v>
      </c>
      <c r="G314" s="835" t="s">
        <v>2087</v>
      </c>
      <c r="H314" s="835" t="s">
        <v>2094</v>
      </c>
      <c r="I314" s="849">
        <v>677.5999755859375</v>
      </c>
      <c r="J314" s="849">
        <v>10</v>
      </c>
      <c r="K314" s="850">
        <v>6776</v>
      </c>
    </row>
    <row r="315" spans="1:11" ht="14.45" customHeight="1" x14ac:dyDescent="0.2">
      <c r="A315" s="831" t="s">
        <v>570</v>
      </c>
      <c r="B315" s="832" t="s">
        <v>571</v>
      </c>
      <c r="C315" s="835" t="s">
        <v>596</v>
      </c>
      <c r="D315" s="863" t="s">
        <v>597</v>
      </c>
      <c r="E315" s="835" t="s">
        <v>1688</v>
      </c>
      <c r="F315" s="863" t="s">
        <v>1689</v>
      </c>
      <c r="G315" s="835" t="s">
        <v>2089</v>
      </c>
      <c r="H315" s="835" t="s">
        <v>2095</v>
      </c>
      <c r="I315" s="849">
        <v>677.5999755859375</v>
      </c>
      <c r="J315" s="849">
        <v>10</v>
      </c>
      <c r="K315" s="850">
        <v>6776</v>
      </c>
    </row>
    <row r="316" spans="1:11" ht="14.45" customHeight="1" x14ac:dyDescent="0.2">
      <c r="A316" s="831" t="s">
        <v>570</v>
      </c>
      <c r="B316" s="832" t="s">
        <v>571</v>
      </c>
      <c r="C316" s="835" t="s">
        <v>596</v>
      </c>
      <c r="D316" s="863" t="s">
        <v>597</v>
      </c>
      <c r="E316" s="835" t="s">
        <v>1688</v>
      </c>
      <c r="F316" s="863" t="s">
        <v>1689</v>
      </c>
      <c r="G316" s="835" t="s">
        <v>2091</v>
      </c>
      <c r="H316" s="835" t="s">
        <v>2096</v>
      </c>
      <c r="I316" s="849">
        <v>677.5999755859375</v>
      </c>
      <c r="J316" s="849">
        <v>10</v>
      </c>
      <c r="K316" s="850">
        <v>6776</v>
      </c>
    </row>
    <row r="317" spans="1:11" ht="14.45" customHeight="1" x14ac:dyDescent="0.2">
      <c r="A317" s="831" t="s">
        <v>570</v>
      </c>
      <c r="B317" s="832" t="s">
        <v>571</v>
      </c>
      <c r="C317" s="835" t="s">
        <v>596</v>
      </c>
      <c r="D317" s="863" t="s">
        <v>597</v>
      </c>
      <c r="E317" s="835" t="s">
        <v>1688</v>
      </c>
      <c r="F317" s="863" t="s">
        <v>1689</v>
      </c>
      <c r="G317" s="835" t="s">
        <v>1729</v>
      </c>
      <c r="H317" s="835" t="s">
        <v>1730</v>
      </c>
      <c r="I317" s="849">
        <v>4.8000001907348633</v>
      </c>
      <c r="J317" s="849">
        <v>1200</v>
      </c>
      <c r="K317" s="850">
        <v>5759.8800048828125</v>
      </c>
    </row>
    <row r="318" spans="1:11" ht="14.45" customHeight="1" x14ac:dyDescent="0.2">
      <c r="A318" s="831" t="s">
        <v>570</v>
      </c>
      <c r="B318" s="832" t="s">
        <v>571</v>
      </c>
      <c r="C318" s="835" t="s">
        <v>596</v>
      </c>
      <c r="D318" s="863" t="s">
        <v>597</v>
      </c>
      <c r="E318" s="835" t="s">
        <v>1688</v>
      </c>
      <c r="F318" s="863" t="s">
        <v>1689</v>
      </c>
      <c r="G318" s="835" t="s">
        <v>1729</v>
      </c>
      <c r="H318" s="835" t="s">
        <v>1731</v>
      </c>
      <c r="I318" s="849">
        <v>4.8000001907348633</v>
      </c>
      <c r="J318" s="849">
        <v>2600</v>
      </c>
      <c r="K318" s="850">
        <v>12479.730102539063</v>
      </c>
    </row>
    <row r="319" spans="1:11" ht="14.45" customHeight="1" x14ac:dyDescent="0.2">
      <c r="A319" s="831" t="s">
        <v>570</v>
      </c>
      <c r="B319" s="832" t="s">
        <v>571</v>
      </c>
      <c r="C319" s="835" t="s">
        <v>596</v>
      </c>
      <c r="D319" s="863" t="s">
        <v>597</v>
      </c>
      <c r="E319" s="835" t="s">
        <v>1688</v>
      </c>
      <c r="F319" s="863" t="s">
        <v>1689</v>
      </c>
      <c r="G319" s="835" t="s">
        <v>1732</v>
      </c>
      <c r="H319" s="835" t="s">
        <v>1733</v>
      </c>
      <c r="I319" s="849">
        <v>90.870002746582031</v>
      </c>
      <c r="J319" s="849">
        <v>48</v>
      </c>
      <c r="K319" s="850">
        <v>4361.829833984375</v>
      </c>
    </row>
    <row r="320" spans="1:11" ht="14.45" customHeight="1" x14ac:dyDescent="0.2">
      <c r="A320" s="831" t="s">
        <v>570</v>
      </c>
      <c r="B320" s="832" t="s">
        <v>571</v>
      </c>
      <c r="C320" s="835" t="s">
        <v>596</v>
      </c>
      <c r="D320" s="863" t="s">
        <v>597</v>
      </c>
      <c r="E320" s="835" t="s">
        <v>1688</v>
      </c>
      <c r="F320" s="863" t="s">
        <v>1689</v>
      </c>
      <c r="G320" s="835" t="s">
        <v>1732</v>
      </c>
      <c r="H320" s="835" t="s">
        <v>2097</v>
      </c>
      <c r="I320" s="849">
        <v>90.873335520426437</v>
      </c>
      <c r="J320" s="849">
        <v>132</v>
      </c>
      <c r="K320" s="850">
        <v>11995.379638671875</v>
      </c>
    </row>
    <row r="321" spans="1:11" ht="14.45" customHeight="1" x14ac:dyDescent="0.2">
      <c r="A321" s="831" t="s">
        <v>570</v>
      </c>
      <c r="B321" s="832" t="s">
        <v>571</v>
      </c>
      <c r="C321" s="835" t="s">
        <v>596</v>
      </c>
      <c r="D321" s="863" t="s">
        <v>597</v>
      </c>
      <c r="E321" s="835" t="s">
        <v>1688</v>
      </c>
      <c r="F321" s="863" t="s">
        <v>1689</v>
      </c>
      <c r="G321" s="835" t="s">
        <v>2098</v>
      </c>
      <c r="H321" s="835" t="s">
        <v>2099</v>
      </c>
      <c r="I321" s="849">
        <v>408.54998779296875</v>
      </c>
      <c r="J321" s="849">
        <v>1</v>
      </c>
      <c r="K321" s="850">
        <v>408.54998779296875</v>
      </c>
    </row>
    <row r="322" spans="1:11" ht="14.45" customHeight="1" x14ac:dyDescent="0.2">
      <c r="A322" s="831" t="s">
        <v>570</v>
      </c>
      <c r="B322" s="832" t="s">
        <v>571</v>
      </c>
      <c r="C322" s="835" t="s">
        <v>596</v>
      </c>
      <c r="D322" s="863" t="s">
        <v>597</v>
      </c>
      <c r="E322" s="835" t="s">
        <v>1688</v>
      </c>
      <c r="F322" s="863" t="s">
        <v>1689</v>
      </c>
      <c r="G322" s="835" t="s">
        <v>2100</v>
      </c>
      <c r="H322" s="835" t="s">
        <v>2101</v>
      </c>
      <c r="I322" s="849">
        <v>399.60000610351563</v>
      </c>
      <c r="J322" s="849">
        <v>5</v>
      </c>
      <c r="K322" s="850">
        <v>1998</v>
      </c>
    </row>
    <row r="323" spans="1:11" ht="14.45" customHeight="1" x14ac:dyDescent="0.2">
      <c r="A323" s="831" t="s">
        <v>570</v>
      </c>
      <c r="B323" s="832" t="s">
        <v>571</v>
      </c>
      <c r="C323" s="835" t="s">
        <v>596</v>
      </c>
      <c r="D323" s="863" t="s">
        <v>597</v>
      </c>
      <c r="E323" s="835" t="s">
        <v>1688</v>
      </c>
      <c r="F323" s="863" t="s">
        <v>1689</v>
      </c>
      <c r="G323" s="835" t="s">
        <v>2102</v>
      </c>
      <c r="H323" s="835" t="s">
        <v>2103</v>
      </c>
      <c r="I323" s="849">
        <v>77.449996948242188</v>
      </c>
      <c r="J323" s="849">
        <v>4</v>
      </c>
      <c r="K323" s="850">
        <v>309.79998779296875</v>
      </c>
    </row>
    <row r="324" spans="1:11" ht="14.45" customHeight="1" x14ac:dyDescent="0.2">
      <c r="A324" s="831" t="s">
        <v>570</v>
      </c>
      <c r="B324" s="832" t="s">
        <v>571</v>
      </c>
      <c r="C324" s="835" t="s">
        <v>596</v>
      </c>
      <c r="D324" s="863" t="s">
        <v>597</v>
      </c>
      <c r="E324" s="835" t="s">
        <v>1688</v>
      </c>
      <c r="F324" s="863" t="s">
        <v>1689</v>
      </c>
      <c r="G324" s="835" t="s">
        <v>1734</v>
      </c>
      <c r="H324" s="835" t="s">
        <v>1735</v>
      </c>
      <c r="I324" s="849">
        <v>1.5</v>
      </c>
      <c r="J324" s="849">
        <v>300</v>
      </c>
      <c r="K324" s="850">
        <v>450</v>
      </c>
    </row>
    <row r="325" spans="1:11" ht="14.45" customHeight="1" x14ac:dyDescent="0.2">
      <c r="A325" s="831" t="s">
        <v>570</v>
      </c>
      <c r="B325" s="832" t="s">
        <v>571</v>
      </c>
      <c r="C325" s="835" t="s">
        <v>596</v>
      </c>
      <c r="D325" s="863" t="s">
        <v>597</v>
      </c>
      <c r="E325" s="835" t="s">
        <v>1688</v>
      </c>
      <c r="F325" s="863" t="s">
        <v>1689</v>
      </c>
      <c r="G325" s="835" t="s">
        <v>1734</v>
      </c>
      <c r="H325" s="835" t="s">
        <v>2104</v>
      </c>
      <c r="I325" s="849">
        <v>1.5</v>
      </c>
      <c r="J325" s="849">
        <v>600</v>
      </c>
      <c r="K325" s="850">
        <v>900</v>
      </c>
    </row>
    <row r="326" spans="1:11" ht="14.45" customHeight="1" x14ac:dyDescent="0.2">
      <c r="A326" s="831" t="s">
        <v>570</v>
      </c>
      <c r="B326" s="832" t="s">
        <v>571</v>
      </c>
      <c r="C326" s="835" t="s">
        <v>596</v>
      </c>
      <c r="D326" s="863" t="s">
        <v>597</v>
      </c>
      <c r="E326" s="835" t="s">
        <v>1688</v>
      </c>
      <c r="F326" s="863" t="s">
        <v>1689</v>
      </c>
      <c r="G326" s="835" t="s">
        <v>2105</v>
      </c>
      <c r="H326" s="835" t="s">
        <v>2106</v>
      </c>
      <c r="I326" s="849">
        <v>2586.97998046875</v>
      </c>
      <c r="J326" s="849">
        <v>1</v>
      </c>
      <c r="K326" s="850">
        <v>2586.97998046875</v>
      </c>
    </row>
    <row r="327" spans="1:11" ht="14.45" customHeight="1" x14ac:dyDescent="0.2">
      <c r="A327" s="831" t="s">
        <v>570</v>
      </c>
      <c r="B327" s="832" t="s">
        <v>571</v>
      </c>
      <c r="C327" s="835" t="s">
        <v>596</v>
      </c>
      <c r="D327" s="863" t="s">
        <v>597</v>
      </c>
      <c r="E327" s="835" t="s">
        <v>1688</v>
      </c>
      <c r="F327" s="863" t="s">
        <v>1689</v>
      </c>
      <c r="G327" s="835" t="s">
        <v>2107</v>
      </c>
      <c r="H327" s="835" t="s">
        <v>2108</v>
      </c>
      <c r="I327" s="849">
        <v>2.6400001049041748</v>
      </c>
      <c r="J327" s="849">
        <v>200</v>
      </c>
      <c r="K327" s="850">
        <v>527.55999755859375</v>
      </c>
    </row>
    <row r="328" spans="1:11" ht="14.45" customHeight="1" x14ac:dyDescent="0.2">
      <c r="A328" s="831" t="s">
        <v>570</v>
      </c>
      <c r="B328" s="832" t="s">
        <v>571</v>
      </c>
      <c r="C328" s="835" t="s">
        <v>596</v>
      </c>
      <c r="D328" s="863" t="s">
        <v>597</v>
      </c>
      <c r="E328" s="835" t="s">
        <v>1688</v>
      </c>
      <c r="F328" s="863" t="s">
        <v>1689</v>
      </c>
      <c r="G328" s="835" t="s">
        <v>1739</v>
      </c>
      <c r="H328" s="835" t="s">
        <v>1740</v>
      </c>
      <c r="I328" s="849">
        <v>9.1999998092651367</v>
      </c>
      <c r="J328" s="849">
        <v>300</v>
      </c>
      <c r="K328" s="850">
        <v>2760</v>
      </c>
    </row>
    <row r="329" spans="1:11" ht="14.45" customHeight="1" x14ac:dyDescent="0.2">
      <c r="A329" s="831" t="s">
        <v>570</v>
      </c>
      <c r="B329" s="832" t="s">
        <v>571</v>
      </c>
      <c r="C329" s="835" t="s">
        <v>596</v>
      </c>
      <c r="D329" s="863" t="s">
        <v>597</v>
      </c>
      <c r="E329" s="835" t="s">
        <v>1688</v>
      </c>
      <c r="F329" s="863" t="s">
        <v>1689</v>
      </c>
      <c r="G329" s="835" t="s">
        <v>1739</v>
      </c>
      <c r="H329" s="835" t="s">
        <v>1741</v>
      </c>
      <c r="I329" s="849">
        <v>9.1999998092651367</v>
      </c>
      <c r="J329" s="849">
        <v>450</v>
      </c>
      <c r="K329" s="850">
        <v>4140</v>
      </c>
    </row>
    <row r="330" spans="1:11" ht="14.45" customHeight="1" x14ac:dyDescent="0.2">
      <c r="A330" s="831" t="s">
        <v>570</v>
      </c>
      <c r="B330" s="832" t="s">
        <v>571</v>
      </c>
      <c r="C330" s="835" t="s">
        <v>596</v>
      </c>
      <c r="D330" s="863" t="s">
        <v>597</v>
      </c>
      <c r="E330" s="835" t="s">
        <v>1688</v>
      </c>
      <c r="F330" s="863" t="s">
        <v>1689</v>
      </c>
      <c r="G330" s="835" t="s">
        <v>2107</v>
      </c>
      <c r="H330" s="835" t="s">
        <v>2109</v>
      </c>
      <c r="I330" s="849">
        <v>2.6400001049041748</v>
      </c>
      <c r="J330" s="849">
        <v>100</v>
      </c>
      <c r="K330" s="850">
        <v>264</v>
      </c>
    </row>
    <row r="331" spans="1:11" ht="14.45" customHeight="1" x14ac:dyDescent="0.2">
      <c r="A331" s="831" t="s">
        <v>570</v>
      </c>
      <c r="B331" s="832" t="s">
        <v>571</v>
      </c>
      <c r="C331" s="835" t="s">
        <v>596</v>
      </c>
      <c r="D331" s="863" t="s">
        <v>597</v>
      </c>
      <c r="E331" s="835" t="s">
        <v>1688</v>
      </c>
      <c r="F331" s="863" t="s">
        <v>1689</v>
      </c>
      <c r="G331" s="835" t="s">
        <v>2110</v>
      </c>
      <c r="H331" s="835" t="s">
        <v>2111</v>
      </c>
      <c r="I331" s="849">
        <v>58.080001831054688</v>
      </c>
      <c r="J331" s="849">
        <v>100</v>
      </c>
      <c r="K331" s="850">
        <v>5808</v>
      </c>
    </row>
    <row r="332" spans="1:11" ht="14.45" customHeight="1" x14ac:dyDescent="0.2">
      <c r="A332" s="831" t="s">
        <v>570</v>
      </c>
      <c r="B332" s="832" t="s">
        <v>571</v>
      </c>
      <c r="C332" s="835" t="s">
        <v>596</v>
      </c>
      <c r="D332" s="863" t="s">
        <v>597</v>
      </c>
      <c r="E332" s="835" t="s">
        <v>1688</v>
      </c>
      <c r="F332" s="863" t="s">
        <v>1689</v>
      </c>
      <c r="G332" s="835" t="s">
        <v>2112</v>
      </c>
      <c r="H332" s="835" t="s">
        <v>2113</v>
      </c>
      <c r="I332" s="849">
        <v>58.369998931884766</v>
      </c>
      <c r="J332" s="849">
        <v>50</v>
      </c>
      <c r="K332" s="850">
        <v>2918.5</v>
      </c>
    </row>
    <row r="333" spans="1:11" ht="14.45" customHeight="1" x14ac:dyDescent="0.2">
      <c r="A333" s="831" t="s">
        <v>570</v>
      </c>
      <c r="B333" s="832" t="s">
        <v>571</v>
      </c>
      <c r="C333" s="835" t="s">
        <v>596</v>
      </c>
      <c r="D333" s="863" t="s">
        <v>597</v>
      </c>
      <c r="E333" s="835" t="s">
        <v>1688</v>
      </c>
      <c r="F333" s="863" t="s">
        <v>1689</v>
      </c>
      <c r="G333" s="835" t="s">
        <v>2114</v>
      </c>
      <c r="H333" s="835" t="s">
        <v>2115</v>
      </c>
      <c r="I333" s="849">
        <v>108.30000305175781</v>
      </c>
      <c r="J333" s="849">
        <v>20</v>
      </c>
      <c r="K333" s="850">
        <v>2165.89990234375</v>
      </c>
    </row>
    <row r="334" spans="1:11" ht="14.45" customHeight="1" x14ac:dyDescent="0.2">
      <c r="A334" s="831" t="s">
        <v>570</v>
      </c>
      <c r="B334" s="832" t="s">
        <v>571</v>
      </c>
      <c r="C334" s="835" t="s">
        <v>596</v>
      </c>
      <c r="D334" s="863" t="s">
        <v>597</v>
      </c>
      <c r="E334" s="835" t="s">
        <v>1688</v>
      </c>
      <c r="F334" s="863" t="s">
        <v>1689</v>
      </c>
      <c r="G334" s="835" t="s">
        <v>2116</v>
      </c>
      <c r="H334" s="835" t="s">
        <v>2117</v>
      </c>
      <c r="I334" s="849">
        <v>15.460000038146973</v>
      </c>
      <c r="J334" s="849">
        <v>80</v>
      </c>
      <c r="K334" s="850">
        <v>1236.9500122070313</v>
      </c>
    </row>
    <row r="335" spans="1:11" ht="14.45" customHeight="1" x14ac:dyDescent="0.2">
      <c r="A335" s="831" t="s">
        <v>570</v>
      </c>
      <c r="B335" s="832" t="s">
        <v>571</v>
      </c>
      <c r="C335" s="835" t="s">
        <v>596</v>
      </c>
      <c r="D335" s="863" t="s">
        <v>597</v>
      </c>
      <c r="E335" s="835" t="s">
        <v>1688</v>
      </c>
      <c r="F335" s="863" t="s">
        <v>1689</v>
      </c>
      <c r="G335" s="835" t="s">
        <v>2116</v>
      </c>
      <c r="H335" s="835" t="s">
        <v>2118</v>
      </c>
      <c r="I335" s="849">
        <v>15.461666742960611</v>
      </c>
      <c r="J335" s="849">
        <v>240</v>
      </c>
      <c r="K335" s="850">
        <v>3711.2400512695313</v>
      </c>
    </row>
    <row r="336" spans="1:11" ht="14.45" customHeight="1" x14ac:dyDescent="0.2">
      <c r="A336" s="831" t="s">
        <v>570</v>
      </c>
      <c r="B336" s="832" t="s">
        <v>571</v>
      </c>
      <c r="C336" s="835" t="s">
        <v>596</v>
      </c>
      <c r="D336" s="863" t="s">
        <v>597</v>
      </c>
      <c r="E336" s="835" t="s">
        <v>1688</v>
      </c>
      <c r="F336" s="863" t="s">
        <v>1689</v>
      </c>
      <c r="G336" s="835" t="s">
        <v>1742</v>
      </c>
      <c r="H336" s="835" t="s">
        <v>1743</v>
      </c>
      <c r="I336" s="849">
        <v>172.5</v>
      </c>
      <c r="J336" s="849">
        <v>1</v>
      </c>
      <c r="K336" s="850">
        <v>172.5</v>
      </c>
    </row>
    <row r="337" spans="1:11" ht="14.45" customHeight="1" x14ac:dyDescent="0.2">
      <c r="A337" s="831" t="s">
        <v>570</v>
      </c>
      <c r="B337" s="832" t="s">
        <v>571</v>
      </c>
      <c r="C337" s="835" t="s">
        <v>596</v>
      </c>
      <c r="D337" s="863" t="s">
        <v>597</v>
      </c>
      <c r="E337" s="835" t="s">
        <v>1688</v>
      </c>
      <c r="F337" s="863" t="s">
        <v>1689</v>
      </c>
      <c r="G337" s="835" t="s">
        <v>2119</v>
      </c>
      <c r="H337" s="835" t="s">
        <v>2120</v>
      </c>
      <c r="I337" s="849">
        <v>3.1066665649414063</v>
      </c>
      <c r="J337" s="849">
        <v>334</v>
      </c>
      <c r="K337" s="850">
        <v>1037.739990234375</v>
      </c>
    </row>
    <row r="338" spans="1:11" ht="14.45" customHeight="1" x14ac:dyDescent="0.2">
      <c r="A338" s="831" t="s">
        <v>570</v>
      </c>
      <c r="B338" s="832" t="s">
        <v>571</v>
      </c>
      <c r="C338" s="835" t="s">
        <v>596</v>
      </c>
      <c r="D338" s="863" t="s">
        <v>597</v>
      </c>
      <c r="E338" s="835" t="s">
        <v>1688</v>
      </c>
      <c r="F338" s="863" t="s">
        <v>1689</v>
      </c>
      <c r="G338" s="835" t="s">
        <v>2121</v>
      </c>
      <c r="H338" s="835" t="s">
        <v>2122</v>
      </c>
      <c r="I338" s="849">
        <v>255.30999755859375</v>
      </c>
      <c r="J338" s="849">
        <v>8</v>
      </c>
      <c r="K338" s="850">
        <v>2042.47998046875</v>
      </c>
    </row>
    <row r="339" spans="1:11" ht="14.45" customHeight="1" x14ac:dyDescent="0.2">
      <c r="A339" s="831" t="s">
        <v>570</v>
      </c>
      <c r="B339" s="832" t="s">
        <v>571</v>
      </c>
      <c r="C339" s="835" t="s">
        <v>596</v>
      </c>
      <c r="D339" s="863" t="s">
        <v>597</v>
      </c>
      <c r="E339" s="835" t="s">
        <v>1688</v>
      </c>
      <c r="F339" s="863" t="s">
        <v>1689</v>
      </c>
      <c r="G339" s="835" t="s">
        <v>1745</v>
      </c>
      <c r="H339" s="835" t="s">
        <v>1747</v>
      </c>
      <c r="I339" s="849">
        <v>14.30750036239624</v>
      </c>
      <c r="J339" s="849">
        <v>90</v>
      </c>
      <c r="K339" s="850">
        <v>1287.3800048828125</v>
      </c>
    </row>
    <row r="340" spans="1:11" ht="14.45" customHeight="1" x14ac:dyDescent="0.2">
      <c r="A340" s="831" t="s">
        <v>570</v>
      </c>
      <c r="B340" s="832" t="s">
        <v>571</v>
      </c>
      <c r="C340" s="835" t="s">
        <v>596</v>
      </c>
      <c r="D340" s="863" t="s">
        <v>597</v>
      </c>
      <c r="E340" s="835" t="s">
        <v>1688</v>
      </c>
      <c r="F340" s="863" t="s">
        <v>1689</v>
      </c>
      <c r="G340" s="835" t="s">
        <v>2119</v>
      </c>
      <c r="H340" s="835" t="s">
        <v>2123</v>
      </c>
      <c r="I340" s="849">
        <v>3.1099998950958252</v>
      </c>
      <c r="J340" s="849">
        <v>200</v>
      </c>
      <c r="K340" s="850">
        <v>622</v>
      </c>
    </row>
    <row r="341" spans="1:11" ht="14.45" customHeight="1" x14ac:dyDescent="0.2">
      <c r="A341" s="831" t="s">
        <v>570</v>
      </c>
      <c r="B341" s="832" t="s">
        <v>571</v>
      </c>
      <c r="C341" s="835" t="s">
        <v>596</v>
      </c>
      <c r="D341" s="863" t="s">
        <v>597</v>
      </c>
      <c r="E341" s="835" t="s">
        <v>1688</v>
      </c>
      <c r="F341" s="863" t="s">
        <v>1689</v>
      </c>
      <c r="G341" s="835" t="s">
        <v>2124</v>
      </c>
      <c r="H341" s="835" t="s">
        <v>2125</v>
      </c>
      <c r="I341" s="849">
        <v>4.2599999904632568</v>
      </c>
      <c r="J341" s="849">
        <v>200</v>
      </c>
      <c r="K341" s="850">
        <v>852</v>
      </c>
    </row>
    <row r="342" spans="1:11" ht="14.45" customHeight="1" x14ac:dyDescent="0.2">
      <c r="A342" s="831" t="s">
        <v>570</v>
      </c>
      <c r="B342" s="832" t="s">
        <v>571</v>
      </c>
      <c r="C342" s="835" t="s">
        <v>596</v>
      </c>
      <c r="D342" s="863" t="s">
        <v>597</v>
      </c>
      <c r="E342" s="835" t="s">
        <v>1688</v>
      </c>
      <c r="F342" s="863" t="s">
        <v>1689</v>
      </c>
      <c r="G342" s="835" t="s">
        <v>2121</v>
      </c>
      <c r="H342" s="835" t="s">
        <v>2126</v>
      </c>
      <c r="I342" s="849">
        <v>260.14999389648438</v>
      </c>
      <c r="J342" s="849">
        <v>6</v>
      </c>
      <c r="K342" s="850">
        <v>1560.9000244140625</v>
      </c>
    </row>
    <row r="343" spans="1:11" ht="14.45" customHeight="1" x14ac:dyDescent="0.2">
      <c r="A343" s="831" t="s">
        <v>570</v>
      </c>
      <c r="B343" s="832" t="s">
        <v>571</v>
      </c>
      <c r="C343" s="835" t="s">
        <v>596</v>
      </c>
      <c r="D343" s="863" t="s">
        <v>597</v>
      </c>
      <c r="E343" s="835" t="s">
        <v>1688</v>
      </c>
      <c r="F343" s="863" t="s">
        <v>1689</v>
      </c>
      <c r="G343" s="835" t="s">
        <v>2127</v>
      </c>
      <c r="H343" s="835" t="s">
        <v>2128</v>
      </c>
      <c r="I343" s="849">
        <v>2208.1298828125</v>
      </c>
      <c r="J343" s="849">
        <v>10</v>
      </c>
      <c r="K343" s="850">
        <v>22081.2890625</v>
      </c>
    </row>
    <row r="344" spans="1:11" ht="14.45" customHeight="1" x14ac:dyDescent="0.2">
      <c r="A344" s="831" t="s">
        <v>570</v>
      </c>
      <c r="B344" s="832" t="s">
        <v>571</v>
      </c>
      <c r="C344" s="835" t="s">
        <v>596</v>
      </c>
      <c r="D344" s="863" t="s">
        <v>597</v>
      </c>
      <c r="E344" s="835" t="s">
        <v>1688</v>
      </c>
      <c r="F344" s="863" t="s">
        <v>1689</v>
      </c>
      <c r="G344" s="835" t="s">
        <v>2127</v>
      </c>
      <c r="H344" s="835" t="s">
        <v>2129</v>
      </c>
      <c r="I344" s="849">
        <v>2208.1298828125</v>
      </c>
      <c r="J344" s="849">
        <v>30</v>
      </c>
      <c r="K344" s="850">
        <v>66243.8671875</v>
      </c>
    </row>
    <row r="345" spans="1:11" ht="14.45" customHeight="1" x14ac:dyDescent="0.2">
      <c r="A345" s="831" t="s">
        <v>570</v>
      </c>
      <c r="B345" s="832" t="s">
        <v>571</v>
      </c>
      <c r="C345" s="835" t="s">
        <v>596</v>
      </c>
      <c r="D345" s="863" t="s">
        <v>597</v>
      </c>
      <c r="E345" s="835" t="s">
        <v>1688</v>
      </c>
      <c r="F345" s="863" t="s">
        <v>1689</v>
      </c>
      <c r="G345" s="835" t="s">
        <v>2130</v>
      </c>
      <c r="H345" s="835" t="s">
        <v>2131</v>
      </c>
      <c r="I345" s="849">
        <v>2904</v>
      </c>
      <c r="J345" s="849">
        <v>1</v>
      </c>
      <c r="K345" s="850">
        <v>2904</v>
      </c>
    </row>
    <row r="346" spans="1:11" ht="14.45" customHeight="1" x14ac:dyDescent="0.2">
      <c r="A346" s="831" t="s">
        <v>570</v>
      </c>
      <c r="B346" s="832" t="s">
        <v>571</v>
      </c>
      <c r="C346" s="835" t="s">
        <v>596</v>
      </c>
      <c r="D346" s="863" t="s">
        <v>597</v>
      </c>
      <c r="E346" s="835" t="s">
        <v>1688</v>
      </c>
      <c r="F346" s="863" t="s">
        <v>1689</v>
      </c>
      <c r="G346" s="835" t="s">
        <v>2130</v>
      </c>
      <c r="H346" s="835" t="s">
        <v>2132</v>
      </c>
      <c r="I346" s="849">
        <v>2904</v>
      </c>
      <c r="J346" s="849">
        <v>3</v>
      </c>
      <c r="K346" s="850">
        <v>8712</v>
      </c>
    </row>
    <row r="347" spans="1:11" ht="14.45" customHeight="1" x14ac:dyDescent="0.2">
      <c r="A347" s="831" t="s">
        <v>570</v>
      </c>
      <c r="B347" s="832" t="s">
        <v>571</v>
      </c>
      <c r="C347" s="835" t="s">
        <v>596</v>
      </c>
      <c r="D347" s="863" t="s">
        <v>597</v>
      </c>
      <c r="E347" s="835" t="s">
        <v>1688</v>
      </c>
      <c r="F347" s="863" t="s">
        <v>1689</v>
      </c>
      <c r="G347" s="835" t="s">
        <v>2133</v>
      </c>
      <c r="H347" s="835" t="s">
        <v>2134</v>
      </c>
      <c r="I347" s="849">
        <v>5.809999942779541</v>
      </c>
      <c r="J347" s="849">
        <v>60</v>
      </c>
      <c r="K347" s="850">
        <v>348.48001098632813</v>
      </c>
    </row>
    <row r="348" spans="1:11" ht="14.45" customHeight="1" x14ac:dyDescent="0.2">
      <c r="A348" s="831" t="s">
        <v>570</v>
      </c>
      <c r="B348" s="832" t="s">
        <v>571</v>
      </c>
      <c r="C348" s="835" t="s">
        <v>596</v>
      </c>
      <c r="D348" s="863" t="s">
        <v>597</v>
      </c>
      <c r="E348" s="835" t="s">
        <v>1688</v>
      </c>
      <c r="F348" s="863" t="s">
        <v>1689</v>
      </c>
      <c r="G348" s="835" t="s">
        <v>2135</v>
      </c>
      <c r="H348" s="835" t="s">
        <v>2136</v>
      </c>
      <c r="I348" s="849">
        <v>2407.89990234375</v>
      </c>
      <c r="J348" s="849">
        <v>10</v>
      </c>
      <c r="K348" s="850">
        <v>24079</v>
      </c>
    </row>
    <row r="349" spans="1:11" ht="14.45" customHeight="1" x14ac:dyDescent="0.2">
      <c r="A349" s="831" t="s">
        <v>570</v>
      </c>
      <c r="B349" s="832" t="s">
        <v>571</v>
      </c>
      <c r="C349" s="835" t="s">
        <v>596</v>
      </c>
      <c r="D349" s="863" t="s">
        <v>597</v>
      </c>
      <c r="E349" s="835" t="s">
        <v>1688</v>
      </c>
      <c r="F349" s="863" t="s">
        <v>1689</v>
      </c>
      <c r="G349" s="835" t="s">
        <v>2137</v>
      </c>
      <c r="H349" s="835" t="s">
        <v>2138</v>
      </c>
      <c r="I349" s="849">
        <v>20.700000762939453</v>
      </c>
      <c r="J349" s="849">
        <v>100</v>
      </c>
      <c r="K349" s="850">
        <v>2070</v>
      </c>
    </row>
    <row r="350" spans="1:11" ht="14.45" customHeight="1" x14ac:dyDescent="0.2">
      <c r="A350" s="831" t="s">
        <v>570</v>
      </c>
      <c r="B350" s="832" t="s">
        <v>571</v>
      </c>
      <c r="C350" s="835" t="s">
        <v>596</v>
      </c>
      <c r="D350" s="863" t="s">
        <v>597</v>
      </c>
      <c r="E350" s="835" t="s">
        <v>1688</v>
      </c>
      <c r="F350" s="863" t="s">
        <v>1689</v>
      </c>
      <c r="G350" s="835" t="s">
        <v>2139</v>
      </c>
      <c r="H350" s="835" t="s">
        <v>2140</v>
      </c>
      <c r="I350" s="849">
        <v>20.700000762939453</v>
      </c>
      <c r="J350" s="849">
        <v>200</v>
      </c>
      <c r="K350" s="850">
        <v>4140</v>
      </c>
    </row>
    <row r="351" spans="1:11" ht="14.45" customHeight="1" x14ac:dyDescent="0.2">
      <c r="A351" s="831" t="s">
        <v>570</v>
      </c>
      <c r="B351" s="832" t="s">
        <v>571</v>
      </c>
      <c r="C351" s="835" t="s">
        <v>596</v>
      </c>
      <c r="D351" s="863" t="s">
        <v>597</v>
      </c>
      <c r="E351" s="835" t="s">
        <v>1688</v>
      </c>
      <c r="F351" s="863" t="s">
        <v>1689</v>
      </c>
      <c r="G351" s="835" t="s">
        <v>2141</v>
      </c>
      <c r="H351" s="835" t="s">
        <v>2142</v>
      </c>
      <c r="I351" s="849">
        <v>20.700000762939453</v>
      </c>
      <c r="J351" s="849">
        <v>50</v>
      </c>
      <c r="K351" s="850">
        <v>1035</v>
      </c>
    </row>
    <row r="352" spans="1:11" ht="14.45" customHeight="1" x14ac:dyDescent="0.2">
      <c r="A352" s="831" t="s">
        <v>570</v>
      </c>
      <c r="B352" s="832" t="s">
        <v>571</v>
      </c>
      <c r="C352" s="835" t="s">
        <v>596</v>
      </c>
      <c r="D352" s="863" t="s">
        <v>597</v>
      </c>
      <c r="E352" s="835" t="s">
        <v>1688</v>
      </c>
      <c r="F352" s="863" t="s">
        <v>1689</v>
      </c>
      <c r="G352" s="835" t="s">
        <v>2137</v>
      </c>
      <c r="H352" s="835" t="s">
        <v>2143</v>
      </c>
      <c r="I352" s="849">
        <v>20.700000762939453</v>
      </c>
      <c r="J352" s="849">
        <v>50</v>
      </c>
      <c r="K352" s="850">
        <v>1035</v>
      </c>
    </row>
    <row r="353" spans="1:11" ht="14.45" customHeight="1" x14ac:dyDescent="0.2">
      <c r="A353" s="831" t="s">
        <v>570</v>
      </c>
      <c r="B353" s="832" t="s">
        <v>571</v>
      </c>
      <c r="C353" s="835" t="s">
        <v>596</v>
      </c>
      <c r="D353" s="863" t="s">
        <v>597</v>
      </c>
      <c r="E353" s="835" t="s">
        <v>1688</v>
      </c>
      <c r="F353" s="863" t="s">
        <v>1689</v>
      </c>
      <c r="G353" s="835" t="s">
        <v>2139</v>
      </c>
      <c r="H353" s="835" t="s">
        <v>2144</v>
      </c>
      <c r="I353" s="849">
        <v>20.700000762939453</v>
      </c>
      <c r="J353" s="849">
        <v>350</v>
      </c>
      <c r="K353" s="850">
        <v>7245</v>
      </c>
    </row>
    <row r="354" spans="1:11" ht="14.45" customHeight="1" x14ac:dyDescent="0.2">
      <c r="A354" s="831" t="s">
        <v>570</v>
      </c>
      <c r="B354" s="832" t="s">
        <v>571</v>
      </c>
      <c r="C354" s="835" t="s">
        <v>596</v>
      </c>
      <c r="D354" s="863" t="s">
        <v>597</v>
      </c>
      <c r="E354" s="835" t="s">
        <v>1688</v>
      </c>
      <c r="F354" s="863" t="s">
        <v>1689</v>
      </c>
      <c r="G354" s="835" t="s">
        <v>2141</v>
      </c>
      <c r="H354" s="835" t="s">
        <v>2145</v>
      </c>
      <c r="I354" s="849">
        <v>20.700000762939453</v>
      </c>
      <c r="J354" s="849">
        <v>300</v>
      </c>
      <c r="K354" s="850">
        <v>6210</v>
      </c>
    </row>
    <row r="355" spans="1:11" ht="14.45" customHeight="1" x14ac:dyDescent="0.2">
      <c r="A355" s="831" t="s">
        <v>570</v>
      </c>
      <c r="B355" s="832" t="s">
        <v>571</v>
      </c>
      <c r="C355" s="835" t="s">
        <v>596</v>
      </c>
      <c r="D355" s="863" t="s">
        <v>597</v>
      </c>
      <c r="E355" s="835" t="s">
        <v>1688</v>
      </c>
      <c r="F355" s="863" t="s">
        <v>1689</v>
      </c>
      <c r="G355" s="835" t="s">
        <v>2146</v>
      </c>
      <c r="H355" s="835" t="s">
        <v>2147</v>
      </c>
      <c r="I355" s="849">
        <v>7.8600001335144043</v>
      </c>
      <c r="J355" s="849">
        <v>50</v>
      </c>
      <c r="K355" s="850">
        <v>393.20999145507813</v>
      </c>
    </row>
    <row r="356" spans="1:11" ht="14.45" customHeight="1" x14ac:dyDescent="0.2">
      <c r="A356" s="831" t="s">
        <v>570</v>
      </c>
      <c r="B356" s="832" t="s">
        <v>571</v>
      </c>
      <c r="C356" s="835" t="s">
        <v>596</v>
      </c>
      <c r="D356" s="863" t="s">
        <v>597</v>
      </c>
      <c r="E356" s="835" t="s">
        <v>1688</v>
      </c>
      <c r="F356" s="863" t="s">
        <v>1689</v>
      </c>
      <c r="G356" s="835" t="s">
        <v>2148</v>
      </c>
      <c r="H356" s="835" t="s">
        <v>2149</v>
      </c>
      <c r="I356" s="849">
        <v>7.8600001335144043</v>
      </c>
      <c r="J356" s="849">
        <v>50</v>
      </c>
      <c r="K356" s="850">
        <v>393.20001220703125</v>
      </c>
    </row>
    <row r="357" spans="1:11" ht="14.45" customHeight="1" x14ac:dyDescent="0.2">
      <c r="A357" s="831" t="s">
        <v>570</v>
      </c>
      <c r="B357" s="832" t="s">
        <v>571</v>
      </c>
      <c r="C357" s="835" t="s">
        <v>596</v>
      </c>
      <c r="D357" s="863" t="s">
        <v>597</v>
      </c>
      <c r="E357" s="835" t="s">
        <v>1688</v>
      </c>
      <c r="F357" s="863" t="s">
        <v>1689</v>
      </c>
      <c r="G357" s="835" t="s">
        <v>2150</v>
      </c>
      <c r="H357" s="835" t="s">
        <v>2151</v>
      </c>
      <c r="I357" s="849">
        <v>16.459999084472656</v>
      </c>
      <c r="J357" s="849">
        <v>20</v>
      </c>
      <c r="K357" s="850">
        <v>329.20001220703125</v>
      </c>
    </row>
    <row r="358" spans="1:11" ht="14.45" customHeight="1" x14ac:dyDescent="0.2">
      <c r="A358" s="831" t="s">
        <v>570</v>
      </c>
      <c r="B358" s="832" t="s">
        <v>571</v>
      </c>
      <c r="C358" s="835" t="s">
        <v>596</v>
      </c>
      <c r="D358" s="863" t="s">
        <v>597</v>
      </c>
      <c r="E358" s="835" t="s">
        <v>1688</v>
      </c>
      <c r="F358" s="863" t="s">
        <v>1689</v>
      </c>
      <c r="G358" s="835" t="s">
        <v>2150</v>
      </c>
      <c r="H358" s="835" t="s">
        <v>2152</v>
      </c>
      <c r="I358" s="849">
        <v>16.456666310628254</v>
      </c>
      <c r="J358" s="849">
        <v>30</v>
      </c>
      <c r="K358" s="850">
        <v>493.70001220703125</v>
      </c>
    </row>
    <row r="359" spans="1:11" ht="14.45" customHeight="1" x14ac:dyDescent="0.2">
      <c r="A359" s="831" t="s">
        <v>570</v>
      </c>
      <c r="B359" s="832" t="s">
        <v>571</v>
      </c>
      <c r="C359" s="835" t="s">
        <v>596</v>
      </c>
      <c r="D359" s="863" t="s">
        <v>597</v>
      </c>
      <c r="E359" s="835" t="s">
        <v>1688</v>
      </c>
      <c r="F359" s="863" t="s">
        <v>1689</v>
      </c>
      <c r="G359" s="835" t="s">
        <v>2153</v>
      </c>
      <c r="H359" s="835" t="s">
        <v>2154</v>
      </c>
      <c r="I359" s="849">
        <v>47.189998626708984</v>
      </c>
      <c r="J359" s="849">
        <v>100</v>
      </c>
      <c r="K359" s="850">
        <v>4719</v>
      </c>
    </row>
    <row r="360" spans="1:11" ht="14.45" customHeight="1" x14ac:dyDescent="0.2">
      <c r="A360" s="831" t="s">
        <v>570</v>
      </c>
      <c r="B360" s="832" t="s">
        <v>571</v>
      </c>
      <c r="C360" s="835" t="s">
        <v>596</v>
      </c>
      <c r="D360" s="863" t="s">
        <v>597</v>
      </c>
      <c r="E360" s="835" t="s">
        <v>1688</v>
      </c>
      <c r="F360" s="863" t="s">
        <v>1689</v>
      </c>
      <c r="G360" s="835" t="s">
        <v>2155</v>
      </c>
      <c r="H360" s="835" t="s">
        <v>2156</v>
      </c>
      <c r="I360" s="849">
        <v>18.149999618530273</v>
      </c>
      <c r="J360" s="849">
        <v>100</v>
      </c>
      <c r="K360" s="850">
        <v>1815</v>
      </c>
    </row>
    <row r="361" spans="1:11" ht="14.45" customHeight="1" x14ac:dyDescent="0.2">
      <c r="A361" s="831" t="s">
        <v>570</v>
      </c>
      <c r="B361" s="832" t="s">
        <v>571</v>
      </c>
      <c r="C361" s="835" t="s">
        <v>596</v>
      </c>
      <c r="D361" s="863" t="s">
        <v>597</v>
      </c>
      <c r="E361" s="835" t="s">
        <v>1688</v>
      </c>
      <c r="F361" s="863" t="s">
        <v>1689</v>
      </c>
      <c r="G361" s="835" t="s">
        <v>2157</v>
      </c>
      <c r="H361" s="835" t="s">
        <v>2158</v>
      </c>
      <c r="I361" s="849">
        <v>197.57000732421875</v>
      </c>
      <c r="J361" s="849">
        <v>4</v>
      </c>
      <c r="K361" s="850">
        <v>790.280029296875</v>
      </c>
    </row>
    <row r="362" spans="1:11" ht="14.45" customHeight="1" x14ac:dyDescent="0.2">
      <c r="A362" s="831" t="s">
        <v>570</v>
      </c>
      <c r="B362" s="832" t="s">
        <v>571</v>
      </c>
      <c r="C362" s="835" t="s">
        <v>596</v>
      </c>
      <c r="D362" s="863" t="s">
        <v>597</v>
      </c>
      <c r="E362" s="835" t="s">
        <v>1688</v>
      </c>
      <c r="F362" s="863" t="s">
        <v>1689</v>
      </c>
      <c r="G362" s="835" t="s">
        <v>2157</v>
      </c>
      <c r="H362" s="835" t="s">
        <v>2159</v>
      </c>
      <c r="I362" s="849">
        <v>197.57000732421875</v>
      </c>
      <c r="J362" s="849">
        <v>1</v>
      </c>
      <c r="K362" s="850">
        <v>197.57000732421875</v>
      </c>
    </row>
    <row r="363" spans="1:11" ht="14.45" customHeight="1" x14ac:dyDescent="0.2">
      <c r="A363" s="831" t="s">
        <v>570</v>
      </c>
      <c r="B363" s="832" t="s">
        <v>571</v>
      </c>
      <c r="C363" s="835" t="s">
        <v>596</v>
      </c>
      <c r="D363" s="863" t="s">
        <v>597</v>
      </c>
      <c r="E363" s="835" t="s">
        <v>1688</v>
      </c>
      <c r="F363" s="863" t="s">
        <v>1689</v>
      </c>
      <c r="G363" s="835" t="s">
        <v>2160</v>
      </c>
      <c r="H363" s="835" t="s">
        <v>2161</v>
      </c>
      <c r="I363" s="849">
        <v>0.81999999284744263</v>
      </c>
      <c r="J363" s="849">
        <v>400</v>
      </c>
      <c r="K363" s="850">
        <v>328</v>
      </c>
    </row>
    <row r="364" spans="1:11" ht="14.45" customHeight="1" x14ac:dyDescent="0.2">
      <c r="A364" s="831" t="s">
        <v>570</v>
      </c>
      <c r="B364" s="832" t="s">
        <v>571</v>
      </c>
      <c r="C364" s="835" t="s">
        <v>596</v>
      </c>
      <c r="D364" s="863" t="s">
        <v>597</v>
      </c>
      <c r="E364" s="835" t="s">
        <v>1688</v>
      </c>
      <c r="F364" s="863" t="s">
        <v>1689</v>
      </c>
      <c r="G364" s="835" t="s">
        <v>1750</v>
      </c>
      <c r="H364" s="835" t="s">
        <v>1751</v>
      </c>
      <c r="I364" s="849">
        <v>1.0900000333786011</v>
      </c>
      <c r="J364" s="849">
        <v>800</v>
      </c>
      <c r="K364" s="850">
        <v>872</v>
      </c>
    </row>
    <row r="365" spans="1:11" ht="14.45" customHeight="1" x14ac:dyDescent="0.2">
      <c r="A365" s="831" t="s">
        <v>570</v>
      </c>
      <c r="B365" s="832" t="s">
        <v>571</v>
      </c>
      <c r="C365" s="835" t="s">
        <v>596</v>
      </c>
      <c r="D365" s="863" t="s">
        <v>597</v>
      </c>
      <c r="E365" s="835" t="s">
        <v>1688</v>
      </c>
      <c r="F365" s="863" t="s">
        <v>1689</v>
      </c>
      <c r="G365" s="835" t="s">
        <v>1752</v>
      </c>
      <c r="H365" s="835" t="s">
        <v>1753</v>
      </c>
      <c r="I365" s="849">
        <v>0.47999998927116394</v>
      </c>
      <c r="J365" s="849">
        <v>600</v>
      </c>
      <c r="K365" s="850">
        <v>288</v>
      </c>
    </row>
    <row r="366" spans="1:11" ht="14.45" customHeight="1" x14ac:dyDescent="0.2">
      <c r="A366" s="831" t="s">
        <v>570</v>
      </c>
      <c r="B366" s="832" t="s">
        <v>571</v>
      </c>
      <c r="C366" s="835" t="s">
        <v>596</v>
      </c>
      <c r="D366" s="863" t="s">
        <v>597</v>
      </c>
      <c r="E366" s="835" t="s">
        <v>1688</v>
      </c>
      <c r="F366" s="863" t="s">
        <v>1689</v>
      </c>
      <c r="G366" s="835" t="s">
        <v>1752</v>
      </c>
      <c r="H366" s="835" t="s">
        <v>1754</v>
      </c>
      <c r="I366" s="849">
        <v>0.4699999988079071</v>
      </c>
      <c r="J366" s="849">
        <v>600</v>
      </c>
      <c r="K366" s="850">
        <v>282</v>
      </c>
    </row>
    <row r="367" spans="1:11" ht="14.45" customHeight="1" x14ac:dyDescent="0.2">
      <c r="A367" s="831" t="s">
        <v>570</v>
      </c>
      <c r="B367" s="832" t="s">
        <v>571</v>
      </c>
      <c r="C367" s="835" t="s">
        <v>596</v>
      </c>
      <c r="D367" s="863" t="s">
        <v>597</v>
      </c>
      <c r="E367" s="835" t="s">
        <v>1688</v>
      </c>
      <c r="F367" s="863" t="s">
        <v>1689</v>
      </c>
      <c r="G367" s="835" t="s">
        <v>1752</v>
      </c>
      <c r="H367" s="835" t="s">
        <v>2162</v>
      </c>
      <c r="I367" s="849">
        <v>0.47999998927116394</v>
      </c>
      <c r="J367" s="849">
        <v>600</v>
      </c>
      <c r="K367" s="850">
        <v>288</v>
      </c>
    </row>
    <row r="368" spans="1:11" ht="14.45" customHeight="1" x14ac:dyDescent="0.2">
      <c r="A368" s="831" t="s">
        <v>570</v>
      </c>
      <c r="B368" s="832" t="s">
        <v>571</v>
      </c>
      <c r="C368" s="835" t="s">
        <v>596</v>
      </c>
      <c r="D368" s="863" t="s">
        <v>597</v>
      </c>
      <c r="E368" s="835" t="s">
        <v>1688</v>
      </c>
      <c r="F368" s="863" t="s">
        <v>1689</v>
      </c>
      <c r="G368" s="835" t="s">
        <v>1755</v>
      </c>
      <c r="H368" s="835" t="s">
        <v>1756</v>
      </c>
      <c r="I368" s="849">
        <v>1.1349999904632568</v>
      </c>
      <c r="J368" s="849">
        <v>3520</v>
      </c>
      <c r="K368" s="850">
        <v>3993.60009765625</v>
      </c>
    </row>
    <row r="369" spans="1:11" ht="14.45" customHeight="1" x14ac:dyDescent="0.2">
      <c r="A369" s="831" t="s">
        <v>570</v>
      </c>
      <c r="B369" s="832" t="s">
        <v>571</v>
      </c>
      <c r="C369" s="835" t="s">
        <v>596</v>
      </c>
      <c r="D369" s="863" t="s">
        <v>597</v>
      </c>
      <c r="E369" s="835" t="s">
        <v>1688</v>
      </c>
      <c r="F369" s="863" t="s">
        <v>1689</v>
      </c>
      <c r="G369" s="835" t="s">
        <v>1757</v>
      </c>
      <c r="H369" s="835" t="s">
        <v>1758</v>
      </c>
      <c r="I369" s="849">
        <v>1.6749999523162842</v>
      </c>
      <c r="J369" s="849">
        <v>1759</v>
      </c>
      <c r="K369" s="850">
        <v>2950.1199951171875</v>
      </c>
    </row>
    <row r="370" spans="1:11" ht="14.45" customHeight="1" x14ac:dyDescent="0.2">
      <c r="A370" s="831" t="s">
        <v>570</v>
      </c>
      <c r="B370" s="832" t="s">
        <v>571</v>
      </c>
      <c r="C370" s="835" t="s">
        <v>596</v>
      </c>
      <c r="D370" s="863" t="s">
        <v>597</v>
      </c>
      <c r="E370" s="835" t="s">
        <v>1688</v>
      </c>
      <c r="F370" s="863" t="s">
        <v>1689</v>
      </c>
      <c r="G370" s="835" t="s">
        <v>2163</v>
      </c>
      <c r="H370" s="835" t="s">
        <v>2164</v>
      </c>
      <c r="I370" s="849">
        <v>0.57999998331069946</v>
      </c>
      <c r="J370" s="849">
        <v>1000</v>
      </c>
      <c r="K370" s="850">
        <v>580</v>
      </c>
    </row>
    <row r="371" spans="1:11" ht="14.45" customHeight="1" x14ac:dyDescent="0.2">
      <c r="A371" s="831" t="s">
        <v>570</v>
      </c>
      <c r="B371" s="832" t="s">
        <v>571</v>
      </c>
      <c r="C371" s="835" t="s">
        <v>596</v>
      </c>
      <c r="D371" s="863" t="s">
        <v>597</v>
      </c>
      <c r="E371" s="835" t="s">
        <v>1688</v>
      </c>
      <c r="F371" s="863" t="s">
        <v>1689</v>
      </c>
      <c r="G371" s="835" t="s">
        <v>1759</v>
      </c>
      <c r="H371" s="835" t="s">
        <v>1760</v>
      </c>
      <c r="I371" s="849">
        <v>0.67000001668930054</v>
      </c>
      <c r="J371" s="849">
        <v>900</v>
      </c>
      <c r="K371" s="850">
        <v>603</v>
      </c>
    </row>
    <row r="372" spans="1:11" ht="14.45" customHeight="1" x14ac:dyDescent="0.2">
      <c r="A372" s="831" t="s">
        <v>570</v>
      </c>
      <c r="B372" s="832" t="s">
        <v>571</v>
      </c>
      <c r="C372" s="835" t="s">
        <v>596</v>
      </c>
      <c r="D372" s="863" t="s">
        <v>597</v>
      </c>
      <c r="E372" s="835" t="s">
        <v>1688</v>
      </c>
      <c r="F372" s="863" t="s">
        <v>1689</v>
      </c>
      <c r="G372" s="835" t="s">
        <v>1761</v>
      </c>
      <c r="H372" s="835" t="s">
        <v>1762</v>
      </c>
      <c r="I372" s="849">
        <v>2.75</v>
      </c>
      <c r="J372" s="849">
        <v>800</v>
      </c>
      <c r="K372" s="850">
        <v>2200</v>
      </c>
    </row>
    <row r="373" spans="1:11" ht="14.45" customHeight="1" x14ac:dyDescent="0.2">
      <c r="A373" s="831" t="s">
        <v>570</v>
      </c>
      <c r="B373" s="832" t="s">
        <v>571</v>
      </c>
      <c r="C373" s="835" t="s">
        <v>596</v>
      </c>
      <c r="D373" s="863" t="s">
        <v>597</v>
      </c>
      <c r="E373" s="835" t="s">
        <v>1688</v>
      </c>
      <c r="F373" s="863" t="s">
        <v>1689</v>
      </c>
      <c r="G373" s="835" t="s">
        <v>2165</v>
      </c>
      <c r="H373" s="835" t="s">
        <v>2166</v>
      </c>
      <c r="I373" s="849">
        <v>1.5</v>
      </c>
      <c r="J373" s="849">
        <v>100</v>
      </c>
      <c r="K373" s="850">
        <v>150</v>
      </c>
    </row>
    <row r="374" spans="1:11" ht="14.45" customHeight="1" x14ac:dyDescent="0.2">
      <c r="A374" s="831" t="s">
        <v>570</v>
      </c>
      <c r="B374" s="832" t="s">
        <v>571</v>
      </c>
      <c r="C374" s="835" t="s">
        <v>596</v>
      </c>
      <c r="D374" s="863" t="s">
        <v>597</v>
      </c>
      <c r="E374" s="835" t="s">
        <v>1688</v>
      </c>
      <c r="F374" s="863" t="s">
        <v>1689</v>
      </c>
      <c r="G374" s="835" t="s">
        <v>2167</v>
      </c>
      <c r="H374" s="835" t="s">
        <v>2168</v>
      </c>
      <c r="I374" s="849">
        <v>5.4200000762939453</v>
      </c>
      <c r="J374" s="849">
        <v>600</v>
      </c>
      <c r="K374" s="850">
        <v>3251.1700439453125</v>
      </c>
    </row>
    <row r="375" spans="1:11" ht="14.45" customHeight="1" x14ac:dyDescent="0.2">
      <c r="A375" s="831" t="s">
        <v>570</v>
      </c>
      <c r="B375" s="832" t="s">
        <v>571</v>
      </c>
      <c r="C375" s="835" t="s">
        <v>596</v>
      </c>
      <c r="D375" s="863" t="s">
        <v>597</v>
      </c>
      <c r="E375" s="835" t="s">
        <v>1688</v>
      </c>
      <c r="F375" s="863" t="s">
        <v>1689</v>
      </c>
      <c r="G375" s="835" t="s">
        <v>2169</v>
      </c>
      <c r="H375" s="835" t="s">
        <v>2170</v>
      </c>
      <c r="I375" s="849">
        <v>7.429999828338623</v>
      </c>
      <c r="J375" s="849">
        <v>300</v>
      </c>
      <c r="K375" s="850">
        <v>2229</v>
      </c>
    </row>
    <row r="376" spans="1:11" ht="14.45" customHeight="1" x14ac:dyDescent="0.2">
      <c r="A376" s="831" t="s">
        <v>570</v>
      </c>
      <c r="B376" s="832" t="s">
        <v>571</v>
      </c>
      <c r="C376" s="835" t="s">
        <v>596</v>
      </c>
      <c r="D376" s="863" t="s">
        <v>597</v>
      </c>
      <c r="E376" s="835" t="s">
        <v>1688</v>
      </c>
      <c r="F376" s="863" t="s">
        <v>1689</v>
      </c>
      <c r="G376" s="835" t="s">
        <v>2171</v>
      </c>
      <c r="H376" s="835" t="s">
        <v>2172</v>
      </c>
      <c r="I376" s="849">
        <v>8.8299999237060547</v>
      </c>
      <c r="J376" s="849">
        <v>100</v>
      </c>
      <c r="K376" s="850">
        <v>883</v>
      </c>
    </row>
    <row r="377" spans="1:11" ht="14.45" customHeight="1" x14ac:dyDescent="0.2">
      <c r="A377" s="831" t="s">
        <v>570</v>
      </c>
      <c r="B377" s="832" t="s">
        <v>571</v>
      </c>
      <c r="C377" s="835" t="s">
        <v>596</v>
      </c>
      <c r="D377" s="863" t="s">
        <v>597</v>
      </c>
      <c r="E377" s="835" t="s">
        <v>1688</v>
      </c>
      <c r="F377" s="863" t="s">
        <v>1689</v>
      </c>
      <c r="G377" s="835" t="s">
        <v>2173</v>
      </c>
      <c r="H377" s="835" t="s">
        <v>2174</v>
      </c>
      <c r="I377" s="849">
        <v>8.4700002670288086</v>
      </c>
      <c r="J377" s="849">
        <v>150</v>
      </c>
      <c r="K377" s="850">
        <v>1270.5000305175781</v>
      </c>
    </row>
    <row r="378" spans="1:11" ht="14.45" customHeight="1" x14ac:dyDescent="0.2">
      <c r="A378" s="831" t="s">
        <v>570</v>
      </c>
      <c r="B378" s="832" t="s">
        <v>571</v>
      </c>
      <c r="C378" s="835" t="s">
        <v>596</v>
      </c>
      <c r="D378" s="863" t="s">
        <v>597</v>
      </c>
      <c r="E378" s="835" t="s">
        <v>1688</v>
      </c>
      <c r="F378" s="863" t="s">
        <v>1689</v>
      </c>
      <c r="G378" s="835" t="s">
        <v>1750</v>
      </c>
      <c r="H378" s="835" t="s">
        <v>1763</v>
      </c>
      <c r="I378" s="849">
        <v>1.0900000333786011</v>
      </c>
      <c r="J378" s="849">
        <v>3500</v>
      </c>
      <c r="K378" s="850">
        <v>3815</v>
      </c>
    </row>
    <row r="379" spans="1:11" ht="14.45" customHeight="1" x14ac:dyDescent="0.2">
      <c r="A379" s="831" t="s">
        <v>570</v>
      </c>
      <c r="B379" s="832" t="s">
        <v>571</v>
      </c>
      <c r="C379" s="835" t="s">
        <v>596</v>
      </c>
      <c r="D379" s="863" t="s">
        <v>597</v>
      </c>
      <c r="E379" s="835" t="s">
        <v>1688</v>
      </c>
      <c r="F379" s="863" t="s">
        <v>1689</v>
      </c>
      <c r="G379" s="835" t="s">
        <v>1752</v>
      </c>
      <c r="H379" s="835" t="s">
        <v>1764</v>
      </c>
      <c r="I379" s="849">
        <v>0.47833332419395447</v>
      </c>
      <c r="J379" s="849">
        <v>4200</v>
      </c>
      <c r="K379" s="850">
        <v>2003</v>
      </c>
    </row>
    <row r="380" spans="1:11" ht="14.45" customHeight="1" x14ac:dyDescent="0.2">
      <c r="A380" s="831" t="s">
        <v>570</v>
      </c>
      <c r="B380" s="832" t="s">
        <v>571</v>
      </c>
      <c r="C380" s="835" t="s">
        <v>596</v>
      </c>
      <c r="D380" s="863" t="s">
        <v>597</v>
      </c>
      <c r="E380" s="835" t="s">
        <v>1688</v>
      </c>
      <c r="F380" s="863" t="s">
        <v>1689</v>
      </c>
      <c r="G380" s="835" t="s">
        <v>1757</v>
      </c>
      <c r="H380" s="835" t="s">
        <v>1765</v>
      </c>
      <c r="I380" s="849">
        <v>1.6699999570846558</v>
      </c>
      <c r="J380" s="849">
        <v>11400</v>
      </c>
      <c r="K380" s="850">
        <v>19038</v>
      </c>
    </row>
    <row r="381" spans="1:11" ht="14.45" customHeight="1" x14ac:dyDescent="0.2">
      <c r="A381" s="831" t="s">
        <v>570</v>
      </c>
      <c r="B381" s="832" t="s">
        <v>571</v>
      </c>
      <c r="C381" s="835" t="s">
        <v>596</v>
      </c>
      <c r="D381" s="863" t="s">
        <v>597</v>
      </c>
      <c r="E381" s="835" t="s">
        <v>1688</v>
      </c>
      <c r="F381" s="863" t="s">
        <v>1689</v>
      </c>
      <c r="G381" s="835" t="s">
        <v>1759</v>
      </c>
      <c r="H381" s="835" t="s">
        <v>1766</v>
      </c>
      <c r="I381" s="849">
        <v>0.67000001668930054</v>
      </c>
      <c r="J381" s="849">
        <v>2900</v>
      </c>
      <c r="K381" s="850">
        <v>1943</v>
      </c>
    </row>
    <row r="382" spans="1:11" ht="14.45" customHeight="1" x14ac:dyDescent="0.2">
      <c r="A382" s="831" t="s">
        <v>570</v>
      </c>
      <c r="B382" s="832" t="s">
        <v>571</v>
      </c>
      <c r="C382" s="835" t="s">
        <v>596</v>
      </c>
      <c r="D382" s="863" t="s">
        <v>597</v>
      </c>
      <c r="E382" s="835" t="s">
        <v>1688</v>
      </c>
      <c r="F382" s="863" t="s">
        <v>1689</v>
      </c>
      <c r="G382" s="835" t="s">
        <v>1761</v>
      </c>
      <c r="H382" s="835" t="s">
        <v>1767</v>
      </c>
      <c r="I382" s="849">
        <v>2.75</v>
      </c>
      <c r="J382" s="849">
        <v>1800</v>
      </c>
      <c r="K382" s="850">
        <v>4950</v>
      </c>
    </row>
    <row r="383" spans="1:11" ht="14.45" customHeight="1" x14ac:dyDescent="0.2">
      <c r="A383" s="831" t="s">
        <v>570</v>
      </c>
      <c r="B383" s="832" t="s">
        <v>571</v>
      </c>
      <c r="C383" s="835" t="s">
        <v>596</v>
      </c>
      <c r="D383" s="863" t="s">
        <v>597</v>
      </c>
      <c r="E383" s="835" t="s">
        <v>1688</v>
      </c>
      <c r="F383" s="863" t="s">
        <v>1689</v>
      </c>
      <c r="G383" s="835" t="s">
        <v>2175</v>
      </c>
      <c r="H383" s="835" t="s">
        <v>2176</v>
      </c>
      <c r="I383" s="849">
        <v>6.309999942779541</v>
      </c>
      <c r="J383" s="849">
        <v>700</v>
      </c>
      <c r="K383" s="850">
        <v>4418.2099609375</v>
      </c>
    </row>
    <row r="384" spans="1:11" ht="14.45" customHeight="1" x14ac:dyDescent="0.2">
      <c r="A384" s="831" t="s">
        <v>570</v>
      </c>
      <c r="B384" s="832" t="s">
        <v>571</v>
      </c>
      <c r="C384" s="835" t="s">
        <v>596</v>
      </c>
      <c r="D384" s="863" t="s">
        <v>597</v>
      </c>
      <c r="E384" s="835" t="s">
        <v>1688</v>
      </c>
      <c r="F384" s="863" t="s">
        <v>1689</v>
      </c>
      <c r="G384" s="835" t="s">
        <v>2167</v>
      </c>
      <c r="H384" s="835" t="s">
        <v>2177</v>
      </c>
      <c r="I384" s="849">
        <v>5.4200000762939453</v>
      </c>
      <c r="J384" s="849">
        <v>1800</v>
      </c>
      <c r="K384" s="850">
        <v>9753.530029296875</v>
      </c>
    </row>
    <row r="385" spans="1:11" ht="14.45" customHeight="1" x14ac:dyDescent="0.2">
      <c r="A385" s="831" t="s">
        <v>570</v>
      </c>
      <c r="B385" s="832" t="s">
        <v>571</v>
      </c>
      <c r="C385" s="835" t="s">
        <v>596</v>
      </c>
      <c r="D385" s="863" t="s">
        <v>597</v>
      </c>
      <c r="E385" s="835" t="s">
        <v>1688</v>
      </c>
      <c r="F385" s="863" t="s">
        <v>1689</v>
      </c>
      <c r="G385" s="835" t="s">
        <v>2169</v>
      </c>
      <c r="H385" s="835" t="s">
        <v>2178</v>
      </c>
      <c r="I385" s="849">
        <v>7.429999828338623</v>
      </c>
      <c r="J385" s="849">
        <v>200</v>
      </c>
      <c r="K385" s="850">
        <v>1486</v>
      </c>
    </row>
    <row r="386" spans="1:11" ht="14.45" customHeight="1" x14ac:dyDescent="0.2">
      <c r="A386" s="831" t="s">
        <v>570</v>
      </c>
      <c r="B386" s="832" t="s">
        <v>571</v>
      </c>
      <c r="C386" s="835" t="s">
        <v>596</v>
      </c>
      <c r="D386" s="863" t="s">
        <v>597</v>
      </c>
      <c r="E386" s="835" t="s">
        <v>1688</v>
      </c>
      <c r="F386" s="863" t="s">
        <v>1689</v>
      </c>
      <c r="G386" s="835" t="s">
        <v>2171</v>
      </c>
      <c r="H386" s="835" t="s">
        <v>2179</v>
      </c>
      <c r="I386" s="849">
        <v>8.8299999237060547</v>
      </c>
      <c r="J386" s="849">
        <v>200</v>
      </c>
      <c r="K386" s="850">
        <v>1766.0000305175781</v>
      </c>
    </row>
    <row r="387" spans="1:11" ht="14.45" customHeight="1" x14ac:dyDescent="0.2">
      <c r="A387" s="831" t="s">
        <v>570</v>
      </c>
      <c r="B387" s="832" t="s">
        <v>571</v>
      </c>
      <c r="C387" s="835" t="s">
        <v>596</v>
      </c>
      <c r="D387" s="863" t="s">
        <v>597</v>
      </c>
      <c r="E387" s="835" t="s">
        <v>1688</v>
      </c>
      <c r="F387" s="863" t="s">
        <v>1689</v>
      </c>
      <c r="G387" s="835" t="s">
        <v>2173</v>
      </c>
      <c r="H387" s="835" t="s">
        <v>2180</v>
      </c>
      <c r="I387" s="849">
        <v>8.4700002670288086</v>
      </c>
      <c r="J387" s="849">
        <v>30</v>
      </c>
      <c r="K387" s="850">
        <v>254.10000610351563</v>
      </c>
    </row>
    <row r="388" spans="1:11" ht="14.45" customHeight="1" x14ac:dyDescent="0.2">
      <c r="A388" s="831" t="s">
        <v>570</v>
      </c>
      <c r="B388" s="832" t="s">
        <v>571</v>
      </c>
      <c r="C388" s="835" t="s">
        <v>596</v>
      </c>
      <c r="D388" s="863" t="s">
        <v>597</v>
      </c>
      <c r="E388" s="835" t="s">
        <v>1688</v>
      </c>
      <c r="F388" s="863" t="s">
        <v>1689</v>
      </c>
      <c r="G388" s="835" t="s">
        <v>2181</v>
      </c>
      <c r="H388" s="835" t="s">
        <v>2182</v>
      </c>
      <c r="I388" s="849">
        <v>6.2300000190734863</v>
      </c>
      <c r="J388" s="849">
        <v>50</v>
      </c>
      <c r="K388" s="850">
        <v>311.5</v>
      </c>
    </row>
    <row r="389" spans="1:11" ht="14.45" customHeight="1" x14ac:dyDescent="0.2">
      <c r="A389" s="831" t="s">
        <v>570</v>
      </c>
      <c r="B389" s="832" t="s">
        <v>571</v>
      </c>
      <c r="C389" s="835" t="s">
        <v>596</v>
      </c>
      <c r="D389" s="863" t="s">
        <v>597</v>
      </c>
      <c r="E389" s="835" t="s">
        <v>1688</v>
      </c>
      <c r="F389" s="863" t="s">
        <v>1689</v>
      </c>
      <c r="G389" s="835" t="s">
        <v>2183</v>
      </c>
      <c r="H389" s="835" t="s">
        <v>2184</v>
      </c>
      <c r="I389" s="849">
        <v>659.45001220703125</v>
      </c>
      <c r="J389" s="849">
        <v>2</v>
      </c>
      <c r="K389" s="850">
        <v>1318.9000244140625</v>
      </c>
    </row>
    <row r="390" spans="1:11" ht="14.45" customHeight="1" x14ac:dyDescent="0.2">
      <c r="A390" s="831" t="s">
        <v>570</v>
      </c>
      <c r="B390" s="832" t="s">
        <v>571</v>
      </c>
      <c r="C390" s="835" t="s">
        <v>596</v>
      </c>
      <c r="D390" s="863" t="s">
        <v>597</v>
      </c>
      <c r="E390" s="835" t="s">
        <v>1688</v>
      </c>
      <c r="F390" s="863" t="s">
        <v>1689</v>
      </c>
      <c r="G390" s="835" t="s">
        <v>2185</v>
      </c>
      <c r="H390" s="835" t="s">
        <v>2186</v>
      </c>
      <c r="I390" s="849">
        <v>458.6300048828125</v>
      </c>
      <c r="J390" s="849">
        <v>10</v>
      </c>
      <c r="K390" s="850">
        <v>4586.31982421875</v>
      </c>
    </row>
    <row r="391" spans="1:11" ht="14.45" customHeight="1" x14ac:dyDescent="0.2">
      <c r="A391" s="831" t="s">
        <v>570</v>
      </c>
      <c r="B391" s="832" t="s">
        <v>571</v>
      </c>
      <c r="C391" s="835" t="s">
        <v>596</v>
      </c>
      <c r="D391" s="863" t="s">
        <v>597</v>
      </c>
      <c r="E391" s="835" t="s">
        <v>1688</v>
      </c>
      <c r="F391" s="863" t="s">
        <v>1689</v>
      </c>
      <c r="G391" s="835" t="s">
        <v>2185</v>
      </c>
      <c r="H391" s="835" t="s">
        <v>2187</v>
      </c>
      <c r="I391" s="849">
        <v>458.6300048828125</v>
      </c>
      <c r="J391" s="849">
        <v>10</v>
      </c>
      <c r="K391" s="850">
        <v>4586.31982421875</v>
      </c>
    </row>
    <row r="392" spans="1:11" ht="14.45" customHeight="1" x14ac:dyDescent="0.2">
      <c r="A392" s="831" t="s">
        <v>570</v>
      </c>
      <c r="B392" s="832" t="s">
        <v>571</v>
      </c>
      <c r="C392" s="835" t="s">
        <v>596</v>
      </c>
      <c r="D392" s="863" t="s">
        <v>597</v>
      </c>
      <c r="E392" s="835" t="s">
        <v>1688</v>
      </c>
      <c r="F392" s="863" t="s">
        <v>1689</v>
      </c>
      <c r="G392" s="835" t="s">
        <v>2188</v>
      </c>
      <c r="H392" s="835" t="s">
        <v>2189</v>
      </c>
      <c r="I392" s="849">
        <v>1249.6600341796875</v>
      </c>
      <c r="J392" s="849">
        <v>6</v>
      </c>
      <c r="K392" s="850">
        <v>7497.97998046875</v>
      </c>
    </row>
    <row r="393" spans="1:11" ht="14.45" customHeight="1" x14ac:dyDescent="0.2">
      <c r="A393" s="831" t="s">
        <v>570</v>
      </c>
      <c r="B393" s="832" t="s">
        <v>571</v>
      </c>
      <c r="C393" s="835" t="s">
        <v>596</v>
      </c>
      <c r="D393" s="863" t="s">
        <v>597</v>
      </c>
      <c r="E393" s="835" t="s">
        <v>1688</v>
      </c>
      <c r="F393" s="863" t="s">
        <v>1689</v>
      </c>
      <c r="G393" s="835" t="s">
        <v>2190</v>
      </c>
      <c r="H393" s="835" t="s">
        <v>2191</v>
      </c>
      <c r="I393" s="849">
        <v>458.6300048828125</v>
      </c>
      <c r="J393" s="849">
        <v>20</v>
      </c>
      <c r="K393" s="850">
        <v>9172.6396484375</v>
      </c>
    </row>
    <row r="394" spans="1:11" ht="14.45" customHeight="1" x14ac:dyDescent="0.2">
      <c r="A394" s="831" t="s">
        <v>570</v>
      </c>
      <c r="B394" s="832" t="s">
        <v>571</v>
      </c>
      <c r="C394" s="835" t="s">
        <v>596</v>
      </c>
      <c r="D394" s="863" t="s">
        <v>597</v>
      </c>
      <c r="E394" s="835" t="s">
        <v>1688</v>
      </c>
      <c r="F394" s="863" t="s">
        <v>1689</v>
      </c>
      <c r="G394" s="835" t="s">
        <v>2051</v>
      </c>
      <c r="H394" s="835" t="s">
        <v>2192</v>
      </c>
      <c r="I394" s="849">
        <v>13.310000419616699</v>
      </c>
      <c r="J394" s="849">
        <v>90</v>
      </c>
      <c r="K394" s="850">
        <v>1197.8999633789063</v>
      </c>
    </row>
    <row r="395" spans="1:11" ht="14.45" customHeight="1" x14ac:dyDescent="0.2">
      <c r="A395" s="831" t="s">
        <v>570</v>
      </c>
      <c r="B395" s="832" t="s">
        <v>571</v>
      </c>
      <c r="C395" s="835" t="s">
        <v>596</v>
      </c>
      <c r="D395" s="863" t="s">
        <v>597</v>
      </c>
      <c r="E395" s="835" t="s">
        <v>1688</v>
      </c>
      <c r="F395" s="863" t="s">
        <v>1689</v>
      </c>
      <c r="G395" s="835" t="s">
        <v>2053</v>
      </c>
      <c r="H395" s="835" t="s">
        <v>2193</v>
      </c>
      <c r="I395" s="849">
        <v>120.51999664306641</v>
      </c>
      <c r="J395" s="849">
        <v>40</v>
      </c>
      <c r="K395" s="850">
        <v>4820.64013671875</v>
      </c>
    </row>
    <row r="396" spans="1:11" ht="14.45" customHeight="1" x14ac:dyDescent="0.2">
      <c r="A396" s="831" t="s">
        <v>570</v>
      </c>
      <c r="B396" s="832" t="s">
        <v>571</v>
      </c>
      <c r="C396" s="835" t="s">
        <v>596</v>
      </c>
      <c r="D396" s="863" t="s">
        <v>597</v>
      </c>
      <c r="E396" s="835" t="s">
        <v>1688</v>
      </c>
      <c r="F396" s="863" t="s">
        <v>1689</v>
      </c>
      <c r="G396" s="835" t="s">
        <v>1770</v>
      </c>
      <c r="H396" s="835" t="s">
        <v>2194</v>
      </c>
      <c r="I396" s="849">
        <v>156.08999633789063</v>
      </c>
      <c r="J396" s="849">
        <v>48</v>
      </c>
      <c r="K396" s="850">
        <v>7492.31005859375</v>
      </c>
    </row>
    <row r="397" spans="1:11" ht="14.45" customHeight="1" x14ac:dyDescent="0.2">
      <c r="A397" s="831" t="s">
        <v>570</v>
      </c>
      <c r="B397" s="832" t="s">
        <v>571</v>
      </c>
      <c r="C397" s="835" t="s">
        <v>596</v>
      </c>
      <c r="D397" s="863" t="s">
        <v>597</v>
      </c>
      <c r="E397" s="835" t="s">
        <v>1688</v>
      </c>
      <c r="F397" s="863" t="s">
        <v>1689</v>
      </c>
      <c r="G397" s="835" t="s">
        <v>1770</v>
      </c>
      <c r="H397" s="835" t="s">
        <v>1771</v>
      </c>
      <c r="I397" s="849">
        <v>156.08999633789063</v>
      </c>
      <c r="J397" s="849">
        <v>22</v>
      </c>
      <c r="K397" s="850">
        <v>3433.9800720214844</v>
      </c>
    </row>
    <row r="398" spans="1:11" ht="14.45" customHeight="1" x14ac:dyDescent="0.2">
      <c r="A398" s="831" t="s">
        <v>570</v>
      </c>
      <c r="B398" s="832" t="s">
        <v>571</v>
      </c>
      <c r="C398" s="835" t="s">
        <v>596</v>
      </c>
      <c r="D398" s="863" t="s">
        <v>597</v>
      </c>
      <c r="E398" s="835" t="s">
        <v>1688</v>
      </c>
      <c r="F398" s="863" t="s">
        <v>1689</v>
      </c>
      <c r="G398" s="835" t="s">
        <v>2195</v>
      </c>
      <c r="H398" s="835" t="s">
        <v>2196</v>
      </c>
      <c r="I398" s="849">
        <v>104.05999755859375</v>
      </c>
      <c r="J398" s="849">
        <v>30</v>
      </c>
      <c r="K398" s="850">
        <v>3121.7999267578125</v>
      </c>
    </row>
    <row r="399" spans="1:11" ht="14.45" customHeight="1" x14ac:dyDescent="0.2">
      <c r="A399" s="831" t="s">
        <v>570</v>
      </c>
      <c r="B399" s="832" t="s">
        <v>571</v>
      </c>
      <c r="C399" s="835" t="s">
        <v>596</v>
      </c>
      <c r="D399" s="863" t="s">
        <v>597</v>
      </c>
      <c r="E399" s="835" t="s">
        <v>1688</v>
      </c>
      <c r="F399" s="863" t="s">
        <v>1689</v>
      </c>
      <c r="G399" s="835" t="s">
        <v>2197</v>
      </c>
      <c r="H399" s="835" t="s">
        <v>2198</v>
      </c>
      <c r="I399" s="849">
        <v>484</v>
      </c>
      <c r="J399" s="849">
        <v>15</v>
      </c>
      <c r="K399" s="850">
        <v>7260</v>
      </c>
    </row>
    <row r="400" spans="1:11" ht="14.45" customHeight="1" x14ac:dyDescent="0.2">
      <c r="A400" s="831" t="s">
        <v>570</v>
      </c>
      <c r="B400" s="832" t="s">
        <v>571</v>
      </c>
      <c r="C400" s="835" t="s">
        <v>596</v>
      </c>
      <c r="D400" s="863" t="s">
        <v>597</v>
      </c>
      <c r="E400" s="835" t="s">
        <v>1688</v>
      </c>
      <c r="F400" s="863" t="s">
        <v>1689</v>
      </c>
      <c r="G400" s="835" t="s">
        <v>1772</v>
      </c>
      <c r="H400" s="835" t="s">
        <v>1773</v>
      </c>
      <c r="I400" s="849">
        <v>2.8499999046325684</v>
      </c>
      <c r="J400" s="849">
        <v>100</v>
      </c>
      <c r="K400" s="850">
        <v>285</v>
      </c>
    </row>
    <row r="401" spans="1:11" ht="14.45" customHeight="1" x14ac:dyDescent="0.2">
      <c r="A401" s="831" t="s">
        <v>570</v>
      </c>
      <c r="B401" s="832" t="s">
        <v>571</v>
      </c>
      <c r="C401" s="835" t="s">
        <v>596</v>
      </c>
      <c r="D401" s="863" t="s">
        <v>597</v>
      </c>
      <c r="E401" s="835" t="s">
        <v>1688</v>
      </c>
      <c r="F401" s="863" t="s">
        <v>1689</v>
      </c>
      <c r="G401" s="835" t="s">
        <v>2199</v>
      </c>
      <c r="H401" s="835" t="s">
        <v>2200</v>
      </c>
      <c r="I401" s="849">
        <v>1.2100000381469727</v>
      </c>
      <c r="J401" s="849">
        <v>225</v>
      </c>
      <c r="K401" s="850">
        <v>272.25</v>
      </c>
    </row>
    <row r="402" spans="1:11" ht="14.45" customHeight="1" x14ac:dyDescent="0.2">
      <c r="A402" s="831" t="s">
        <v>570</v>
      </c>
      <c r="B402" s="832" t="s">
        <v>571</v>
      </c>
      <c r="C402" s="835" t="s">
        <v>596</v>
      </c>
      <c r="D402" s="863" t="s">
        <v>597</v>
      </c>
      <c r="E402" s="835" t="s">
        <v>1688</v>
      </c>
      <c r="F402" s="863" t="s">
        <v>1689</v>
      </c>
      <c r="G402" s="835" t="s">
        <v>1772</v>
      </c>
      <c r="H402" s="835" t="s">
        <v>1774</v>
      </c>
      <c r="I402" s="849">
        <v>2.8499999046325684</v>
      </c>
      <c r="J402" s="849">
        <v>900</v>
      </c>
      <c r="K402" s="850">
        <v>2565.4000244140625</v>
      </c>
    </row>
    <row r="403" spans="1:11" ht="14.45" customHeight="1" x14ac:dyDescent="0.2">
      <c r="A403" s="831" t="s">
        <v>570</v>
      </c>
      <c r="B403" s="832" t="s">
        <v>571</v>
      </c>
      <c r="C403" s="835" t="s">
        <v>596</v>
      </c>
      <c r="D403" s="863" t="s">
        <v>597</v>
      </c>
      <c r="E403" s="835" t="s">
        <v>1688</v>
      </c>
      <c r="F403" s="863" t="s">
        <v>1689</v>
      </c>
      <c r="G403" s="835" t="s">
        <v>2201</v>
      </c>
      <c r="H403" s="835" t="s">
        <v>2202</v>
      </c>
      <c r="I403" s="849">
        <v>1.0299999713897705</v>
      </c>
      <c r="J403" s="849">
        <v>375</v>
      </c>
      <c r="K403" s="850">
        <v>386.25</v>
      </c>
    </row>
    <row r="404" spans="1:11" ht="14.45" customHeight="1" x14ac:dyDescent="0.2">
      <c r="A404" s="831" t="s">
        <v>570</v>
      </c>
      <c r="B404" s="832" t="s">
        <v>571</v>
      </c>
      <c r="C404" s="835" t="s">
        <v>596</v>
      </c>
      <c r="D404" s="863" t="s">
        <v>597</v>
      </c>
      <c r="E404" s="835" t="s">
        <v>1688</v>
      </c>
      <c r="F404" s="863" t="s">
        <v>1689</v>
      </c>
      <c r="G404" s="835" t="s">
        <v>2199</v>
      </c>
      <c r="H404" s="835" t="s">
        <v>2203</v>
      </c>
      <c r="I404" s="849">
        <v>1.2100000381469727</v>
      </c>
      <c r="J404" s="849">
        <v>150</v>
      </c>
      <c r="K404" s="850">
        <v>181.5</v>
      </c>
    </row>
    <row r="405" spans="1:11" ht="14.45" customHeight="1" x14ac:dyDescent="0.2">
      <c r="A405" s="831" t="s">
        <v>570</v>
      </c>
      <c r="B405" s="832" t="s">
        <v>571</v>
      </c>
      <c r="C405" s="835" t="s">
        <v>596</v>
      </c>
      <c r="D405" s="863" t="s">
        <v>597</v>
      </c>
      <c r="E405" s="835" t="s">
        <v>1688</v>
      </c>
      <c r="F405" s="863" t="s">
        <v>1689</v>
      </c>
      <c r="G405" s="835" t="s">
        <v>1775</v>
      </c>
      <c r="H405" s="835" t="s">
        <v>1776</v>
      </c>
      <c r="I405" s="849">
        <v>5.809999942779541</v>
      </c>
      <c r="J405" s="849">
        <v>1250</v>
      </c>
      <c r="K405" s="850">
        <v>7262.5</v>
      </c>
    </row>
    <row r="406" spans="1:11" ht="14.45" customHeight="1" x14ac:dyDescent="0.2">
      <c r="A406" s="831" t="s">
        <v>570</v>
      </c>
      <c r="B406" s="832" t="s">
        <v>571</v>
      </c>
      <c r="C406" s="835" t="s">
        <v>596</v>
      </c>
      <c r="D406" s="863" t="s">
        <v>597</v>
      </c>
      <c r="E406" s="835" t="s">
        <v>1688</v>
      </c>
      <c r="F406" s="863" t="s">
        <v>1689</v>
      </c>
      <c r="G406" s="835" t="s">
        <v>2204</v>
      </c>
      <c r="H406" s="835" t="s">
        <v>2205</v>
      </c>
      <c r="I406" s="849">
        <v>3.130000114440918</v>
      </c>
      <c r="J406" s="849">
        <v>100</v>
      </c>
      <c r="K406" s="850">
        <v>313</v>
      </c>
    </row>
    <row r="407" spans="1:11" ht="14.45" customHeight="1" x14ac:dyDescent="0.2">
      <c r="A407" s="831" t="s">
        <v>570</v>
      </c>
      <c r="B407" s="832" t="s">
        <v>571</v>
      </c>
      <c r="C407" s="835" t="s">
        <v>596</v>
      </c>
      <c r="D407" s="863" t="s">
        <v>597</v>
      </c>
      <c r="E407" s="835" t="s">
        <v>1688</v>
      </c>
      <c r="F407" s="863" t="s">
        <v>1689</v>
      </c>
      <c r="G407" s="835" t="s">
        <v>1775</v>
      </c>
      <c r="H407" s="835" t="s">
        <v>2206</v>
      </c>
      <c r="I407" s="849">
        <v>5.809999942779541</v>
      </c>
      <c r="J407" s="849">
        <v>250</v>
      </c>
      <c r="K407" s="850">
        <v>1452.5</v>
      </c>
    </row>
    <row r="408" spans="1:11" ht="14.45" customHeight="1" x14ac:dyDescent="0.2">
      <c r="A408" s="831" t="s">
        <v>570</v>
      </c>
      <c r="B408" s="832" t="s">
        <v>571</v>
      </c>
      <c r="C408" s="835" t="s">
        <v>596</v>
      </c>
      <c r="D408" s="863" t="s">
        <v>597</v>
      </c>
      <c r="E408" s="835" t="s">
        <v>1688</v>
      </c>
      <c r="F408" s="863" t="s">
        <v>1689</v>
      </c>
      <c r="G408" s="835" t="s">
        <v>2207</v>
      </c>
      <c r="H408" s="835" t="s">
        <v>2208</v>
      </c>
      <c r="I408" s="849">
        <v>16825.05078125</v>
      </c>
      <c r="J408" s="849">
        <v>1</v>
      </c>
      <c r="K408" s="850">
        <v>16825.05078125</v>
      </c>
    </row>
    <row r="409" spans="1:11" ht="14.45" customHeight="1" x14ac:dyDescent="0.2">
      <c r="A409" s="831" t="s">
        <v>570</v>
      </c>
      <c r="B409" s="832" t="s">
        <v>571</v>
      </c>
      <c r="C409" s="835" t="s">
        <v>596</v>
      </c>
      <c r="D409" s="863" t="s">
        <v>597</v>
      </c>
      <c r="E409" s="835" t="s">
        <v>1688</v>
      </c>
      <c r="F409" s="863" t="s">
        <v>1689</v>
      </c>
      <c r="G409" s="835" t="s">
        <v>1777</v>
      </c>
      <c r="H409" s="835" t="s">
        <v>1778</v>
      </c>
      <c r="I409" s="849">
        <v>209.00999450683594</v>
      </c>
      <c r="J409" s="849">
        <v>5</v>
      </c>
      <c r="K409" s="850">
        <v>1045.030029296875</v>
      </c>
    </row>
    <row r="410" spans="1:11" ht="14.45" customHeight="1" x14ac:dyDescent="0.2">
      <c r="A410" s="831" t="s">
        <v>570</v>
      </c>
      <c r="B410" s="832" t="s">
        <v>571</v>
      </c>
      <c r="C410" s="835" t="s">
        <v>596</v>
      </c>
      <c r="D410" s="863" t="s">
        <v>597</v>
      </c>
      <c r="E410" s="835" t="s">
        <v>1688</v>
      </c>
      <c r="F410" s="863" t="s">
        <v>1689</v>
      </c>
      <c r="G410" s="835" t="s">
        <v>1777</v>
      </c>
      <c r="H410" s="835" t="s">
        <v>2209</v>
      </c>
      <c r="I410" s="849">
        <v>209</v>
      </c>
      <c r="J410" s="849">
        <v>2</v>
      </c>
      <c r="K410" s="850">
        <v>418</v>
      </c>
    </row>
    <row r="411" spans="1:11" ht="14.45" customHeight="1" x14ac:dyDescent="0.2">
      <c r="A411" s="831" t="s">
        <v>570</v>
      </c>
      <c r="B411" s="832" t="s">
        <v>571</v>
      </c>
      <c r="C411" s="835" t="s">
        <v>596</v>
      </c>
      <c r="D411" s="863" t="s">
        <v>597</v>
      </c>
      <c r="E411" s="835" t="s">
        <v>1688</v>
      </c>
      <c r="F411" s="863" t="s">
        <v>1689</v>
      </c>
      <c r="G411" s="835" t="s">
        <v>2210</v>
      </c>
      <c r="H411" s="835" t="s">
        <v>2211</v>
      </c>
      <c r="I411" s="849">
        <v>810.70001220703125</v>
      </c>
      <c r="J411" s="849">
        <v>3</v>
      </c>
      <c r="K411" s="850">
        <v>2432.10009765625</v>
      </c>
    </row>
    <row r="412" spans="1:11" ht="14.45" customHeight="1" x14ac:dyDescent="0.2">
      <c r="A412" s="831" t="s">
        <v>570</v>
      </c>
      <c r="B412" s="832" t="s">
        <v>571</v>
      </c>
      <c r="C412" s="835" t="s">
        <v>596</v>
      </c>
      <c r="D412" s="863" t="s">
        <v>597</v>
      </c>
      <c r="E412" s="835" t="s">
        <v>1688</v>
      </c>
      <c r="F412" s="863" t="s">
        <v>1689</v>
      </c>
      <c r="G412" s="835" t="s">
        <v>2212</v>
      </c>
      <c r="H412" s="835" t="s">
        <v>2213</v>
      </c>
      <c r="I412" s="849">
        <v>1326.1600341796875</v>
      </c>
      <c r="J412" s="849">
        <v>1</v>
      </c>
      <c r="K412" s="850">
        <v>1326.1600341796875</v>
      </c>
    </row>
    <row r="413" spans="1:11" ht="14.45" customHeight="1" x14ac:dyDescent="0.2">
      <c r="A413" s="831" t="s">
        <v>570</v>
      </c>
      <c r="B413" s="832" t="s">
        <v>571</v>
      </c>
      <c r="C413" s="835" t="s">
        <v>596</v>
      </c>
      <c r="D413" s="863" t="s">
        <v>597</v>
      </c>
      <c r="E413" s="835" t="s">
        <v>1688</v>
      </c>
      <c r="F413" s="863" t="s">
        <v>1689</v>
      </c>
      <c r="G413" s="835" t="s">
        <v>2214</v>
      </c>
      <c r="H413" s="835" t="s">
        <v>2215</v>
      </c>
      <c r="I413" s="849">
        <v>49.970001220703125</v>
      </c>
      <c r="J413" s="849">
        <v>10</v>
      </c>
      <c r="K413" s="850">
        <v>499.70001220703125</v>
      </c>
    </row>
    <row r="414" spans="1:11" ht="14.45" customHeight="1" x14ac:dyDescent="0.2">
      <c r="A414" s="831" t="s">
        <v>570</v>
      </c>
      <c r="B414" s="832" t="s">
        <v>571</v>
      </c>
      <c r="C414" s="835" t="s">
        <v>596</v>
      </c>
      <c r="D414" s="863" t="s">
        <v>597</v>
      </c>
      <c r="E414" s="835" t="s">
        <v>1688</v>
      </c>
      <c r="F414" s="863" t="s">
        <v>1689</v>
      </c>
      <c r="G414" s="835" t="s">
        <v>1779</v>
      </c>
      <c r="H414" s="835" t="s">
        <v>1780</v>
      </c>
      <c r="I414" s="849">
        <v>0.4699999988079071</v>
      </c>
      <c r="J414" s="849">
        <v>2000</v>
      </c>
      <c r="K414" s="850">
        <v>940</v>
      </c>
    </row>
    <row r="415" spans="1:11" ht="14.45" customHeight="1" x14ac:dyDescent="0.2">
      <c r="A415" s="831" t="s">
        <v>570</v>
      </c>
      <c r="B415" s="832" t="s">
        <v>571</v>
      </c>
      <c r="C415" s="835" t="s">
        <v>596</v>
      </c>
      <c r="D415" s="863" t="s">
        <v>597</v>
      </c>
      <c r="E415" s="835" t="s">
        <v>1688</v>
      </c>
      <c r="F415" s="863" t="s">
        <v>1689</v>
      </c>
      <c r="G415" s="835" t="s">
        <v>2216</v>
      </c>
      <c r="H415" s="835" t="s">
        <v>2217</v>
      </c>
      <c r="I415" s="849">
        <v>1.2799999713897705</v>
      </c>
      <c r="J415" s="849">
        <v>500</v>
      </c>
      <c r="K415" s="850">
        <v>640</v>
      </c>
    </row>
    <row r="416" spans="1:11" ht="14.45" customHeight="1" x14ac:dyDescent="0.2">
      <c r="A416" s="831" t="s">
        <v>570</v>
      </c>
      <c r="B416" s="832" t="s">
        <v>571</v>
      </c>
      <c r="C416" s="835" t="s">
        <v>596</v>
      </c>
      <c r="D416" s="863" t="s">
        <v>597</v>
      </c>
      <c r="E416" s="835" t="s">
        <v>1688</v>
      </c>
      <c r="F416" s="863" t="s">
        <v>1689</v>
      </c>
      <c r="G416" s="835" t="s">
        <v>1779</v>
      </c>
      <c r="H416" s="835" t="s">
        <v>1781</v>
      </c>
      <c r="I416" s="849">
        <v>0.47166666388511658</v>
      </c>
      <c r="J416" s="849">
        <v>4500</v>
      </c>
      <c r="K416" s="850">
        <v>2122</v>
      </c>
    </row>
    <row r="417" spans="1:11" ht="14.45" customHeight="1" x14ac:dyDescent="0.2">
      <c r="A417" s="831" t="s">
        <v>570</v>
      </c>
      <c r="B417" s="832" t="s">
        <v>571</v>
      </c>
      <c r="C417" s="835" t="s">
        <v>596</v>
      </c>
      <c r="D417" s="863" t="s">
        <v>597</v>
      </c>
      <c r="E417" s="835" t="s">
        <v>1688</v>
      </c>
      <c r="F417" s="863" t="s">
        <v>1689</v>
      </c>
      <c r="G417" s="835" t="s">
        <v>2216</v>
      </c>
      <c r="H417" s="835" t="s">
        <v>2218</v>
      </c>
      <c r="I417" s="849">
        <v>1.2799999713897705</v>
      </c>
      <c r="J417" s="849">
        <v>1500</v>
      </c>
      <c r="K417" s="850">
        <v>1923.8999633789063</v>
      </c>
    </row>
    <row r="418" spans="1:11" ht="14.45" customHeight="1" x14ac:dyDescent="0.2">
      <c r="A418" s="831" t="s">
        <v>570</v>
      </c>
      <c r="B418" s="832" t="s">
        <v>571</v>
      </c>
      <c r="C418" s="835" t="s">
        <v>596</v>
      </c>
      <c r="D418" s="863" t="s">
        <v>597</v>
      </c>
      <c r="E418" s="835" t="s">
        <v>1688</v>
      </c>
      <c r="F418" s="863" t="s">
        <v>1689</v>
      </c>
      <c r="G418" s="835" t="s">
        <v>1782</v>
      </c>
      <c r="H418" s="835" t="s">
        <v>1783</v>
      </c>
      <c r="I418" s="849">
        <v>2.3733332951863608</v>
      </c>
      <c r="J418" s="849">
        <v>200</v>
      </c>
      <c r="K418" s="850">
        <v>474.5</v>
      </c>
    </row>
    <row r="419" spans="1:11" ht="14.45" customHeight="1" x14ac:dyDescent="0.2">
      <c r="A419" s="831" t="s">
        <v>570</v>
      </c>
      <c r="B419" s="832" t="s">
        <v>571</v>
      </c>
      <c r="C419" s="835" t="s">
        <v>596</v>
      </c>
      <c r="D419" s="863" t="s">
        <v>597</v>
      </c>
      <c r="E419" s="835" t="s">
        <v>1688</v>
      </c>
      <c r="F419" s="863" t="s">
        <v>1689</v>
      </c>
      <c r="G419" s="835" t="s">
        <v>1782</v>
      </c>
      <c r="H419" s="835" t="s">
        <v>2219</v>
      </c>
      <c r="I419" s="849">
        <v>2.369999885559082</v>
      </c>
      <c r="J419" s="849">
        <v>50</v>
      </c>
      <c r="K419" s="850">
        <v>118.5</v>
      </c>
    </row>
    <row r="420" spans="1:11" ht="14.45" customHeight="1" x14ac:dyDescent="0.2">
      <c r="A420" s="831" t="s">
        <v>570</v>
      </c>
      <c r="B420" s="832" t="s">
        <v>571</v>
      </c>
      <c r="C420" s="835" t="s">
        <v>596</v>
      </c>
      <c r="D420" s="863" t="s">
        <v>597</v>
      </c>
      <c r="E420" s="835" t="s">
        <v>1688</v>
      </c>
      <c r="F420" s="863" t="s">
        <v>1689</v>
      </c>
      <c r="G420" s="835" t="s">
        <v>1784</v>
      </c>
      <c r="H420" s="835" t="s">
        <v>1785</v>
      </c>
      <c r="I420" s="849">
        <v>3.7599999904632568</v>
      </c>
      <c r="J420" s="849">
        <v>30</v>
      </c>
      <c r="K420" s="850">
        <v>112.80000305175781</v>
      </c>
    </row>
    <row r="421" spans="1:11" ht="14.45" customHeight="1" x14ac:dyDescent="0.2">
      <c r="A421" s="831" t="s">
        <v>570</v>
      </c>
      <c r="B421" s="832" t="s">
        <v>571</v>
      </c>
      <c r="C421" s="835" t="s">
        <v>596</v>
      </c>
      <c r="D421" s="863" t="s">
        <v>597</v>
      </c>
      <c r="E421" s="835" t="s">
        <v>1688</v>
      </c>
      <c r="F421" s="863" t="s">
        <v>1689</v>
      </c>
      <c r="G421" s="835" t="s">
        <v>1784</v>
      </c>
      <c r="H421" s="835" t="s">
        <v>1786</v>
      </c>
      <c r="I421" s="849">
        <v>3.75</v>
      </c>
      <c r="J421" s="849">
        <v>40</v>
      </c>
      <c r="K421" s="850">
        <v>150</v>
      </c>
    </row>
    <row r="422" spans="1:11" ht="14.45" customHeight="1" x14ac:dyDescent="0.2">
      <c r="A422" s="831" t="s">
        <v>570</v>
      </c>
      <c r="B422" s="832" t="s">
        <v>571</v>
      </c>
      <c r="C422" s="835" t="s">
        <v>596</v>
      </c>
      <c r="D422" s="863" t="s">
        <v>597</v>
      </c>
      <c r="E422" s="835" t="s">
        <v>1688</v>
      </c>
      <c r="F422" s="863" t="s">
        <v>1689</v>
      </c>
      <c r="G422" s="835" t="s">
        <v>1787</v>
      </c>
      <c r="H422" s="835" t="s">
        <v>2220</v>
      </c>
      <c r="I422" s="849">
        <v>1.7999999523162842</v>
      </c>
      <c r="J422" s="849">
        <v>150</v>
      </c>
      <c r="K422" s="850">
        <v>270</v>
      </c>
    </row>
    <row r="423" spans="1:11" ht="14.45" customHeight="1" x14ac:dyDescent="0.2">
      <c r="A423" s="831" t="s">
        <v>570</v>
      </c>
      <c r="B423" s="832" t="s">
        <v>571</v>
      </c>
      <c r="C423" s="835" t="s">
        <v>596</v>
      </c>
      <c r="D423" s="863" t="s">
        <v>597</v>
      </c>
      <c r="E423" s="835" t="s">
        <v>1688</v>
      </c>
      <c r="F423" s="863" t="s">
        <v>1689</v>
      </c>
      <c r="G423" s="835" t="s">
        <v>2221</v>
      </c>
      <c r="H423" s="835" t="s">
        <v>2222</v>
      </c>
      <c r="I423" s="849">
        <v>1.9299999475479126</v>
      </c>
      <c r="J423" s="849">
        <v>50</v>
      </c>
      <c r="K423" s="850">
        <v>96.5</v>
      </c>
    </row>
    <row r="424" spans="1:11" ht="14.45" customHeight="1" x14ac:dyDescent="0.2">
      <c r="A424" s="831" t="s">
        <v>570</v>
      </c>
      <c r="B424" s="832" t="s">
        <v>571</v>
      </c>
      <c r="C424" s="835" t="s">
        <v>596</v>
      </c>
      <c r="D424" s="863" t="s">
        <v>597</v>
      </c>
      <c r="E424" s="835" t="s">
        <v>1688</v>
      </c>
      <c r="F424" s="863" t="s">
        <v>1689</v>
      </c>
      <c r="G424" s="835" t="s">
        <v>2223</v>
      </c>
      <c r="H424" s="835" t="s">
        <v>2224</v>
      </c>
      <c r="I424" s="849">
        <v>1.9950000047683716</v>
      </c>
      <c r="J424" s="849">
        <v>16</v>
      </c>
      <c r="K424" s="850">
        <v>31.899999618530273</v>
      </c>
    </row>
    <row r="425" spans="1:11" ht="14.45" customHeight="1" x14ac:dyDescent="0.2">
      <c r="A425" s="831" t="s">
        <v>570</v>
      </c>
      <c r="B425" s="832" t="s">
        <v>571</v>
      </c>
      <c r="C425" s="835" t="s">
        <v>596</v>
      </c>
      <c r="D425" s="863" t="s">
        <v>597</v>
      </c>
      <c r="E425" s="835" t="s">
        <v>1688</v>
      </c>
      <c r="F425" s="863" t="s">
        <v>1689</v>
      </c>
      <c r="G425" s="835" t="s">
        <v>2225</v>
      </c>
      <c r="H425" s="835" t="s">
        <v>2226</v>
      </c>
      <c r="I425" s="849">
        <v>4.7800002098083496</v>
      </c>
      <c r="J425" s="849">
        <v>10</v>
      </c>
      <c r="K425" s="850">
        <v>47.799999237060547</v>
      </c>
    </row>
    <row r="426" spans="1:11" ht="14.45" customHeight="1" x14ac:dyDescent="0.2">
      <c r="A426" s="831" t="s">
        <v>570</v>
      </c>
      <c r="B426" s="832" t="s">
        <v>571</v>
      </c>
      <c r="C426" s="835" t="s">
        <v>596</v>
      </c>
      <c r="D426" s="863" t="s">
        <v>597</v>
      </c>
      <c r="E426" s="835" t="s">
        <v>1688</v>
      </c>
      <c r="F426" s="863" t="s">
        <v>1689</v>
      </c>
      <c r="G426" s="835" t="s">
        <v>2225</v>
      </c>
      <c r="H426" s="835" t="s">
        <v>2227</v>
      </c>
      <c r="I426" s="849">
        <v>4.7599999109903974</v>
      </c>
      <c r="J426" s="849">
        <v>30</v>
      </c>
      <c r="K426" s="850">
        <v>142.80000305175781</v>
      </c>
    </row>
    <row r="427" spans="1:11" ht="14.45" customHeight="1" x14ac:dyDescent="0.2">
      <c r="A427" s="831" t="s">
        <v>570</v>
      </c>
      <c r="B427" s="832" t="s">
        <v>571</v>
      </c>
      <c r="C427" s="835" t="s">
        <v>596</v>
      </c>
      <c r="D427" s="863" t="s">
        <v>597</v>
      </c>
      <c r="E427" s="835" t="s">
        <v>1688</v>
      </c>
      <c r="F427" s="863" t="s">
        <v>1689</v>
      </c>
      <c r="G427" s="835" t="s">
        <v>1789</v>
      </c>
      <c r="H427" s="835" t="s">
        <v>1790</v>
      </c>
      <c r="I427" s="849">
        <v>21.229999542236328</v>
      </c>
      <c r="J427" s="849">
        <v>6</v>
      </c>
      <c r="K427" s="850">
        <v>127.37999725341797</v>
      </c>
    </row>
    <row r="428" spans="1:11" ht="14.45" customHeight="1" x14ac:dyDescent="0.2">
      <c r="A428" s="831" t="s">
        <v>570</v>
      </c>
      <c r="B428" s="832" t="s">
        <v>571</v>
      </c>
      <c r="C428" s="835" t="s">
        <v>596</v>
      </c>
      <c r="D428" s="863" t="s">
        <v>597</v>
      </c>
      <c r="E428" s="835" t="s">
        <v>1688</v>
      </c>
      <c r="F428" s="863" t="s">
        <v>1689</v>
      </c>
      <c r="G428" s="835" t="s">
        <v>2228</v>
      </c>
      <c r="H428" s="835" t="s">
        <v>2229</v>
      </c>
      <c r="I428" s="849">
        <v>5.380000114440918</v>
      </c>
      <c r="J428" s="849">
        <v>100</v>
      </c>
      <c r="K428" s="850">
        <v>538</v>
      </c>
    </row>
    <row r="429" spans="1:11" ht="14.45" customHeight="1" x14ac:dyDescent="0.2">
      <c r="A429" s="831" t="s">
        <v>570</v>
      </c>
      <c r="B429" s="832" t="s">
        <v>571</v>
      </c>
      <c r="C429" s="835" t="s">
        <v>596</v>
      </c>
      <c r="D429" s="863" t="s">
        <v>597</v>
      </c>
      <c r="E429" s="835" t="s">
        <v>1688</v>
      </c>
      <c r="F429" s="863" t="s">
        <v>1689</v>
      </c>
      <c r="G429" s="835" t="s">
        <v>2228</v>
      </c>
      <c r="H429" s="835" t="s">
        <v>2230</v>
      </c>
      <c r="I429" s="849">
        <v>5.2960000991821286</v>
      </c>
      <c r="J429" s="849">
        <v>600</v>
      </c>
      <c r="K429" s="850">
        <v>3149</v>
      </c>
    </row>
    <row r="430" spans="1:11" ht="14.45" customHeight="1" x14ac:dyDescent="0.2">
      <c r="A430" s="831" t="s">
        <v>570</v>
      </c>
      <c r="B430" s="832" t="s">
        <v>571</v>
      </c>
      <c r="C430" s="835" t="s">
        <v>596</v>
      </c>
      <c r="D430" s="863" t="s">
        <v>597</v>
      </c>
      <c r="E430" s="835" t="s">
        <v>1688</v>
      </c>
      <c r="F430" s="863" t="s">
        <v>1689</v>
      </c>
      <c r="G430" s="835" t="s">
        <v>2231</v>
      </c>
      <c r="H430" s="835" t="s">
        <v>2232</v>
      </c>
      <c r="I430" s="849">
        <v>4.619999885559082</v>
      </c>
      <c r="J430" s="849">
        <v>2</v>
      </c>
      <c r="K430" s="850">
        <v>9.2399997711181641</v>
      </c>
    </row>
    <row r="431" spans="1:11" ht="14.45" customHeight="1" x14ac:dyDescent="0.2">
      <c r="A431" s="831" t="s">
        <v>570</v>
      </c>
      <c r="B431" s="832" t="s">
        <v>571</v>
      </c>
      <c r="C431" s="835" t="s">
        <v>596</v>
      </c>
      <c r="D431" s="863" t="s">
        <v>597</v>
      </c>
      <c r="E431" s="835" t="s">
        <v>1688</v>
      </c>
      <c r="F431" s="863" t="s">
        <v>1689</v>
      </c>
      <c r="G431" s="835" t="s">
        <v>1792</v>
      </c>
      <c r="H431" s="835" t="s">
        <v>1793</v>
      </c>
      <c r="I431" s="849">
        <v>2.5266666412353516</v>
      </c>
      <c r="J431" s="849">
        <v>250</v>
      </c>
      <c r="K431" s="850">
        <v>632</v>
      </c>
    </row>
    <row r="432" spans="1:11" ht="14.45" customHeight="1" x14ac:dyDescent="0.2">
      <c r="A432" s="831" t="s">
        <v>570</v>
      </c>
      <c r="B432" s="832" t="s">
        <v>571</v>
      </c>
      <c r="C432" s="835" t="s">
        <v>596</v>
      </c>
      <c r="D432" s="863" t="s">
        <v>597</v>
      </c>
      <c r="E432" s="835" t="s">
        <v>1688</v>
      </c>
      <c r="F432" s="863" t="s">
        <v>1689</v>
      </c>
      <c r="G432" s="835" t="s">
        <v>2233</v>
      </c>
      <c r="H432" s="835" t="s">
        <v>2234</v>
      </c>
      <c r="I432" s="849">
        <v>2.6700000762939453</v>
      </c>
      <c r="J432" s="849">
        <v>50</v>
      </c>
      <c r="K432" s="850">
        <v>133.5</v>
      </c>
    </row>
    <row r="433" spans="1:11" ht="14.45" customHeight="1" x14ac:dyDescent="0.2">
      <c r="A433" s="831" t="s">
        <v>570</v>
      </c>
      <c r="B433" s="832" t="s">
        <v>571</v>
      </c>
      <c r="C433" s="835" t="s">
        <v>596</v>
      </c>
      <c r="D433" s="863" t="s">
        <v>597</v>
      </c>
      <c r="E433" s="835" t="s">
        <v>1688</v>
      </c>
      <c r="F433" s="863" t="s">
        <v>1689</v>
      </c>
      <c r="G433" s="835" t="s">
        <v>1794</v>
      </c>
      <c r="H433" s="835" t="s">
        <v>1795</v>
      </c>
      <c r="I433" s="849">
        <v>3.7400000095367432</v>
      </c>
      <c r="J433" s="849">
        <v>150</v>
      </c>
      <c r="K433" s="850">
        <v>561</v>
      </c>
    </row>
    <row r="434" spans="1:11" ht="14.45" customHeight="1" x14ac:dyDescent="0.2">
      <c r="A434" s="831" t="s">
        <v>570</v>
      </c>
      <c r="B434" s="832" t="s">
        <v>571</v>
      </c>
      <c r="C434" s="835" t="s">
        <v>596</v>
      </c>
      <c r="D434" s="863" t="s">
        <v>597</v>
      </c>
      <c r="E434" s="835" t="s">
        <v>1688</v>
      </c>
      <c r="F434" s="863" t="s">
        <v>1689</v>
      </c>
      <c r="G434" s="835" t="s">
        <v>1792</v>
      </c>
      <c r="H434" s="835" t="s">
        <v>1796</v>
      </c>
      <c r="I434" s="849">
        <v>2.5299999713897705</v>
      </c>
      <c r="J434" s="849">
        <v>550</v>
      </c>
      <c r="K434" s="850">
        <v>1391.5</v>
      </c>
    </row>
    <row r="435" spans="1:11" ht="14.45" customHeight="1" x14ac:dyDescent="0.2">
      <c r="A435" s="831" t="s">
        <v>570</v>
      </c>
      <c r="B435" s="832" t="s">
        <v>571</v>
      </c>
      <c r="C435" s="835" t="s">
        <v>596</v>
      </c>
      <c r="D435" s="863" t="s">
        <v>597</v>
      </c>
      <c r="E435" s="835" t="s">
        <v>1688</v>
      </c>
      <c r="F435" s="863" t="s">
        <v>1689</v>
      </c>
      <c r="G435" s="835" t="s">
        <v>2233</v>
      </c>
      <c r="H435" s="835" t="s">
        <v>2235</v>
      </c>
      <c r="I435" s="849">
        <v>2.6733334064483643</v>
      </c>
      <c r="J435" s="849">
        <v>150</v>
      </c>
      <c r="K435" s="850">
        <v>401.33001708984375</v>
      </c>
    </row>
    <row r="436" spans="1:11" ht="14.45" customHeight="1" x14ac:dyDescent="0.2">
      <c r="A436" s="831" t="s">
        <v>570</v>
      </c>
      <c r="B436" s="832" t="s">
        <v>571</v>
      </c>
      <c r="C436" s="835" t="s">
        <v>596</v>
      </c>
      <c r="D436" s="863" t="s">
        <v>597</v>
      </c>
      <c r="E436" s="835" t="s">
        <v>1688</v>
      </c>
      <c r="F436" s="863" t="s">
        <v>1689</v>
      </c>
      <c r="G436" s="835" t="s">
        <v>1794</v>
      </c>
      <c r="H436" s="835" t="s">
        <v>1797</v>
      </c>
      <c r="I436" s="849">
        <v>3.7383333444595337</v>
      </c>
      <c r="J436" s="849">
        <v>650</v>
      </c>
      <c r="K436" s="850">
        <v>2430.5</v>
      </c>
    </row>
    <row r="437" spans="1:11" ht="14.45" customHeight="1" x14ac:dyDescent="0.2">
      <c r="A437" s="831" t="s">
        <v>570</v>
      </c>
      <c r="B437" s="832" t="s">
        <v>571</v>
      </c>
      <c r="C437" s="835" t="s">
        <v>596</v>
      </c>
      <c r="D437" s="863" t="s">
        <v>597</v>
      </c>
      <c r="E437" s="835" t="s">
        <v>1688</v>
      </c>
      <c r="F437" s="863" t="s">
        <v>1689</v>
      </c>
      <c r="G437" s="835" t="s">
        <v>1798</v>
      </c>
      <c r="H437" s="835" t="s">
        <v>2236</v>
      </c>
      <c r="I437" s="849">
        <v>21.236666361490887</v>
      </c>
      <c r="J437" s="849">
        <v>450</v>
      </c>
      <c r="K437" s="850">
        <v>9556</v>
      </c>
    </row>
    <row r="438" spans="1:11" ht="14.45" customHeight="1" x14ac:dyDescent="0.2">
      <c r="A438" s="831" t="s">
        <v>570</v>
      </c>
      <c r="B438" s="832" t="s">
        <v>571</v>
      </c>
      <c r="C438" s="835" t="s">
        <v>596</v>
      </c>
      <c r="D438" s="863" t="s">
        <v>597</v>
      </c>
      <c r="E438" s="835" t="s">
        <v>1688</v>
      </c>
      <c r="F438" s="863" t="s">
        <v>1689</v>
      </c>
      <c r="G438" s="835" t="s">
        <v>1798</v>
      </c>
      <c r="H438" s="835" t="s">
        <v>1799</v>
      </c>
      <c r="I438" s="849">
        <v>21.233332951863606</v>
      </c>
      <c r="J438" s="849">
        <v>800</v>
      </c>
      <c r="K438" s="850">
        <v>16985.5</v>
      </c>
    </row>
    <row r="439" spans="1:11" ht="14.45" customHeight="1" x14ac:dyDescent="0.2">
      <c r="A439" s="831" t="s">
        <v>570</v>
      </c>
      <c r="B439" s="832" t="s">
        <v>571</v>
      </c>
      <c r="C439" s="835" t="s">
        <v>596</v>
      </c>
      <c r="D439" s="863" t="s">
        <v>597</v>
      </c>
      <c r="E439" s="835" t="s">
        <v>1688</v>
      </c>
      <c r="F439" s="863" t="s">
        <v>1689</v>
      </c>
      <c r="G439" s="835" t="s">
        <v>2223</v>
      </c>
      <c r="H439" s="835" t="s">
        <v>2237</v>
      </c>
      <c r="I439" s="849">
        <v>1.9900000095367432</v>
      </c>
      <c r="J439" s="849">
        <v>6</v>
      </c>
      <c r="K439" s="850">
        <v>11.939999580383301</v>
      </c>
    </row>
    <row r="440" spans="1:11" ht="14.45" customHeight="1" x14ac:dyDescent="0.2">
      <c r="A440" s="831" t="s">
        <v>570</v>
      </c>
      <c r="B440" s="832" t="s">
        <v>571</v>
      </c>
      <c r="C440" s="835" t="s">
        <v>596</v>
      </c>
      <c r="D440" s="863" t="s">
        <v>597</v>
      </c>
      <c r="E440" s="835" t="s">
        <v>1688</v>
      </c>
      <c r="F440" s="863" t="s">
        <v>1689</v>
      </c>
      <c r="G440" s="835" t="s">
        <v>2238</v>
      </c>
      <c r="H440" s="835" t="s">
        <v>2239</v>
      </c>
      <c r="I440" s="849">
        <v>3.1500000953674316</v>
      </c>
      <c r="J440" s="849">
        <v>50</v>
      </c>
      <c r="K440" s="850">
        <v>157.5</v>
      </c>
    </row>
    <row r="441" spans="1:11" ht="14.45" customHeight="1" x14ac:dyDescent="0.2">
      <c r="A441" s="831" t="s">
        <v>570</v>
      </c>
      <c r="B441" s="832" t="s">
        <v>571</v>
      </c>
      <c r="C441" s="835" t="s">
        <v>596</v>
      </c>
      <c r="D441" s="863" t="s">
        <v>597</v>
      </c>
      <c r="E441" s="835" t="s">
        <v>2240</v>
      </c>
      <c r="F441" s="863" t="s">
        <v>2241</v>
      </c>
      <c r="G441" s="835" t="s">
        <v>2242</v>
      </c>
      <c r="H441" s="835" t="s">
        <v>2243</v>
      </c>
      <c r="I441" s="849">
        <v>24.180000305175781</v>
      </c>
      <c r="J441" s="849">
        <v>300</v>
      </c>
      <c r="K441" s="850">
        <v>7252.740234375</v>
      </c>
    </row>
    <row r="442" spans="1:11" ht="14.45" customHeight="1" x14ac:dyDescent="0.2">
      <c r="A442" s="831" t="s">
        <v>570</v>
      </c>
      <c r="B442" s="832" t="s">
        <v>571</v>
      </c>
      <c r="C442" s="835" t="s">
        <v>596</v>
      </c>
      <c r="D442" s="863" t="s">
        <v>597</v>
      </c>
      <c r="E442" s="835" t="s">
        <v>2240</v>
      </c>
      <c r="F442" s="863" t="s">
        <v>2241</v>
      </c>
      <c r="G442" s="835" t="s">
        <v>2242</v>
      </c>
      <c r="H442" s="835" t="s">
        <v>2244</v>
      </c>
      <c r="I442" s="849">
        <v>24.180000305175781</v>
      </c>
      <c r="J442" s="849">
        <v>400</v>
      </c>
      <c r="K442" s="850">
        <v>9670.3203125</v>
      </c>
    </row>
    <row r="443" spans="1:11" ht="14.45" customHeight="1" x14ac:dyDescent="0.2">
      <c r="A443" s="831" t="s">
        <v>570</v>
      </c>
      <c r="B443" s="832" t="s">
        <v>571</v>
      </c>
      <c r="C443" s="835" t="s">
        <v>596</v>
      </c>
      <c r="D443" s="863" t="s">
        <v>597</v>
      </c>
      <c r="E443" s="835" t="s">
        <v>2240</v>
      </c>
      <c r="F443" s="863" t="s">
        <v>2241</v>
      </c>
      <c r="G443" s="835" t="s">
        <v>2245</v>
      </c>
      <c r="H443" s="835" t="s">
        <v>2246</v>
      </c>
      <c r="I443" s="849">
        <v>7.005000114440918</v>
      </c>
      <c r="J443" s="849">
        <v>35</v>
      </c>
      <c r="K443" s="850">
        <v>245.25</v>
      </c>
    </row>
    <row r="444" spans="1:11" ht="14.45" customHeight="1" x14ac:dyDescent="0.2">
      <c r="A444" s="831" t="s">
        <v>570</v>
      </c>
      <c r="B444" s="832" t="s">
        <v>571</v>
      </c>
      <c r="C444" s="835" t="s">
        <v>596</v>
      </c>
      <c r="D444" s="863" t="s">
        <v>597</v>
      </c>
      <c r="E444" s="835" t="s">
        <v>2240</v>
      </c>
      <c r="F444" s="863" t="s">
        <v>2241</v>
      </c>
      <c r="G444" s="835" t="s">
        <v>2245</v>
      </c>
      <c r="H444" s="835" t="s">
        <v>2247</v>
      </c>
      <c r="I444" s="849">
        <v>7</v>
      </c>
      <c r="J444" s="849">
        <v>25</v>
      </c>
      <c r="K444" s="850">
        <v>175</v>
      </c>
    </row>
    <row r="445" spans="1:11" ht="14.45" customHeight="1" x14ac:dyDescent="0.2">
      <c r="A445" s="831" t="s">
        <v>570</v>
      </c>
      <c r="B445" s="832" t="s">
        <v>571</v>
      </c>
      <c r="C445" s="835" t="s">
        <v>596</v>
      </c>
      <c r="D445" s="863" t="s">
        <v>597</v>
      </c>
      <c r="E445" s="835" t="s">
        <v>2248</v>
      </c>
      <c r="F445" s="863" t="s">
        <v>2249</v>
      </c>
      <c r="G445" s="835" t="s">
        <v>2250</v>
      </c>
      <c r="H445" s="835" t="s">
        <v>2251</v>
      </c>
      <c r="I445" s="849">
        <v>49.849998474121094</v>
      </c>
      <c r="J445" s="849">
        <v>12</v>
      </c>
      <c r="K445" s="850">
        <v>598.22998046875</v>
      </c>
    </row>
    <row r="446" spans="1:11" ht="14.45" customHeight="1" x14ac:dyDescent="0.2">
      <c r="A446" s="831" t="s">
        <v>570</v>
      </c>
      <c r="B446" s="832" t="s">
        <v>571</v>
      </c>
      <c r="C446" s="835" t="s">
        <v>596</v>
      </c>
      <c r="D446" s="863" t="s">
        <v>597</v>
      </c>
      <c r="E446" s="835" t="s">
        <v>2248</v>
      </c>
      <c r="F446" s="863" t="s">
        <v>2249</v>
      </c>
      <c r="G446" s="835" t="s">
        <v>2250</v>
      </c>
      <c r="H446" s="835" t="s">
        <v>2252</v>
      </c>
      <c r="I446" s="849">
        <v>49.849998474121094</v>
      </c>
      <c r="J446" s="849">
        <v>36</v>
      </c>
      <c r="K446" s="850">
        <v>1794.68994140625</v>
      </c>
    </row>
    <row r="447" spans="1:11" ht="14.45" customHeight="1" x14ac:dyDescent="0.2">
      <c r="A447" s="831" t="s">
        <v>570</v>
      </c>
      <c r="B447" s="832" t="s">
        <v>571</v>
      </c>
      <c r="C447" s="835" t="s">
        <v>596</v>
      </c>
      <c r="D447" s="863" t="s">
        <v>597</v>
      </c>
      <c r="E447" s="835" t="s">
        <v>1800</v>
      </c>
      <c r="F447" s="863" t="s">
        <v>1801</v>
      </c>
      <c r="G447" s="835" t="s">
        <v>1802</v>
      </c>
      <c r="H447" s="835" t="s">
        <v>1803</v>
      </c>
      <c r="I447" s="849">
        <v>0.47999998927116394</v>
      </c>
      <c r="J447" s="849">
        <v>100</v>
      </c>
      <c r="K447" s="850">
        <v>48</v>
      </c>
    </row>
    <row r="448" spans="1:11" ht="14.45" customHeight="1" x14ac:dyDescent="0.2">
      <c r="A448" s="831" t="s">
        <v>570</v>
      </c>
      <c r="B448" s="832" t="s">
        <v>571</v>
      </c>
      <c r="C448" s="835" t="s">
        <v>596</v>
      </c>
      <c r="D448" s="863" t="s">
        <v>597</v>
      </c>
      <c r="E448" s="835" t="s">
        <v>1800</v>
      </c>
      <c r="F448" s="863" t="s">
        <v>1801</v>
      </c>
      <c r="G448" s="835" t="s">
        <v>1804</v>
      </c>
      <c r="H448" s="835" t="s">
        <v>1805</v>
      </c>
      <c r="I448" s="849">
        <v>0.30000001192092896</v>
      </c>
      <c r="J448" s="849">
        <v>200</v>
      </c>
      <c r="K448" s="850">
        <v>60.709999084472656</v>
      </c>
    </row>
    <row r="449" spans="1:11" ht="14.45" customHeight="1" x14ac:dyDescent="0.2">
      <c r="A449" s="831" t="s">
        <v>570</v>
      </c>
      <c r="B449" s="832" t="s">
        <v>571</v>
      </c>
      <c r="C449" s="835" t="s">
        <v>596</v>
      </c>
      <c r="D449" s="863" t="s">
        <v>597</v>
      </c>
      <c r="E449" s="835" t="s">
        <v>1800</v>
      </c>
      <c r="F449" s="863" t="s">
        <v>1801</v>
      </c>
      <c r="G449" s="835" t="s">
        <v>1811</v>
      </c>
      <c r="H449" s="835" t="s">
        <v>2253</v>
      </c>
      <c r="I449" s="849">
        <v>0.30000001192092896</v>
      </c>
      <c r="J449" s="849">
        <v>700</v>
      </c>
      <c r="K449" s="850">
        <v>210</v>
      </c>
    </row>
    <row r="450" spans="1:11" ht="14.45" customHeight="1" x14ac:dyDescent="0.2">
      <c r="A450" s="831" t="s">
        <v>570</v>
      </c>
      <c r="B450" s="832" t="s">
        <v>571</v>
      </c>
      <c r="C450" s="835" t="s">
        <v>596</v>
      </c>
      <c r="D450" s="863" t="s">
        <v>597</v>
      </c>
      <c r="E450" s="835" t="s">
        <v>1800</v>
      </c>
      <c r="F450" s="863" t="s">
        <v>1801</v>
      </c>
      <c r="G450" s="835" t="s">
        <v>1806</v>
      </c>
      <c r="H450" s="835" t="s">
        <v>1807</v>
      </c>
      <c r="I450" s="849">
        <v>0.54500001668930054</v>
      </c>
      <c r="J450" s="849">
        <v>1200</v>
      </c>
      <c r="K450" s="850">
        <v>654</v>
      </c>
    </row>
    <row r="451" spans="1:11" ht="14.45" customHeight="1" x14ac:dyDescent="0.2">
      <c r="A451" s="831" t="s">
        <v>570</v>
      </c>
      <c r="B451" s="832" t="s">
        <v>571</v>
      </c>
      <c r="C451" s="835" t="s">
        <v>596</v>
      </c>
      <c r="D451" s="863" t="s">
        <v>597</v>
      </c>
      <c r="E451" s="835" t="s">
        <v>1800</v>
      </c>
      <c r="F451" s="863" t="s">
        <v>1801</v>
      </c>
      <c r="G451" s="835" t="s">
        <v>1802</v>
      </c>
      <c r="H451" s="835" t="s">
        <v>2254</v>
      </c>
      <c r="I451" s="849">
        <v>0.47999998927116394</v>
      </c>
      <c r="J451" s="849">
        <v>500</v>
      </c>
      <c r="K451" s="850">
        <v>240</v>
      </c>
    </row>
    <row r="452" spans="1:11" ht="14.45" customHeight="1" x14ac:dyDescent="0.2">
      <c r="A452" s="831" t="s">
        <v>570</v>
      </c>
      <c r="B452" s="832" t="s">
        <v>571</v>
      </c>
      <c r="C452" s="835" t="s">
        <v>596</v>
      </c>
      <c r="D452" s="863" t="s">
        <v>597</v>
      </c>
      <c r="E452" s="835" t="s">
        <v>1800</v>
      </c>
      <c r="F452" s="863" t="s">
        <v>1801</v>
      </c>
      <c r="G452" s="835" t="s">
        <v>1811</v>
      </c>
      <c r="H452" s="835" t="s">
        <v>1812</v>
      </c>
      <c r="I452" s="849">
        <v>0.30142858198710848</v>
      </c>
      <c r="J452" s="849">
        <v>1500</v>
      </c>
      <c r="K452" s="850">
        <v>454</v>
      </c>
    </row>
    <row r="453" spans="1:11" ht="14.45" customHeight="1" x14ac:dyDescent="0.2">
      <c r="A453" s="831" t="s">
        <v>570</v>
      </c>
      <c r="B453" s="832" t="s">
        <v>571</v>
      </c>
      <c r="C453" s="835" t="s">
        <v>596</v>
      </c>
      <c r="D453" s="863" t="s">
        <v>597</v>
      </c>
      <c r="E453" s="835" t="s">
        <v>1800</v>
      </c>
      <c r="F453" s="863" t="s">
        <v>1801</v>
      </c>
      <c r="G453" s="835" t="s">
        <v>1806</v>
      </c>
      <c r="H453" s="835" t="s">
        <v>2255</v>
      </c>
      <c r="I453" s="849">
        <v>0.54428573165621075</v>
      </c>
      <c r="J453" s="849">
        <v>2200</v>
      </c>
      <c r="K453" s="850">
        <v>1195</v>
      </c>
    </row>
    <row r="454" spans="1:11" ht="14.45" customHeight="1" x14ac:dyDescent="0.2">
      <c r="A454" s="831" t="s">
        <v>570</v>
      </c>
      <c r="B454" s="832" t="s">
        <v>571</v>
      </c>
      <c r="C454" s="835" t="s">
        <v>596</v>
      </c>
      <c r="D454" s="863" t="s">
        <v>597</v>
      </c>
      <c r="E454" s="835" t="s">
        <v>1813</v>
      </c>
      <c r="F454" s="863" t="s">
        <v>1814</v>
      </c>
      <c r="G454" s="835" t="s">
        <v>1815</v>
      </c>
      <c r="H454" s="835" t="s">
        <v>1816</v>
      </c>
      <c r="I454" s="849">
        <v>15.729999542236328</v>
      </c>
      <c r="J454" s="849">
        <v>50</v>
      </c>
      <c r="K454" s="850">
        <v>786.5</v>
      </c>
    </row>
    <row r="455" spans="1:11" ht="14.45" customHeight="1" x14ac:dyDescent="0.2">
      <c r="A455" s="831" t="s">
        <v>570</v>
      </c>
      <c r="B455" s="832" t="s">
        <v>571</v>
      </c>
      <c r="C455" s="835" t="s">
        <v>596</v>
      </c>
      <c r="D455" s="863" t="s">
        <v>597</v>
      </c>
      <c r="E455" s="835" t="s">
        <v>1813</v>
      </c>
      <c r="F455" s="863" t="s">
        <v>1814</v>
      </c>
      <c r="G455" s="835" t="s">
        <v>1817</v>
      </c>
      <c r="H455" s="835" t="s">
        <v>1818</v>
      </c>
      <c r="I455" s="849">
        <v>15.729999542236328</v>
      </c>
      <c r="J455" s="849">
        <v>200</v>
      </c>
      <c r="K455" s="850">
        <v>3146</v>
      </c>
    </row>
    <row r="456" spans="1:11" ht="14.45" customHeight="1" x14ac:dyDescent="0.2">
      <c r="A456" s="831" t="s">
        <v>570</v>
      </c>
      <c r="B456" s="832" t="s">
        <v>571</v>
      </c>
      <c r="C456" s="835" t="s">
        <v>596</v>
      </c>
      <c r="D456" s="863" t="s">
        <v>597</v>
      </c>
      <c r="E456" s="835" t="s">
        <v>1813</v>
      </c>
      <c r="F456" s="863" t="s">
        <v>1814</v>
      </c>
      <c r="G456" s="835" t="s">
        <v>2256</v>
      </c>
      <c r="H456" s="835" t="s">
        <v>2257</v>
      </c>
      <c r="I456" s="849">
        <v>15.729999542236328</v>
      </c>
      <c r="J456" s="849">
        <v>100</v>
      </c>
      <c r="K456" s="850">
        <v>1573</v>
      </c>
    </row>
    <row r="457" spans="1:11" ht="14.45" customHeight="1" x14ac:dyDescent="0.2">
      <c r="A457" s="831" t="s">
        <v>570</v>
      </c>
      <c r="B457" s="832" t="s">
        <v>571</v>
      </c>
      <c r="C457" s="835" t="s">
        <v>596</v>
      </c>
      <c r="D457" s="863" t="s">
        <v>597</v>
      </c>
      <c r="E457" s="835" t="s">
        <v>1813</v>
      </c>
      <c r="F457" s="863" t="s">
        <v>1814</v>
      </c>
      <c r="G457" s="835" t="s">
        <v>2258</v>
      </c>
      <c r="H457" s="835" t="s">
        <v>2259</v>
      </c>
      <c r="I457" s="849">
        <v>15.729999542236328</v>
      </c>
      <c r="J457" s="849">
        <v>100</v>
      </c>
      <c r="K457" s="850">
        <v>1573</v>
      </c>
    </row>
    <row r="458" spans="1:11" ht="14.45" customHeight="1" x14ac:dyDescent="0.2">
      <c r="A458" s="831" t="s">
        <v>570</v>
      </c>
      <c r="B458" s="832" t="s">
        <v>571</v>
      </c>
      <c r="C458" s="835" t="s">
        <v>596</v>
      </c>
      <c r="D458" s="863" t="s">
        <v>597</v>
      </c>
      <c r="E458" s="835" t="s">
        <v>1813</v>
      </c>
      <c r="F458" s="863" t="s">
        <v>1814</v>
      </c>
      <c r="G458" s="835" t="s">
        <v>1815</v>
      </c>
      <c r="H458" s="835" t="s">
        <v>1819</v>
      </c>
      <c r="I458" s="849">
        <v>15.729999542236328</v>
      </c>
      <c r="J458" s="849">
        <v>200</v>
      </c>
      <c r="K458" s="850">
        <v>3146</v>
      </c>
    </row>
    <row r="459" spans="1:11" ht="14.45" customHeight="1" x14ac:dyDescent="0.2">
      <c r="A459" s="831" t="s">
        <v>570</v>
      </c>
      <c r="B459" s="832" t="s">
        <v>571</v>
      </c>
      <c r="C459" s="835" t="s">
        <v>596</v>
      </c>
      <c r="D459" s="863" t="s">
        <v>597</v>
      </c>
      <c r="E459" s="835" t="s">
        <v>1813</v>
      </c>
      <c r="F459" s="863" t="s">
        <v>1814</v>
      </c>
      <c r="G459" s="835" t="s">
        <v>1817</v>
      </c>
      <c r="H459" s="835" t="s">
        <v>1820</v>
      </c>
      <c r="I459" s="849">
        <v>15.729999542236328</v>
      </c>
      <c r="J459" s="849">
        <v>600</v>
      </c>
      <c r="K459" s="850">
        <v>9438</v>
      </c>
    </row>
    <row r="460" spans="1:11" ht="14.45" customHeight="1" x14ac:dyDescent="0.2">
      <c r="A460" s="831" t="s">
        <v>570</v>
      </c>
      <c r="B460" s="832" t="s">
        <v>571</v>
      </c>
      <c r="C460" s="835" t="s">
        <v>596</v>
      </c>
      <c r="D460" s="863" t="s">
        <v>597</v>
      </c>
      <c r="E460" s="835" t="s">
        <v>1813</v>
      </c>
      <c r="F460" s="863" t="s">
        <v>1814</v>
      </c>
      <c r="G460" s="835" t="s">
        <v>2256</v>
      </c>
      <c r="H460" s="835" t="s">
        <v>2260</v>
      </c>
      <c r="I460" s="849">
        <v>15.729999542236328</v>
      </c>
      <c r="J460" s="849">
        <v>50</v>
      </c>
      <c r="K460" s="850">
        <v>786.5</v>
      </c>
    </row>
    <row r="461" spans="1:11" ht="14.45" customHeight="1" x14ac:dyDescent="0.2">
      <c r="A461" s="831" t="s">
        <v>570</v>
      </c>
      <c r="B461" s="832" t="s">
        <v>571</v>
      </c>
      <c r="C461" s="835" t="s">
        <v>596</v>
      </c>
      <c r="D461" s="863" t="s">
        <v>597</v>
      </c>
      <c r="E461" s="835" t="s">
        <v>1813</v>
      </c>
      <c r="F461" s="863" t="s">
        <v>1814</v>
      </c>
      <c r="G461" s="835" t="s">
        <v>2261</v>
      </c>
      <c r="H461" s="835" t="s">
        <v>2262</v>
      </c>
      <c r="I461" s="849">
        <v>15.720000267028809</v>
      </c>
      <c r="J461" s="849">
        <v>50</v>
      </c>
      <c r="K461" s="850">
        <v>786</v>
      </c>
    </row>
    <row r="462" spans="1:11" ht="14.45" customHeight="1" x14ac:dyDescent="0.2">
      <c r="A462" s="831" t="s">
        <v>570</v>
      </c>
      <c r="B462" s="832" t="s">
        <v>571</v>
      </c>
      <c r="C462" s="835" t="s">
        <v>596</v>
      </c>
      <c r="D462" s="863" t="s">
        <v>597</v>
      </c>
      <c r="E462" s="835" t="s">
        <v>1813</v>
      </c>
      <c r="F462" s="863" t="s">
        <v>1814</v>
      </c>
      <c r="G462" s="835" t="s">
        <v>2258</v>
      </c>
      <c r="H462" s="835" t="s">
        <v>2263</v>
      </c>
      <c r="I462" s="849">
        <v>15.729999542236328</v>
      </c>
      <c r="J462" s="849">
        <v>100</v>
      </c>
      <c r="K462" s="850">
        <v>1573</v>
      </c>
    </row>
    <row r="463" spans="1:11" ht="14.45" customHeight="1" x14ac:dyDescent="0.2">
      <c r="A463" s="831" t="s">
        <v>570</v>
      </c>
      <c r="B463" s="832" t="s">
        <v>571</v>
      </c>
      <c r="C463" s="835" t="s">
        <v>596</v>
      </c>
      <c r="D463" s="863" t="s">
        <v>597</v>
      </c>
      <c r="E463" s="835" t="s">
        <v>1813</v>
      </c>
      <c r="F463" s="863" t="s">
        <v>1814</v>
      </c>
      <c r="G463" s="835" t="s">
        <v>1821</v>
      </c>
      <c r="H463" s="835" t="s">
        <v>1822</v>
      </c>
      <c r="I463" s="849">
        <v>0.625</v>
      </c>
      <c r="J463" s="849">
        <v>400</v>
      </c>
      <c r="K463" s="850">
        <v>250</v>
      </c>
    </row>
    <row r="464" spans="1:11" ht="14.45" customHeight="1" x14ac:dyDescent="0.2">
      <c r="A464" s="831" t="s">
        <v>570</v>
      </c>
      <c r="B464" s="832" t="s">
        <v>571</v>
      </c>
      <c r="C464" s="835" t="s">
        <v>596</v>
      </c>
      <c r="D464" s="863" t="s">
        <v>597</v>
      </c>
      <c r="E464" s="835" t="s">
        <v>1813</v>
      </c>
      <c r="F464" s="863" t="s">
        <v>1814</v>
      </c>
      <c r="G464" s="835" t="s">
        <v>1823</v>
      </c>
      <c r="H464" s="835" t="s">
        <v>1824</v>
      </c>
      <c r="I464" s="849">
        <v>0.62999999523162842</v>
      </c>
      <c r="J464" s="849">
        <v>26200</v>
      </c>
      <c r="K464" s="850">
        <v>16506</v>
      </c>
    </row>
    <row r="465" spans="1:11" ht="14.45" customHeight="1" x14ac:dyDescent="0.2">
      <c r="A465" s="831" t="s">
        <v>570</v>
      </c>
      <c r="B465" s="832" t="s">
        <v>571</v>
      </c>
      <c r="C465" s="835" t="s">
        <v>596</v>
      </c>
      <c r="D465" s="863" t="s">
        <v>597</v>
      </c>
      <c r="E465" s="835" t="s">
        <v>1813</v>
      </c>
      <c r="F465" s="863" t="s">
        <v>1814</v>
      </c>
      <c r="G465" s="835" t="s">
        <v>2264</v>
      </c>
      <c r="H465" s="835" t="s">
        <v>2265</v>
      </c>
      <c r="I465" s="849">
        <v>0.62999999523162842</v>
      </c>
      <c r="J465" s="849">
        <v>170</v>
      </c>
      <c r="K465" s="850">
        <v>107.09999847412109</v>
      </c>
    </row>
    <row r="466" spans="1:11" ht="14.45" customHeight="1" x14ac:dyDescent="0.2">
      <c r="A466" s="831" t="s">
        <v>570</v>
      </c>
      <c r="B466" s="832" t="s">
        <v>571</v>
      </c>
      <c r="C466" s="835" t="s">
        <v>596</v>
      </c>
      <c r="D466" s="863" t="s">
        <v>597</v>
      </c>
      <c r="E466" s="835" t="s">
        <v>1813</v>
      </c>
      <c r="F466" s="863" t="s">
        <v>1814</v>
      </c>
      <c r="G466" s="835" t="s">
        <v>1825</v>
      </c>
      <c r="H466" s="835" t="s">
        <v>1826</v>
      </c>
      <c r="I466" s="849">
        <v>0.89999997615814209</v>
      </c>
      <c r="J466" s="849">
        <v>1000</v>
      </c>
      <c r="K466" s="850">
        <v>896.32000732421875</v>
      </c>
    </row>
    <row r="467" spans="1:11" ht="14.45" customHeight="1" x14ac:dyDescent="0.2">
      <c r="A467" s="831" t="s">
        <v>570</v>
      </c>
      <c r="B467" s="832" t="s">
        <v>571</v>
      </c>
      <c r="C467" s="835" t="s">
        <v>596</v>
      </c>
      <c r="D467" s="863" t="s">
        <v>597</v>
      </c>
      <c r="E467" s="835" t="s">
        <v>1813</v>
      </c>
      <c r="F467" s="863" t="s">
        <v>1814</v>
      </c>
      <c r="G467" s="835" t="s">
        <v>1821</v>
      </c>
      <c r="H467" s="835" t="s">
        <v>1827</v>
      </c>
      <c r="I467" s="849">
        <v>0.62999999523162842</v>
      </c>
      <c r="J467" s="849">
        <v>400</v>
      </c>
      <c r="K467" s="850">
        <v>252</v>
      </c>
    </row>
    <row r="468" spans="1:11" ht="14.45" customHeight="1" x14ac:dyDescent="0.2">
      <c r="A468" s="831" t="s">
        <v>570</v>
      </c>
      <c r="B468" s="832" t="s">
        <v>571</v>
      </c>
      <c r="C468" s="835" t="s">
        <v>596</v>
      </c>
      <c r="D468" s="863" t="s">
        <v>597</v>
      </c>
      <c r="E468" s="835" t="s">
        <v>1813</v>
      </c>
      <c r="F468" s="863" t="s">
        <v>1814</v>
      </c>
      <c r="G468" s="835" t="s">
        <v>1823</v>
      </c>
      <c r="H468" s="835" t="s">
        <v>1828</v>
      </c>
      <c r="I468" s="849">
        <v>0.62999999523162842</v>
      </c>
      <c r="J468" s="849">
        <v>37000</v>
      </c>
      <c r="K468" s="850">
        <v>23310</v>
      </c>
    </row>
    <row r="469" spans="1:11" ht="14.45" customHeight="1" x14ac:dyDescent="0.2">
      <c r="A469" s="831" t="s">
        <v>570</v>
      </c>
      <c r="B469" s="832" t="s">
        <v>571</v>
      </c>
      <c r="C469" s="835" t="s">
        <v>596</v>
      </c>
      <c r="D469" s="863" t="s">
        <v>597</v>
      </c>
      <c r="E469" s="835" t="s">
        <v>1813</v>
      </c>
      <c r="F469" s="863" t="s">
        <v>1814</v>
      </c>
      <c r="G469" s="835" t="s">
        <v>1825</v>
      </c>
      <c r="H469" s="835" t="s">
        <v>1829</v>
      </c>
      <c r="I469" s="849">
        <v>0.89999997615814209</v>
      </c>
      <c r="J469" s="849">
        <v>1000</v>
      </c>
      <c r="K469" s="850">
        <v>895.40000915527344</v>
      </c>
    </row>
    <row r="470" spans="1:11" ht="14.45" customHeight="1" x14ac:dyDescent="0.2">
      <c r="A470" s="831" t="s">
        <v>570</v>
      </c>
      <c r="B470" s="832" t="s">
        <v>571</v>
      </c>
      <c r="C470" s="835" t="s">
        <v>596</v>
      </c>
      <c r="D470" s="863" t="s">
        <v>597</v>
      </c>
      <c r="E470" s="835" t="s">
        <v>2266</v>
      </c>
      <c r="F470" s="863" t="s">
        <v>2267</v>
      </c>
      <c r="G470" s="835" t="s">
        <v>2268</v>
      </c>
      <c r="H470" s="835" t="s">
        <v>2269</v>
      </c>
      <c r="I470" s="849">
        <v>629.20001220703125</v>
      </c>
      <c r="J470" s="849">
        <v>10</v>
      </c>
      <c r="K470" s="850">
        <v>6292</v>
      </c>
    </row>
    <row r="471" spans="1:11" ht="14.45" customHeight="1" x14ac:dyDescent="0.2">
      <c r="A471" s="831" t="s">
        <v>570</v>
      </c>
      <c r="B471" s="832" t="s">
        <v>571</v>
      </c>
      <c r="C471" s="835" t="s">
        <v>596</v>
      </c>
      <c r="D471" s="863" t="s">
        <v>597</v>
      </c>
      <c r="E471" s="835" t="s">
        <v>2266</v>
      </c>
      <c r="F471" s="863" t="s">
        <v>2267</v>
      </c>
      <c r="G471" s="835" t="s">
        <v>2270</v>
      </c>
      <c r="H471" s="835" t="s">
        <v>2271</v>
      </c>
      <c r="I471" s="849">
        <v>592.9000244140625</v>
      </c>
      <c r="J471" s="849">
        <v>10</v>
      </c>
      <c r="K471" s="850">
        <v>5929</v>
      </c>
    </row>
    <row r="472" spans="1:11" ht="14.45" customHeight="1" x14ac:dyDescent="0.2">
      <c r="A472" s="831" t="s">
        <v>570</v>
      </c>
      <c r="B472" s="832" t="s">
        <v>571</v>
      </c>
      <c r="C472" s="835" t="s">
        <v>596</v>
      </c>
      <c r="D472" s="863" t="s">
        <v>597</v>
      </c>
      <c r="E472" s="835" t="s">
        <v>2266</v>
      </c>
      <c r="F472" s="863" t="s">
        <v>2267</v>
      </c>
      <c r="G472" s="835" t="s">
        <v>2268</v>
      </c>
      <c r="H472" s="835" t="s">
        <v>2272</v>
      </c>
      <c r="I472" s="849">
        <v>629.20001220703125</v>
      </c>
      <c r="J472" s="849">
        <v>10</v>
      </c>
      <c r="K472" s="850">
        <v>6292</v>
      </c>
    </row>
    <row r="473" spans="1:11" ht="14.45" customHeight="1" x14ac:dyDescent="0.2">
      <c r="A473" s="831" t="s">
        <v>570</v>
      </c>
      <c r="B473" s="832" t="s">
        <v>571</v>
      </c>
      <c r="C473" s="835" t="s">
        <v>596</v>
      </c>
      <c r="D473" s="863" t="s">
        <v>597</v>
      </c>
      <c r="E473" s="835" t="s">
        <v>2266</v>
      </c>
      <c r="F473" s="863" t="s">
        <v>2267</v>
      </c>
      <c r="G473" s="835" t="s">
        <v>2270</v>
      </c>
      <c r="H473" s="835" t="s">
        <v>2273</v>
      </c>
      <c r="I473" s="849">
        <v>592.9000244140625</v>
      </c>
      <c r="J473" s="849">
        <v>8</v>
      </c>
      <c r="K473" s="850">
        <v>4743.2001953125</v>
      </c>
    </row>
    <row r="474" spans="1:11" ht="14.45" customHeight="1" x14ac:dyDescent="0.2">
      <c r="A474" s="831" t="s">
        <v>570</v>
      </c>
      <c r="B474" s="832" t="s">
        <v>571</v>
      </c>
      <c r="C474" s="835" t="s">
        <v>596</v>
      </c>
      <c r="D474" s="863" t="s">
        <v>597</v>
      </c>
      <c r="E474" s="835" t="s">
        <v>2266</v>
      </c>
      <c r="F474" s="863" t="s">
        <v>2267</v>
      </c>
      <c r="G474" s="835" t="s">
        <v>2274</v>
      </c>
      <c r="H474" s="835" t="s">
        <v>2275</v>
      </c>
      <c r="I474" s="849">
        <v>2178</v>
      </c>
      <c r="J474" s="849">
        <v>40</v>
      </c>
      <c r="K474" s="850">
        <v>87120</v>
      </c>
    </row>
    <row r="475" spans="1:11" ht="14.45" customHeight="1" x14ac:dyDescent="0.2">
      <c r="A475" s="831" t="s">
        <v>570</v>
      </c>
      <c r="B475" s="832" t="s">
        <v>571</v>
      </c>
      <c r="C475" s="835" t="s">
        <v>596</v>
      </c>
      <c r="D475" s="863" t="s">
        <v>597</v>
      </c>
      <c r="E475" s="835" t="s">
        <v>2266</v>
      </c>
      <c r="F475" s="863" t="s">
        <v>2267</v>
      </c>
      <c r="G475" s="835" t="s">
        <v>2276</v>
      </c>
      <c r="H475" s="835" t="s">
        <v>2277</v>
      </c>
      <c r="I475" s="849">
        <v>1694</v>
      </c>
      <c r="J475" s="849">
        <v>40</v>
      </c>
      <c r="K475" s="850">
        <v>67760</v>
      </c>
    </row>
    <row r="476" spans="1:11" ht="14.45" customHeight="1" x14ac:dyDescent="0.2">
      <c r="A476" s="831" t="s">
        <v>570</v>
      </c>
      <c r="B476" s="832" t="s">
        <v>571</v>
      </c>
      <c r="C476" s="835" t="s">
        <v>596</v>
      </c>
      <c r="D476" s="863" t="s">
        <v>597</v>
      </c>
      <c r="E476" s="835" t="s">
        <v>2278</v>
      </c>
      <c r="F476" s="863" t="s">
        <v>2279</v>
      </c>
      <c r="G476" s="835" t="s">
        <v>2280</v>
      </c>
      <c r="H476" s="835" t="s">
        <v>2281</v>
      </c>
      <c r="I476" s="849">
        <v>1494.3499755859375</v>
      </c>
      <c r="J476" s="849">
        <v>2</v>
      </c>
      <c r="K476" s="850">
        <v>2988.699951171875</v>
      </c>
    </row>
    <row r="477" spans="1:11" ht="14.45" customHeight="1" x14ac:dyDescent="0.2">
      <c r="A477" s="831" t="s">
        <v>570</v>
      </c>
      <c r="B477" s="832" t="s">
        <v>571</v>
      </c>
      <c r="C477" s="835" t="s">
        <v>596</v>
      </c>
      <c r="D477" s="863" t="s">
        <v>597</v>
      </c>
      <c r="E477" s="835" t="s">
        <v>2278</v>
      </c>
      <c r="F477" s="863" t="s">
        <v>2279</v>
      </c>
      <c r="G477" s="835" t="s">
        <v>2282</v>
      </c>
      <c r="H477" s="835" t="s">
        <v>2283</v>
      </c>
      <c r="I477" s="849">
        <v>5441.3701171875</v>
      </c>
      <c r="J477" s="849">
        <v>1</v>
      </c>
      <c r="K477" s="850">
        <v>5441.3701171875</v>
      </c>
    </row>
    <row r="478" spans="1:11" ht="14.45" customHeight="1" x14ac:dyDescent="0.2">
      <c r="A478" s="831" t="s">
        <v>570</v>
      </c>
      <c r="B478" s="832" t="s">
        <v>571</v>
      </c>
      <c r="C478" s="835" t="s">
        <v>596</v>
      </c>
      <c r="D478" s="863" t="s">
        <v>597</v>
      </c>
      <c r="E478" s="835" t="s">
        <v>2278</v>
      </c>
      <c r="F478" s="863" t="s">
        <v>2279</v>
      </c>
      <c r="G478" s="835" t="s">
        <v>2284</v>
      </c>
      <c r="H478" s="835" t="s">
        <v>2285</v>
      </c>
      <c r="I478" s="849">
        <v>88.099998474121094</v>
      </c>
      <c r="J478" s="849">
        <v>20</v>
      </c>
      <c r="K478" s="850">
        <v>1762</v>
      </c>
    </row>
    <row r="479" spans="1:11" ht="14.45" customHeight="1" x14ac:dyDescent="0.2">
      <c r="A479" s="831" t="s">
        <v>570</v>
      </c>
      <c r="B479" s="832" t="s">
        <v>571</v>
      </c>
      <c r="C479" s="835" t="s">
        <v>596</v>
      </c>
      <c r="D479" s="863" t="s">
        <v>597</v>
      </c>
      <c r="E479" s="835" t="s">
        <v>2278</v>
      </c>
      <c r="F479" s="863" t="s">
        <v>2279</v>
      </c>
      <c r="G479" s="835" t="s">
        <v>2286</v>
      </c>
      <c r="H479" s="835" t="s">
        <v>2287</v>
      </c>
      <c r="I479" s="849">
        <v>146.41000366210938</v>
      </c>
      <c r="J479" s="849">
        <v>30</v>
      </c>
      <c r="K479" s="850">
        <v>4392.2999267578125</v>
      </c>
    </row>
    <row r="480" spans="1:11" ht="14.45" customHeight="1" x14ac:dyDescent="0.2">
      <c r="A480" s="831" t="s">
        <v>570</v>
      </c>
      <c r="B480" s="832" t="s">
        <v>571</v>
      </c>
      <c r="C480" s="835" t="s">
        <v>596</v>
      </c>
      <c r="D480" s="863" t="s">
        <v>597</v>
      </c>
      <c r="E480" s="835" t="s">
        <v>2278</v>
      </c>
      <c r="F480" s="863" t="s">
        <v>2279</v>
      </c>
      <c r="G480" s="835" t="s">
        <v>2288</v>
      </c>
      <c r="H480" s="835" t="s">
        <v>2289</v>
      </c>
      <c r="I480" s="849">
        <v>342.30999755859375</v>
      </c>
      <c r="J480" s="849">
        <v>10</v>
      </c>
      <c r="K480" s="850">
        <v>3423.090087890625</v>
      </c>
    </row>
    <row r="481" spans="1:11" ht="14.45" customHeight="1" x14ac:dyDescent="0.2">
      <c r="A481" s="831" t="s">
        <v>570</v>
      </c>
      <c r="B481" s="832" t="s">
        <v>571</v>
      </c>
      <c r="C481" s="835" t="s">
        <v>596</v>
      </c>
      <c r="D481" s="863" t="s">
        <v>597</v>
      </c>
      <c r="E481" s="835" t="s">
        <v>2278</v>
      </c>
      <c r="F481" s="863" t="s">
        <v>2279</v>
      </c>
      <c r="G481" s="835" t="s">
        <v>2290</v>
      </c>
      <c r="H481" s="835" t="s">
        <v>2291</v>
      </c>
      <c r="I481" s="849">
        <v>1439.9200439453125</v>
      </c>
      <c r="J481" s="849">
        <v>5</v>
      </c>
      <c r="K481" s="850">
        <v>7199.60009765625</v>
      </c>
    </row>
    <row r="482" spans="1:11" ht="14.45" customHeight="1" x14ac:dyDescent="0.2">
      <c r="A482" s="831" t="s">
        <v>570</v>
      </c>
      <c r="B482" s="832" t="s">
        <v>571</v>
      </c>
      <c r="C482" s="835" t="s">
        <v>596</v>
      </c>
      <c r="D482" s="863" t="s">
        <v>597</v>
      </c>
      <c r="E482" s="835" t="s">
        <v>2278</v>
      </c>
      <c r="F482" s="863" t="s">
        <v>2279</v>
      </c>
      <c r="G482" s="835" t="s">
        <v>2292</v>
      </c>
      <c r="H482" s="835" t="s">
        <v>2293</v>
      </c>
      <c r="I482" s="849">
        <v>1056.3299560546875</v>
      </c>
      <c r="J482" s="849">
        <v>10</v>
      </c>
      <c r="K482" s="850">
        <v>10563.2998046875</v>
      </c>
    </row>
    <row r="483" spans="1:11" ht="14.45" customHeight="1" x14ac:dyDescent="0.2">
      <c r="A483" s="831" t="s">
        <v>570</v>
      </c>
      <c r="B483" s="832" t="s">
        <v>571</v>
      </c>
      <c r="C483" s="835" t="s">
        <v>596</v>
      </c>
      <c r="D483" s="863" t="s">
        <v>597</v>
      </c>
      <c r="E483" s="835" t="s">
        <v>2278</v>
      </c>
      <c r="F483" s="863" t="s">
        <v>2279</v>
      </c>
      <c r="G483" s="835" t="s">
        <v>2294</v>
      </c>
      <c r="H483" s="835" t="s">
        <v>2295</v>
      </c>
      <c r="I483" s="849">
        <v>470.69000244140625</v>
      </c>
      <c r="J483" s="849">
        <v>30</v>
      </c>
      <c r="K483" s="850">
        <v>14120.69970703125</v>
      </c>
    </row>
    <row r="484" spans="1:11" ht="14.45" customHeight="1" x14ac:dyDescent="0.2">
      <c r="A484" s="831" t="s">
        <v>570</v>
      </c>
      <c r="B484" s="832" t="s">
        <v>571</v>
      </c>
      <c r="C484" s="835" t="s">
        <v>596</v>
      </c>
      <c r="D484" s="863" t="s">
        <v>597</v>
      </c>
      <c r="E484" s="835" t="s">
        <v>2278</v>
      </c>
      <c r="F484" s="863" t="s">
        <v>2279</v>
      </c>
      <c r="G484" s="835" t="s">
        <v>2296</v>
      </c>
      <c r="H484" s="835" t="s">
        <v>2297</v>
      </c>
      <c r="I484" s="849">
        <v>3102.919921875</v>
      </c>
      <c r="J484" s="849">
        <v>25</v>
      </c>
      <c r="K484" s="850">
        <v>77573.1005859375</v>
      </c>
    </row>
    <row r="485" spans="1:11" ht="14.45" customHeight="1" x14ac:dyDescent="0.2">
      <c r="A485" s="831" t="s">
        <v>570</v>
      </c>
      <c r="B485" s="832" t="s">
        <v>571</v>
      </c>
      <c r="C485" s="835" t="s">
        <v>596</v>
      </c>
      <c r="D485" s="863" t="s">
        <v>597</v>
      </c>
      <c r="E485" s="835" t="s">
        <v>2278</v>
      </c>
      <c r="F485" s="863" t="s">
        <v>2279</v>
      </c>
      <c r="G485" s="835" t="s">
        <v>2298</v>
      </c>
      <c r="H485" s="835" t="s">
        <v>2299</v>
      </c>
      <c r="I485" s="849">
        <v>663.04667154947913</v>
      </c>
      <c r="J485" s="849">
        <v>20</v>
      </c>
      <c r="K485" s="850">
        <v>13261.079833984375</v>
      </c>
    </row>
    <row r="486" spans="1:11" ht="14.45" customHeight="1" x14ac:dyDescent="0.2">
      <c r="A486" s="831" t="s">
        <v>570</v>
      </c>
      <c r="B486" s="832" t="s">
        <v>571</v>
      </c>
      <c r="C486" s="835" t="s">
        <v>596</v>
      </c>
      <c r="D486" s="863" t="s">
        <v>597</v>
      </c>
      <c r="E486" s="835" t="s">
        <v>2278</v>
      </c>
      <c r="F486" s="863" t="s">
        <v>2279</v>
      </c>
      <c r="G486" s="835" t="s">
        <v>2300</v>
      </c>
      <c r="H486" s="835" t="s">
        <v>2301</v>
      </c>
      <c r="I486" s="849">
        <v>399.29998779296875</v>
      </c>
      <c r="J486" s="849">
        <v>20</v>
      </c>
      <c r="K486" s="850">
        <v>7986</v>
      </c>
    </row>
    <row r="487" spans="1:11" ht="14.45" customHeight="1" thickBot="1" x14ac:dyDescent="0.25">
      <c r="A487" s="839" t="s">
        <v>570</v>
      </c>
      <c r="B487" s="840" t="s">
        <v>571</v>
      </c>
      <c r="C487" s="843" t="s">
        <v>596</v>
      </c>
      <c r="D487" s="864" t="s">
        <v>597</v>
      </c>
      <c r="E487" s="843" t="s">
        <v>2278</v>
      </c>
      <c r="F487" s="864" t="s">
        <v>2279</v>
      </c>
      <c r="G487" s="843" t="s">
        <v>2302</v>
      </c>
      <c r="H487" s="843" t="s">
        <v>2303</v>
      </c>
      <c r="I487" s="851">
        <v>5832.2001953125</v>
      </c>
      <c r="J487" s="851">
        <v>2</v>
      </c>
      <c r="K487" s="852">
        <v>11664.400390625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6415B01C-DF18-4E3A-8A39-31706B5B8642}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8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460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370" customWidth="1"/>
    <col min="18" max="18" width="7.28515625" style="459" customWidth="1"/>
    <col min="19" max="19" width="8" style="370" customWidth="1"/>
    <col min="21" max="21" width="11.28515625" bestFit="1" customWidth="1"/>
  </cols>
  <sheetData>
    <row r="1" spans="1:19" ht="19.5" thickBot="1" x14ac:dyDescent="0.35">
      <c r="A1" s="598" t="s">
        <v>129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</row>
    <row r="2" spans="1:19" ht="15.75" thickBot="1" x14ac:dyDescent="0.3">
      <c r="A2" s="371" t="s">
        <v>328</v>
      </c>
      <c r="B2" s="372"/>
    </row>
    <row r="3" spans="1:19" x14ac:dyDescent="0.25">
      <c r="A3" s="610" t="s">
        <v>235</v>
      </c>
      <c r="B3" s="611"/>
      <c r="C3" s="612" t="s">
        <v>224</v>
      </c>
      <c r="D3" s="613"/>
      <c r="E3" s="613"/>
      <c r="F3" s="614"/>
      <c r="G3" s="615" t="s">
        <v>225</v>
      </c>
      <c r="H3" s="616"/>
      <c r="I3" s="616"/>
      <c r="J3" s="617"/>
      <c r="K3" s="618" t="s">
        <v>234</v>
      </c>
      <c r="L3" s="619"/>
      <c r="M3" s="619"/>
      <c r="N3" s="619"/>
      <c r="O3" s="620"/>
      <c r="P3" s="616" t="s">
        <v>299</v>
      </c>
      <c r="Q3" s="616"/>
      <c r="R3" s="616"/>
      <c r="S3" s="617"/>
    </row>
    <row r="4" spans="1:19" ht="15.75" thickBot="1" x14ac:dyDescent="0.3">
      <c r="A4" s="590">
        <v>2019</v>
      </c>
      <c r="B4" s="591"/>
      <c r="C4" s="592" t="s">
        <v>298</v>
      </c>
      <c r="D4" s="594" t="s">
        <v>130</v>
      </c>
      <c r="E4" s="594" t="s">
        <v>95</v>
      </c>
      <c r="F4" s="596" t="s">
        <v>68</v>
      </c>
      <c r="G4" s="584" t="s">
        <v>226</v>
      </c>
      <c r="H4" s="586" t="s">
        <v>230</v>
      </c>
      <c r="I4" s="586" t="s">
        <v>297</v>
      </c>
      <c r="J4" s="588" t="s">
        <v>227</v>
      </c>
      <c r="K4" s="607" t="s">
        <v>296</v>
      </c>
      <c r="L4" s="608"/>
      <c r="M4" s="608"/>
      <c r="N4" s="609"/>
      <c r="O4" s="596" t="s">
        <v>295</v>
      </c>
      <c r="P4" s="599" t="s">
        <v>294</v>
      </c>
      <c r="Q4" s="599" t="s">
        <v>237</v>
      </c>
      <c r="R4" s="601" t="s">
        <v>95</v>
      </c>
      <c r="S4" s="603" t="s">
        <v>236</v>
      </c>
    </row>
    <row r="5" spans="1:19" s="494" customFormat="1" ht="19.149999999999999" customHeight="1" x14ac:dyDescent="0.25">
      <c r="A5" s="605" t="s">
        <v>293</v>
      </c>
      <c r="B5" s="606"/>
      <c r="C5" s="593"/>
      <c r="D5" s="595"/>
      <c r="E5" s="595"/>
      <c r="F5" s="597"/>
      <c r="G5" s="585"/>
      <c r="H5" s="587"/>
      <c r="I5" s="587"/>
      <c r="J5" s="589"/>
      <c r="K5" s="497" t="s">
        <v>228</v>
      </c>
      <c r="L5" s="496" t="s">
        <v>229</v>
      </c>
      <c r="M5" s="496" t="s">
        <v>292</v>
      </c>
      <c r="N5" s="495" t="s">
        <v>3</v>
      </c>
      <c r="O5" s="597"/>
      <c r="P5" s="600"/>
      <c r="Q5" s="600"/>
      <c r="R5" s="602"/>
      <c r="S5" s="604"/>
    </row>
    <row r="6" spans="1:19" ht="15.75" thickBot="1" x14ac:dyDescent="0.3">
      <c r="A6" s="582" t="s">
        <v>223</v>
      </c>
      <c r="B6" s="583"/>
      <c r="C6" s="493">
        <f ca="1">SUM(Tabulka[01 uv_sk])/2</f>
        <v>72.224700000000013</v>
      </c>
      <c r="D6" s="491"/>
      <c r="E6" s="491"/>
      <c r="F6" s="490"/>
      <c r="G6" s="492">
        <f ca="1">SUM(Tabulka[05 h_vram])/2</f>
        <v>93333.01</v>
      </c>
      <c r="H6" s="491">
        <f ca="1">SUM(Tabulka[06 h_naduv])/2</f>
        <v>4920.5</v>
      </c>
      <c r="I6" s="491">
        <f ca="1">SUM(Tabulka[07 h_nadzk])/2</f>
        <v>3897.5</v>
      </c>
      <c r="J6" s="490">
        <f ca="1">SUM(Tabulka[08 h_oon])/2</f>
        <v>483</v>
      </c>
      <c r="K6" s="492">
        <f ca="1">SUM(Tabulka[09 m_kl])/2</f>
        <v>0</v>
      </c>
      <c r="L6" s="491">
        <f ca="1">SUM(Tabulka[10 m_gr])/2</f>
        <v>0</v>
      </c>
      <c r="M6" s="491">
        <f ca="1">SUM(Tabulka[11 m_jo])/2</f>
        <v>1495219</v>
      </c>
      <c r="N6" s="491">
        <f ca="1">SUM(Tabulka[12 m_oc])/2</f>
        <v>1495219</v>
      </c>
      <c r="O6" s="490">
        <f ca="1">SUM(Tabulka[13 m_sk])/2</f>
        <v>37363420</v>
      </c>
      <c r="P6" s="489">
        <f ca="1">SUM(Tabulka[14_vzsk])/2</f>
        <v>65061</v>
      </c>
      <c r="Q6" s="489">
        <f ca="1">SUM(Tabulka[15_vzpl])/2</f>
        <v>71151.026392961881</v>
      </c>
      <c r="R6" s="488">
        <f ca="1">IF(Q6=0,0,P6/Q6)</f>
        <v>0.91440704791344662</v>
      </c>
      <c r="S6" s="487">
        <f ca="1">Q6-P6</f>
        <v>6090.0263929618814</v>
      </c>
    </row>
    <row r="7" spans="1:19" hidden="1" x14ac:dyDescent="0.25">
      <c r="A7" s="486" t="s">
        <v>291</v>
      </c>
      <c r="B7" s="485" t="s">
        <v>290</v>
      </c>
      <c r="C7" s="484" t="s">
        <v>289</v>
      </c>
      <c r="D7" s="483" t="s">
        <v>288</v>
      </c>
      <c r="E7" s="482" t="s">
        <v>287</v>
      </c>
      <c r="F7" s="481" t="s">
        <v>286</v>
      </c>
      <c r="G7" s="480" t="s">
        <v>285</v>
      </c>
      <c r="H7" s="478" t="s">
        <v>284</v>
      </c>
      <c r="I7" s="478" t="s">
        <v>283</v>
      </c>
      <c r="J7" s="477" t="s">
        <v>282</v>
      </c>
      <c r="K7" s="479" t="s">
        <v>281</v>
      </c>
      <c r="L7" s="478" t="s">
        <v>280</v>
      </c>
      <c r="M7" s="478" t="s">
        <v>279</v>
      </c>
      <c r="N7" s="477" t="s">
        <v>278</v>
      </c>
      <c r="O7" s="476" t="s">
        <v>277</v>
      </c>
      <c r="P7" s="475" t="s">
        <v>276</v>
      </c>
      <c r="Q7" s="474" t="s">
        <v>275</v>
      </c>
      <c r="R7" s="473" t="s">
        <v>274</v>
      </c>
      <c r="S7" s="472" t="s">
        <v>273</v>
      </c>
    </row>
    <row r="8" spans="1:19" x14ac:dyDescent="0.25">
      <c r="A8" s="469" t="s">
        <v>272</v>
      </c>
      <c r="B8" s="468"/>
      <c r="C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10.86358888888889</v>
      </c>
      <c r="D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14875.200000000003</v>
      </c>
      <c r="H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2501</v>
      </c>
      <c r="I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92.5</v>
      </c>
      <c r="J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395.5</v>
      </c>
      <c r="K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542068</v>
      </c>
      <c r="N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542068</v>
      </c>
      <c r="O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9593151</v>
      </c>
      <c r="P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34100</v>
      </c>
      <c r="Q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22401.026392961881</v>
      </c>
      <c r="R8" s="471">
        <f ca="1">IF(Tabulka[[#This Row],[15_vzpl]]=0,"",Tabulka[[#This Row],[14_vzsk]]/Tabulka[[#This Row],[15_vzpl]])</f>
        <v>1.5222516773032233</v>
      </c>
      <c r="S8" s="470">
        <f ca="1">IF(Tabulka[[#This Row],[15_vzpl]]-Tabulka[[#This Row],[14_vzsk]]=0,"",Tabulka[[#This Row],[15_vzpl]]-Tabulka[[#This Row],[14_vzsk]])</f>
        <v>-11698.973607038119</v>
      </c>
    </row>
    <row r="9" spans="1:19" x14ac:dyDescent="0.25">
      <c r="A9" s="469">
        <v>99</v>
      </c>
      <c r="B9" s="468" t="s">
        <v>2318</v>
      </c>
      <c r="C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2.4222222222222225</v>
      </c>
      <c r="D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3267.2</v>
      </c>
      <c r="H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543</v>
      </c>
      <c r="I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</v>
      </c>
      <c r="J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184</v>
      </c>
      <c r="K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46319</v>
      </c>
      <c r="N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46319</v>
      </c>
      <c r="O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1293299</v>
      </c>
      <c r="P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34100</v>
      </c>
      <c r="Q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22401.026392961881</v>
      </c>
      <c r="R9" s="471">
        <f ca="1">IF(Tabulka[[#This Row],[15_vzpl]]=0,"",Tabulka[[#This Row],[14_vzsk]]/Tabulka[[#This Row],[15_vzpl]])</f>
        <v>1.5222516773032233</v>
      </c>
      <c r="S9" s="470">
        <f ca="1">IF(Tabulka[[#This Row],[15_vzpl]]-Tabulka[[#This Row],[14_vzsk]]=0,"",Tabulka[[#This Row],[15_vzpl]]-Tabulka[[#This Row],[14_vzsk]])</f>
        <v>-11698.973607038119</v>
      </c>
    </row>
    <row r="10" spans="1:19" x14ac:dyDescent="0.25">
      <c r="A10" s="469">
        <v>100</v>
      </c>
      <c r="B10" s="468" t="s">
        <v>2319</v>
      </c>
      <c r="C1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0.1111111111111111</v>
      </c>
      <c r="D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160</v>
      </c>
      <c r="H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</v>
      </c>
      <c r="I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</v>
      </c>
      <c r="K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73786</v>
      </c>
      <c r="P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471" t="str">
        <f ca="1">IF(Tabulka[[#This Row],[15_vzpl]]=0,"",Tabulka[[#This Row],[14_vzsk]]/Tabulka[[#This Row],[15_vzpl]])</f>
        <v/>
      </c>
      <c r="S10" s="470" t="str">
        <f ca="1">IF(Tabulka[[#This Row],[15_vzpl]]-Tabulka[[#This Row],[14_vzsk]]=0,"",Tabulka[[#This Row],[15_vzpl]]-Tabulka[[#This Row],[14_vzsk]])</f>
        <v/>
      </c>
    </row>
    <row r="11" spans="1:19" x14ac:dyDescent="0.25">
      <c r="A11" s="469">
        <v>101</v>
      </c>
      <c r="B11" s="468" t="s">
        <v>2320</v>
      </c>
      <c r="C1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8.3302555555555564</v>
      </c>
      <c r="D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11448</v>
      </c>
      <c r="H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1922</v>
      </c>
      <c r="I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80.5</v>
      </c>
      <c r="J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188.5</v>
      </c>
      <c r="K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495749</v>
      </c>
      <c r="N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495749</v>
      </c>
      <c r="O1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8226066</v>
      </c>
      <c r="P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471" t="str">
        <f ca="1">IF(Tabulka[[#This Row],[15_vzpl]]=0,"",Tabulka[[#This Row],[14_vzsk]]/Tabulka[[#This Row],[15_vzpl]])</f>
        <v/>
      </c>
      <c r="S11" s="470" t="str">
        <f ca="1">IF(Tabulka[[#This Row],[15_vzpl]]-Tabulka[[#This Row],[14_vzsk]]=0,"",Tabulka[[#This Row],[15_vzpl]]-Tabulka[[#This Row],[14_vzsk]])</f>
        <v/>
      </c>
    </row>
    <row r="12" spans="1:19" x14ac:dyDescent="0.25">
      <c r="A12" s="469" t="s">
        <v>2305</v>
      </c>
      <c r="B12" s="468"/>
      <c r="C1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60.361111111111114</v>
      </c>
      <c r="D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77133.81</v>
      </c>
      <c r="H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2408</v>
      </c>
      <c r="I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3805</v>
      </c>
      <c r="J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944685</v>
      </c>
      <c r="N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944685</v>
      </c>
      <c r="O1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27466944</v>
      </c>
      <c r="P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30961</v>
      </c>
      <c r="Q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48750</v>
      </c>
      <c r="R12" s="471">
        <f ca="1">IF(Tabulka[[#This Row],[15_vzpl]]=0,"",Tabulka[[#This Row],[14_vzsk]]/Tabulka[[#This Row],[15_vzpl]])</f>
        <v>0.63509743589743595</v>
      </c>
      <c r="S12" s="470">
        <f ca="1">IF(Tabulka[[#This Row],[15_vzpl]]-Tabulka[[#This Row],[14_vzsk]]=0,"",Tabulka[[#This Row],[15_vzpl]]-Tabulka[[#This Row],[14_vzsk]])</f>
        <v>17789</v>
      </c>
    </row>
    <row r="13" spans="1:19" x14ac:dyDescent="0.25">
      <c r="A13" s="469">
        <v>303</v>
      </c>
      <c r="B13" s="468" t="s">
        <v>2321</v>
      </c>
      <c r="C13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30961</v>
      </c>
      <c r="Q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48750</v>
      </c>
      <c r="R13" s="471">
        <f ca="1">IF(Tabulka[[#This Row],[15_vzpl]]=0,"",Tabulka[[#This Row],[14_vzsk]]/Tabulka[[#This Row],[15_vzpl]])</f>
        <v>0.63509743589743595</v>
      </c>
      <c r="S13" s="470">
        <f ca="1">IF(Tabulka[[#This Row],[15_vzpl]]-Tabulka[[#This Row],[14_vzsk]]=0,"",Tabulka[[#This Row],[15_vzpl]]-Tabulka[[#This Row],[14_vzsk]])</f>
        <v>17789</v>
      </c>
    </row>
    <row r="14" spans="1:19" x14ac:dyDescent="0.25">
      <c r="A14" s="469">
        <v>306</v>
      </c>
      <c r="B14" s="468" t="s">
        <v>2322</v>
      </c>
      <c r="C14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10.805555555555555</v>
      </c>
      <c r="D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13739.57</v>
      </c>
      <c r="H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596.25</v>
      </c>
      <c r="I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323</v>
      </c>
      <c r="J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130511</v>
      </c>
      <c r="N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130511</v>
      </c>
      <c r="O14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4071681</v>
      </c>
      <c r="P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471" t="str">
        <f ca="1">IF(Tabulka[[#This Row],[15_vzpl]]=0,"",Tabulka[[#This Row],[14_vzsk]]/Tabulka[[#This Row],[15_vzpl]])</f>
        <v/>
      </c>
      <c r="S14" s="470" t="str">
        <f ca="1">IF(Tabulka[[#This Row],[15_vzpl]]-Tabulka[[#This Row],[14_vzsk]]=0,"",Tabulka[[#This Row],[15_vzpl]]-Tabulka[[#This Row],[14_vzsk]])</f>
        <v/>
      </c>
    </row>
    <row r="15" spans="1:19" x14ac:dyDescent="0.25">
      <c r="A15" s="469">
        <v>307</v>
      </c>
      <c r="B15" s="468" t="s">
        <v>2323</v>
      </c>
      <c r="C15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9.3055555555555554</v>
      </c>
      <c r="D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12195</v>
      </c>
      <c r="H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347.25</v>
      </c>
      <c r="I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663.5</v>
      </c>
      <c r="J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187076</v>
      </c>
      <c r="N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187076</v>
      </c>
      <c r="O15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4968370</v>
      </c>
      <c r="P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471" t="str">
        <f ca="1">IF(Tabulka[[#This Row],[15_vzpl]]=0,"",Tabulka[[#This Row],[14_vzsk]]/Tabulka[[#This Row],[15_vzpl]])</f>
        <v/>
      </c>
      <c r="S15" s="470" t="str">
        <f ca="1">IF(Tabulka[[#This Row],[15_vzpl]]-Tabulka[[#This Row],[14_vzsk]]=0,"",Tabulka[[#This Row],[15_vzpl]]-Tabulka[[#This Row],[14_vzsk]])</f>
        <v/>
      </c>
    </row>
    <row r="16" spans="1:19" x14ac:dyDescent="0.25">
      <c r="A16" s="469">
        <v>309</v>
      </c>
      <c r="B16" s="468" t="s">
        <v>2324</v>
      </c>
      <c r="C16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1008</v>
      </c>
      <c r="H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</v>
      </c>
      <c r="I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9296</v>
      </c>
      <c r="N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9296</v>
      </c>
      <c r="O16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278201</v>
      </c>
      <c r="P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471" t="str">
        <f ca="1">IF(Tabulka[[#This Row],[15_vzpl]]=0,"",Tabulka[[#This Row],[14_vzsk]]/Tabulka[[#This Row],[15_vzpl]])</f>
        <v/>
      </c>
      <c r="S16" s="470" t="str">
        <f ca="1">IF(Tabulka[[#This Row],[15_vzpl]]-Tabulka[[#This Row],[14_vzsk]]=0,"",Tabulka[[#This Row],[15_vzpl]]-Tabulka[[#This Row],[14_vzsk]])</f>
        <v/>
      </c>
    </row>
    <row r="17" spans="1:19" x14ac:dyDescent="0.25">
      <c r="A17" s="469">
        <v>310</v>
      </c>
      <c r="B17" s="468" t="s">
        <v>2325</v>
      </c>
      <c r="C17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35.25</v>
      </c>
      <c r="D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44711.24</v>
      </c>
      <c r="H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1011.25</v>
      </c>
      <c r="I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2818.5</v>
      </c>
      <c r="J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588454</v>
      </c>
      <c r="N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588454</v>
      </c>
      <c r="O17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17179991</v>
      </c>
      <c r="P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471" t="str">
        <f ca="1">IF(Tabulka[[#This Row],[15_vzpl]]=0,"",Tabulka[[#This Row],[14_vzsk]]/Tabulka[[#This Row],[15_vzpl]])</f>
        <v/>
      </c>
      <c r="S17" s="470" t="str">
        <f ca="1">IF(Tabulka[[#This Row],[15_vzpl]]-Tabulka[[#This Row],[14_vzsk]]=0,"",Tabulka[[#This Row],[15_vzpl]]-Tabulka[[#This Row],[14_vzsk]])</f>
        <v/>
      </c>
    </row>
    <row r="18" spans="1:19" x14ac:dyDescent="0.25">
      <c r="A18" s="469">
        <v>642</v>
      </c>
      <c r="B18" s="468" t="s">
        <v>2326</v>
      </c>
      <c r="C1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5480</v>
      </c>
      <c r="H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389.25</v>
      </c>
      <c r="I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29348</v>
      </c>
      <c r="N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29348</v>
      </c>
      <c r="O1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968701</v>
      </c>
      <c r="P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471" t="str">
        <f ca="1">IF(Tabulka[[#This Row],[15_vzpl]]=0,"",Tabulka[[#This Row],[14_vzsk]]/Tabulka[[#This Row],[15_vzpl]])</f>
        <v/>
      </c>
      <c r="S18" s="470" t="str">
        <f ca="1">IF(Tabulka[[#This Row],[15_vzpl]]-Tabulka[[#This Row],[14_vzsk]]=0,"",Tabulka[[#This Row],[15_vzpl]]-Tabulka[[#This Row],[14_vzsk]])</f>
        <v/>
      </c>
    </row>
    <row r="19" spans="1:19" x14ac:dyDescent="0.25">
      <c r="A19" s="469" t="s">
        <v>2306</v>
      </c>
      <c r="B19" s="468"/>
      <c r="C1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1324</v>
      </c>
      <c r="H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11.5</v>
      </c>
      <c r="I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8466</v>
      </c>
      <c r="N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8466</v>
      </c>
      <c r="O1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273375</v>
      </c>
      <c r="P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471" t="str">
        <f ca="1">IF(Tabulka[[#This Row],[15_vzpl]]=0,"",Tabulka[[#This Row],[14_vzsk]]/Tabulka[[#This Row],[15_vzpl]])</f>
        <v/>
      </c>
      <c r="S19" s="470" t="str">
        <f ca="1">IF(Tabulka[[#This Row],[15_vzpl]]-Tabulka[[#This Row],[14_vzsk]]=0,"",Tabulka[[#This Row],[15_vzpl]]-Tabulka[[#This Row],[14_vzsk]])</f>
        <v/>
      </c>
    </row>
    <row r="20" spans="1:19" x14ac:dyDescent="0.25">
      <c r="A20" s="469">
        <v>30</v>
      </c>
      <c r="B20" s="468" t="s">
        <v>2327</v>
      </c>
      <c r="C2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1324</v>
      </c>
      <c r="H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11.5</v>
      </c>
      <c r="I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8466</v>
      </c>
      <c r="N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8466</v>
      </c>
      <c r="O2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273375</v>
      </c>
      <c r="P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471" t="str">
        <f ca="1">IF(Tabulka[[#This Row],[15_vzpl]]=0,"",Tabulka[[#This Row],[14_vzsk]]/Tabulka[[#This Row],[15_vzpl]])</f>
        <v/>
      </c>
      <c r="S20" s="470" t="str">
        <f ca="1">IF(Tabulka[[#This Row],[15_vzpl]]-Tabulka[[#This Row],[14_vzsk]]=0,"",Tabulka[[#This Row],[15_vzpl]]-Tabulka[[#This Row],[14_vzsk]])</f>
        <v/>
      </c>
    </row>
    <row r="21" spans="1:19" x14ac:dyDescent="0.25">
      <c r="A21" s="469" t="s">
        <v>2307</v>
      </c>
      <c r="B21" s="468"/>
      <c r="C2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87.5</v>
      </c>
      <c r="K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29950</v>
      </c>
      <c r="P2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471" t="str">
        <f ca="1">IF(Tabulka[[#This Row],[15_vzpl]]=0,"",Tabulka[[#This Row],[14_vzsk]]/Tabulka[[#This Row],[15_vzpl]])</f>
        <v/>
      </c>
      <c r="S21" s="470" t="str">
        <f ca="1">IF(Tabulka[[#This Row],[15_vzpl]]-Tabulka[[#This Row],[14_vzsk]]=0,"",Tabulka[[#This Row],[15_vzpl]]-Tabulka[[#This Row],[14_vzsk]])</f>
        <v/>
      </c>
    </row>
    <row r="22" spans="1:19" x14ac:dyDescent="0.25">
      <c r="A22" s="469">
        <v>0</v>
      </c>
      <c r="B22" s="468" t="s">
        <v>2328</v>
      </c>
      <c r="C2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87.5</v>
      </c>
      <c r="K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29950</v>
      </c>
      <c r="P2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471" t="str">
        <f ca="1">IF(Tabulka[[#This Row],[15_vzpl]]=0,"",Tabulka[[#This Row],[14_vzsk]]/Tabulka[[#This Row],[15_vzpl]])</f>
        <v/>
      </c>
      <c r="S22" s="470" t="str">
        <f ca="1">IF(Tabulka[[#This Row],[15_vzpl]]-Tabulka[[#This Row],[14_vzsk]]=0,"",Tabulka[[#This Row],[15_vzpl]]-Tabulka[[#This Row],[14_vzsk]])</f>
        <v/>
      </c>
    </row>
    <row r="23" spans="1:19" x14ac:dyDescent="0.25">
      <c r="A23" t="s">
        <v>301</v>
      </c>
    </row>
    <row r="24" spans="1:19" x14ac:dyDescent="0.25">
      <c r="A24" s="222" t="s">
        <v>201</v>
      </c>
    </row>
    <row r="25" spans="1:19" x14ac:dyDescent="0.25">
      <c r="A25" s="223" t="s">
        <v>271</v>
      </c>
    </row>
    <row r="26" spans="1:19" x14ac:dyDescent="0.25">
      <c r="A26" s="461" t="s">
        <v>270</v>
      </c>
    </row>
    <row r="27" spans="1:19" x14ac:dyDescent="0.25">
      <c r="A27" s="374" t="s">
        <v>233</v>
      </c>
    </row>
    <row r="28" spans="1:19" x14ac:dyDescent="0.25">
      <c r="A28" s="376" t="s">
        <v>238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2">
    <cfRule type="cellIs" dxfId="25" priority="3" operator="lessThan">
      <formula>0</formula>
    </cfRule>
  </conditionalFormatting>
  <conditionalFormatting sqref="R6:R22">
    <cfRule type="cellIs" dxfId="24" priority="4" operator="greaterThan">
      <formula>1</formula>
    </cfRule>
  </conditionalFormatting>
  <conditionalFormatting sqref="A8:S22">
    <cfRule type="expression" dxfId="23" priority="2">
      <formula>$B8=""</formula>
    </cfRule>
  </conditionalFormatting>
  <conditionalFormatting sqref="P8:S22">
    <cfRule type="expression" dxfId="22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61B6A2E5-069C-4646-AF66-E6ECEE7B1993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3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270" bestFit="1" customWidth="1"/>
    <col min="2" max="2" width="11.7109375" style="270" hidden="1" customWidth="1"/>
    <col min="3" max="4" width="11" style="272" customWidth="1"/>
    <col min="5" max="5" width="11" style="273" customWidth="1"/>
    <col min="6" max="16384" width="8.85546875" style="270"/>
  </cols>
  <sheetData>
    <row r="1" spans="1:5" ht="19.5" thickBot="1" x14ac:dyDescent="0.35">
      <c r="A1" s="512" t="s">
        <v>150</v>
      </c>
      <c r="B1" s="512"/>
      <c r="C1" s="513"/>
      <c r="D1" s="513"/>
      <c r="E1" s="513"/>
    </row>
    <row r="2" spans="1:5" ht="14.45" customHeight="1" thickBot="1" x14ac:dyDescent="0.25">
      <c r="A2" s="371" t="s">
        <v>328</v>
      </c>
      <c r="B2" s="271"/>
    </row>
    <row r="3" spans="1:5" ht="14.45" customHeight="1" thickBot="1" x14ac:dyDescent="0.25">
      <c r="A3" s="274"/>
      <c r="C3" s="275" t="s">
        <v>130</v>
      </c>
      <c r="D3" s="276" t="s">
        <v>93</v>
      </c>
      <c r="E3" s="277" t="s">
        <v>95</v>
      </c>
    </row>
    <row r="4" spans="1:5" ht="14.45" customHeight="1" thickBot="1" x14ac:dyDescent="0.25">
      <c r="A4" s="278" t="str">
        <f>HYPERLINK("#HI!A1","NÁKLADY CELKEM (v tisících Kč)")</f>
        <v>NÁKLADY CELKEM (v tisících Kč)</v>
      </c>
      <c r="B4" s="279"/>
      <c r="C4" s="280">
        <f ca="1">IF(ISERROR(VLOOKUP("Náklady celkem",INDIRECT("HI!$A:$G"),6,0)),0,VLOOKUP("Náklady celkem",INDIRECT("HI!$A:$G"),6,0))</f>
        <v>67028.56005397033</v>
      </c>
      <c r="D4" s="280">
        <f ca="1">IF(ISERROR(VLOOKUP("Náklady celkem",INDIRECT("HI!$A:$G"),5,0)),0,VLOOKUP("Náklady celkem",INDIRECT("HI!$A:$G"),5,0))</f>
        <v>67096.198680000001</v>
      </c>
      <c r="E4" s="281">
        <f ca="1">IF(C4=0,0,D4/C4)</f>
        <v>1.0010091015825973</v>
      </c>
    </row>
    <row r="5" spans="1:5" ht="14.45" customHeight="1" x14ac:dyDescent="0.2">
      <c r="A5" s="282" t="s">
        <v>193</v>
      </c>
      <c r="B5" s="283"/>
      <c r="C5" s="284"/>
      <c r="D5" s="284"/>
      <c r="E5" s="285"/>
    </row>
    <row r="6" spans="1:5" ht="14.45" customHeight="1" x14ac:dyDescent="0.2">
      <c r="A6" s="286" t="s">
        <v>198</v>
      </c>
      <c r="B6" s="287"/>
      <c r="C6" s="288"/>
      <c r="D6" s="288"/>
      <c r="E6" s="285"/>
    </row>
    <row r="7" spans="1:5" ht="14.45" customHeight="1" x14ac:dyDescent="0.25">
      <c r="A7" s="40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87" t="s">
        <v>135</v>
      </c>
      <c r="C7" s="288">
        <f>IF(ISERROR(HI!F5),"",HI!F5)</f>
        <v>5273.0067255859376</v>
      </c>
      <c r="D7" s="288">
        <f>IF(ISERROR(HI!E5),"",HI!E5)</f>
        <v>2911.7318900000009</v>
      </c>
      <c r="E7" s="285">
        <f t="shared" ref="E7:E15" si="0">IF(C7=0,0,D7/C7)</f>
        <v>0.55219574742272848</v>
      </c>
    </row>
    <row r="8" spans="1:5" ht="14.45" customHeight="1" x14ac:dyDescent="0.25">
      <c r="A8" s="401" t="str">
        <f>HYPERLINK("#'LŽ PL'!A1","Plnění pozitivního listu (min. 90%)")</f>
        <v>Plnění pozitivního listu (min. 90%)</v>
      </c>
      <c r="B8" s="287" t="s">
        <v>185</v>
      </c>
      <c r="C8" s="289">
        <v>0.9</v>
      </c>
      <c r="D8" s="289">
        <f>IF(ISERROR(VLOOKUP("celkem",'LŽ PL'!$A:$F,5,0)),0,VLOOKUP("celkem",'LŽ PL'!$A:$F,5,0))</f>
        <v>0.45952332682444891</v>
      </c>
      <c r="E8" s="285">
        <f t="shared" si="0"/>
        <v>0.51058147424938771</v>
      </c>
    </row>
    <row r="9" spans="1:5" ht="14.45" customHeight="1" x14ac:dyDescent="0.25">
      <c r="A9" s="401" t="str">
        <f>HYPERLINK("#'LŽ Statim'!A1","Podíl statimových žádanek (max. 30%)")</f>
        <v>Podíl statimových žádanek (max. 30%)</v>
      </c>
      <c r="B9" s="399" t="s">
        <v>251</v>
      </c>
      <c r="C9" s="400">
        <v>0.3</v>
      </c>
      <c r="D9" s="400">
        <f>IF('LŽ Statim'!G3="",0,'LŽ Statim'!G3)</f>
        <v>0.21097256857855362</v>
      </c>
      <c r="E9" s="285">
        <f>IF(C9=0,0,D9/C9)</f>
        <v>0.70324189526184544</v>
      </c>
    </row>
    <row r="10" spans="1:5" ht="14.45" customHeight="1" x14ac:dyDescent="0.2">
      <c r="A10" s="290" t="s">
        <v>194</v>
      </c>
      <c r="B10" s="287"/>
      <c r="C10" s="288"/>
      <c r="D10" s="288"/>
      <c r="E10" s="285"/>
    </row>
    <row r="11" spans="1:5" ht="14.45" customHeight="1" x14ac:dyDescent="0.25">
      <c r="A11" s="401" t="str">
        <f>HYPERLINK("#'Léky Recepty'!A1","Záchyt v lékárně (Úhrada Kč, min. 60%)")</f>
        <v>Záchyt v lékárně (Úhrada Kč, min. 60%)</v>
      </c>
      <c r="B11" s="287" t="s">
        <v>140</v>
      </c>
      <c r="C11" s="289">
        <v>0.6</v>
      </c>
      <c r="D11" s="289">
        <f>IF(ISERROR(VLOOKUP("Celkem",'Léky Recepty'!B:H,5,0)),0,VLOOKUP("Celkem",'Léky Recepty'!B:H,5,0))</f>
        <v>0.48467878989385149</v>
      </c>
      <c r="E11" s="285">
        <f t="shared" si="0"/>
        <v>0.80779798315641915</v>
      </c>
    </row>
    <row r="12" spans="1:5" ht="14.45" customHeight="1" x14ac:dyDescent="0.25">
      <c r="A12" s="401" t="str">
        <f>HYPERLINK("#'LRp PL'!A1","Plnění pozitivního listu (min. 80%)")</f>
        <v>Plnění pozitivního listu (min. 80%)</v>
      </c>
      <c r="B12" s="287" t="s">
        <v>186</v>
      </c>
      <c r="C12" s="289">
        <v>0.8</v>
      </c>
      <c r="D12" s="289">
        <f>IF(ISERROR(VLOOKUP("Celkem",'LRp PL'!A:F,5,0)),0,VLOOKUP("Celkem",'LRp PL'!A:F,5,0))</f>
        <v>0.99118773141937921</v>
      </c>
      <c r="E12" s="285">
        <f t="shared" si="0"/>
        <v>1.2389846642742239</v>
      </c>
    </row>
    <row r="13" spans="1:5" ht="14.45" customHeight="1" x14ac:dyDescent="0.2">
      <c r="A13" s="290" t="s">
        <v>195</v>
      </c>
      <c r="B13" s="287"/>
      <c r="C13" s="288"/>
      <c r="D13" s="288"/>
      <c r="E13" s="285"/>
    </row>
    <row r="14" spans="1:5" ht="14.45" customHeight="1" x14ac:dyDescent="0.2">
      <c r="A14" s="291" t="s">
        <v>199</v>
      </c>
      <c r="B14" s="287"/>
      <c r="C14" s="284"/>
      <c r="D14" s="284"/>
      <c r="E14" s="285"/>
    </row>
    <row r="15" spans="1:5" ht="14.45" customHeight="1" x14ac:dyDescent="0.2">
      <c r="A15" s="29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87" t="s">
        <v>135</v>
      </c>
      <c r="C15" s="288">
        <f>IF(ISERROR(HI!F6),"",HI!F6)</f>
        <v>3337.900068069458</v>
      </c>
      <c r="D15" s="288">
        <f>IF(ISERROR(HI!E6),"",HI!E6)</f>
        <v>3021.9784099999997</v>
      </c>
      <c r="E15" s="285">
        <f t="shared" si="0"/>
        <v>0.90535317066811472</v>
      </c>
    </row>
    <row r="16" spans="1:5" ht="14.45" customHeight="1" thickBot="1" x14ac:dyDescent="0.25">
      <c r="A16" s="293" t="str">
        <f>HYPERLINK("#HI!A1","Osobní náklady")</f>
        <v>Osobní náklady</v>
      </c>
      <c r="B16" s="287"/>
      <c r="C16" s="284">
        <f ca="1">IF(ISERROR(VLOOKUP("Osobní náklady (Kč) *",INDIRECT("HI!$A:$G"),6,0)),0,VLOOKUP("Osobní náklady (Kč) *",INDIRECT("HI!$A:$G"),6,0))</f>
        <v>49074.3553392334</v>
      </c>
      <c r="D16" s="284">
        <f ca="1">IF(ISERROR(VLOOKUP("Osobní náklady (Kč) *",INDIRECT("HI!$A:$G"),5,0)),0,VLOOKUP("Osobní náklady (Kč) *",INDIRECT("HI!$A:$G"),5,0))</f>
        <v>50829.104769999998</v>
      </c>
      <c r="E16" s="285">
        <f ca="1">IF(C16=0,0,D16/C16)</f>
        <v>1.0357569532729802</v>
      </c>
    </row>
    <row r="17" spans="1:5" ht="14.45" customHeight="1" thickBot="1" x14ac:dyDescent="0.25">
      <c r="A17" s="297"/>
      <c r="B17" s="298"/>
      <c r="C17" s="299"/>
      <c r="D17" s="299"/>
      <c r="E17" s="300"/>
    </row>
    <row r="18" spans="1:5" ht="14.45" customHeight="1" thickBot="1" x14ac:dyDescent="0.25">
      <c r="A18" s="301" t="str">
        <f>HYPERLINK("#HI!A1","VÝNOSY CELKEM (v tisících)")</f>
        <v>VÝNOSY CELKEM (v tisících)</v>
      </c>
      <c r="B18" s="302"/>
      <c r="C18" s="303">
        <f ca="1">IF(ISERROR(VLOOKUP("Výnosy celkem",INDIRECT("HI!$A:$G"),6,0)),0,VLOOKUP("Výnosy celkem",INDIRECT("HI!$A:$G"),6,0))</f>
        <v>55948.470999999998</v>
      </c>
      <c r="D18" s="303">
        <f ca="1">IF(ISERROR(VLOOKUP("Výnosy celkem",INDIRECT("HI!$A:$G"),5,0)),0,VLOOKUP("Výnosy celkem",INDIRECT("HI!$A:$G"),5,0))</f>
        <v>57329.975999999995</v>
      </c>
      <c r="E18" s="304">
        <f t="shared" ref="E18:E31" ca="1" si="1">IF(C18=0,0,D18/C18)</f>
        <v>1.0246924531682018</v>
      </c>
    </row>
    <row r="19" spans="1:5" ht="14.45" customHeight="1" x14ac:dyDescent="0.2">
      <c r="A19" s="305" t="str">
        <f>HYPERLINK("#HI!A1","Ambulance (body za výkony + Kč za ZUM a ZULP)")</f>
        <v>Ambulance (body za výkony + Kč za ZUM a ZULP)</v>
      </c>
      <c r="B19" s="283"/>
      <c r="C19" s="284">
        <f ca="1">IF(ISERROR(VLOOKUP("Ambulance *",INDIRECT("HI!$A:$G"),6,0)),0,VLOOKUP("Ambulance *",INDIRECT("HI!$A:$G"),6,0))</f>
        <v>335.34100000000001</v>
      </c>
      <c r="D19" s="284">
        <f ca="1">IF(ISERROR(VLOOKUP("Ambulance *",INDIRECT("HI!$A:$G"),5,0)),0,VLOOKUP("Ambulance *",INDIRECT("HI!$A:$G"),5,0))</f>
        <v>344.46600000000001</v>
      </c>
      <c r="E19" s="285">
        <f t="shared" ca="1" si="1"/>
        <v>1.0272111074995303</v>
      </c>
    </row>
    <row r="20" spans="1:5" ht="14.45" customHeight="1" x14ac:dyDescent="0.25">
      <c r="A20" s="429" t="str">
        <f>HYPERLINK("#'ZV Vykáz.-A'!A1","Zdravotní výkony vykázané u ambulantních pacientů (min. 100 % 2016)")</f>
        <v>Zdravotní výkony vykázané u ambulantních pacientů (min. 100 % 2016)</v>
      </c>
      <c r="B20" s="430" t="s">
        <v>152</v>
      </c>
      <c r="C20" s="289">
        <v>1</v>
      </c>
      <c r="D20" s="289">
        <f>IF(ISERROR(VLOOKUP("Celkem:",'ZV Vykáz.-A'!$A:$AB,10,0)),"",VLOOKUP("Celkem:",'ZV Vykáz.-A'!$A:$AB,10,0))</f>
        <v>1.0272111074995303</v>
      </c>
      <c r="E20" s="285">
        <f t="shared" si="1"/>
        <v>1.0272111074995303</v>
      </c>
    </row>
    <row r="21" spans="1:5" ht="14.45" customHeight="1" x14ac:dyDescent="0.25">
      <c r="A21" s="427" t="str">
        <f>HYPERLINK("#'ZV Vykáz.-A'!A1","Specializovaná ambulantní péče")</f>
        <v>Specializovaná ambulantní péče</v>
      </c>
      <c r="B21" s="430" t="s">
        <v>152</v>
      </c>
      <c r="C21" s="289">
        <v>1</v>
      </c>
      <c r="D21" s="400">
        <f>IF(ISERROR(VLOOKUP("Specializovaná ambulantní péče",'ZV Vykáz.-A'!$A:$AB,10,0)),"",VLOOKUP("Specializovaná ambulantní péče",'ZV Vykáz.-A'!$A:$AB,10,0))</f>
        <v>1.0272111074995303</v>
      </c>
      <c r="E21" s="285">
        <f t="shared" si="1"/>
        <v>1.0272111074995303</v>
      </c>
    </row>
    <row r="22" spans="1:5" ht="14.45" customHeight="1" x14ac:dyDescent="0.25">
      <c r="A22" s="427" t="str">
        <f>HYPERLINK("#'ZV Vykáz.-A'!A1","Ambulantní péče ve vyjmenovaných odbornostech (§9)")</f>
        <v>Ambulantní péče ve vyjmenovaných odbornostech (§9)</v>
      </c>
      <c r="B22" s="430" t="s">
        <v>152</v>
      </c>
      <c r="C22" s="289">
        <v>1</v>
      </c>
      <c r="D22" s="400" t="str">
        <f>IF(ISERROR(VLOOKUP("Ambulantní péče ve vyjmenovaných odbornostech (§9) *",'ZV Vykáz.-A'!$A:$AB,10,0)),"",VLOOKUP("Ambulantní péče ve vyjmenovaných odbornostech (§9) *",'ZV Vykáz.-A'!$A:$AB,10,0))</f>
        <v/>
      </c>
      <c r="E22" s="285">
        <f>IF(OR(C22=0,D22=""),0,IF(C22="","",D22/C22))</f>
        <v>0</v>
      </c>
    </row>
    <row r="23" spans="1:5" ht="14.45" customHeight="1" x14ac:dyDescent="0.2">
      <c r="A23" s="306" t="str">
        <f>HYPERLINK("#'ZV Vykáz.-H'!A1","Zdravotní výkony vykázané u hospitalizovaných pacientů (max. 85 %)")</f>
        <v>Zdravotní výkony vykázané u hospitalizovaných pacientů (max. 85 %)</v>
      </c>
      <c r="B23" s="430" t="s">
        <v>154</v>
      </c>
      <c r="C23" s="289">
        <v>0.85</v>
      </c>
      <c r="D23" s="289">
        <f>IF(ISERROR(VLOOKUP("Celkem:",'ZV Vykáz.-H'!$A:$S,7,0)),"",VLOOKUP("Celkem:",'ZV Vykáz.-H'!$A:$S,7,0))</f>
        <v>0.95142845787679531</v>
      </c>
      <c r="E23" s="285">
        <f t="shared" si="1"/>
        <v>1.1193275975021122</v>
      </c>
    </row>
    <row r="24" spans="1:5" ht="14.45" customHeight="1" x14ac:dyDescent="0.2">
      <c r="A24" s="307" t="str">
        <f>HYPERLINK("#HI!A1","Hospitalizace (casemix * 30000)")</f>
        <v>Hospitalizace (casemix * 30000)</v>
      </c>
      <c r="B24" s="287"/>
      <c r="C24" s="284">
        <f ca="1">IF(ISERROR(VLOOKUP("Hospitalizace *",INDIRECT("HI!$A:$G"),6,0)),0,VLOOKUP("Hospitalizace *",INDIRECT("HI!$A:$G"),6,0))</f>
        <v>55613.13</v>
      </c>
      <c r="D24" s="284">
        <f ca="1">IF(ISERROR(VLOOKUP("Hospitalizace *",INDIRECT("HI!$A:$G"),5,0)),0,VLOOKUP("Hospitalizace *",INDIRECT("HI!$A:$G"),5,0))</f>
        <v>56985.509999999995</v>
      </c>
      <c r="E24" s="285">
        <f ca="1">IF(C24=0,0,D24/C24)</f>
        <v>1.0246772659621928</v>
      </c>
    </row>
    <row r="25" spans="1:5" ht="14.45" customHeight="1" x14ac:dyDescent="0.25">
      <c r="A25" s="429" t="str">
        <f>HYPERLINK("#'CaseMix'!A1","Casemix (min. 100 % 2016)")</f>
        <v>Casemix (min. 100 % 2016)</v>
      </c>
      <c r="B25" s="287" t="s">
        <v>70</v>
      </c>
      <c r="C25" s="289">
        <v>1</v>
      </c>
      <c r="D25" s="289">
        <f>IF(ISERROR(VLOOKUP("Celkem",CaseMix!A:O,6,0)),0,VLOOKUP("Celkem",CaseMix!A:O,6,0))</f>
        <v>1.0246772659621928</v>
      </c>
      <c r="E25" s="285">
        <f t="shared" si="1"/>
        <v>1.0246772659621928</v>
      </c>
    </row>
    <row r="26" spans="1:5" ht="14.45" customHeight="1" x14ac:dyDescent="0.25">
      <c r="A26" s="428" t="str">
        <f>HYPERLINK("#'CaseMix'!A1","DRG - Úhrada formou případového paušálu")</f>
        <v>DRG - Úhrada formou případového paušálu</v>
      </c>
      <c r="B26" s="287" t="s">
        <v>70</v>
      </c>
      <c r="C26" s="289">
        <v>1</v>
      </c>
      <c r="D26" s="289">
        <f>IF(ISERROR(CaseMix!F26),"",CaseMix!F26)</f>
        <v>1.5513612124614089</v>
      </c>
      <c r="E26" s="285">
        <f t="shared" si="1"/>
        <v>1.5513612124614089</v>
      </c>
    </row>
    <row r="27" spans="1:5" ht="14.45" customHeight="1" x14ac:dyDescent="0.25">
      <c r="A27" s="428" t="str">
        <f>HYPERLINK("#'CaseMix'!A1","DRG - Individuálně smluvně sjednaná složka úhrady")</f>
        <v>DRG - Individuálně smluvně sjednaná složka úhrady</v>
      </c>
      <c r="B27" s="287" t="s">
        <v>70</v>
      </c>
      <c r="C27" s="289">
        <v>1</v>
      </c>
      <c r="D27" s="289">
        <f>IF(ISERROR(CaseMix!F39),"",CaseMix!F39)</f>
        <v>0</v>
      </c>
      <c r="E27" s="285">
        <f t="shared" si="1"/>
        <v>0</v>
      </c>
    </row>
    <row r="28" spans="1:5" ht="14.45" customHeight="1" x14ac:dyDescent="0.25">
      <c r="A28" s="427" t="str">
        <f>HYPERLINK("#'CaseMix'!A1","DRG - Úhrada vyčleněná z úhrady formou případového paušálu")</f>
        <v>DRG - Úhrada vyčleněná z úhrady formou případového paušálu</v>
      </c>
      <c r="B28" s="287" t="s">
        <v>70</v>
      </c>
      <c r="C28" s="289">
        <v>1</v>
      </c>
      <c r="D28" s="289">
        <f>IF(ISERROR(CaseMix!F52),"",CaseMix!F52)</f>
        <v>1.0185325964462864</v>
      </c>
      <c r="E28" s="285">
        <f t="shared" ref="E28" si="2">IF(C28=0,0,D28/C28)</f>
        <v>1.0185325964462864</v>
      </c>
    </row>
    <row r="29" spans="1:5" ht="14.45" customHeight="1" x14ac:dyDescent="0.2">
      <c r="A29" s="306" t="str">
        <f>HYPERLINK("#'CaseMix'!A1","Počet hospitalizací ukončených na pracovišti (min. 95 %)")</f>
        <v>Počet hospitalizací ukončených na pracovišti (min. 95 %)</v>
      </c>
      <c r="B29" s="287" t="s">
        <v>70</v>
      </c>
      <c r="C29" s="289">
        <v>0.95</v>
      </c>
      <c r="D29" s="289">
        <f>IF(ISERROR(CaseMix!K13),"",CaseMix!K13)</f>
        <v>0.96635610766045543</v>
      </c>
      <c r="E29" s="285">
        <f t="shared" si="1"/>
        <v>1.0172169554320585</v>
      </c>
    </row>
    <row r="30" spans="1:5" ht="14.45" customHeight="1" x14ac:dyDescent="0.2">
      <c r="A30" s="306" t="str">
        <f>HYPERLINK("#'ALOS'!A1","Průměrná délka hospitalizace (max. 100 % republikového průměru)")</f>
        <v>Průměrná délka hospitalizace (max. 100 % republikového průměru)</v>
      </c>
      <c r="B30" s="287" t="s">
        <v>85</v>
      </c>
      <c r="C30" s="289">
        <v>1</v>
      </c>
      <c r="D30" s="308">
        <f>IF(ISERROR(INDEX(ALOS!$E:$E,COUNT(ALOS!$E:$E)+32)),0,INDEX(ALOS!$E:$E,COUNT(ALOS!$E:$E)+32))</f>
        <v>0.89502586549940311</v>
      </c>
      <c r="E30" s="285">
        <f t="shared" si="1"/>
        <v>0.89502586549940311</v>
      </c>
    </row>
    <row r="31" spans="1:5" ht="25.5" x14ac:dyDescent="0.2">
      <c r="A31" s="309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31" s="287" t="s">
        <v>149</v>
      </c>
      <c r="C31" s="289">
        <f>IF(E25&gt;1,95%,95%-2*ABS(C25-D25))</f>
        <v>0.95</v>
      </c>
      <c r="D31" s="289">
        <f>IF(ISERROR(VLOOKUP("Celkem:",'ZV Vyžád.'!$A:$M,7,0)),"",VLOOKUP("Celkem:",'ZV Vyžád.'!$A:$M,7,0))</f>
        <v>0.93663479352805445</v>
      </c>
      <c r="E31" s="285">
        <f t="shared" si="1"/>
        <v>0.98593136160847838</v>
      </c>
    </row>
    <row r="32" spans="1:5" ht="14.45" customHeight="1" thickBot="1" x14ac:dyDescent="0.25">
      <c r="A32" s="310" t="s">
        <v>196</v>
      </c>
      <c r="B32" s="294"/>
      <c r="C32" s="295"/>
      <c r="D32" s="295"/>
      <c r="E32" s="296"/>
    </row>
    <row r="33" spans="1:5" ht="14.45" customHeight="1" thickBot="1" x14ac:dyDescent="0.25">
      <c r="A33" s="311"/>
      <c r="B33" s="312"/>
      <c r="C33" s="313"/>
      <c r="D33" s="313"/>
      <c r="E33" s="314"/>
    </row>
    <row r="34" spans="1:5" ht="14.45" customHeight="1" thickBot="1" x14ac:dyDescent="0.25">
      <c r="A34" s="315" t="s">
        <v>197</v>
      </c>
      <c r="B34" s="316"/>
      <c r="C34" s="317"/>
      <c r="D34" s="317"/>
      <c r="E34" s="318"/>
    </row>
  </sheetData>
  <mergeCells count="1">
    <mergeCell ref="A1:E1"/>
  </mergeCells>
  <conditionalFormatting sqref="E5">
    <cfRule type="cellIs" dxfId="9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90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8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87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8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5:E27 E18 E8 E11:E12 E29 E20:E21">
    <cfRule type="cellIs" dxfId="85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84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8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8">
    <cfRule type="cellIs" dxfId="83" priority="5" operator="lessThan">
      <formula>1</formula>
    </cfRule>
  </conditionalFormatting>
  <conditionalFormatting sqref="E30:E31 E4 E7 E15 E22:E23">
    <cfRule type="cellIs" dxfId="82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87083119-5FEA-4025-9F71-CD3E15C388A9}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32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2317</v>
      </c>
    </row>
    <row r="2" spans="1:19" x14ac:dyDescent="0.25">
      <c r="A2" s="371" t="s">
        <v>328</v>
      </c>
    </row>
    <row r="3" spans="1:19" x14ac:dyDescent="0.25">
      <c r="A3" s="507" t="s">
        <v>210</v>
      </c>
      <c r="B3" s="506">
        <v>2019</v>
      </c>
      <c r="C3" t="s">
        <v>300</v>
      </c>
      <c r="D3" t="s">
        <v>291</v>
      </c>
      <c r="E3" t="s">
        <v>289</v>
      </c>
      <c r="F3" t="s">
        <v>288</v>
      </c>
      <c r="G3" t="s">
        <v>287</v>
      </c>
      <c r="H3" t="s">
        <v>286</v>
      </c>
      <c r="I3" t="s">
        <v>285</v>
      </c>
      <c r="J3" t="s">
        <v>284</v>
      </c>
      <c r="K3" t="s">
        <v>283</v>
      </c>
      <c r="L3" t="s">
        <v>282</v>
      </c>
      <c r="M3" t="s">
        <v>281</v>
      </c>
      <c r="N3" t="s">
        <v>280</v>
      </c>
      <c r="O3" t="s">
        <v>279</v>
      </c>
      <c r="P3" t="s">
        <v>278</v>
      </c>
      <c r="Q3" t="s">
        <v>277</v>
      </c>
      <c r="R3" t="s">
        <v>276</v>
      </c>
      <c r="S3" t="s">
        <v>275</v>
      </c>
    </row>
    <row r="4" spans="1:19" x14ac:dyDescent="0.25">
      <c r="A4" s="505" t="s">
        <v>211</v>
      </c>
      <c r="B4" s="504">
        <v>1</v>
      </c>
      <c r="C4" s="499">
        <v>1</v>
      </c>
      <c r="D4" s="499" t="s">
        <v>272</v>
      </c>
      <c r="E4" s="498">
        <v>11.138300000000001</v>
      </c>
      <c r="F4" s="498"/>
      <c r="G4" s="498"/>
      <c r="H4" s="498"/>
      <c r="I4" s="498">
        <v>1862.4</v>
      </c>
      <c r="J4" s="498">
        <v>253</v>
      </c>
      <c r="K4" s="498">
        <v>11.5</v>
      </c>
      <c r="L4" s="498">
        <v>62</v>
      </c>
      <c r="M4" s="498"/>
      <c r="N4" s="498"/>
      <c r="O4" s="498">
        <v>750</v>
      </c>
      <c r="P4" s="498">
        <v>750</v>
      </c>
      <c r="Q4" s="498">
        <v>992585</v>
      </c>
      <c r="R4" s="498">
        <v>5000</v>
      </c>
      <c r="S4" s="498">
        <v>2489.0029325513196</v>
      </c>
    </row>
    <row r="5" spans="1:19" x14ac:dyDescent="0.25">
      <c r="A5" s="503" t="s">
        <v>212</v>
      </c>
      <c r="B5" s="502">
        <v>2</v>
      </c>
      <c r="C5">
        <v>1</v>
      </c>
      <c r="D5">
        <v>99</v>
      </c>
      <c r="E5">
        <v>2.8</v>
      </c>
      <c r="I5">
        <v>419.2</v>
      </c>
      <c r="J5">
        <v>44</v>
      </c>
      <c r="L5">
        <v>23</v>
      </c>
      <c r="O5">
        <v>750</v>
      </c>
      <c r="P5">
        <v>750</v>
      </c>
      <c r="Q5">
        <v>144923</v>
      </c>
      <c r="R5">
        <v>5000</v>
      </c>
      <c r="S5">
        <v>2489.0029325513196</v>
      </c>
    </row>
    <row r="6" spans="1:19" x14ac:dyDescent="0.25">
      <c r="A6" s="505" t="s">
        <v>213</v>
      </c>
      <c r="B6" s="504">
        <v>3</v>
      </c>
      <c r="C6">
        <v>1</v>
      </c>
      <c r="D6">
        <v>101</v>
      </c>
      <c r="E6">
        <v>8.3383000000000003</v>
      </c>
      <c r="I6">
        <v>1443.2</v>
      </c>
      <c r="J6">
        <v>209</v>
      </c>
      <c r="K6">
        <v>11.5</v>
      </c>
      <c r="L6">
        <v>39</v>
      </c>
      <c r="Q6">
        <v>847662</v>
      </c>
    </row>
    <row r="7" spans="1:19" x14ac:dyDescent="0.25">
      <c r="A7" s="503" t="s">
        <v>214</v>
      </c>
      <c r="B7" s="502">
        <v>4</v>
      </c>
      <c r="C7">
        <v>1</v>
      </c>
      <c r="D7" t="s">
        <v>2305</v>
      </c>
      <c r="E7">
        <v>60.25</v>
      </c>
      <c r="I7">
        <v>9748</v>
      </c>
      <c r="J7">
        <v>66</v>
      </c>
      <c r="K7">
        <v>36</v>
      </c>
      <c r="O7">
        <v>750</v>
      </c>
      <c r="P7">
        <v>750</v>
      </c>
      <c r="Q7">
        <v>2762130</v>
      </c>
      <c r="R7">
        <v>3599</v>
      </c>
      <c r="S7">
        <v>5416.666666666667</v>
      </c>
    </row>
    <row r="8" spans="1:19" x14ac:dyDescent="0.25">
      <c r="A8" s="505" t="s">
        <v>215</v>
      </c>
      <c r="B8" s="504">
        <v>5</v>
      </c>
      <c r="C8">
        <v>1</v>
      </c>
      <c r="D8">
        <v>303</v>
      </c>
      <c r="R8">
        <v>3599</v>
      </c>
      <c r="S8">
        <v>5416.666666666667</v>
      </c>
    </row>
    <row r="9" spans="1:19" x14ac:dyDescent="0.25">
      <c r="A9" s="503" t="s">
        <v>216</v>
      </c>
      <c r="B9" s="502">
        <v>6</v>
      </c>
      <c r="C9">
        <v>1</v>
      </c>
      <c r="D9">
        <v>306</v>
      </c>
      <c r="E9">
        <v>10.25</v>
      </c>
      <c r="I9">
        <v>1437</v>
      </c>
      <c r="J9">
        <v>20</v>
      </c>
      <c r="Q9">
        <v>364324</v>
      </c>
    </row>
    <row r="10" spans="1:19" x14ac:dyDescent="0.25">
      <c r="A10" s="505" t="s">
        <v>217</v>
      </c>
      <c r="B10" s="504">
        <v>7</v>
      </c>
      <c r="C10">
        <v>1</v>
      </c>
      <c r="D10">
        <v>307</v>
      </c>
      <c r="E10">
        <v>9.75</v>
      </c>
      <c r="I10">
        <v>1665</v>
      </c>
      <c r="Q10">
        <v>506923</v>
      </c>
    </row>
    <row r="11" spans="1:19" x14ac:dyDescent="0.25">
      <c r="A11" s="503" t="s">
        <v>218</v>
      </c>
      <c r="B11" s="502">
        <v>8</v>
      </c>
      <c r="C11">
        <v>1</v>
      </c>
      <c r="D11">
        <v>309</v>
      </c>
      <c r="E11">
        <v>1</v>
      </c>
      <c r="I11">
        <v>184</v>
      </c>
      <c r="J11">
        <v>8</v>
      </c>
      <c r="Q11">
        <v>41405</v>
      </c>
    </row>
    <row r="12" spans="1:19" x14ac:dyDescent="0.25">
      <c r="A12" s="505" t="s">
        <v>219</v>
      </c>
      <c r="B12" s="504">
        <v>9</v>
      </c>
      <c r="C12">
        <v>1</v>
      </c>
      <c r="D12">
        <v>310</v>
      </c>
      <c r="E12">
        <v>35.25</v>
      </c>
      <c r="I12">
        <v>5734</v>
      </c>
      <c r="K12">
        <v>36</v>
      </c>
      <c r="O12">
        <v>750</v>
      </c>
      <c r="P12">
        <v>750</v>
      </c>
      <c r="Q12">
        <v>1746536</v>
      </c>
    </row>
    <row r="13" spans="1:19" x14ac:dyDescent="0.25">
      <c r="A13" s="503" t="s">
        <v>220</v>
      </c>
      <c r="B13" s="502">
        <v>10</v>
      </c>
      <c r="C13">
        <v>1</v>
      </c>
      <c r="D13">
        <v>642</v>
      </c>
      <c r="E13">
        <v>4</v>
      </c>
      <c r="I13">
        <v>728</v>
      </c>
      <c r="J13">
        <v>38</v>
      </c>
      <c r="Q13">
        <v>102942</v>
      </c>
    </row>
    <row r="14" spans="1:19" x14ac:dyDescent="0.25">
      <c r="A14" s="505" t="s">
        <v>221</v>
      </c>
      <c r="B14" s="504">
        <v>11</v>
      </c>
      <c r="C14">
        <v>1</v>
      </c>
      <c r="D14" t="s">
        <v>2306</v>
      </c>
      <c r="E14">
        <v>1</v>
      </c>
      <c r="I14">
        <v>176</v>
      </c>
      <c r="Q14">
        <v>29139</v>
      </c>
    </row>
    <row r="15" spans="1:19" x14ac:dyDescent="0.25">
      <c r="A15" s="503" t="s">
        <v>222</v>
      </c>
      <c r="B15" s="502">
        <v>12</v>
      </c>
      <c r="C15">
        <v>1</v>
      </c>
      <c r="D15">
        <v>30</v>
      </c>
      <c r="E15">
        <v>1</v>
      </c>
      <c r="I15">
        <v>176</v>
      </c>
      <c r="Q15">
        <v>29139</v>
      </c>
    </row>
    <row r="16" spans="1:19" x14ac:dyDescent="0.25">
      <c r="A16" s="501" t="s">
        <v>210</v>
      </c>
      <c r="B16" s="500">
        <v>2019</v>
      </c>
      <c r="C16">
        <v>1</v>
      </c>
      <c r="D16" t="s">
        <v>2307</v>
      </c>
      <c r="L16">
        <v>11.5</v>
      </c>
      <c r="Q16">
        <v>2990</v>
      </c>
    </row>
    <row r="17" spans="3:19" x14ac:dyDescent="0.25">
      <c r="C17">
        <v>1</v>
      </c>
      <c r="D17">
        <v>0</v>
      </c>
      <c r="L17">
        <v>11.5</v>
      </c>
      <c r="Q17">
        <v>2990</v>
      </c>
    </row>
    <row r="18" spans="3:19" x14ac:dyDescent="0.25">
      <c r="C18" t="s">
        <v>2308</v>
      </c>
      <c r="E18">
        <v>72.388300000000001</v>
      </c>
      <c r="I18">
        <v>11786.4</v>
      </c>
      <c r="J18">
        <v>319</v>
      </c>
      <c r="K18">
        <v>47.5</v>
      </c>
      <c r="L18">
        <v>73.5</v>
      </c>
      <c r="O18">
        <v>1500</v>
      </c>
      <c r="P18">
        <v>1500</v>
      </c>
      <c r="Q18">
        <v>3786844</v>
      </c>
      <c r="R18">
        <v>8599</v>
      </c>
      <c r="S18">
        <v>7905.6695992179866</v>
      </c>
    </row>
    <row r="19" spans="3:19" x14ac:dyDescent="0.25">
      <c r="C19">
        <v>2</v>
      </c>
      <c r="D19" t="s">
        <v>272</v>
      </c>
      <c r="E19">
        <v>11.139800000000001</v>
      </c>
      <c r="I19">
        <v>1700</v>
      </c>
      <c r="J19">
        <v>258</v>
      </c>
      <c r="K19">
        <v>11.5</v>
      </c>
      <c r="L19">
        <v>11.5</v>
      </c>
      <c r="Q19">
        <v>957937</v>
      </c>
      <c r="R19">
        <v>5000</v>
      </c>
      <c r="S19">
        <v>2489.0029325513196</v>
      </c>
    </row>
    <row r="20" spans="3:19" x14ac:dyDescent="0.25">
      <c r="C20">
        <v>2</v>
      </c>
      <c r="D20">
        <v>99</v>
      </c>
      <c r="E20">
        <v>2.8</v>
      </c>
      <c r="I20">
        <v>448</v>
      </c>
      <c r="J20">
        <v>100</v>
      </c>
      <c r="L20">
        <v>11.5</v>
      </c>
      <c r="Q20">
        <v>165457</v>
      </c>
      <c r="R20">
        <v>5000</v>
      </c>
      <c r="S20">
        <v>2489.0029325513196</v>
      </c>
    </row>
    <row r="21" spans="3:19" x14ac:dyDescent="0.25">
      <c r="C21">
        <v>2</v>
      </c>
      <c r="D21">
        <v>101</v>
      </c>
      <c r="E21">
        <v>8.3398000000000003</v>
      </c>
      <c r="I21">
        <v>1252</v>
      </c>
      <c r="J21">
        <v>158</v>
      </c>
      <c r="K21">
        <v>11.5</v>
      </c>
      <c r="Q21">
        <v>792480</v>
      </c>
    </row>
    <row r="22" spans="3:19" x14ac:dyDescent="0.25">
      <c r="C22">
        <v>2</v>
      </c>
      <c r="D22" t="s">
        <v>2305</v>
      </c>
      <c r="E22">
        <v>60.25</v>
      </c>
      <c r="I22">
        <v>8786.93</v>
      </c>
      <c r="J22">
        <v>59</v>
      </c>
      <c r="K22">
        <v>36</v>
      </c>
      <c r="O22">
        <v>1500</v>
      </c>
      <c r="P22">
        <v>1500</v>
      </c>
      <c r="Q22">
        <v>2685306</v>
      </c>
      <c r="R22">
        <v>1393</v>
      </c>
      <c r="S22">
        <v>5416.666666666667</v>
      </c>
    </row>
    <row r="23" spans="3:19" x14ac:dyDescent="0.25">
      <c r="C23">
        <v>2</v>
      </c>
      <c r="D23">
        <v>303</v>
      </c>
      <c r="R23">
        <v>1393</v>
      </c>
      <c r="S23">
        <v>5416.666666666667</v>
      </c>
    </row>
    <row r="24" spans="3:19" x14ac:dyDescent="0.25">
      <c r="C24">
        <v>2</v>
      </c>
      <c r="D24">
        <v>306</v>
      </c>
      <c r="E24">
        <v>10.25</v>
      </c>
      <c r="I24">
        <v>1560.93</v>
      </c>
      <c r="Q24">
        <v>373691</v>
      </c>
    </row>
    <row r="25" spans="3:19" x14ac:dyDescent="0.25">
      <c r="C25">
        <v>2</v>
      </c>
      <c r="D25">
        <v>307</v>
      </c>
      <c r="E25">
        <v>9.75</v>
      </c>
      <c r="I25">
        <v>1336</v>
      </c>
      <c r="Q25">
        <v>487694</v>
      </c>
    </row>
    <row r="26" spans="3:19" x14ac:dyDescent="0.25">
      <c r="C26">
        <v>2</v>
      </c>
      <c r="D26">
        <v>309</v>
      </c>
      <c r="E26">
        <v>1</v>
      </c>
      <c r="I26">
        <v>160</v>
      </c>
      <c r="J26">
        <v>10</v>
      </c>
      <c r="Q26">
        <v>42484</v>
      </c>
    </row>
    <row r="27" spans="3:19" x14ac:dyDescent="0.25">
      <c r="C27">
        <v>2</v>
      </c>
      <c r="D27">
        <v>310</v>
      </c>
      <c r="E27">
        <v>35.25</v>
      </c>
      <c r="I27">
        <v>5090</v>
      </c>
      <c r="J27">
        <v>6</v>
      </c>
      <c r="K27">
        <v>36</v>
      </c>
      <c r="O27">
        <v>1500</v>
      </c>
      <c r="P27">
        <v>1500</v>
      </c>
      <c r="Q27">
        <v>1676870</v>
      </c>
    </row>
    <row r="28" spans="3:19" x14ac:dyDescent="0.25">
      <c r="C28">
        <v>2</v>
      </c>
      <c r="D28">
        <v>642</v>
      </c>
      <c r="E28">
        <v>4</v>
      </c>
      <c r="I28">
        <v>640</v>
      </c>
      <c r="J28">
        <v>43</v>
      </c>
      <c r="Q28">
        <v>104567</v>
      </c>
    </row>
    <row r="29" spans="3:19" x14ac:dyDescent="0.25">
      <c r="C29">
        <v>2</v>
      </c>
      <c r="D29" t="s">
        <v>2306</v>
      </c>
      <c r="E29">
        <v>1</v>
      </c>
      <c r="I29">
        <v>140</v>
      </c>
      <c r="Q29">
        <v>28860</v>
      </c>
    </row>
    <row r="30" spans="3:19" x14ac:dyDescent="0.25">
      <c r="C30">
        <v>2</v>
      </c>
      <c r="D30">
        <v>30</v>
      </c>
      <c r="E30">
        <v>1</v>
      </c>
      <c r="I30">
        <v>140</v>
      </c>
      <c r="Q30">
        <v>28860</v>
      </c>
    </row>
    <row r="31" spans="3:19" x14ac:dyDescent="0.25">
      <c r="C31">
        <v>2</v>
      </c>
      <c r="D31" t="s">
        <v>2307</v>
      </c>
      <c r="L31">
        <v>11.5</v>
      </c>
      <c r="Q31">
        <v>2990</v>
      </c>
    </row>
    <row r="32" spans="3:19" x14ac:dyDescent="0.25">
      <c r="C32">
        <v>2</v>
      </c>
      <c r="D32">
        <v>0</v>
      </c>
      <c r="L32">
        <v>11.5</v>
      </c>
      <c r="Q32">
        <v>2990</v>
      </c>
    </row>
    <row r="33" spans="3:19" x14ac:dyDescent="0.25">
      <c r="C33" t="s">
        <v>2309</v>
      </c>
      <c r="E33">
        <v>72.389800000000008</v>
      </c>
      <c r="I33">
        <v>10626.93</v>
      </c>
      <c r="J33">
        <v>317</v>
      </c>
      <c r="K33">
        <v>47.5</v>
      </c>
      <c r="L33">
        <v>23</v>
      </c>
      <c r="O33">
        <v>1500</v>
      </c>
      <c r="P33">
        <v>1500</v>
      </c>
      <c r="Q33">
        <v>3675093</v>
      </c>
      <c r="R33">
        <v>6393</v>
      </c>
      <c r="S33">
        <v>7905.6695992179866</v>
      </c>
    </row>
    <row r="34" spans="3:19" x14ac:dyDescent="0.25">
      <c r="C34">
        <v>3</v>
      </c>
      <c r="D34" t="s">
        <v>272</v>
      </c>
      <c r="E34">
        <v>11.137699999999999</v>
      </c>
      <c r="I34">
        <v>1733.6</v>
      </c>
      <c r="J34">
        <v>288.5</v>
      </c>
      <c r="K34">
        <v>11.5</v>
      </c>
      <c r="L34">
        <v>46</v>
      </c>
      <c r="O34">
        <v>43460</v>
      </c>
      <c r="P34">
        <v>43460</v>
      </c>
      <c r="Q34">
        <v>1059940</v>
      </c>
      <c r="R34">
        <v>5000</v>
      </c>
      <c r="S34">
        <v>2489.0029325513196</v>
      </c>
    </row>
    <row r="35" spans="3:19" x14ac:dyDescent="0.25">
      <c r="C35">
        <v>3</v>
      </c>
      <c r="D35">
        <v>99</v>
      </c>
      <c r="E35">
        <v>2.8</v>
      </c>
      <c r="I35">
        <v>422.4</v>
      </c>
      <c r="J35">
        <v>80</v>
      </c>
      <c r="L35">
        <v>23</v>
      </c>
      <c r="O35">
        <v>8692</v>
      </c>
      <c r="P35">
        <v>8692</v>
      </c>
      <c r="Q35">
        <v>170435</v>
      </c>
      <c r="R35">
        <v>5000</v>
      </c>
      <c r="S35">
        <v>2489.0029325513196</v>
      </c>
    </row>
    <row r="36" spans="3:19" x14ac:dyDescent="0.25">
      <c r="C36">
        <v>3</v>
      </c>
      <c r="D36">
        <v>101</v>
      </c>
      <c r="E36">
        <v>8.3376999999999999</v>
      </c>
      <c r="I36">
        <v>1311.2</v>
      </c>
      <c r="J36">
        <v>208.5</v>
      </c>
      <c r="K36">
        <v>11.5</v>
      </c>
      <c r="L36">
        <v>23</v>
      </c>
      <c r="O36">
        <v>34768</v>
      </c>
      <c r="P36">
        <v>34768</v>
      </c>
      <c r="Q36">
        <v>889505</v>
      </c>
    </row>
    <row r="37" spans="3:19" x14ac:dyDescent="0.25">
      <c r="C37">
        <v>3</v>
      </c>
      <c r="D37" t="s">
        <v>2305</v>
      </c>
      <c r="E37">
        <v>60.25</v>
      </c>
      <c r="I37">
        <v>8522</v>
      </c>
      <c r="J37">
        <v>52</v>
      </c>
      <c r="K37">
        <v>132.5</v>
      </c>
      <c r="O37">
        <v>30281</v>
      </c>
      <c r="P37">
        <v>30281</v>
      </c>
      <c r="Q37">
        <v>2740256</v>
      </c>
      <c r="R37">
        <v>3000</v>
      </c>
      <c r="S37">
        <v>5416.666666666667</v>
      </c>
    </row>
    <row r="38" spans="3:19" x14ac:dyDescent="0.25">
      <c r="C38">
        <v>3</v>
      </c>
      <c r="D38">
        <v>303</v>
      </c>
      <c r="R38">
        <v>3000</v>
      </c>
      <c r="S38">
        <v>5416.666666666667</v>
      </c>
    </row>
    <row r="39" spans="3:19" x14ac:dyDescent="0.25">
      <c r="C39">
        <v>3</v>
      </c>
      <c r="D39">
        <v>306</v>
      </c>
      <c r="E39">
        <v>10.25</v>
      </c>
      <c r="I39">
        <v>1440</v>
      </c>
      <c r="O39">
        <v>4250</v>
      </c>
      <c r="P39">
        <v>4250</v>
      </c>
      <c r="Q39">
        <v>392551</v>
      </c>
    </row>
    <row r="40" spans="3:19" x14ac:dyDescent="0.25">
      <c r="C40">
        <v>3</v>
      </c>
      <c r="D40">
        <v>307</v>
      </c>
      <c r="E40">
        <v>9.75</v>
      </c>
      <c r="I40">
        <v>1482</v>
      </c>
      <c r="O40">
        <v>6760</v>
      </c>
      <c r="P40">
        <v>6760</v>
      </c>
      <c r="Q40">
        <v>507373</v>
      </c>
    </row>
    <row r="41" spans="3:19" x14ac:dyDescent="0.25">
      <c r="C41">
        <v>3</v>
      </c>
      <c r="D41">
        <v>309</v>
      </c>
      <c r="E41">
        <v>1</v>
      </c>
      <c r="I41">
        <v>160</v>
      </c>
      <c r="Q41">
        <v>38620</v>
      </c>
    </row>
    <row r="42" spans="3:19" x14ac:dyDescent="0.25">
      <c r="C42">
        <v>3</v>
      </c>
      <c r="D42">
        <v>310</v>
      </c>
      <c r="E42">
        <v>35.25</v>
      </c>
      <c r="I42">
        <v>4800</v>
      </c>
      <c r="K42">
        <v>132.5</v>
      </c>
      <c r="O42">
        <v>19271</v>
      </c>
      <c r="P42">
        <v>19271</v>
      </c>
      <c r="Q42">
        <v>1695000</v>
      </c>
    </row>
    <row r="43" spans="3:19" x14ac:dyDescent="0.25">
      <c r="C43">
        <v>3</v>
      </c>
      <c r="D43">
        <v>642</v>
      </c>
      <c r="E43">
        <v>4</v>
      </c>
      <c r="I43">
        <v>640</v>
      </c>
      <c r="J43">
        <v>52</v>
      </c>
      <c r="Q43">
        <v>106712</v>
      </c>
    </row>
    <row r="44" spans="3:19" x14ac:dyDescent="0.25">
      <c r="C44">
        <v>3</v>
      </c>
      <c r="D44" t="s">
        <v>2306</v>
      </c>
      <c r="E44">
        <v>1</v>
      </c>
      <c r="I44">
        <v>156</v>
      </c>
      <c r="Q44">
        <v>29023</v>
      </c>
    </row>
    <row r="45" spans="3:19" x14ac:dyDescent="0.25">
      <c r="C45">
        <v>3</v>
      </c>
      <c r="D45">
        <v>30</v>
      </c>
      <c r="E45">
        <v>1</v>
      </c>
      <c r="I45">
        <v>156</v>
      </c>
      <c r="Q45">
        <v>29023</v>
      </c>
    </row>
    <row r="46" spans="3:19" x14ac:dyDescent="0.25">
      <c r="C46">
        <v>3</v>
      </c>
      <c r="D46" t="s">
        <v>2307</v>
      </c>
      <c r="L46">
        <v>11.5</v>
      </c>
      <c r="Q46">
        <v>2990</v>
      </c>
    </row>
    <row r="47" spans="3:19" x14ac:dyDescent="0.25">
      <c r="C47">
        <v>3</v>
      </c>
      <c r="D47">
        <v>0</v>
      </c>
      <c r="L47">
        <v>11.5</v>
      </c>
      <c r="Q47">
        <v>2990</v>
      </c>
    </row>
    <row r="48" spans="3:19" x14ac:dyDescent="0.25">
      <c r="C48" t="s">
        <v>2310</v>
      </c>
      <c r="E48">
        <v>72.387699999999995</v>
      </c>
      <c r="I48">
        <v>10411.6</v>
      </c>
      <c r="J48">
        <v>340.5</v>
      </c>
      <c r="K48">
        <v>144</v>
      </c>
      <c r="L48">
        <v>57.5</v>
      </c>
      <c r="O48">
        <v>73741</v>
      </c>
      <c r="P48">
        <v>73741</v>
      </c>
      <c r="Q48">
        <v>3832209</v>
      </c>
      <c r="R48">
        <v>8000</v>
      </c>
      <c r="S48">
        <v>7905.6695992179866</v>
      </c>
    </row>
    <row r="49" spans="3:19" x14ac:dyDescent="0.25">
      <c r="C49">
        <v>4</v>
      </c>
      <c r="D49" t="s">
        <v>272</v>
      </c>
      <c r="E49">
        <v>11.135899999999999</v>
      </c>
      <c r="I49">
        <v>1929.6</v>
      </c>
      <c r="J49">
        <v>314</v>
      </c>
      <c r="K49">
        <v>11.5</v>
      </c>
      <c r="L49">
        <v>46</v>
      </c>
      <c r="O49">
        <v>40000</v>
      </c>
      <c r="P49">
        <v>40000</v>
      </c>
      <c r="Q49">
        <v>1071745</v>
      </c>
      <c r="R49">
        <v>10100</v>
      </c>
      <c r="S49">
        <v>2489.0029325513196</v>
      </c>
    </row>
    <row r="50" spans="3:19" x14ac:dyDescent="0.25">
      <c r="C50">
        <v>4</v>
      </c>
      <c r="D50">
        <v>99</v>
      </c>
      <c r="E50">
        <v>2.8</v>
      </c>
      <c r="I50">
        <v>476.8</v>
      </c>
      <c r="J50">
        <v>59</v>
      </c>
      <c r="L50">
        <v>23</v>
      </c>
      <c r="Q50">
        <v>150474</v>
      </c>
      <c r="R50">
        <v>10100</v>
      </c>
      <c r="S50">
        <v>2489.0029325513196</v>
      </c>
    </row>
    <row r="51" spans="3:19" x14ac:dyDescent="0.25">
      <c r="C51">
        <v>4</v>
      </c>
      <c r="D51">
        <v>101</v>
      </c>
      <c r="E51">
        <v>8.3359000000000005</v>
      </c>
      <c r="I51">
        <v>1452.8</v>
      </c>
      <c r="J51">
        <v>255</v>
      </c>
      <c r="K51">
        <v>11.5</v>
      </c>
      <c r="L51">
        <v>23</v>
      </c>
      <c r="O51">
        <v>40000</v>
      </c>
      <c r="P51">
        <v>40000</v>
      </c>
      <c r="Q51">
        <v>921271</v>
      </c>
    </row>
    <row r="52" spans="3:19" x14ac:dyDescent="0.25">
      <c r="C52">
        <v>4</v>
      </c>
      <c r="D52" t="s">
        <v>2305</v>
      </c>
      <c r="E52">
        <v>61.25</v>
      </c>
      <c r="I52">
        <v>9226</v>
      </c>
      <c r="J52">
        <v>108</v>
      </c>
      <c r="K52">
        <v>200.25</v>
      </c>
      <c r="O52">
        <v>14086</v>
      </c>
      <c r="P52">
        <v>14086</v>
      </c>
      <c r="Q52">
        <v>2904664</v>
      </c>
      <c r="R52">
        <v>8000</v>
      </c>
      <c r="S52">
        <v>5416.666666666667</v>
      </c>
    </row>
    <row r="53" spans="3:19" x14ac:dyDescent="0.25">
      <c r="C53">
        <v>4</v>
      </c>
      <c r="D53">
        <v>303</v>
      </c>
      <c r="R53">
        <v>8000</v>
      </c>
      <c r="S53">
        <v>5416.666666666667</v>
      </c>
    </row>
    <row r="54" spans="3:19" x14ac:dyDescent="0.25">
      <c r="C54">
        <v>4</v>
      </c>
      <c r="D54">
        <v>306</v>
      </c>
      <c r="E54">
        <v>11.25</v>
      </c>
      <c r="I54">
        <v>1488</v>
      </c>
      <c r="J54">
        <v>33</v>
      </c>
      <c r="K54">
        <v>40</v>
      </c>
      <c r="O54">
        <v>5344</v>
      </c>
      <c r="P54">
        <v>5344</v>
      </c>
      <c r="Q54">
        <v>439530</v>
      </c>
    </row>
    <row r="55" spans="3:19" x14ac:dyDescent="0.25">
      <c r="C55">
        <v>4</v>
      </c>
      <c r="D55">
        <v>307</v>
      </c>
      <c r="E55">
        <v>9.75</v>
      </c>
      <c r="I55">
        <v>1472</v>
      </c>
      <c r="J55">
        <v>15</v>
      </c>
      <c r="K55">
        <v>15</v>
      </c>
      <c r="O55">
        <v>1998</v>
      </c>
      <c r="P55">
        <v>1998</v>
      </c>
      <c r="Q55">
        <v>533182</v>
      </c>
    </row>
    <row r="56" spans="3:19" x14ac:dyDescent="0.25">
      <c r="C56">
        <v>4</v>
      </c>
      <c r="D56">
        <v>309</v>
      </c>
      <c r="E56">
        <v>1</v>
      </c>
      <c r="I56">
        <v>176</v>
      </c>
      <c r="J56">
        <v>26</v>
      </c>
      <c r="Q56">
        <v>48891</v>
      </c>
    </row>
    <row r="57" spans="3:19" x14ac:dyDescent="0.25">
      <c r="C57">
        <v>4</v>
      </c>
      <c r="D57">
        <v>310</v>
      </c>
      <c r="E57">
        <v>35.25</v>
      </c>
      <c r="I57">
        <v>5410</v>
      </c>
      <c r="K57">
        <v>145.25</v>
      </c>
      <c r="O57">
        <v>6744</v>
      </c>
      <c r="P57">
        <v>6744</v>
      </c>
      <c r="Q57">
        <v>1777649</v>
      </c>
    </row>
    <row r="58" spans="3:19" x14ac:dyDescent="0.25">
      <c r="C58">
        <v>4</v>
      </c>
      <c r="D58">
        <v>642</v>
      </c>
      <c r="E58">
        <v>4</v>
      </c>
      <c r="I58">
        <v>680</v>
      </c>
      <c r="J58">
        <v>34</v>
      </c>
      <c r="Q58">
        <v>105412</v>
      </c>
    </row>
    <row r="59" spans="3:19" x14ac:dyDescent="0.25">
      <c r="C59">
        <v>4</v>
      </c>
      <c r="D59" t="s">
        <v>2306</v>
      </c>
      <c r="E59">
        <v>1</v>
      </c>
      <c r="I59">
        <v>140</v>
      </c>
      <c r="Q59">
        <v>29467</v>
      </c>
    </row>
    <row r="60" spans="3:19" x14ac:dyDescent="0.25">
      <c r="C60">
        <v>4</v>
      </c>
      <c r="D60">
        <v>30</v>
      </c>
      <c r="E60">
        <v>1</v>
      </c>
      <c r="I60">
        <v>140</v>
      </c>
      <c r="Q60">
        <v>29467</v>
      </c>
    </row>
    <row r="61" spans="3:19" x14ac:dyDescent="0.25">
      <c r="C61">
        <v>4</v>
      </c>
      <c r="D61" t="s">
        <v>2307</v>
      </c>
      <c r="L61">
        <v>26.5</v>
      </c>
      <c r="Q61">
        <v>10490</v>
      </c>
    </row>
    <row r="62" spans="3:19" x14ac:dyDescent="0.25">
      <c r="C62">
        <v>4</v>
      </c>
      <c r="D62">
        <v>0</v>
      </c>
      <c r="L62">
        <v>26.5</v>
      </c>
      <c r="Q62">
        <v>10490</v>
      </c>
    </row>
    <row r="63" spans="3:19" x14ac:dyDescent="0.25">
      <c r="C63" t="s">
        <v>2311</v>
      </c>
      <c r="E63">
        <v>73.385899999999992</v>
      </c>
      <c r="I63">
        <v>11295.6</v>
      </c>
      <c r="J63">
        <v>422</v>
      </c>
      <c r="K63">
        <v>211.75</v>
      </c>
      <c r="L63">
        <v>72.5</v>
      </c>
      <c r="O63">
        <v>54086</v>
      </c>
      <c r="P63">
        <v>54086</v>
      </c>
      <c r="Q63">
        <v>4016366</v>
      </c>
      <c r="R63">
        <v>18100</v>
      </c>
      <c r="S63">
        <v>7905.6695992179866</v>
      </c>
    </row>
    <row r="64" spans="3:19" x14ac:dyDescent="0.25">
      <c r="C64">
        <v>5</v>
      </c>
      <c r="D64" t="s">
        <v>272</v>
      </c>
      <c r="E64">
        <v>11.134399999999999</v>
      </c>
      <c r="I64">
        <v>1936.8000000000002</v>
      </c>
      <c r="J64">
        <v>289.5</v>
      </c>
      <c r="K64">
        <v>11.5</v>
      </c>
      <c r="L64">
        <v>46</v>
      </c>
      <c r="Q64">
        <v>1005181</v>
      </c>
      <c r="S64">
        <v>2489.0029325513196</v>
      </c>
    </row>
    <row r="65" spans="3:19" x14ac:dyDescent="0.25">
      <c r="C65">
        <v>5</v>
      </c>
      <c r="D65">
        <v>99</v>
      </c>
      <c r="E65">
        <v>2.8</v>
      </c>
      <c r="I65">
        <v>465.6</v>
      </c>
      <c r="J65">
        <v>64</v>
      </c>
      <c r="L65">
        <v>23</v>
      </c>
      <c r="Q65">
        <v>153935</v>
      </c>
      <c r="S65">
        <v>2489.0029325513196</v>
      </c>
    </row>
    <row r="66" spans="3:19" x14ac:dyDescent="0.25">
      <c r="C66">
        <v>5</v>
      </c>
      <c r="D66">
        <v>101</v>
      </c>
      <c r="E66">
        <v>8.3344000000000005</v>
      </c>
      <c r="I66">
        <v>1471.2</v>
      </c>
      <c r="J66">
        <v>225.5</v>
      </c>
      <c r="K66">
        <v>11.5</v>
      </c>
      <c r="L66">
        <v>23</v>
      </c>
      <c r="Q66">
        <v>851246</v>
      </c>
    </row>
    <row r="67" spans="3:19" x14ac:dyDescent="0.25">
      <c r="C67">
        <v>5</v>
      </c>
      <c r="D67" t="s">
        <v>2305</v>
      </c>
      <c r="E67">
        <v>61.25</v>
      </c>
      <c r="I67">
        <v>9299.24</v>
      </c>
      <c r="J67">
        <v>278.25</v>
      </c>
      <c r="K67">
        <v>454.5</v>
      </c>
      <c r="O67">
        <v>13336</v>
      </c>
      <c r="P67">
        <v>13336</v>
      </c>
      <c r="Q67">
        <v>3086198</v>
      </c>
      <c r="R67">
        <v>7499</v>
      </c>
      <c r="S67">
        <v>5416.666666666667</v>
      </c>
    </row>
    <row r="68" spans="3:19" x14ac:dyDescent="0.25">
      <c r="C68">
        <v>5</v>
      </c>
      <c r="D68">
        <v>303</v>
      </c>
      <c r="R68">
        <v>7499</v>
      </c>
      <c r="S68">
        <v>5416.666666666667</v>
      </c>
    </row>
    <row r="69" spans="3:19" x14ac:dyDescent="0.25">
      <c r="C69">
        <v>5</v>
      </c>
      <c r="D69">
        <v>306</v>
      </c>
      <c r="E69">
        <v>11.25</v>
      </c>
      <c r="I69">
        <v>1488</v>
      </c>
      <c r="J69">
        <v>64.5</v>
      </c>
      <c r="K69">
        <v>45</v>
      </c>
      <c r="O69">
        <v>3808</v>
      </c>
      <c r="P69">
        <v>3808</v>
      </c>
      <c r="Q69">
        <v>452632</v>
      </c>
    </row>
    <row r="70" spans="3:19" x14ac:dyDescent="0.25">
      <c r="C70">
        <v>5</v>
      </c>
      <c r="D70">
        <v>307</v>
      </c>
      <c r="E70">
        <v>9.75</v>
      </c>
      <c r="I70">
        <v>1420</v>
      </c>
      <c r="J70">
        <v>40.25</v>
      </c>
      <c r="K70">
        <v>90</v>
      </c>
      <c r="O70">
        <v>2864</v>
      </c>
      <c r="P70">
        <v>2864</v>
      </c>
      <c r="Q70">
        <v>578281</v>
      </c>
    </row>
    <row r="71" spans="3:19" x14ac:dyDescent="0.25">
      <c r="C71">
        <v>5</v>
      </c>
      <c r="D71">
        <v>309</v>
      </c>
      <c r="E71">
        <v>1</v>
      </c>
      <c r="I71">
        <v>160</v>
      </c>
      <c r="J71">
        <v>6</v>
      </c>
      <c r="Q71">
        <v>41059</v>
      </c>
    </row>
    <row r="72" spans="3:19" x14ac:dyDescent="0.25">
      <c r="C72">
        <v>5</v>
      </c>
      <c r="D72">
        <v>310</v>
      </c>
      <c r="E72">
        <v>35.25</v>
      </c>
      <c r="I72">
        <v>5543.24</v>
      </c>
      <c r="J72">
        <v>129.25</v>
      </c>
      <c r="K72">
        <v>319.5</v>
      </c>
      <c r="O72">
        <v>6664</v>
      </c>
      <c r="P72">
        <v>6664</v>
      </c>
      <c r="Q72">
        <v>1909476</v>
      </c>
    </row>
    <row r="73" spans="3:19" x14ac:dyDescent="0.25">
      <c r="C73">
        <v>5</v>
      </c>
      <c r="D73">
        <v>642</v>
      </c>
      <c r="E73">
        <v>4</v>
      </c>
      <c r="I73">
        <v>688</v>
      </c>
      <c r="J73">
        <v>38.25</v>
      </c>
      <c r="Q73">
        <v>104750</v>
      </c>
    </row>
    <row r="74" spans="3:19" x14ac:dyDescent="0.25">
      <c r="C74">
        <v>5</v>
      </c>
      <c r="D74" t="s">
        <v>2306</v>
      </c>
      <c r="E74">
        <v>1</v>
      </c>
      <c r="I74">
        <v>184</v>
      </c>
      <c r="Q74">
        <v>29010</v>
      </c>
    </row>
    <row r="75" spans="3:19" x14ac:dyDescent="0.25">
      <c r="C75">
        <v>5</v>
      </c>
      <c r="D75">
        <v>30</v>
      </c>
      <c r="E75">
        <v>1</v>
      </c>
      <c r="I75">
        <v>184</v>
      </c>
      <c r="Q75">
        <v>29010</v>
      </c>
    </row>
    <row r="76" spans="3:19" x14ac:dyDescent="0.25">
      <c r="C76">
        <v>5</v>
      </c>
      <c r="D76" t="s">
        <v>2307</v>
      </c>
      <c r="L76">
        <v>26.5</v>
      </c>
      <c r="Q76">
        <v>10490</v>
      </c>
    </row>
    <row r="77" spans="3:19" x14ac:dyDescent="0.25">
      <c r="C77">
        <v>5</v>
      </c>
      <c r="D77">
        <v>0</v>
      </c>
      <c r="L77">
        <v>26.5</v>
      </c>
      <c r="Q77">
        <v>10490</v>
      </c>
    </row>
    <row r="78" spans="3:19" x14ac:dyDescent="0.25">
      <c r="C78" t="s">
        <v>2312</v>
      </c>
      <c r="E78">
        <v>73.384399999999999</v>
      </c>
      <c r="I78">
        <v>11420.04</v>
      </c>
      <c r="J78">
        <v>567.75</v>
      </c>
      <c r="K78">
        <v>466</v>
      </c>
      <c r="L78">
        <v>72.5</v>
      </c>
      <c r="O78">
        <v>13336</v>
      </c>
      <c r="P78">
        <v>13336</v>
      </c>
      <c r="Q78">
        <v>4130879</v>
      </c>
      <c r="R78">
        <v>7499</v>
      </c>
      <c r="S78">
        <v>7905.6695992179866</v>
      </c>
    </row>
    <row r="79" spans="3:19" x14ac:dyDescent="0.25">
      <c r="C79">
        <v>6</v>
      </c>
      <c r="D79" t="s">
        <v>272</v>
      </c>
      <c r="E79">
        <v>11.146699999999999</v>
      </c>
      <c r="I79">
        <v>1639.2</v>
      </c>
      <c r="J79">
        <v>280</v>
      </c>
      <c r="K79">
        <v>23.5</v>
      </c>
      <c r="L79">
        <v>57.5</v>
      </c>
      <c r="Q79">
        <v>997879</v>
      </c>
      <c r="R79">
        <v>9000</v>
      </c>
      <c r="S79">
        <v>2489.0029325513196</v>
      </c>
    </row>
    <row r="80" spans="3:19" x14ac:dyDescent="0.25">
      <c r="C80">
        <v>6</v>
      </c>
      <c r="D80">
        <v>99</v>
      </c>
      <c r="E80">
        <v>1.8</v>
      </c>
      <c r="I80">
        <v>243.2</v>
      </c>
      <c r="J80">
        <v>36</v>
      </c>
      <c r="K80">
        <v>12</v>
      </c>
      <c r="L80">
        <v>23</v>
      </c>
      <c r="Q80">
        <v>92382</v>
      </c>
      <c r="R80">
        <v>9000</v>
      </c>
      <c r="S80">
        <v>2489.0029325513196</v>
      </c>
    </row>
    <row r="81" spans="3:19" x14ac:dyDescent="0.25">
      <c r="C81">
        <v>6</v>
      </c>
      <c r="D81">
        <v>100</v>
      </c>
      <c r="E81">
        <v>1</v>
      </c>
      <c r="I81">
        <v>160</v>
      </c>
      <c r="J81">
        <v>36</v>
      </c>
      <c r="Q81">
        <v>67806</v>
      </c>
    </row>
    <row r="82" spans="3:19" x14ac:dyDescent="0.25">
      <c r="C82">
        <v>6</v>
      </c>
      <c r="D82">
        <v>101</v>
      </c>
      <c r="E82">
        <v>8.3467000000000002</v>
      </c>
      <c r="I82">
        <v>1236</v>
      </c>
      <c r="J82">
        <v>208</v>
      </c>
      <c r="K82">
        <v>11.5</v>
      </c>
      <c r="L82">
        <v>34.5</v>
      </c>
      <c r="Q82">
        <v>837691</v>
      </c>
    </row>
    <row r="83" spans="3:19" x14ac:dyDescent="0.25">
      <c r="C83">
        <v>6</v>
      </c>
      <c r="D83" t="s">
        <v>2305</v>
      </c>
      <c r="E83">
        <v>59.25</v>
      </c>
      <c r="I83">
        <v>7614.5</v>
      </c>
      <c r="J83">
        <v>376.25</v>
      </c>
      <c r="K83">
        <v>571.5</v>
      </c>
      <c r="O83">
        <v>8250</v>
      </c>
      <c r="P83">
        <v>8250</v>
      </c>
      <c r="Q83">
        <v>2988777</v>
      </c>
      <c r="R83">
        <v>4060</v>
      </c>
      <c r="S83">
        <v>5416.666666666667</v>
      </c>
    </row>
    <row r="84" spans="3:19" x14ac:dyDescent="0.25">
      <c r="C84">
        <v>6</v>
      </c>
      <c r="D84">
        <v>303</v>
      </c>
      <c r="R84">
        <v>4060</v>
      </c>
      <c r="S84">
        <v>5416.666666666667</v>
      </c>
    </row>
    <row r="85" spans="3:19" x14ac:dyDescent="0.25">
      <c r="C85">
        <v>6</v>
      </c>
      <c r="D85">
        <v>306</v>
      </c>
      <c r="E85">
        <v>10.25</v>
      </c>
      <c r="I85">
        <v>1492.5</v>
      </c>
      <c r="J85">
        <v>56</v>
      </c>
      <c r="K85">
        <v>45</v>
      </c>
      <c r="Q85">
        <v>438042</v>
      </c>
    </row>
    <row r="86" spans="3:19" x14ac:dyDescent="0.25">
      <c r="C86">
        <v>6</v>
      </c>
      <c r="D86">
        <v>307</v>
      </c>
      <c r="E86">
        <v>8.75</v>
      </c>
      <c r="I86">
        <v>1068</v>
      </c>
      <c r="J86">
        <v>66.5</v>
      </c>
      <c r="K86">
        <v>100</v>
      </c>
      <c r="Q86">
        <v>527448</v>
      </c>
    </row>
    <row r="87" spans="3:19" x14ac:dyDescent="0.25">
      <c r="C87">
        <v>6</v>
      </c>
      <c r="D87">
        <v>309</v>
      </c>
      <c r="E87">
        <v>1</v>
      </c>
      <c r="Q87">
        <v>6807</v>
      </c>
    </row>
    <row r="88" spans="3:19" x14ac:dyDescent="0.25">
      <c r="C88">
        <v>6</v>
      </c>
      <c r="D88">
        <v>310</v>
      </c>
      <c r="E88">
        <v>35.25</v>
      </c>
      <c r="I88">
        <v>4462</v>
      </c>
      <c r="J88">
        <v>207.75</v>
      </c>
      <c r="K88">
        <v>426.5</v>
      </c>
      <c r="O88">
        <v>8250</v>
      </c>
      <c r="P88">
        <v>8250</v>
      </c>
      <c r="Q88">
        <v>1910749</v>
      </c>
    </row>
    <row r="89" spans="3:19" x14ac:dyDescent="0.25">
      <c r="C89">
        <v>6</v>
      </c>
      <c r="D89">
        <v>642</v>
      </c>
      <c r="E89">
        <v>4</v>
      </c>
      <c r="I89">
        <v>592</v>
      </c>
      <c r="J89">
        <v>46</v>
      </c>
      <c r="Q89">
        <v>105731</v>
      </c>
    </row>
    <row r="90" spans="3:19" x14ac:dyDescent="0.25">
      <c r="C90">
        <v>6</v>
      </c>
      <c r="D90" t="s">
        <v>2306</v>
      </c>
      <c r="E90">
        <v>1</v>
      </c>
      <c r="I90">
        <v>120</v>
      </c>
      <c r="Q90">
        <v>28859</v>
      </c>
    </row>
    <row r="91" spans="3:19" x14ac:dyDescent="0.25">
      <c r="C91">
        <v>6</v>
      </c>
      <c r="D91">
        <v>30</v>
      </c>
      <c r="E91">
        <v>1</v>
      </c>
      <c r="I91">
        <v>120</v>
      </c>
      <c r="Q91">
        <v>28859</v>
      </c>
    </row>
    <row r="92" spans="3:19" x14ac:dyDescent="0.25">
      <c r="C92" t="s">
        <v>2313</v>
      </c>
      <c r="E92">
        <v>71.396699999999996</v>
      </c>
      <c r="I92">
        <v>9373.7000000000007</v>
      </c>
      <c r="J92">
        <v>656.25</v>
      </c>
      <c r="K92">
        <v>595</v>
      </c>
      <c r="L92">
        <v>57.5</v>
      </c>
      <c r="O92">
        <v>8250</v>
      </c>
      <c r="P92">
        <v>8250</v>
      </c>
      <c r="Q92">
        <v>4015515</v>
      </c>
      <c r="R92">
        <v>13060</v>
      </c>
      <c r="S92">
        <v>7905.6695992179866</v>
      </c>
    </row>
    <row r="93" spans="3:19" x14ac:dyDescent="0.25">
      <c r="C93">
        <v>7</v>
      </c>
      <c r="D93" t="s">
        <v>272</v>
      </c>
      <c r="E93">
        <v>10.3</v>
      </c>
      <c r="I93">
        <v>1377.6</v>
      </c>
      <c r="J93">
        <v>274</v>
      </c>
      <c r="L93">
        <v>23</v>
      </c>
      <c r="O93">
        <v>450358</v>
      </c>
      <c r="P93">
        <v>450358</v>
      </c>
      <c r="Q93">
        <v>1552864</v>
      </c>
      <c r="S93">
        <v>2489.0029325513196</v>
      </c>
    </row>
    <row r="94" spans="3:19" x14ac:dyDescent="0.25">
      <c r="C94">
        <v>7</v>
      </c>
      <c r="D94">
        <v>99</v>
      </c>
      <c r="E94">
        <v>2</v>
      </c>
      <c r="I94">
        <v>328</v>
      </c>
      <c r="J94">
        <v>48</v>
      </c>
      <c r="L94">
        <v>11.5</v>
      </c>
      <c r="O94">
        <v>36877</v>
      </c>
      <c r="P94">
        <v>36877</v>
      </c>
      <c r="Q94">
        <v>160096</v>
      </c>
      <c r="S94">
        <v>2489.0029325513196</v>
      </c>
    </row>
    <row r="95" spans="3:19" x14ac:dyDescent="0.25">
      <c r="C95">
        <v>7</v>
      </c>
      <c r="D95">
        <v>101</v>
      </c>
      <c r="E95">
        <v>8.3000000000000007</v>
      </c>
      <c r="I95">
        <v>1049.5999999999999</v>
      </c>
      <c r="J95">
        <v>226</v>
      </c>
      <c r="L95">
        <v>11.5</v>
      </c>
      <c r="O95">
        <v>413481</v>
      </c>
      <c r="P95">
        <v>413481</v>
      </c>
      <c r="Q95">
        <v>1392768</v>
      </c>
    </row>
    <row r="96" spans="3:19" x14ac:dyDescent="0.25">
      <c r="C96">
        <v>7</v>
      </c>
      <c r="D96" t="s">
        <v>2305</v>
      </c>
      <c r="E96">
        <v>60.25</v>
      </c>
      <c r="I96">
        <v>8179.14</v>
      </c>
      <c r="J96">
        <v>337.5</v>
      </c>
      <c r="K96">
        <v>746.75</v>
      </c>
      <c r="O96">
        <v>795248</v>
      </c>
      <c r="P96">
        <v>795248</v>
      </c>
      <c r="Q96">
        <v>3918065</v>
      </c>
      <c r="S96">
        <v>5416.666666666667</v>
      </c>
    </row>
    <row r="97" spans="3:19" x14ac:dyDescent="0.25">
      <c r="C97">
        <v>7</v>
      </c>
      <c r="D97">
        <v>303</v>
      </c>
      <c r="S97">
        <v>5416.666666666667</v>
      </c>
    </row>
    <row r="98" spans="3:19" x14ac:dyDescent="0.25">
      <c r="C98">
        <v>7</v>
      </c>
      <c r="D98">
        <v>306</v>
      </c>
      <c r="E98">
        <v>11.25</v>
      </c>
      <c r="I98">
        <v>1533.14</v>
      </c>
      <c r="J98">
        <v>80.25</v>
      </c>
      <c r="K98">
        <v>70</v>
      </c>
      <c r="O98">
        <v>104717</v>
      </c>
      <c r="P98">
        <v>104717</v>
      </c>
      <c r="Q98">
        <v>597227</v>
      </c>
    </row>
    <row r="99" spans="3:19" x14ac:dyDescent="0.25">
      <c r="C99">
        <v>7</v>
      </c>
      <c r="D99">
        <v>307</v>
      </c>
      <c r="E99">
        <v>8.75</v>
      </c>
      <c r="I99">
        <v>1300</v>
      </c>
      <c r="J99">
        <v>68.25</v>
      </c>
      <c r="K99">
        <v>151.5</v>
      </c>
      <c r="O99">
        <v>158416</v>
      </c>
      <c r="P99">
        <v>158416</v>
      </c>
      <c r="Q99">
        <v>711726</v>
      </c>
    </row>
    <row r="100" spans="3:19" x14ac:dyDescent="0.25">
      <c r="C100">
        <v>7</v>
      </c>
      <c r="D100">
        <v>309</v>
      </c>
      <c r="E100">
        <v>1</v>
      </c>
      <c r="O100">
        <v>9296</v>
      </c>
      <c r="P100">
        <v>9296</v>
      </c>
      <c r="Q100">
        <v>9296</v>
      </c>
    </row>
    <row r="101" spans="3:19" x14ac:dyDescent="0.25">
      <c r="C101">
        <v>7</v>
      </c>
      <c r="D101">
        <v>310</v>
      </c>
      <c r="E101">
        <v>35.25</v>
      </c>
      <c r="I101">
        <v>4786</v>
      </c>
      <c r="J101">
        <v>147</v>
      </c>
      <c r="K101">
        <v>525.25</v>
      </c>
      <c r="O101">
        <v>493471</v>
      </c>
      <c r="P101">
        <v>493471</v>
      </c>
      <c r="Q101">
        <v>2462496</v>
      </c>
    </row>
    <row r="102" spans="3:19" x14ac:dyDescent="0.25">
      <c r="C102">
        <v>7</v>
      </c>
      <c r="D102">
        <v>642</v>
      </c>
      <c r="E102">
        <v>4</v>
      </c>
      <c r="I102">
        <v>560</v>
      </c>
      <c r="J102">
        <v>42</v>
      </c>
      <c r="O102">
        <v>29348</v>
      </c>
      <c r="P102">
        <v>29348</v>
      </c>
      <c r="Q102">
        <v>137320</v>
      </c>
    </row>
    <row r="103" spans="3:19" x14ac:dyDescent="0.25">
      <c r="C103">
        <v>7</v>
      </c>
      <c r="D103" t="s">
        <v>2306</v>
      </c>
      <c r="E103">
        <v>1</v>
      </c>
      <c r="I103">
        <v>160</v>
      </c>
      <c r="O103">
        <v>8466</v>
      </c>
      <c r="P103">
        <v>8466</v>
      </c>
      <c r="Q103">
        <v>37685</v>
      </c>
    </row>
    <row r="104" spans="3:19" x14ac:dyDescent="0.25">
      <c r="C104">
        <v>7</v>
      </c>
      <c r="D104">
        <v>30</v>
      </c>
      <c r="E104">
        <v>1</v>
      </c>
      <c r="I104">
        <v>160</v>
      </c>
      <c r="O104">
        <v>8466</v>
      </c>
      <c r="P104">
        <v>8466</v>
      </c>
      <c r="Q104">
        <v>37685</v>
      </c>
    </row>
    <row r="105" spans="3:19" x14ac:dyDescent="0.25">
      <c r="C105" t="s">
        <v>2314</v>
      </c>
      <c r="E105">
        <v>71.55</v>
      </c>
      <c r="I105">
        <v>9716.74</v>
      </c>
      <c r="J105">
        <v>611.5</v>
      </c>
      <c r="K105">
        <v>746.75</v>
      </c>
      <c r="L105">
        <v>23</v>
      </c>
      <c r="O105">
        <v>1254072</v>
      </c>
      <c r="P105">
        <v>1254072</v>
      </c>
      <c r="Q105">
        <v>5508614</v>
      </c>
      <c r="S105">
        <v>7905.6695992179866</v>
      </c>
    </row>
    <row r="106" spans="3:19" x14ac:dyDescent="0.25">
      <c r="C106">
        <v>8</v>
      </c>
      <c r="D106" t="s">
        <v>272</v>
      </c>
      <c r="E106">
        <v>10.3</v>
      </c>
      <c r="I106">
        <v>1285.5999999999999</v>
      </c>
      <c r="J106">
        <v>278</v>
      </c>
      <c r="L106">
        <v>34.5</v>
      </c>
      <c r="Q106">
        <v>977067</v>
      </c>
      <c r="S106">
        <v>2489.0029325513196</v>
      </c>
    </row>
    <row r="107" spans="3:19" x14ac:dyDescent="0.25">
      <c r="C107">
        <v>8</v>
      </c>
      <c r="D107">
        <v>99</v>
      </c>
      <c r="E107">
        <v>2</v>
      </c>
      <c r="I107">
        <v>256</v>
      </c>
      <c r="J107">
        <v>64</v>
      </c>
      <c r="L107">
        <v>23</v>
      </c>
      <c r="Q107">
        <v>130368</v>
      </c>
      <c r="S107">
        <v>2489.0029325513196</v>
      </c>
    </row>
    <row r="108" spans="3:19" x14ac:dyDescent="0.25">
      <c r="C108">
        <v>8</v>
      </c>
      <c r="D108">
        <v>101</v>
      </c>
      <c r="E108">
        <v>8.3000000000000007</v>
      </c>
      <c r="I108">
        <v>1029.5999999999999</v>
      </c>
      <c r="J108">
        <v>214</v>
      </c>
      <c r="L108">
        <v>11.5</v>
      </c>
      <c r="Q108">
        <v>846699</v>
      </c>
    </row>
    <row r="109" spans="3:19" x14ac:dyDescent="0.25">
      <c r="C109">
        <v>8</v>
      </c>
      <c r="D109" t="s">
        <v>2305</v>
      </c>
      <c r="E109">
        <v>60.25</v>
      </c>
      <c r="I109">
        <v>7760</v>
      </c>
      <c r="J109">
        <v>581</v>
      </c>
      <c r="K109">
        <v>871</v>
      </c>
      <c r="O109">
        <v>50296</v>
      </c>
      <c r="P109">
        <v>50296</v>
      </c>
      <c r="Q109">
        <v>3189452</v>
      </c>
      <c r="R109">
        <v>2910</v>
      </c>
      <c r="S109">
        <v>5416.666666666667</v>
      </c>
    </row>
    <row r="110" spans="3:19" x14ac:dyDescent="0.25">
      <c r="C110">
        <v>8</v>
      </c>
      <c r="D110">
        <v>303</v>
      </c>
      <c r="R110">
        <v>2910</v>
      </c>
      <c r="S110">
        <v>5416.666666666667</v>
      </c>
    </row>
    <row r="111" spans="3:19" x14ac:dyDescent="0.25">
      <c r="C111">
        <v>8</v>
      </c>
      <c r="D111">
        <v>306</v>
      </c>
      <c r="E111">
        <v>11.25</v>
      </c>
      <c r="I111">
        <v>1620</v>
      </c>
      <c r="J111">
        <v>163.5</v>
      </c>
      <c r="K111">
        <v>64.5</v>
      </c>
      <c r="O111">
        <v>5542</v>
      </c>
      <c r="P111">
        <v>5542</v>
      </c>
      <c r="Q111">
        <v>500862</v>
      </c>
    </row>
    <row r="112" spans="3:19" x14ac:dyDescent="0.25">
      <c r="C112">
        <v>8</v>
      </c>
      <c r="D112">
        <v>307</v>
      </c>
      <c r="E112">
        <v>8.75</v>
      </c>
      <c r="I112">
        <v>1204</v>
      </c>
      <c r="J112">
        <v>71</v>
      </c>
      <c r="K112">
        <v>158</v>
      </c>
      <c r="O112">
        <v>11188</v>
      </c>
      <c r="P112">
        <v>11188</v>
      </c>
      <c r="Q112">
        <v>546138</v>
      </c>
    </row>
    <row r="113" spans="3:19" x14ac:dyDescent="0.25">
      <c r="C113">
        <v>8</v>
      </c>
      <c r="D113">
        <v>309</v>
      </c>
      <c r="E113">
        <v>1</v>
      </c>
      <c r="Q113">
        <v>5740</v>
      </c>
    </row>
    <row r="114" spans="3:19" x14ac:dyDescent="0.25">
      <c r="C114">
        <v>8</v>
      </c>
      <c r="D114">
        <v>310</v>
      </c>
      <c r="E114">
        <v>35.25</v>
      </c>
      <c r="I114">
        <v>4448</v>
      </c>
      <c r="J114">
        <v>294.5</v>
      </c>
      <c r="K114">
        <v>648.5</v>
      </c>
      <c r="O114">
        <v>33566</v>
      </c>
      <c r="P114">
        <v>33566</v>
      </c>
      <c r="Q114">
        <v>2028783</v>
      </c>
    </row>
    <row r="115" spans="3:19" x14ac:dyDescent="0.25">
      <c r="C115">
        <v>8</v>
      </c>
      <c r="D115">
        <v>642</v>
      </c>
      <c r="E115">
        <v>4</v>
      </c>
      <c r="I115">
        <v>488</v>
      </c>
      <c r="J115">
        <v>52</v>
      </c>
      <c r="Q115">
        <v>107929</v>
      </c>
    </row>
    <row r="116" spans="3:19" x14ac:dyDescent="0.25">
      <c r="C116">
        <v>8</v>
      </c>
      <c r="D116" t="s">
        <v>2306</v>
      </c>
      <c r="E116">
        <v>1</v>
      </c>
      <c r="I116">
        <v>112</v>
      </c>
      <c r="Q116">
        <v>29105</v>
      </c>
    </row>
    <row r="117" spans="3:19" x14ac:dyDescent="0.25">
      <c r="C117">
        <v>8</v>
      </c>
      <c r="D117">
        <v>30</v>
      </c>
      <c r="E117">
        <v>1</v>
      </c>
      <c r="I117">
        <v>112</v>
      </c>
      <c r="Q117">
        <v>29105</v>
      </c>
    </row>
    <row r="118" spans="3:19" x14ac:dyDescent="0.25">
      <c r="C118" t="s">
        <v>2315</v>
      </c>
      <c r="E118">
        <v>71.55</v>
      </c>
      <c r="I118">
        <v>9157.6</v>
      </c>
      <c r="J118">
        <v>859</v>
      </c>
      <c r="K118">
        <v>871</v>
      </c>
      <c r="L118">
        <v>34.5</v>
      </c>
      <c r="O118">
        <v>50296</v>
      </c>
      <c r="P118">
        <v>50296</v>
      </c>
      <c r="Q118">
        <v>4195624</v>
      </c>
      <c r="R118">
        <v>2910</v>
      </c>
      <c r="S118">
        <v>7905.6695992179866</v>
      </c>
    </row>
    <row r="119" spans="3:19" x14ac:dyDescent="0.25">
      <c r="C119">
        <v>9</v>
      </c>
      <c r="D119" t="s">
        <v>272</v>
      </c>
      <c r="E119">
        <v>10.339500000000001</v>
      </c>
      <c r="I119">
        <v>1410.4</v>
      </c>
      <c r="J119">
        <v>266</v>
      </c>
      <c r="K119">
        <v>11.5</v>
      </c>
      <c r="L119">
        <v>69</v>
      </c>
      <c r="O119">
        <v>7500</v>
      </c>
      <c r="P119">
        <v>7500</v>
      </c>
      <c r="Q119">
        <v>977953</v>
      </c>
      <c r="S119">
        <v>2489.0029325513196</v>
      </c>
    </row>
    <row r="120" spans="3:19" x14ac:dyDescent="0.25">
      <c r="C120">
        <v>9</v>
      </c>
      <c r="D120">
        <v>99</v>
      </c>
      <c r="E120">
        <v>2</v>
      </c>
      <c r="I120">
        <v>208</v>
      </c>
      <c r="J120">
        <v>48</v>
      </c>
      <c r="L120">
        <v>23</v>
      </c>
      <c r="Q120">
        <v>125229</v>
      </c>
      <c r="S120">
        <v>2489.0029325513196</v>
      </c>
    </row>
    <row r="121" spans="3:19" x14ac:dyDescent="0.25">
      <c r="C121">
        <v>9</v>
      </c>
      <c r="D121">
        <v>100</v>
      </c>
      <c r="L121">
        <v>23</v>
      </c>
      <c r="Q121">
        <v>5980</v>
      </c>
    </row>
    <row r="122" spans="3:19" x14ac:dyDescent="0.25">
      <c r="C122">
        <v>9</v>
      </c>
      <c r="D122">
        <v>101</v>
      </c>
      <c r="E122">
        <v>8.339500000000001</v>
      </c>
      <c r="I122">
        <v>1202.4000000000001</v>
      </c>
      <c r="J122">
        <v>218</v>
      </c>
      <c r="K122">
        <v>11.5</v>
      </c>
      <c r="L122">
        <v>23</v>
      </c>
      <c r="O122">
        <v>7500</v>
      </c>
      <c r="P122">
        <v>7500</v>
      </c>
      <c r="Q122">
        <v>846744</v>
      </c>
    </row>
    <row r="123" spans="3:19" x14ac:dyDescent="0.25">
      <c r="C123">
        <v>9</v>
      </c>
      <c r="D123" t="s">
        <v>2305</v>
      </c>
      <c r="E123">
        <v>60.25</v>
      </c>
      <c r="I123">
        <v>7998</v>
      </c>
      <c r="J123">
        <v>550</v>
      </c>
      <c r="K123">
        <v>756.5</v>
      </c>
      <c r="O123">
        <v>30938</v>
      </c>
      <c r="P123">
        <v>30938</v>
      </c>
      <c r="Q123">
        <v>3192096</v>
      </c>
      <c r="R123">
        <v>500</v>
      </c>
      <c r="S123">
        <v>5416.666666666667</v>
      </c>
    </row>
    <row r="124" spans="3:19" x14ac:dyDescent="0.25">
      <c r="C124">
        <v>9</v>
      </c>
      <c r="D124">
        <v>303</v>
      </c>
      <c r="R124">
        <v>500</v>
      </c>
      <c r="S124">
        <v>5416.666666666667</v>
      </c>
    </row>
    <row r="125" spans="3:19" x14ac:dyDescent="0.25">
      <c r="C125">
        <v>9</v>
      </c>
      <c r="D125">
        <v>306</v>
      </c>
      <c r="E125">
        <v>11.25</v>
      </c>
      <c r="I125">
        <v>1680</v>
      </c>
      <c r="J125">
        <v>179</v>
      </c>
      <c r="K125">
        <v>58.5</v>
      </c>
      <c r="O125">
        <v>6850</v>
      </c>
      <c r="P125">
        <v>6850</v>
      </c>
      <c r="Q125">
        <v>512822</v>
      </c>
    </row>
    <row r="126" spans="3:19" x14ac:dyDescent="0.25">
      <c r="C126">
        <v>9</v>
      </c>
      <c r="D126">
        <v>307</v>
      </c>
      <c r="E126">
        <v>8.75</v>
      </c>
      <c r="I126">
        <v>1248</v>
      </c>
      <c r="J126">
        <v>86.25</v>
      </c>
      <c r="K126">
        <v>149</v>
      </c>
      <c r="O126">
        <v>5850</v>
      </c>
      <c r="P126">
        <v>5850</v>
      </c>
      <c r="Q126">
        <v>569605</v>
      </c>
    </row>
    <row r="127" spans="3:19" x14ac:dyDescent="0.25">
      <c r="C127">
        <v>9</v>
      </c>
      <c r="D127">
        <v>309</v>
      </c>
      <c r="E127">
        <v>1</v>
      </c>
      <c r="I127">
        <v>168</v>
      </c>
      <c r="J127">
        <v>14</v>
      </c>
      <c r="Q127">
        <v>43899</v>
      </c>
    </row>
    <row r="128" spans="3:19" x14ac:dyDescent="0.25">
      <c r="C128">
        <v>9</v>
      </c>
      <c r="D128">
        <v>310</v>
      </c>
      <c r="E128">
        <v>35.25</v>
      </c>
      <c r="I128">
        <v>4438</v>
      </c>
      <c r="J128">
        <v>226.75</v>
      </c>
      <c r="K128">
        <v>549</v>
      </c>
      <c r="O128">
        <v>18238</v>
      </c>
      <c r="P128">
        <v>18238</v>
      </c>
      <c r="Q128">
        <v>1972432</v>
      </c>
    </row>
    <row r="129" spans="3:19" x14ac:dyDescent="0.25">
      <c r="C129">
        <v>9</v>
      </c>
      <c r="D129">
        <v>642</v>
      </c>
      <c r="E129">
        <v>4</v>
      </c>
      <c r="I129">
        <v>464</v>
      </c>
      <c r="J129">
        <v>44</v>
      </c>
      <c r="Q129">
        <v>93338</v>
      </c>
    </row>
    <row r="130" spans="3:19" x14ac:dyDescent="0.25">
      <c r="C130">
        <v>9</v>
      </c>
      <c r="D130" t="s">
        <v>2306</v>
      </c>
      <c r="E130">
        <v>1</v>
      </c>
      <c r="I130">
        <v>136</v>
      </c>
      <c r="J130">
        <v>11.5</v>
      </c>
      <c r="Q130">
        <v>32227</v>
      </c>
    </row>
    <row r="131" spans="3:19" x14ac:dyDescent="0.25">
      <c r="C131">
        <v>9</v>
      </c>
      <c r="D131">
        <v>30</v>
      </c>
      <c r="E131">
        <v>1</v>
      </c>
      <c r="I131">
        <v>136</v>
      </c>
      <c r="J131">
        <v>11.5</v>
      </c>
      <c r="Q131">
        <v>32227</v>
      </c>
    </row>
    <row r="132" spans="3:19" x14ac:dyDescent="0.25">
      <c r="C132" t="s">
        <v>2316</v>
      </c>
      <c r="E132">
        <v>71.589500000000001</v>
      </c>
      <c r="I132">
        <v>9544.4</v>
      </c>
      <c r="J132">
        <v>827.5</v>
      </c>
      <c r="K132">
        <v>768</v>
      </c>
      <c r="L132">
        <v>69</v>
      </c>
      <c r="O132">
        <v>38438</v>
      </c>
      <c r="P132">
        <v>38438</v>
      </c>
      <c r="Q132">
        <v>4202276</v>
      </c>
      <c r="R132">
        <v>500</v>
      </c>
      <c r="S132">
        <v>7905.6695992179866</v>
      </c>
    </row>
  </sheetData>
  <hyperlinks>
    <hyperlink ref="A2" location="Obsah!A1" display="Zpět na Obsah  KL 01  1.-4.měsíc" xr:uid="{22847CC0-C91B-4F4D-A751-C378E5E3352A}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5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247" customWidth="1" collapsed="1"/>
    <col min="2" max="2" width="7.7109375" style="215" hidden="1" customWidth="1" outlineLevel="1"/>
    <col min="3" max="4" width="5.42578125" style="247" hidden="1" customWidth="1"/>
    <col min="5" max="5" width="7.7109375" style="215" customWidth="1"/>
    <col min="6" max="6" width="7.7109375" style="215" hidden="1" customWidth="1"/>
    <col min="7" max="7" width="5.42578125" style="247" hidden="1" customWidth="1"/>
    <col min="8" max="8" width="7.7109375" style="215" customWidth="1" collapsed="1"/>
    <col min="9" max="9" width="7.7109375" style="332" hidden="1" customWidth="1" outlineLevel="1"/>
    <col min="10" max="10" width="7.7109375" style="332" customWidth="1" collapsed="1"/>
    <col min="11" max="12" width="7.7109375" style="215" hidden="1" customWidth="1"/>
    <col min="13" max="13" width="5.42578125" style="247" hidden="1" customWidth="1"/>
    <col min="14" max="14" width="7.7109375" style="215" customWidth="1"/>
    <col min="15" max="15" width="7.7109375" style="215" hidden="1" customWidth="1"/>
    <col min="16" max="16" width="5.42578125" style="247" hidden="1" customWidth="1"/>
    <col min="17" max="17" width="7.7109375" style="215" customWidth="1" collapsed="1"/>
    <col min="18" max="18" width="7.7109375" style="332" hidden="1" customWidth="1" outlineLevel="1"/>
    <col min="19" max="19" width="7.7109375" style="332" customWidth="1" collapsed="1"/>
    <col min="20" max="21" width="7.7109375" style="215" hidden="1" customWidth="1"/>
    <col min="22" max="22" width="5" style="247" hidden="1" customWidth="1"/>
    <col min="23" max="23" width="7.7109375" style="215" customWidth="1"/>
    <col min="24" max="24" width="7.7109375" style="215" hidden="1" customWidth="1"/>
    <col min="25" max="25" width="5" style="247" hidden="1" customWidth="1"/>
    <col min="26" max="26" width="7.7109375" style="215" customWidth="1" collapsed="1"/>
    <col min="27" max="27" width="7.7109375" style="332" hidden="1" customWidth="1" outlineLevel="1"/>
    <col min="28" max="28" width="7.7109375" style="332" customWidth="1" collapsed="1"/>
    <col min="29" max="16384" width="8.85546875" style="247"/>
  </cols>
  <sheetData>
    <row r="1" spans="1:28" ht="18.600000000000001" customHeight="1" thickBot="1" x14ac:dyDescent="0.35">
      <c r="A1" s="622" t="s">
        <v>2331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  <c r="T1" s="512"/>
      <c r="U1" s="512"/>
      <c r="V1" s="512"/>
      <c r="W1" s="512"/>
      <c r="X1" s="512"/>
      <c r="Y1" s="512"/>
      <c r="Z1" s="512"/>
      <c r="AA1" s="512"/>
      <c r="AB1" s="512"/>
    </row>
    <row r="2" spans="1:28" ht="14.45" customHeight="1" thickBot="1" x14ac:dyDescent="0.25">
      <c r="A2" s="371" t="s">
        <v>328</v>
      </c>
      <c r="B2" s="220"/>
      <c r="C2" s="220"/>
      <c r="D2" s="220"/>
      <c r="E2" s="220"/>
      <c r="F2" s="220"/>
      <c r="G2" s="220"/>
      <c r="H2" s="220"/>
      <c r="I2" s="349"/>
      <c r="J2" s="349"/>
      <c r="K2" s="220"/>
      <c r="L2" s="220"/>
      <c r="M2" s="220"/>
      <c r="N2" s="220"/>
      <c r="O2" s="220"/>
      <c r="P2" s="220"/>
      <c r="Q2" s="220"/>
      <c r="R2" s="349"/>
      <c r="S2" s="349"/>
      <c r="T2" s="220"/>
      <c r="U2" s="220"/>
      <c r="V2" s="220"/>
      <c r="W2" s="220"/>
      <c r="X2" s="220"/>
      <c r="Y2" s="220"/>
      <c r="Z2" s="220"/>
      <c r="AA2" s="349"/>
      <c r="AB2" s="349"/>
    </row>
    <row r="3" spans="1:28" ht="14.45" customHeight="1" thickBot="1" x14ac:dyDescent="0.25">
      <c r="A3" s="342" t="s">
        <v>158</v>
      </c>
      <c r="B3" s="343">
        <f>SUBTOTAL(9,B6:B1048576)/4</f>
        <v>282317</v>
      </c>
      <c r="C3" s="344">
        <f t="shared" ref="C3:Z3" si="0">SUBTOTAL(9,C6:C1048576)</f>
        <v>5</v>
      </c>
      <c r="D3" s="344"/>
      <c r="E3" s="344">
        <f>SUBTOTAL(9,E6:E1048576)/4</f>
        <v>335341</v>
      </c>
      <c r="F3" s="344"/>
      <c r="G3" s="344">
        <f t="shared" si="0"/>
        <v>5</v>
      </c>
      <c r="H3" s="344">
        <f>SUBTOTAL(9,H6:H1048576)/4</f>
        <v>344466</v>
      </c>
      <c r="I3" s="347">
        <f>IF(B3&lt;&gt;0,H3/B3,"")</f>
        <v>1.2201390635349625</v>
      </c>
      <c r="J3" s="345">
        <f>IF(E3&lt;&gt;0,H3/E3,"")</f>
        <v>1.0272111074995303</v>
      </c>
      <c r="K3" s="346">
        <f t="shared" si="0"/>
        <v>-1.7753336578607559E-9</v>
      </c>
      <c r="L3" s="346"/>
      <c r="M3" s="344">
        <f t="shared" si="0"/>
        <v>-1.5041412094011147E-14</v>
      </c>
      <c r="N3" s="344">
        <f t="shared" si="0"/>
        <v>236059.44000000088</v>
      </c>
      <c r="O3" s="344"/>
      <c r="P3" s="344">
        <f t="shared" si="0"/>
        <v>2</v>
      </c>
      <c r="Q3" s="344">
        <f t="shared" si="0"/>
        <v>3848.959999999206</v>
      </c>
      <c r="R3" s="347">
        <f>IF(K3&lt;&gt;0,Q3/K3,"")</f>
        <v>-2168020632604.4263</v>
      </c>
      <c r="S3" s="347">
        <f>IF(N3&lt;&gt;0,Q3/N3,"")</f>
        <v>1.6305045881660957E-2</v>
      </c>
      <c r="T3" s="343">
        <f t="shared" si="0"/>
        <v>5763471.3000000007</v>
      </c>
      <c r="U3" s="346"/>
      <c r="V3" s="344">
        <f t="shared" si="0"/>
        <v>2.280463356534244</v>
      </c>
      <c r="W3" s="344">
        <f t="shared" si="0"/>
        <v>5054649.34</v>
      </c>
      <c r="X3" s="344"/>
      <c r="Y3" s="344">
        <f t="shared" si="0"/>
        <v>2</v>
      </c>
      <c r="Z3" s="344">
        <f t="shared" si="0"/>
        <v>4286923.1000000006</v>
      </c>
      <c r="AA3" s="347">
        <f>IF(T3&lt;&gt;0,Z3/T3,"")</f>
        <v>0.7438092213628269</v>
      </c>
      <c r="AB3" s="345">
        <f>IF(W3&lt;&gt;0,Z3/W3,"")</f>
        <v>0.84811483678509747</v>
      </c>
    </row>
    <row r="4" spans="1:28" ht="14.45" customHeight="1" x14ac:dyDescent="0.2">
      <c r="A4" s="623" t="s">
        <v>255</v>
      </c>
      <c r="B4" s="624" t="s">
        <v>122</v>
      </c>
      <c r="C4" s="625"/>
      <c r="D4" s="626"/>
      <c r="E4" s="625"/>
      <c r="F4" s="626"/>
      <c r="G4" s="625"/>
      <c r="H4" s="625"/>
      <c r="I4" s="626"/>
      <c r="J4" s="627"/>
      <c r="K4" s="624" t="s">
        <v>123</v>
      </c>
      <c r="L4" s="626"/>
      <c r="M4" s="625"/>
      <c r="N4" s="625"/>
      <c r="O4" s="626"/>
      <c r="P4" s="625"/>
      <c r="Q4" s="625"/>
      <c r="R4" s="626"/>
      <c r="S4" s="627"/>
      <c r="T4" s="624" t="s">
        <v>124</v>
      </c>
      <c r="U4" s="626"/>
      <c r="V4" s="625"/>
      <c r="W4" s="625"/>
      <c r="X4" s="626"/>
      <c r="Y4" s="625"/>
      <c r="Z4" s="625"/>
      <c r="AA4" s="626"/>
      <c r="AB4" s="627"/>
    </row>
    <row r="5" spans="1:28" ht="14.45" customHeight="1" thickBot="1" x14ac:dyDescent="0.25">
      <c r="A5" s="865"/>
      <c r="B5" s="866">
        <v>2015</v>
      </c>
      <c r="C5" s="867"/>
      <c r="D5" s="867"/>
      <c r="E5" s="867">
        <v>2018</v>
      </c>
      <c r="F5" s="867"/>
      <c r="G5" s="867"/>
      <c r="H5" s="867">
        <v>2019</v>
      </c>
      <c r="I5" s="868" t="s">
        <v>257</v>
      </c>
      <c r="J5" s="869" t="s">
        <v>2</v>
      </c>
      <c r="K5" s="866">
        <v>2015</v>
      </c>
      <c r="L5" s="867"/>
      <c r="M5" s="867"/>
      <c r="N5" s="867">
        <v>2018</v>
      </c>
      <c r="O5" s="867"/>
      <c r="P5" s="867"/>
      <c r="Q5" s="867">
        <v>2019</v>
      </c>
      <c r="R5" s="868" t="s">
        <v>257</v>
      </c>
      <c r="S5" s="869" t="s">
        <v>2</v>
      </c>
      <c r="T5" s="866">
        <v>2015</v>
      </c>
      <c r="U5" s="867"/>
      <c r="V5" s="867"/>
      <c r="W5" s="867">
        <v>2018</v>
      </c>
      <c r="X5" s="867"/>
      <c r="Y5" s="867"/>
      <c r="Z5" s="867">
        <v>2019</v>
      </c>
      <c r="AA5" s="868" t="s">
        <v>257</v>
      </c>
      <c r="AB5" s="869" t="s">
        <v>2</v>
      </c>
    </row>
    <row r="6" spans="1:28" ht="14.45" customHeight="1" x14ac:dyDescent="0.25">
      <c r="A6" s="870" t="s">
        <v>2329</v>
      </c>
      <c r="B6" s="871">
        <v>282317</v>
      </c>
      <c r="C6" s="872">
        <v>1</v>
      </c>
      <c r="D6" s="872">
        <v>0.84188035462409905</v>
      </c>
      <c r="E6" s="871">
        <v>335341</v>
      </c>
      <c r="F6" s="872">
        <v>1.1878172409029566</v>
      </c>
      <c r="G6" s="872">
        <v>1</v>
      </c>
      <c r="H6" s="871">
        <v>344466</v>
      </c>
      <c r="I6" s="872">
        <v>1.2201390635349625</v>
      </c>
      <c r="J6" s="872">
        <v>1.0272111074995303</v>
      </c>
      <c r="K6" s="871">
        <v>-8.8766682893037796E-10</v>
      </c>
      <c r="L6" s="872">
        <v>1</v>
      </c>
      <c r="M6" s="872">
        <v>-7.5207060470055737E-15</v>
      </c>
      <c r="N6" s="871">
        <v>118029.72000000044</v>
      </c>
      <c r="O6" s="872">
        <v>-132966239306502.03</v>
      </c>
      <c r="P6" s="872">
        <v>1</v>
      </c>
      <c r="Q6" s="871">
        <v>1924.479999999603</v>
      </c>
      <c r="R6" s="872">
        <v>-2168020632604.4263</v>
      </c>
      <c r="S6" s="872">
        <v>1.6305045881660957E-2</v>
      </c>
      <c r="T6" s="871">
        <v>2881735.6500000004</v>
      </c>
      <c r="U6" s="872">
        <v>1</v>
      </c>
      <c r="V6" s="872">
        <v>1.140231678267122</v>
      </c>
      <c r="W6" s="871">
        <v>2527324.67</v>
      </c>
      <c r="X6" s="872">
        <v>0.87701474977415073</v>
      </c>
      <c r="Y6" s="872">
        <v>1</v>
      </c>
      <c r="Z6" s="871">
        <v>2143461.5500000003</v>
      </c>
      <c r="AA6" s="872">
        <v>0.7438092213628269</v>
      </c>
      <c r="AB6" s="873">
        <v>0.84811483678509747</v>
      </c>
    </row>
    <row r="7" spans="1:28" ht="14.45" customHeight="1" thickBot="1" x14ac:dyDescent="0.3">
      <c r="A7" s="877" t="s">
        <v>2330</v>
      </c>
      <c r="B7" s="874">
        <v>282317</v>
      </c>
      <c r="C7" s="875">
        <v>1</v>
      </c>
      <c r="D7" s="875">
        <v>0.84188035462409905</v>
      </c>
      <c r="E7" s="874">
        <v>335341</v>
      </c>
      <c r="F7" s="875">
        <v>1.1878172409029566</v>
      </c>
      <c r="G7" s="875">
        <v>1</v>
      </c>
      <c r="H7" s="874">
        <v>344466</v>
      </c>
      <c r="I7" s="875">
        <v>1.2201390635349625</v>
      </c>
      <c r="J7" s="875">
        <v>1.0272111074995303</v>
      </c>
      <c r="K7" s="874">
        <v>-8.8766682893037796E-10</v>
      </c>
      <c r="L7" s="875">
        <v>1</v>
      </c>
      <c r="M7" s="875">
        <v>-7.5207060470055737E-15</v>
      </c>
      <c r="N7" s="874">
        <v>118029.72000000044</v>
      </c>
      <c r="O7" s="875">
        <v>-132966239306502.03</v>
      </c>
      <c r="P7" s="875">
        <v>1</v>
      </c>
      <c r="Q7" s="874">
        <v>1924.479999999603</v>
      </c>
      <c r="R7" s="875">
        <v>-2168020632604.4263</v>
      </c>
      <c r="S7" s="875">
        <v>1.6305045881660957E-2</v>
      </c>
      <c r="T7" s="874">
        <v>2881735.6500000004</v>
      </c>
      <c r="U7" s="875">
        <v>1</v>
      </c>
      <c r="V7" s="875">
        <v>1.140231678267122</v>
      </c>
      <c r="W7" s="874">
        <v>2527324.67</v>
      </c>
      <c r="X7" s="875">
        <v>0.87701474977415073</v>
      </c>
      <c r="Y7" s="875">
        <v>1</v>
      </c>
      <c r="Z7" s="874">
        <v>2143461.5500000003</v>
      </c>
      <c r="AA7" s="875">
        <v>0.7438092213628269</v>
      </c>
      <c r="AB7" s="876">
        <v>0.84811483678509747</v>
      </c>
    </row>
    <row r="8" spans="1:28" ht="14.45" customHeight="1" thickBot="1" x14ac:dyDescent="0.25"/>
    <row r="9" spans="1:28" ht="14.45" customHeight="1" x14ac:dyDescent="0.25">
      <c r="A9" s="870" t="s">
        <v>593</v>
      </c>
      <c r="B9" s="871">
        <v>282317</v>
      </c>
      <c r="C9" s="872">
        <v>1</v>
      </c>
      <c r="D9" s="872">
        <v>0.84188035462409905</v>
      </c>
      <c r="E9" s="871">
        <v>335341</v>
      </c>
      <c r="F9" s="872">
        <v>1.1878172409029566</v>
      </c>
      <c r="G9" s="872">
        <v>1</v>
      </c>
      <c r="H9" s="871">
        <v>344466</v>
      </c>
      <c r="I9" s="872">
        <v>1.2201390635349625</v>
      </c>
      <c r="J9" s="873">
        <v>1.0272111074995303</v>
      </c>
    </row>
    <row r="10" spans="1:28" ht="14.45" customHeight="1" x14ac:dyDescent="0.25">
      <c r="A10" s="881" t="s">
        <v>2332</v>
      </c>
      <c r="B10" s="878">
        <v>3781</v>
      </c>
      <c r="C10" s="879">
        <v>1</v>
      </c>
      <c r="D10" s="879">
        <v>0.47745927516100517</v>
      </c>
      <c r="E10" s="878">
        <v>7919</v>
      </c>
      <c r="F10" s="879">
        <v>2.0944194657498016</v>
      </c>
      <c r="G10" s="879">
        <v>1</v>
      </c>
      <c r="H10" s="878">
        <v>6302</v>
      </c>
      <c r="I10" s="879">
        <v>1.666754826765406</v>
      </c>
      <c r="J10" s="880">
        <v>0.79580755145851745</v>
      </c>
    </row>
    <row r="11" spans="1:28" ht="14.45" customHeight="1" thickBot="1" x14ac:dyDescent="0.3">
      <c r="A11" s="877" t="s">
        <v>2333</v>
      </c>
      <c r="B11" s="874">
        <v>278536</v>
      </c>
      <c r="C11" s="875">
        <v>1</v>
      </c>
      <c r="D11" s="875">
        <v>0.85069421114036325</v>
      </c>
      <c r="E11" s="874">
        <v>327422</v>
      </c>
      <c r="F11" s="875">
        <v>1.1755105264669559</v>
      </c>
      <c r="G11" s="875">
        <v>1</v>
      </c>
      <c r="H11" s="874">
        <v>338164</v>
      </c>
      <c r="I11" s="875">
        <v>1.214076456903237</v>
      </c>
      <c r="J11" s="876">
        <v>1.0328078137693864</v>
      </c>
    </row>
    <row r="12" spans="1:28" ht="14.45" customHeight="1" x14ac:dyDescent="0.2">
      <c r="A12" s="804" t="s">
        <v>301</v>
      </c>
    </row>
    <row r="13" spans="1:28" ht="14.45" customHeight="1" x14ac:dyDescent="0.2">
      <c r="A13" s="805" t="s">
        <v>1032</v>
      </c>
    </row>
    <row r="14" spans="1:28" ht="14.45" customHeight="1" x14ac:dyDescent="0.2">
      <c r="A14" s="804" t="s">
        <v>2334</v>
      </c>
    </row>
    <row r="15" spans="1:28" ht="14.45" customHeight="1" x14ac:dyDescent="0.2">
      <c r="A15" s="804" t="s">
        <v>2335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21" priority="4" stopIfTrue="1" operator="lessThan">
      <formula>0.95</formula>
    </cfRule>
  </conditionalFormatting>
  <hyperlinks>
    <hyperlink ref="A2" location="Obsah!A1" display="Zpět na Obsah  KL 01  1.-4.měsíc" xr:uid="{8B2DF5FC-7109-4A40-82A7-3F9768F85B98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22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247" bestFit="1" customWidth="1"/>
    <col min="2" max="2" width="7.7109375" style="329" hidden="1" customWidth="1" outlineLevel="1"/>
    <col min="3" max="3" width="7.7109375" style="329" customWidth="1" collapsed="1"/>
    <col min="4" max="4" width="7.7109375" style="329" customWidth="1"/>
    <col min="5" max="5" width="7.7109375" style="215" hidden="1" customWidth="1" outlineLevel="1"/>
    <col min="6" max="6" width="7.7109375" style="215" customWidth="1" collapsed="1"/>
    <col min="7" max="7" width="7.7109375" style="215" customWidth="1"/>
    <col min="8" max="16384" width="8.85546875" style="247"/>
  </cols>
  <sheetData>
    <row r="1" spans="1:7" ht="18.600000000000001" customHeight="1" thickBot="1" x14ac:dyDescent="0.35">
      <c r="A1" s="622" t="s">
        <v>2338</v>
      </c>
      <c r="B1" s="512"/>
      <c r="C1" s="512"/>
      <c r="D1" s="512"/>
      <c r="E1" s="512"/>
      <c r="F1" s="512"/>
      <c r="G1" s="512"/>
    </row>
    <row r="2" spans="1:7" ht="14.45" customHeight="1" thickBot="1" x14ac:dyDescent="0.25">
      <c r="A2" s="371" t="s">
        <v>328</v>
      </c>
      <c r="B2" s="220"/>
      <c r="C2" s="220"/>
      <c r="D2" s="220"/>
      <c r="E2" s="220"/>
      <c r="F2" s="220"/>
      <c r="G2" s="220"/>
    </row>
    <row r="3" spans="1:7" ht="14.45" customHeight="1" thickBot="1" x14ac:dyDescent="0.25">
      <c r="A3" s="439" t="s">
        <v>158</v>
      </c>
      <c r="B3" s="403">
        <f t="shared" ref="B3:G3" si="0">SUBTOTAL(9,B6:B1048576)</f>
        <v>2202</v>
      </c>
      <c r="C3" s="404">
        <f t="shared" si="0"/>
        <v>2417</v>
      </c>
      <c r="D3" s="438">
        <f t="shared" si="0"/>
        <v>2566</v>
      </c>
      <c r="E3" s="346">
        <f t="shared" si="0"/>
        <v>282317</v>
      </c>
      <c r="F3" s="344">
        <f t="shared" si="0"/>
        <v>335341</v>
      </c>
      <c r="G3" s="405">
        <f t="shared" si="0"/>
        <v>344466</v>
      </c>
    </row>
    <row r="4" spans="1:7" ht="14.45" customHeight="1" x14ac:dyDescent="0.2">
      <c r="A4" s="623" t="s">
        <v>166</v>
      </c>
      <c r="B4" s="628" t="s">
        <v>253</v>
      </c>
      <c r="C4" s="626"/>
      <c r="D4" s="629"/>
      <c r="E4" s="628" t="s">
        <v>122</v>
      </c>
      <c r="F4" s="626"/>
      <c r="G4" s="629"/>
    </row>
    <row r="5" spans="1:7" ht="14.45" customHeight="1" thickBot="1" x14ac:dyDescent="0.25">
      <c r="A5" s="865"/>
      <c r="B5" s="866">
        <v>2015</v>
      </c>
      <c r="C5" s="867">
        <v>2018</v>
      </c>
      <c r="D5" s="882">
        <v>2019</v>
      </c>
      <c r="E5" s="866">
        <v>2015</v>
      </c>
      <c r="F5" s="867">
        <v>2018</v>
      </c>
      <c r="G5" s="882">
        <v>2019</v>
      </c>
    </row>
    <row r="6" spans="1:7" ht="14.45" customHeight="1" x14ac:dyDescent="0.2">
      <c r="A6" s="856" t="s">
        <v>2336</v>
      </c>
      <c r="B6" s="225"/>
      <c r="C6" s="225">
        <v>1</v>
      </c>
      <c r="D6" s="225">
        <v>7</v>
      </c>
      <c r="E6" s="883"/>
      <c r="F6" s="883">
        <v>37</v>
      </c>
      <c r="G6" s="884">
        <v>1439</v>
      </c>
    </row>
    <row r="7" spans="1:7" ht="14.45" customHeight="1" x14ac:dyDescent="0.2">
      <c r="A7" s="857" t="s">
        <v>2332</v>
      </c>
      <c r="B7" s="849">
        <v>35</v>
      </c>
      <c r="C7" s="849">
        <v>70</v>
      </c>
      <c r="D7" s="849">
        <v>55</v>
      </c>
      <c r="E7" s="885">
        <v>3781</v>
      </c>
      <c r="F7" s="885">
        <v>7919</v>
      </c>
      <c r="G7" s="886">
        <v>6302</v>
      </c>
    </row>
    <row r="8" spans="1:7" ht="14.45" customHeight="1" x14ac:dyDescent="0.2">
      <c r="A8" s="857" t="s">
        <v>1034</v>
      </c>
      <c r="B8" s="849">
        <v>282</v>
      </c>
      <c r="C8" s="849">
        <v>35</v>
      </c>
      <c r="D8" s="849">
        <v>39</v>
      </c>
      <c r="E8" s="885">
        <v>22430</v>
      </c>
      <c r="F8" s="885">
        <v>3892</v>
      </c>
      <c r="G8" s="886">
        <v>4677</v>
      </c>
    </row>
    <row r="9" spans="1:7" ht="14.45" customHeight="1" x14ac:dyDescent="0.2">
      <c r="A9" s="857" t="s">
        <v>1035</v>
      </c>
      <c r="B9" s="849"/>
      <c r="C9" s="849"/>
      <c r="D9" s="849">
        <v>1</v>
      </c>
      <c r="E9" s="885"/>
      <c r="F9" s="885"/>
      <c r="G9" s="886">
        <v>38</v>
      </c>
    </row>
    <row r="10" spans="1:7" ht="14.45" customHeight="1" x14ac:dyDescent="0.2">
      <c r="A10" s="857" t="s">
        <v>1036</v>
      </c>
      <c r="B10" s="849"/>
      <c r="C10" s="849">
        <v>2</v>
      </c>
      <c r="D10" s="849"/>
      <c r="E10" s="885"/>
      <c r="F10" s="885">
        <v>294</v>
      </c>
      <c r="G10" s="886"/>
    </row>
    <row r="11" spans="1:7" ht="14.45" customHeight="1" x14ac:dyDescent="0.2">
      <c r="A11" s="857" t="s">
        <v>1037</v>
      </c>
      <c r="B11" s="849"/>
      <c r="C11" s="849">
        <v>2</v>
      </c>
      <c r="D11" s="849">
        <v>11</v>
      </c>
      <c r="E11" s="885"/>
      <c r="F11" s="885">
        <v>471</v>
      </c>
      <c r="G11" s="886">
        <v>2292</v>
      </c>
    </row>
    <row r="12" spans="1:7" ht="14.45" customHeight="1" x14ac:dyDescent="0.2">
      <c r="A12" s="857" t="s">
        <v>1038</v>
      </c>
      <c r="B12" s="849">
        <v>444</v>
      </c>
      <c r="C12" s="849">
        <v>578</v>
      </c>
      <c r="D12" s="849">
        <v>735</v>
      </c>
      <c r="E12" s="885">
        <v>97083</v>
      </c>
      <c r="F12" s="885">
        <v>115482</v>
      </c>
      <c r="G12" s="886">
        <v>133978</v>
      </c>
    </row>
    <row r="13" spans="1:7" ht="14.45" customHeight="1" x14ac:dyDescent="0.2">
      <c r="A13" s="857" t="s">
        <v>1039</v>
      </c>
      <c r="B13" s="849"/>
      <c r="C13" s="849">
        <v>111</v>
      </c>
      <c r="D13" s="849">
        <v>13</v>
      </c>
      <c r="E13" s="885"/>
      <c r="F13" s="885">
        <v>10659</v>
      </c>
      <c r="G13" s="886">
        <v>1062</v>
      </c>
    </row>
    <row r="14" spans="1:7" ht="14.45" customHeight="1" x14ac:dyDescent="0.2">
      <c r="A14" s="857" t="s">
        <v>1042</v>
      </c>
      <c r="B14" s="849"/>
      <c r="C14" s="849">
        <v>12</v>
      </c>
      <c r="D14" s="849">
        <v>105</v>
      </c>
      <c r="E14" s="885"/>
      <c r="F14" s="885">
        <v>3104</v>
      </c>
      <c r="G14" s="886">
        <v>12507</v>
      </c>
    </row>
    <row r="15" spans="1:7" ht="14.45" customHeight="1" x14ac:dyDescent="0.2">
      <c r="A15" s="857" t="s">
        <v>1043</v>
      </c>
      <c r="B15" s="849">
        <v>976</v>
      </c>
      <c r="C15" s="849">
        <v>1078</v>
      </c>
      <c r="D15" s="849">
        <v>716</v>
      </c>
      <c r="E15" s="885">
        <v>96400</v>
      </c>
      <c r="F15" s="885">
        <v>109060</v>
      </c>
      <c r="G15" s="886">
        <v>74726</v>
      </c>
    </row>
    <row r="16" spans="1:7" ht="14.45" customHeight="1" x14ac:dyDescent="0.2">
      <c r="A16" s="857" t="s">
        <v>1045</v>
      </c>
      <c r="B16" s="849">
        <v>33</v>
      </c>
      <c r="C16" s="849">
        <v>24</v>
      </c>
      <c r="D16" s="849">
        <v>66</v>
      </c>
      <c r="E16" s="885">
        <v>10987</v>
      </c>
      <c r="F16" s="885">
        <v>11239</v>
      </c>
      <c r="G16" s="886">
        <v>9373</v>
      </c>
    </row>
    <row r="17" spans="1:7" ht="14.45" customHeight="1" x14ac:dyDescent="0.2">
      <c r="A17" s="857" t="s">
        <v>1046</v>
      </c>
      <c r="B17" s="849">
        <v>45</v>
      </c>
      <c r="C17" s="849">
        <v>61</v>
      </c>
      <c r="D17" s="849">
        <v>95</v>
      </c>
      <c r="E17" s="885">
        <v>2344</v>
      </c>
      <c r="F17" s="885">
        <v>16967</v>
      </c>
      <c r="G17" s="886">
        <v>13767</v>
      </c>
    </row>
    <row r="18" spans="1:7" ht="14.45" customHeight="1" x14ac:dyDescent="0.2">
      <c r="A18" s="857" t="s">
        <v>1047</v>
      </c>
      <c r="B18" s="849">
        <v>377</v>
      </c>
      <c r="C18" s="849">
        <v>415</v>
      </c>
      <c r="D18" s="849">
        <v>552</v>
      </c>
      <c r="E18" s="885">
        <v>45607</v>
      </c>
      <c r="F18" s="885">
        <v>48804</v>
      </c>
      <c r="G18" s="886">
        <v>63114</v>
      </c>
    </row>
    <row r="19" spans="1:7" ht="14.45" customHeight="1" thickBot="1" x14ac:dyDescent="0.25">
      <c r="A19" s="889" t="s">
        <v>2337</v>
      </c>
      <c r="B19" s="851">
        <v>10</v>
      </c>
      <c r="C19" s="851">
        <v>28</v>
      </c>
      <c r="D19" s="851">
        <v>171</v>
      </c>
      <c r="E19" s="887">
        <v>3685</v>
      </c>
      <c r="F19" s="887">
        <v>7413</v>
      </c>
      <c r="G19" s="888">
        <v>21191</v>
      </c>
    </row>
    <row r="20" spans="1:7" ht="14.45" customHeight="1" x14ac:dyDescent="0.2">
      <c r="A20" s="804" t="s">
        <v>301</v>
      </c>
    </row>
    <row r="21" spans="1:7" ht="14.45" customHeight="1" x14ac:dyDescent="0.2">
      <c r="A21" s="805" t="s">
        <v>1032</v>
      </c>
    </row>
    <row r="22" spans="1:7" ht="14.45" customHeight="1" x14ac:dyDescent="0.2">
      <c r="A22" s="804" t="s">
        <v>2334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E9EEA39C-8E93-475A-BBB8-E332E6A050ED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25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247" customWidth="1"/>
    <col min="2" max="2" width="8.7109375" style="247" bestFit="1" customWidth="1"/>
    <col min="3" max="3" width="6.140625" style="247" customWidth="1"/>
    <col min="4" max="4" width="2.140625" style="247" bestFit="1" customWidth="1"/>
    <col min="5" max="5" width="8" style="247" customWidth="1"/>
    <col min="6" max="6" width="50.85546875" style="247" bestFit="1" customWidth="1" collapsed="1"/>
    <col min="7" max="8" width="11.140625" style="329" hidden="1" customWidth="1" outlineLevel="1"/>
    <col min="9" max="10" width="9.28515625" style="247" hidden="1" customWidth="1"/>
    <col min="11" max="12" width="11.140625" style="329" customWidth="1"/>
    <col min="13" max="14" width="9.28515625" style="247" hidden="1" customWidth="1"/>
    <col min="15" max="16" width="11.140625" style="329" customWidth="1"/>
    <col min="17" max="17" width="11.140625" style="332" customWidth="1"/>
    <col min="18" max="18" width="11.140625" style="329" customWidth="1"/>
    <col min="19" max="16384" width="8.85546875" style="247"/>
  </cols>
  <sheetData>
    <row r="1" spans="1:18" ht="18.600000000000001" customHeight="1" thickBot="1" x14ac:dyDescent="0.35">
      <c r="A1" s="512" t="s">
        <v>2380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</row>
    <row r="2" spans="1:18" ht="14.45" customHeight="1" thickBot="1" x14ac:dyDescent="0.25">
      <c r="A2" s="371" t="s">
        <v>328</v>
      </c>
      <c r="B2" s="319"/>
      <c r="C2" s="319"/>
      <c r="D2" s="220"/>
      <c r="E2" s="220"/>
      <c r="F2" s="220"/>
      <c r="G2" s="352"/>
      <c r="H2" s="352"/>
      <c r="I2" s="220"/>
      <c r="J2" s="220"/>
      <c r="K2" s="352"/>
      <c r="L2" s="352"/>
      <c r="M2" s="220"/>
      <c r="N2" s="220"/>
      <c r="O2" s="352"/>
      <c r="P2" s="352"/>
      <c r="Q2" s="349"/>
      <c r="R2" s="352"/>
    </row>
    <row r="3" spans="1:18" ht="14.45" customHeight="1" thickBot="1" x14ac:dyDescent="0.25">
      <c r="F3" s="112" t="s">
        <v>158</v>
      </c>
      <c r="G3" s="207">
        <f t="shared" ref="G3:P3" si="0">SUBTOTAL(9,G6:G1048576)</f>
        <v>2371</v>
      </c>
      <c r="H3" s="208">
        <f t="shared" si="0"/>
        <v>3164052.6500000008</v>
      </c>
      <c r="I3" s="78"/>
      <c r="J3" s="78"/>
      <c r="K3" s="208">
        <f t="shared" si="0"/>
        <v>2579</v>
      </c>
      <c r="L3" s="208">
        <f t="shared" si="0"/>
        <v>2980695.3899999997</v>
      </c>
      <c r="M3" s="78"/>
      <c r="N3" s="78"/>
      <c r="O3" s="208">
        <f t="shared" si="0"/>
        <v>2698</v>
      </c>
      <c r="P3" s="208">
        <f t="shared" si="0"/>
        <v>2489852.0299999998</v>
      </c>
      <c r="Q3" s="79">
        <f>IF(L3=0,0,P3/L3)</f>
        <v>0.83532589017759373</v>
      </c>
      <c r="R3" s="209">
        <f>IF(O3=0,0,P3/O3)</f>
        <v>922.85101186063741</v>
      </c>
    </row>
    <row r="4" spans="1:18" ht="14.45" customHeight="1" x14ac:dyDescent="0.2">
      <c r="A4" s="630" t="s">
        <v>261</v>
      </c>
      <c r="B4" s="630" t="s">
        <v>118</v>
      </c>
      <c r="C4" s="638" t="s">
        <v>0</v>
      </c>
      <c r="D4" s="632" t="s">
        <v>119</v>
      </c>
      <c r="E4" s="637" t="s">
        <v>89</v>
      </c>
      <c r="F4" s="633" t="s">
        <v>80</v>
      </c>
      <c r="G4" s="634">
        <v>2015</v>
      </c>
      <c r="H4" s="635"/>
      <c r="I4" s="206"/>
      <c r="J4" s="206"/>
      <c r="K4" s="634">
        <v>2018</v>
      </c>
      <c r="L4" s="635"/>
      <c r="M4" s="206"/>
      <c r="N4" s="206"/>
      <c r="O4" s="634">
        <v>2019</v>
      </c>
      <c r="P4" s="635"/>
      <c r="Q4" s="636" t="s">
        <v>2</v>
      </c>
      <c r="R4" s="631" t="s">
        <v>121</v>
      </c>
    </row>
    <row r="5" spans="1:18" ht="14.45" customHeight="1" thickBot="1" x14ac:dyDescent="0.25">
      <c r="A5" s="890"/>
      <c r="B5" s="890"/>
      <c r="C5" s="891"/>
      <c r="D5" s="892"/>
      <c r="E5" s="893"/>
      <c r="F5" s="894"/>
      <c r="G5" s="895" t="s">
        <v>90</v>
      </c>
      <c r="H5" s="896" t="s">
        <v>14</v>
      </c>
      <c r="I5" s="897"/>
      <c r="J5" s="897"/>
      <c r="K5" s="895" t="s">
        <v>90</v>
      </c>
      <c r="L5" s="896" t="s">
        <v>14</v>
      </c>
      <c r="M5" s="897"/>
      <c r="N5" s="897"/>
      <c r="O5" s="895" t="s">
        <v>90</v>
      </c>
      <c r="P5" s="896" t="s">
        <v>14</v>
      </c>
      <c r="Q5" s="898"/>
      <c r="R5" s="899"/>
    </row>
    <row r="6" spans="1:18" ht="14.45" customHeight="1" x14ac:dyDescent="0.2">
      <c r="A6" s="824" t="s">
        <v>2339</v>
      </c>
      <c r="B6" s="825" t="s">
        <v>2340</v>
      </c>
      <c r="C6" s="825" t="s">
        <v>2341</v>
      </c>
      <c r="D6" s="825" t="s">
        <v>2342</v>
      </c>
      <c r="E6" s="825" t="s">
        <v>2343</v>
      </c>
      <c r="F6" s="825" t="s">
        <v>2344</v>
      </c>
      <c r="G6" s="225">
        <v>0</v>
      </c>
      <c r="H6" s="225">
        <v>2.9103830456733704E-10</v>
      </c>
      <c r="I6" s="825">
        <v>1.4285714285714286</v>
      </c>
      <c r="J6" s="825"/>
      <c r="K6" s="225">
        <v>0</v>
      </c>
      <c r="L6" s="225">
        <v>2.0372681319713593E-10</v>
      </c>
      <c r="M6" s="825">
        <v>1</v>
      </c>
      <c r="N6" s="825"/>
      <c r="O6" s="225">
        <v>0</v>
      </c>
      <c r="P6" s="225">
        <v>1.7462298274040222E-10</v>
      </c>
      <c r="Q6" s="830">
        <v>0.8571428571428571</v>
      </c>
      <c r="R6" s="848"/>
    </row>
    <row r="7" spans="1:18" ht="14.45" customHeight="1" x14ac:dyDescent="0.2">
      <c r="A7" s="831" t="s">
        <v>2339</v>
      </c>
      <c r="B7" s="832" t="s">
        <v>2340</v>
      </c>
      <c r="C7" s="832" t="s">
        <v>2341</v>
      </c>
      <c r="D7" s="832" t="s">
        <v>2342</v>
      </c>
      <c r="E7" s="832" t="s">
        <v>2345</v>
      </c>
      <c r="F7" s="832" t="s">
        <v>2344</v>
      </c>
      <c r="G7" s="849">
        <v>0</v>
      </c>
      <c r="H7" s="849">
        <v>0</v>
      </c>
      <c r="I7" s="832">
        <v>0</v>
      </c>
      <c r="J7" s="832"/>
      <c r="K7" s="849">
        <v>0</v>
      </c>
      <c r="L7" s="849">
        <v>1.4551915228366852E-11</v>
      </c>
      <c r="M7" s="832">
        <v>1</v>
      </c>
      <c r="N7" s="832"/>
      <c r="O7" s="849">
        <v>0</v>
      </c>
      <c r="P7" s="849">
        <v>-2.5465851649641991E-11</v>
      </c>
      <c r="Q7" s="837">
        <v>-1.75</v>
      </c>
      <c r="R7" s="850"/>
    </row>
    <row r="8" spans="1:18" ht="14.45" customHeight="1" x14ac:dyDescent="0.2">
      <c r="A8" s="831" t="s">
        <v>2339</v>
      </c>
      <c r="B8" s="832" t="s">
        <v>2340</v>
      </c>
      <c r="C8" s="832" t="s">
        <v>593</v>
      </c>
      <c r="D8" s="832" t="s">
        <v>2342</v>
      </c>
      <c r="E8" s="832" t="s">
        <v>2343</v>
      </c>
      <c r="F8" s="832" t="s">
        <v>2346</v>
      </c>
      <c r="G8" s="849">
        <v>123</v>
      </c>
      <c r="H8" s="849">
        <v>2428229.6500000004</v>
      </c>
      <c r="I8" s="832">
        <v>1.153628173314093</v>
      </c>
      <c r="J8" s="832">
        <v>19741.704471544719</v>
      </c>
      <c r="K8" s="849">
        <v>107</v>
      </c>
      <c r="L8" s="849">
        <v>2104863.34</v>
      </c>
      <c r="M8" s="832">
        <v>1</v>
      </c>
      <c r="N8" s="832">
        <v>19671.62</v>
      </c>
      <c r="O8" s="849">
        <v>79</v>
      </c>
      <c r="P8" s="849">
        <v>1621001.4999999998</v>
      </c>
      <c r="Q8" s="837">
        <v>0.77012196905857078</v>
      </c>
      <c r="R8" s="850">
        <v>20519.006329113919</v>
      </c>
    </row>
    <row r="9" spans="1:18" ht="14.45" customHeight="1" x14ac:dyDescent="0.2">
      <c r="A9" s="831" t="s">
        <v>2339</v>
      </c>
      <c r="B9" s="832" t="s">
        <v>2340</v>
      </c>
      <c r="C9" s="832" t="s">
        <v>593</v>
      </c>
      <c r="D9" s="832" t="s">
        <v>2342</v>
      </c>
      <c r="E9" s="832" t="s">
        <v>2345</v>
      </c>
      <c r="F9" s="832" t="s">
        <v>2346</v>
      </c>
      <c r="G9" s="849">
        <v>46</v>
      </c>
      <c r="H9" s="849">
        <v>453506</v>
      </c>
      <c r="I9" s="832">
        <v>0.83906292250352721</v>
      </c>
      <c r="J9" s="832">
        <v>9858.826086956522</v>
      </c>
      <c r="K9" s="849">
        <v>55</v>
      </c>
      <c r="L9" s="849">
        <v>540491.04999999993</v>
      </c>
      <c r="M9" s="832">
        <v>1</v>
      </c>
      <c r="N9" s="832">
        <v>9827.1099999999988</v>
      </c>
      <c r="O9" s="849">
        <v>51</v>
      </c>
      <c r="P9" s="849">
        <v>522460.05000000005</v>
      </c>
      <c r="Q9" s="837">
        <v>0.96663959560477475</v>
      </c>
      <c r="R9" s="850">
        <v>10244.314705882354</v>
      </c>
    </row>
    <row r="10" spans="1:18" ht="14.45" customHeight="1" x14ac:dyDescent="0.2">
      <c r="A10" s="831" t="s">
        <v>2339</v>
      </c>
      <c r="B10" s="832" t="s">
        <v>2340</v>
      </c>
      <c r="C10" s="832" t="s">
        <v>593</v>
      </c>
      <c r="D10" s="832" t="s">
        <v>2347</v>
      </c>
      <c r="E10" s="832" t="s">
        <v>2348</v>
      </c>
      <c r="F10" s="832" t="s">
        <v>2349</v>
      </c>
      <c r="G10" s="849"/>
      <c r="H10" s="849"/>
      <c r="I10" s="832"/>
      <c r="J10" s="832"/>
      <c r="K10" s="849"/>
      <c r="L10" s="849"/>
      <c r="M10" s="832"/>
      <c r="N10" s="832"/>
      <c r="O10" s="849">
        <v>1</v>
      </c>
      <c r="P10" s="849">
        <v>1674.52</v>
      </c>
      <c r="Q10" s="837"/>
      <c r="R10" s="850">
        <v>1674.52</v>
      </c>
    </row>
    <row r="11" spans="1:18" ht="14.45" customHeight="1" x14ac:dyDescent="0.2">
      <c r="A11" s="831" t="s">
        <v>2339</v>
      </c>
      <c r="B11" s="832" t="s">
        <v>2340</v>
      </c>
      <c r="C11" s="832" t="s">
        <v>593</v>
      </c>
      <c r="D11" s="832" t="s">
        <v>2347</v>
      </c>
      <c r="E11" s="832" t="s">
        <v>2350</v>
      </c>
      <c r="F11" s="832" t="s">
        <v>2351</v>
      </c>
      <c r="G11" s="849"/>
      <c r="H11" s="849"/>
      <c r="I11" s="832"/>
      <c r="J11" s="832"/>
      <c r="K11" s="849"/>
      <c r="L11" s="849"/>
      <c r="M11" s="832"/>
      <c r="N11" s="832"/>
      <c r="O11" s="849">
        <v>1</v>
      </c>
      <c r="P11" s="849">
        <v>249.96</v>
      </c>
      <c r="Q11" s="837"/>
      <c r="R11" s="850">
        <v>249.96</v>
      </c>
    </row>
    <row r="12" spans="1:18" ht="14.45" customHeight="1" x14ac:dyDescent="0.2">
      <c r="A12" s="831" t="s">
        <v>2339</v>
      </c>
      <c r="B12" s="832" t="s">
        <v>2340</v>
      </c>
      <c r="C12" s="832" t="s">
        <v>593</v>
      </c>
      <c r="D12" s="832" t="s">
        <v>847</v>
      </c>
      <c r="E12" s="832" t="s">
        <v>2352</v>
      </c>
      <c r="F12" s="832" t="s">
        <v>2353</v>
      </c>
      <c r="G12" s="849">
        <v>4</v>
      </c>
      <c r="H12" s="849">
        <v>120</v>
      </c>
      <c r="I12" s="832">
        <v>1.3333333333333333</v>
      </c>
      <c r="J12" s="832">
        <v>30</v>
      </c>
      <c r="K12" s="849">
        <v>3</v>
      </c>
      <c r="L12" s="849">
        <v>90</v>
      </c>
      <c r="M12" s="832">
        <v>1</v>
      </c>
      <c r="N12" s="832">
        <v>30</v>
      </c>
      <c r="O12" s="849">
        <v>13</v>
      </c>
      <c r="P12" s="849">
        <v>403</v>
      </c>
      <c r="Q12" s="837">
        <v>4.4777777777777779</v>
      </c>
      <c r="R12" s="850">
        <v>31</v>
      </c>
    </row>
    <row r="13" spans="1:18" ht="14.45" customHeight="1" x14ac:dyDescent="0.2">
      <c r="A13" s="831" t="s">
        <v>2339</v>
      </c>
      <c r="B13" s="832" t="s">
        <v>2340</v>
      </c>
      <c r="C13" s="832" t="s">
        <v>593</v>
      </c>
      <c r="D13" s="832" t="s">
        <v>847</v>
      </c>
      <c r="E13" s="832" t="s">
        <v>2354</v>
      </c>
      <c r="F13" s="832" t="s">
        <v>2355</v>
      </c>
      <c r="G13" s="849">
        <v>4</v>
      </c>
      <c r="H13" s="849">
        <v>264</v>
      </c>
      <c r="I13" s="832">
        <v>0.16666666666666666</v>
      </c>
      <c r="J13" s="832">
        <v>66</v>
      </c>
      <c r="K13" s="849">
        <v>24</v>
      </c>
      <c r="L13" s="849">
        <v>1584</v>
      </c>
      <c r="M13" s="832">
        <v>1</v>
      </c>
      <c r="N13" s="832">
        <v>66</v>
      </c>
      <c r="O13" s="849">
        <v>59</v>
      </c>
      <c r="P13" s="849">
        <v>3953</v>
      </c>
      <c r="Q13" s="837">
        <v>2.495580808080808</v>
      </c>
      <c r="R13" s="850">
        <v>67</v>
      </c>
    </row>
    <row r="14" spans="1:18" ht="14.45" customHeight="1" x14ac:dyDescent="0.2">
      <c r="A14" s="831" t="s">
        <v>2339</v>
      </c>
      <c r="B14" s="832" t="s">
        <v>2340</v>
      </c>
      <c r="C14" s="832" t="s">
        <v>593</v>
      </c>
      <c r="D14" s="832" t="s">
        <v>847</v>
      </c>
      <c r="E14" s="832" t="s">
        <v>2356</v>
      </c>
      <c r="F14" s="832" t="s">
        <v>2357</v>
      </c>
      <c r="G14" s="849"/>
      <c r="H14" s="849"/>
      <c r="I14" s="832"/>
      <c r="J14" s="832"/>
      <c r="K14" s="849"/>
      <c r="L14" s="849"/>
      <c r="M14" s="832"/>
      <c r="N14" s="832"/>
      <c r="O14" s="849">
        <v>1</v>
      </c>
      <c r="P14" s="849">
        <v>199</v>
      </c>
      <c r="Q14" s="837"/>
      <c r="R14" s="850">
        <v>199</v>
      </c>
    </row>
    <row r="15" spans="1:18" ht="14.45" customHeight="1" x14ac:dyDescent="0.2">
      <c r="A15" s="831" t="s">
        <v>2339</v>
      </c>
      <c r="B15" s="832" t="s">
        <v>2340</v>
      </c>
      <c r="C15" s="832" t="s">
        <v>593</v>
      </c>
      <c r="D15" s="832" t="s">
        <v>847</v>
      </c>
      <c r="E15" s="832" t="s">
        <v>2358</v>
      </c>
      <c r="F15" s="832" t="s">
        <v>2359</v>
      </c>
      <c r="G15" s="849">
        <v>435</v>
      </c>
      <c r="H15" s="849">
        <v>16095</v>
      </c>
      <c r="I15" s="832">
        <v>0.88056680161943324</v>
      </c>
      <c r="J15" s="832">
        <v>37</v>
      </c>
      <c r="K15" s="849">
        <v>494</v>
      </c>
      <c r="L15" s="849">
        <v>18278</v>
      </c>
      <c r="M15" s="832">
        <v>1</v>
      </c>
      <c r="N15" s="832">
        <v>37</v>
      </c>
      <c r="O15" s="849">
        <v>531</v>
      </c>
      <c r="P15" s="849">
        <v>20178</v>
      </c>
      <c r="Q15" s="837">
        <v>1.1039501039501038</v>
      </c>
      <c r="R15" s="850">
        <v>38</v>
      </c>
    </row>
    <row r="16" spans="1:18" ht="14.45" customHeight="1" x14ac:dyDescent="0.2">
      <c r="A16" s="831" t="s">
        <v>2339</v>
      </c>
      <c r="B16" s="832" t="s">
        <v>2340</v>
      </c>
      <c r="C16" s="832" t="s">
        <v>593</v>
      </c>
      <c r="D16" s="832" t="s">
        <v>847</v>
      </c>
      <c r="E16" s="832" t="s">
        <v>2360</v>
      </c>
      <c r="F16" s="832" t="s">
        <v>2361</v>
      </c>
      <c r="G16" s="849">
        <v>516</v>
      </c>
      <c r="H16" s="849">
        <v>91332</v>
      </c>
      <c r="I16" s="832">
        <v>0.9681153275386899</v>
      </c>
      <c r="J16" s="832">
        <v>177</v>
      </c>
      <c r="K16" s="849">
        <v>530</v>
      </c>
      <c r="L16" s="849">
        <v>94340</v>
      </c>
      <c r="M16" s="832">
        <v>1</v>
      </c>
      <c r="N16" s="832">
        <v>178</v>
      </c>
      <c r="O16" s="849">
        <v>504</v>
      </c>
      <c r="P16" s="849">
        <v>90216</v>
      </c>
      <c r="Q16" s="837">
        <v>0.95628577485690058</v>
      </c>
      <c r="R16" s="850">
        <v>179</v>
      </c>
    </row>
    <row r="17" spans="1:18" ht="14.45" customHeight="1" x14ac:dyDescent="0.2">
      <c r="A17" s="831" t="s">
        <v>2339</v>
      </c>
      <c r="B17" s="832" t="s">
        <v>2340</v>
      </c>
      <c r="C17" s="832" t="s">
        <v>593</v>
      </c>
      <c r="D17" s="832" t="s">
        <v>847</v>
      </c>
      <c r="E17" s="832" t="s">
        <v>2362</v>
      </c>
      <c r="F17" s="832" t="s">
        <v>2363</v>
      </c>
      <c r="G17" s="849"/>
      <c r="H17" s="849"/>
      <c r="I17" s="832"/>
      <c r="J17" s="832"/>
      <c r="K17" s="849"/>
      <c r="L17" s="849"/>
      <c r="M17" s="832"/>
      <c r="N17" s="832"/>
      <c r="O17" s="849">
        <v>6</v>
      </c>
      <c r="P17" s="849">
        <v>1362</v>
      </c>
      <c r="Q17" s="837"/>
      <c r="R17" s="850">
        <v>227</v>
      </c>
    </row>
    <row r="18" spans="1:18" ht="14.45" customHeight="1" x14ac:dyDescent="0.2">
      <c r="A18" s="831" t="s">
        <v>2339</v>
      </c>
      <c r="B18" s="832" t="s">
        <v>2340</v>
      </c>
      <c r="C18" s="832" t="s">
        <v>593</v>
      </c>
      <c r="D18" s="832" t="s">
        <v>847</v>
      </c>
      <c r="E18" s="832" t="s">
        <v>2364</v>
      </c>
      <c r="F18" s="832" t="s">
        <v>2365</v>
      </c>
      <c r="G18" s="849">
        <v>135</v>
      </c>
      <c r="H18" s="849">
        <v>0</v>
      </c>
      <c r="I18" s="832"/>
      <c r="J18" s="832">
        <v>0</v>
      </c>
      <c r="K18" s="849">
        <v>107</v>
      </c>
      <c r="L18" s="849">
        <v>0</v>
      </c>
      <c r="M18" s="832"/>
      <c r="N18" s="832">
        <v>0</v>
      </c>
      <c r="O18" s="849">
        <v>92</v>
      </c>
      <c r="P18" s="849">
        <v>0</v>
      </c>
      <c r="Q18" s="837"/>
      <c r="R18" s="850">
        <v>0</v>
      </c>
    </row>
    <row r="19" spans="1:18" ht="14.45" customHeight="1" x14ac:dyDescent="0.2">
      <c r="A19" s="831" t="s">
        <v>2339</v>
      </c>
      <c r="B19" s="832" t="s">
        <v>2340</v>
      </c>
      <c r="C19" s="832" t="s">
        <v>593</v>
      </c>
      <c r="D19" s="832" t="s">
        <v>847</v>
      </c>
      <c r="E19" s="832" t="s">
        <v>2366</v>
      </c>
      <c r="F19" s="832" t="s">
        <v>2367</v>
      </c>
      <c r="G19" s="849">
        <v>733</v>
      </c>
      <c r="H19" s="849">
        <v>85028</v>
      </c>
      <c r="I19" s="832">
        <v>0.89246691087716357</v>
      </c>
      <c r="J19" s="832">
        <v>116</v>
      </c>
      <c r="K19" s="849">
        <v>822</v>
      </c>
      <c r="L19" s="849">
        <v>95273</v>
      </c>
      <c r="M19" s="832">
        <v>1</v>
      </c>
      <c r="N19" s="832">
        <v>115.90389294403893</v>
      </c>
      <c r="O19" s="849">
        <v>860</v>
      </c>
      <c r="P19" s="849">
        <v>99760</v>
      </c>
      <c r="Q19" s="837">
        <v>1.0470962392283227</v>
      </c>
      <c r="R19" s="850">
        <v>116</v>
      </c>
    </row>
    <row r="20" spans="1:18" ht="14.45" customHeight="1" x14ac:dyDescent="0.2">
      <c r="A20" s="831" t="s">
        <v>2339</v>
      </c>
      <c r="B20" s="832" t="s">
        <v>2340</v>
      </c>
      <c r="C20" s="832" t="s">
        <v>593</v>
      </c>
      <c r="D20" s="832" t="s">
        <v>847</v>
      </c>
      <c r="E20" s="832" t="s">
        <v>2368</v>
      </c>
      <c r="F20" s="832" t="s">
        <v>2369</v>
      </c>
      <c r="G20" s="849">
        <v>134</v>
      </c>
      <c r="H20" s="849">
        <v>4288</v>
      </c>
      <c r="I20" s="832">
        <v>1.2293577981651376</v>
      </c>
      <c r="J20" s="832">
        <v>32</v>
      </c>
      <c r="K20" s="849">
        <v>109</v>
      </c>
      <c r="L20" s="849">
        <v>3488</v>
      </c>
      <c r="M20" s="832">
        <v>1</v>
      </c>
      <c r="N20" s="832">
        <v>32</v>
      </c>
      <c r="O20" s="849">
        <v>91</v>
      </c>
      <c r="P20" s="849">
        <v>3003</v>
      </c>
      <c r="Q20" s="837">
        <v>0.86095183486238536</v>
      </c>
      <c r="R20" s="850">
        <v>33</v>
      </c>
    </row>
    <row r="21" spans="1:18" ht="14.45" customHeight="1" x14ac:dyDescent="0.2">
      <c r="A21" s="831" t="s">
        <v>2339</v>
      </c>
      <c r="B21" s="832" t="s">
        <v>2340</v>
      </c>
      <c r="C21" s="832" t="s">
        <v>593</v>
      </c>
      <c r="D21" s="832" t="s">
        <v>847</v>
      </c>
      <c r="E21" s="832" t="s">
        <v>2370</v>
      </c>
      <c r="F21" s="832" t="s">
        <v>2371</v>
      </c>
      <c r="G21" s="849">
        <v>204</v>
      </c>
      <c r="H21" s="849">
        <v>72420</v>
      </c>
      <c r="I21" s="832">
        <v>0.8</v>
      </c>
      <c r="J21" s="832">
        <v>355</v>
      </c>
      <c r="K21" s="849">
        <v>255</v>
      </c>
      <c r="L21" s="849">
        <v>90525</v>
      </c>
      <c r="M21" s="832">
        <v>1</v>
      </c>
      <c r="N21" s="832">
        <v>355</v>
      </c>
      <c r="O21" s="849">
        <v>292</v>
      </c>
      <c r="P21" s="849">
        <v>104536</v>
      </c>
      <c r="Q21" s="837">
        <v>1.1547749240541287</v>
      </c>
      <c r="R21" s="850">
        <v>358</v>
      </c>
    </row>
    <row r="22" spans="1:18" ht="14.45" customHeight="1" x14ac:dyDescent="0.2">
      <c r="A22" s="831" t="s">
        <v>2339</v>
      </c>
      <c r="B22" s="832" t="s">
        <v>2340</v>
      </c>
      <c r="C22" s="832" t="s">
        <v>593</v>
      </c>
      <c r="D22" s="832" t="s">
        <v>847</v>
      </c>
      <c r="E22" s="832" t="s">
        <v>2372</v>
      </c>
      <c r="F22" s="832" t="s">
        <v>2373</v>
      </c>
      <c r="G22" s="849">
        <v>21</v>
      </c>
      <c r="H22" s="849">
        <v>1554</v>
      </c>
      <c r="I22" s="832">
        <v>0.7</v>
      </c>
      <c r="J22" s="832">
        <v>74</v>
      </c>
      <c r="K22" s="849">
        <v>30</v>
      </c>
      <c r="L22" s="849">
        <v>2220</v>
      </c>
      <c r="M22" s="832">
        <v>1</v>
      </c>
      <c r="N22" s="832">
        <v>74</v>
      </c>
      <c r="O22" s="849">
        <v>94</v>
      </c>
      <c r="P22" s="849">
        <v>7050</v>
      </c>
      <c r="Q22" s="837">
        <v>3.1756756756756759</v>
      </c>
      <c r="R22" s="850">
        <v>75</v>
      </c>
    </row>
    <row r="23" spans="1:18" ht="14.45" customHeight="1" x14ac:dyDescent="0.2">
      <c r="A23" s="831" t="s">
        <v>2339</v>
      </c>
      <c r="B23" s="832" t="s">
        <v>2340</v>
      </c>
      <c r="C23" s="832" t="s">
        <v>593</v>
      </c>
      <c r="D23" s="832" t="s">
        <v>847</v>
      </c>
      <c r="E23" s="832" t="s">
        <v>2374</v>
      </c>
      <c r="F23" s="832" t="s">
        <v>2375</v>
      </c>
      <c r="G23" s="849">
        <v>16</v>
      </c>
      <c r="H23" s="849">
        <v>11216</v>
      </c>
      <c r="I23" s="832">
        <v>0.38040971374304705</v>
      </c>
      <c r="J23" s="832">
        <v>701</v>
      </c>
      <c r="K23" s="849">
        <v>42</v>
      </c>
      <c r="L23" s="849">
        <v>29484</v>
      </c>
      <c r="M23" s="832">
        <v>1</v>
      </c>
      <c r="N23" s="832">
        <v>702</v>
      </c>
      <c r="O23" s="849">
        <v>19</v>
      </c>
      <c r="P23" s="849">
        <v>13433</v>
      </c>
      <c r="Q23" s="837">
        <v>0.45560303893637227</v>
      </c>
      <c r="R23" s="850">
        <v>707</v>
      </c>
    </row>
    <row r="24" spans="1:18" ht="14.45" customHeight="1" x14ac:dyDescent="0.2">
      <c r="A24" s="831" t="s">
        <v>2339</v>
      </c>
      <c r="B24" s="832" t="s">
        <v>2340</v>
      </c>
      <c r="C24" s="832" t="s">
        <v>593</v>
      </c>
      <c r="D24" s="832" t="s">
        <v>847</v>
      </c>
      <c r="E24" s="832" t="s">
        <v>2376</v>
      </c>
      <c r="F24" s="832" t="s">
        <v>2377</v>
      </c>
      <c r="G24" s="849"/>
      <c r="H24" s="849"/>
      <c r="I24" s="832"/>
      <c r="J24" s="832"/>
      <c r="K24" s="849">
        <v>1</v>
      </c>
      <c r="L24" s="849">
        <v>59</v>
      </c>
      <c r="M24" s="832">
        <v>1</v>
      </c>
      <c r="N24" s="832">
        <v>59</v>
      </c>
      <c r="O24" s="849">
        <v>1</v>
      </c>
      <c r="P24" s="849">
        <v>61</v>
      </c>
      <c r="Q24" s="837">
        <v>1.0338983050847457</v>
      </c>
      <c r="R24" s="850">
        <v>61</v>
      </c>
    </row>
    <row r="25" spans="1:18" ht="14.45" customHeight="1" thickBot="1" x14ac:dyDescent="0.25">
      <c r="A25" s="839" t="s">
        <v>2339</v>
      </c>
      <c r="B25" s="840" t="s">
        <v>2340</v>
      </c>
      <c r="C25" s="840" t="s">
        <v>593</v>
      </c>
      <c r="D25" s="840" t="s">
        <v>847</v>
      </c>
      <c r="E25" s="840" t="s">
        <v>2378</v>
      </c>
      <c r="F25" s="840" t="s">
        <v>2379</v>
      </c>
      <c r="G25" s="851"/>
      <c r="H25" s="851"/>
      <c r="I25" s="840"/>
      <c r="J25" s="840"/>
      <c r="K25" s="851"/>
      <c r="L25" s="851"/>
      <c r="M25" s="840"/>
      <c r="N25" s="840"/>
      <c r="O25" s="851">
        <v>3</v>
      </c>
      <c r="P25" s="851">
        <v>312</v>
      </c>
      <c r="Q25" s="845"/>
      <c r="R25" s="852">
        <v>104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F9491128-1807-488E-9F7E-81594B0401D4}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111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247" customWidth="1"/>
    <col min="2" max="2" width="8.7109375" style="247" bestFit="1" customWidth="1"/>
    <col min="3" max="3" width="6.140625" style="247" customWidth="1"/>
    <col min="4" max="4" width="27.7109375" style="247" customWidth="1"/>
    <col min="5" max="5" width="2.140625" style="247" bestFit="1" customWidth="1"/>
    <col min="6" max="6" width="8" style="247" customWidth="1"/>
    <col min="7" max="7" width="50.85546875" style="247" bestFit="1" customWidth="1" collapsed="1"/>
    <col min="8" max="9" width="11.140625" style="329" hidden="1" customWidth="1" outlineLevel="1"/>
    <col min="10" max="11" width="9.28515625" style="247" hidden="1" customWidth="1"/>
    <col min="12" max="13" width="11.140625" style="329" customWidth="1"/>
    <col min="14" max="15" width="9.28515625" style="247" hidden="1" customWidth="1"/>
    <col min="16" max="17" width="11.140625" style="329" customWidth="1"/>
    <col min="18" max="18" width="11.140625" style="332" customWidth="1"/>
    <col min="19" max="19" width="11.140625" style="329" customWidth="1"/>
    <col min="20" max="16384" width="8.85546875" style="247"/>
  </cols>
  <sheetData>
    <row r="1" spans="1:19" ht="18.600000000000001" customHeight="1" thickBot="1" x14ac:dyDescent="0.35">
      <c r="A1" s="512" t="s">
        <v>2381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</row>
    <row r="2" spans="1:19" ht="14.45" customHeight="1" thickBot="1" x14ac:dyDescent="0.25">
      <c r="A2" s="371" t="s">
        <v>328</v>
      </c>
      <c r="B2" s="319"/>
      <c r="C2" s="319"/>
      <c r="D2" s="319"/>
      <c r="E2" s="220"/>
      <c r="F2" s="220"/>
      <c r="G2" s="220"/>
      <c r="H2" s="352"/>
      <c r="I2" s="352"/>
      <c r="J2" s="220"/>
      <c r="K2" s="220"/>
      <c r="L2" s="352"/>
      <c r="M2" s="352"/>
      <c r="N2" s="220"/>
      <c r="O2" s="220"/>
      <c r="P2" s="352"/>
      <c r="Q2" s="352"/>
      <c r="R2" s="349"/>
      <c r="S2" s="352"/>
    </row>
    <row r="3" spans="1:19" ht="14.45" customHeight="1" thickBot="1" x14ac:dyDescent="0.25">
      <c r="G3" s="112" t="s">
        <v>158</v>
      </c>
      <c r="H3" s="207">
        <f t="shared" ref="H3:Q3" si="0">SUBTOTAL(9,H6:H1048576)</f>
        <v>2371</v>
      </c>
      <c r="I3" s="208">
        <f t="shared" si="0"/>
        <v>3164052.6500000004</v>
      </c>
      <c r="J3" s="78"/>
      <c r="K3" s="78"/>
      <c r="L3" s="208">
        <f t="shared" si="0"/>
        <v>2579</v>
      </c>
      <c r="M3" s="208">
        <f t="shared" si="0"/>
        <v>2980695.39</v>
      </c>
      <c r="N3" s="78"/>
      <c r="O3" s="78"/>
      <c r="P3" s="208">
        <f t="shared" si="0"/>
        <v>2698</v>
      </c>
      <c r="Q3" s="208">
        <f t="shared" si="0"/>
        <v>2489852.0300000003</v>
      </c>
      <c r="R3" s="79">
        <f>IF(M3=0,0,Q3/M3)</f>
        <v>0.83532589017759384</v>
      </c>
      <c r="S3" s="209">
        <f>IF(P3=0,0,Q3/P3)</f>
        <v>922.85101186063764</v>
      </c>
    </row>
    <row r="4" spans="1:19" ht="14.45" customHeight="1" x14ac:dyDescent="0.2">
      <c r="A4" s="630" t="s">
        <v>261</v>
      </c>
      <c r="B4" s="630" t="s">
        <v>118</v>
      </c>
      <c r="C4" s="638" t="s">
        <v>0</v>
      </c>
      <c r="D4" s="431" t="s">
        <v>166</v>
      </c>
      <c r="E4" s="632" t="s">
        <v>119</v>
      </c>
      <c r="F4" s="637" t="s">
        <v>89</v>
      </c>
      <c r="G4" s="633" t="s">
        <v>80</v>
      </c>
      <c r="H4" s="634">
        <v>2015</v>
      </c>
      <c r="I4" s="635"/>
      <c r="J4" s="206"/>
      <c r="K4" s="206"/>
      <c r="L4" s="634">
        <v>2018</v>
      </c>
      <c r="M4" s="635"/>
      <c r="N4" s="206"/>
      <c r="O4" s="206"/>
      <c r="P4" s="634">
        <v>2019</v>
      </c>
      <c r="Q4" s="635"/>
      <c r="R4" s="636" t="s">
        <v>2</v>
      </c>
      <c r="S4" s="631" t="s">
        <v>121</v>
      </c>
    </row>
    <row r="5" spans="1:19" ht="14.45" customHeight="1" thickBot="1" x14ac:dyDescent="0.25">
      <c r="A5" s="890"/>
      <c r="B5" s="890"/>
      <c r="C5" s="891"/>
      <c r="D5" s="900"/>
      <c r="E5" s="892"/>
      <c r="F5" s="893"/>
      <c r="G5" s="894"/>
      <c r="H5" s="895" t="s">
        <v>90</v>
      </c>
      <c r="I5" s="896" t="s">
        <v>14</v>
      </c>
      <c r="J5" s="897"/>
      <c r="K5" s="897"/>
      <c r="L5" s="895" t="s">
        <v>90</v>
      </c>
      <c r="M5" s="896" t="s">
        <v>14</v>
      </c>
      <c r="N5" s="897"/>
      <c r="O5" s="897"/>
      <c r="P5" s="895" t="s">
        <v>90</v>
      </c>
      <c r="Q5" s="896" t="s">
        <v>14</v>
      </c>
      <c r="R5" s="898"/>
      <c r="S5" s="899"/>
    </row>
    <row r="6" spans="1:19" ht="14.45" customHeight="1" x14ac:dyDescent="0.2">
      <c r="A6" s="824" t="s">
        <v>2339</v>
      </c>
      <c r="B6" s="825" t="s">
        <v>2340</v>
      </c>
      <c r="C6" s="825" t="s">
        <v>2341</v>
      </c>
      <c r="D6" s="825" t="s">
        <v>2332</v>
      </c>
      <c r="E6" s="825" t="s">
        <v>2342</v>
      </c>
      <c r="F6" s="825" t="s">
        <v>2343</v>
      </c>
      <c r="G6" s="825" t="s">
        <v>2344</v>
      </c>
      <c r="H6" s="225">
        <v>0</v>
      </c>
      <c r="I6" s="225">
        <v>2.9103830456733704E-10</v>
      </c>
      <c r="J6" s="825">
        <v>1.4285714285714286</v>
      </c>
      <c r="K6" s="825"/>
      <c r="L6" s="225">
        <v>0</v>
      </c>
      <c r="M6" s="225">
        <v>2.0372681319713593E-10</v>
      </c>
      <c r="N6" s="825">
        <v>1</v>
      </c>
      <c r="O6" s="825"/>
      <c r="P6" s="225">
        <v>0</v>
      </c>
      <c r="Q6" s="225">
        <v>1.7462298274040222E-10</v>
      </c>
      <c r="R6" s="830">
        <v>0.8571428571428571</v>
      </c>
      <c r="S6" s="848"/>
    </row>
    <row r="7" spans="1:19" ht="14.45" customHeight="1" x14ac:dyDescent="0.2">
      <c r="A7" s="831" t="s">
        <v>2339</v>
      </c>
      <c r="B7" s="832" t="s">
        <v>2340</v>
      </c>
      <c r="C7" s="832" t="s">
        <v>2341</v>
      </c>
      <c r="D7" s="832" t="s">
        <v>2332</v>
      </c>
      <c r="E7" s="832" t="s">
        <v>2342</v>
      </c>
      <c r="F7" s="832" t="s">
        <v>2345</v>
      </c>
      <c r="G7" s="832" t="s">
        <v>2344</v>
      </c>
      <c r="H7" s="849">
        <v>0</v>
      </c>
      <c r="I7" s="849">
        <v>0</v>
      </c>
      <c r="J7" s="832">
        <v>0</v>
      </c>
      <c r="K7" s="832"/>
      <c r="L7" s="849">
        <v>0</v>
      </c>
      <c r="M7" s="849">
        <v>1.4551915228366852E-11</v>
      </c>
      <c r="N7" s="832">
        <v>1</v>
      </c>
      <c r="O7" s="832"/>
      <c r="P7" s="849">
        <v>0</v>
      </c>
      <c r="Q7" s="849">
        <v>-2.5465851649641991E-11</v>
      </c>
      <c r="R7" s="837">
        <v>-1.75</v>
      </c>
      <c r="S7" s="850"/>
    </row>
    <row r="8" spans="1:19" ht="14.45" customHeight="1" x14ac:dyDescent="0.2">
      <c r="A8" s="831" t="s">
        <v>2339</v>
      </c>
      <c r="B8" s="832" t="s">
        <v>2340</v>
      </c>
      <c r="C8" s="832" t="s">
        <v>593</v>
      </c>
      <c r="D8" s="832" t="s">
        <v>2332</v>
      </c>
      <c r="E8" s="832" t="s">
        <v>847</v>
      </c>
      <c r="F8" s="832" t="s">
        <v>2358</v>
      </c>
      <c r="G8" s="832" t="s">
        <v>2359</v>
      </c>
      <c r="H8" s="849">
        <v>1</v>
      </c>
      <c r="I8" s="849">
        <v>37</v>
      </c>
      <c r="J8" s="832">
        <v>1</v>
      </c>
      <c r="K8" s="832">
        <v>37</v>
      </c>
      <c r="L8" s="849">
        <v>1</v>
      </c>
      <c r="M8" s="849">
        <v>37</v>
      </c>
      <c r="N8" s="832">
        <v>1</v>
      </c>
      <c r="O8" s="832">
        <v>37</v>
      </c>
      <c r="P8" s="849">
        <v>1</v>
      </c>
      <c r="Q8" s="849">
        <v>38</v>
      </c>
      <c r="R8" s="837">
        <v>1.027027027027027</v>
      </c>
      <c r="S8" s="850">
        <v>38</v>
      </c>
    </row>
    <row r="9" spans="1:19" ht="14.45" customHeight="1" x14ac:dyDescent="0.2">
      <c r="A9" s="831" t="s">
        <v>2339</v>
      </c>
      <c r="B9" s="832" t="s">
        <v>2340</v>
      </c>
      <c r="C9" s="832" t="s">
        <v>593</v>
      </c>
      <c r="D9" s="832" t="s">
        <v>2332</v>
      </c>
      <c r="E9" s="832" t="s">
        <v>847</v>
      </c>
      <c r="F9" s="832" t="s">
        <v>2364</v>
      </c>
      <c r="G9" s="832" t="s">
        <v>2365</v>
      </c>
      <c r="H9" s="849">
        <v>1</v>
      </c>
      <c r="I9" s="849">
        <v>0</v>
      </c>
      <c r="J9" s="832"/>
      <c r="K9" s="832">
        <v>0</v>
      </c>
      <c r="L9" s="849">
        <v>1</v>
      </c>
      <c r="M9" s="849">
        <v>0</v>
      </c>
      <c r="N9" s="832"/>
      <c r="O9" s="832">
        <v>0</v>
      </c>
      <c r="P9" s="849"/>
      <c r="Q9" s="849"/>
      <c r="R9" s="837"/>
      <c r="S9" s="850"/>
    </row>
    <row r="10" spans="1:19" ht="14.45" customHeight="1" x14ac:dyDescent="0.2">
      <c r="A10" s="831" t="s">
        <v>2339</v>
      </c>
      <c r="B10" s="832" t="s">
        <v>2340</v>
      </c>
      <c r="C10" s="832" t="s">
        <v>593</v>
      </c>
      <c r="D10" s="832" t="s">
        <v>2332</v>
      </c>
      <c r="E10" s="832" t="s">
        <v>847</v>
      </c>
      <c r="F10" s="832" t="s">
        <v>2366</v>
      </c>
      <c r="G10" s="832" t="s">
        <v>2367</v>
      </c>
      <c r="H10" s="849">
        <v>32</v>
      </c>
      <c r="I10" s="849">
        <v>3712</v>
      </c>
      <c r="J10" s="832">
        <v>0.47094646028926668</v>
      </c>
      <c r="K10" s="832">
        <v>116</v>
      </c>
      <c r="L10" s="849">
        <v>68</v>
      </c>
      <c r="M10" s="849">
        <v>7882</v>
      </c>
      <c r="N10" s="832">
        <v>1</v>
      </c>
      <c r="O10" s="832">
        <v>115.91176470588235</v>
      </c>
      <c r="P10" s="849">
        <v>54</v>
      </c>
      <c r="Q10" s="849">
        <v>6264</v>
      </c>
      <c r="R10" s="837">
        <v>0.79472215173813754</v>
      </c>
      <c r="S10" s="850">
        <v>116</v>
      </c>
    </row>
    <row r="11" spans="1:19" ht="14.45" customHeight="1" x14ac:dyDescent="0.2">
      <c r="A11" s="831" t="s">
        <v>2339</v>
      </c>
      <c r="B11" s="832" t="s">
        <v>2340</v>
      </c>
      <c r="C11" s="832" t="s">
        <v>593</v>
      </c>
      <c r="D11" s="832" t="s">
        <v>2332</v>
      </c>
      <c r="E11" s="832" t="s">
        <v>847</v>
      </c>
      <c r="F11" s="832" t="s">
        <v>2368</v>
      </c>
      <c r="G11" s="832" t="s">
        <v>2369</v>
      </c>
      <c r="H11" s="849">
        <v>1</v>
      </c>
      <c r="I11" s="849">
        <v>32</v>
      </c>
      <c r="J11" s="832"/>
      <c r="K11" s="832">
        <v>32</v>
      </c>
      <c r="L11" s="849"/>
      <c r="M11" s="849"/>
      <c r="N11" s="832"/>
      <c r="O11" s="832"/>
      <c r="P11" s="849"/>
      <c r="Q11" s="849"/>
      <c r="R11" s="837"/>
      <c r="S11" s="850"/>
    </row>
    <row r="12" spans="1:19" ht="14.45" customHeight="1" x14ac:dyDescent="0.2">
      <c r="A12" s="831" t="s">
        <v>2339</v>
      </c>
      <c r="B12" s="832" t="s">
        <v>2340</v>
      </c>
      <c r="C12" s="832" t="s">
        <v>593</v>
      </c>
      <c r="D12" s="832" t="s">
        <v>1034</v>
      </c>
      <c r="E12" s="832" t="s">
        <v>2342</v>
      </c>
      <c r="F12" s="832" t="s">
        <v>2343</v>
      </c>
      <c r="G12" s="832" t="s">
        <v>2346</v>
      </c>
      <c r="H12" s="849">
        <v>15</v>
      </c>
      <c r="I12" s="849">
        <v>296578.5</v>
      </c>
      <c r="J12" s="832"/>
      <c r="K12" s="832">
        <v>19771.900000000001</v>
      </c>
      <c r="L12" s="849"/>
      <c r="M12" s="849"/>
      <c r="N12" s="832"/>
      <c r="O12" s="832"/>
      <c r="P12" s="849"/>
      <c r="Q12" s="849"/>
      <c r="R12" s="837"/>
      <c r="S12" s="850"/>
    </row>
    <row r="13" spans="1:19" ht="14.45" customHeight="1" x14ac:dyDescent="0.2">
      <c r="A13" s="831" t="s">
        <v>2339</v>
      </c>
      <c r="B13" s="832" t="s">
        <v>2340</v>
      </c>
      <c r="C13" s="832" t="s">
        <v>593</v>
      </c>
      <c r="D13" s="832" t="s">
        <v>1034</v>
      </c>
      <c r="E13" s="832" t="s">
        <v>2342</v>
      </c>
      <c r="F13" s="832" t="s">
        <v>2345</v>
      </c>
      <c r="G13" s="832" t="s">
        <v>2346</v>
      </c>
      <c r="H13" s="849">
        <v>3</v>
      </c>
      <c r="I13" s="849">
        <v>29618.25</v>
      </c>
      <c r="J13" s="832"/>
      <c r="K13" s="832">
        <v>9872.75</v>
      </c>
      <c r="L13" s="849"/>
      <c r="M13" s="849"/>
      <c r="N13" s="832"/>
      <c r="O13" s="832"/>
      <c r="P13" s="849"/>
      <c r="Q13" s="849"/>
      <c r="R13" s="837"/>
      <c r="S13" s="850"/>
    </row>
    <row r="14" spans="1:19" ht="14.45" customHeight="1" x14ac:dyDescent="0.2">
      <c r="A14" s="831" t="s">
        <v>2339</v>
      </c>
      <c r="B14" s="832" t="s">
        <v>2340</v>
      </c>
      <c r="C14" s="832" t="s">
        <v>593</v>
      </c>
      <c r="D14" s="832" t="s">
        <v>1034</v>
      </c>
      <c r="E14" s="832" t="s">
        <v>847</v>
      </c>
      <c r="F14" s="832" t="s">
        <v>2352</v>
      </c>
      <c r="G14" s="832" t="s">
        <v>2353</v>
      </c>
      <c r="H14" s="849">
        <v>1</v>
      </c>
      <c r="I14" s="849">
        <v>30</v>
      </c>
      <c r="J14" s="832"/>
      <c r="K14" s="832">
        <v>30</v>
      </c>
      <c r="L14" s="849"/>
      <c r="M14" s="849"/>
      <c r="N14" s="832"/>
      <c r="O14" s="832"/>
      <c r="P14" s="849">
        <v>4</v>
      </c>
      <c r="Q14" s="849">
        <v>124</v>
      </c>
      <c r="R14" s="837"/>
      <c r="S14" s="850">
        <v>31</v>
      </c>
    </row>
    <row r="15" spans="1:19" ht="14.45" customHeight="1" x14ac:dyDescent="0.2">
      <c r="A15" s="831" t="s">
        <v>2339</v>
      </c>
      <c r="B15" s="832" t="s">
        <v>2340</v>
      </c>
      <c r="C15" s="832" t="s">
        <v>593</v>
      </c>
      <c r="D15" s="832" t="s">
        <v>1034</v>
      </c>
      <c r="E15" s="832" t="s">
        <v>847</v>
      </c>
      <c r="F15" s="832" t="s">
        <v>2354</v>
      </c>
      <c r="G15" s="832" t="s">
        <v>2355</v>
      </c>
      <c r="H15" s="849"/>
      <c r="I15" s="849"/>
      <c r="J15" s="832"/>
      <c r="K15" s="832"/>
      <c r="L15" s="849"/>
      <c r="M15" s="849"/>
      <c r="N15" s="832"/>
      <c r="O15" s="832"/>
      <c r="P15" s="849">
        <v>2</v>
      </c>
      <c r="Q15" s="849">
        <v>134</v>
      </c>
      <c r="R15" s="837"/>
      <c r="S15" s="850">
        <v>67</v>
      </c>
    </row>
    <row r="16" spans="1:19" ht="14.45" customHeight="1" x14ac:dyDescent="0.2">
      <c r="A16" s="831" t="s">
        <v>2339</v>
      </c>
      <c r="B16" s="832" t="s">
        <v>2340</v>
      </c>
      <c r="C16" s="832" t="s">
        <v>593</v>
      </c>
      <c r="D16" s="832" t="s">
        <v>1034</v>
      </c>
      <c r="E16" s="832" t="s">
        <v>847</v>
      </c>
      <c r="F16" s="832" t="s">
        <v>2358</v>
      </c>
      <c r="G16" s="832" t="s">
        <v>2359</v>
      </c>
      <c r="H16" s="849">
        <v>135</v>
      </c>
      <c r="I16" s="849">
        <v>4995</v>
      </c>
      <c r="J16" s="832">
        <v>10.384615384615385</v>
      </c>
      <c r="K16" s="832">
        <v>37</v>
      </c>
      <c r="L16" s="849">
        <v>13</v>
      </c>
      <c r="M16" s="849">
        <v>481</v>
      </c>
      <c r="N16" s="832">
        <v>1</v>
      </c>
      <c r="O16" s="832">
        <v>37</v>
      </c>
      <c r="P16" s="849">
        <v>4</v>
      </c>
      <c r="Q16" s="849">
        <v>152</v>
      </c>
      <c r="R16" s="837">
        <v>0.31600831600831603</v>
      </c>
      <c r="S16" s="850">
        <v>38</v>
      </c>
    </row>
    <row r="17" spans="1:19" ht="14.45" customHeight="1" x14ac:dyDescent="0.2">
      <c r="A17" s="831" t="s">
        <v>2339</v>
      </c>
      <c r="B17" s="832" t="s">
        <v>2340</v>
      </c>
      <c r="C17" s="832" t="s">
        <v>593</v>
      </c>
      <c r="D17" s="832" t="s">
        <v>1034</v>
      </c>
      <c r="E17" s="832" t="s">
        <v>847</v>
      </c>
      <c r="F17" s="832" t="s">
        <v>2360</v>
      </c>
      <c r="G17" s="832" t="s">
        <v>2361</v>
      </c>
      <c r="H17" s="849">
        <v>54</v>
      </c>
      <c r="I17" s="849">
        <v>9558</v>
      </c>
      <c r="J17" s="832">
        <v>5.3696629213483149</v>
      </c>
      <c r="K17" s="832">
        <v>177</v>
      </c>
      <c r="L17" s="849">
        <v>10</v>
      </c>
      <c r="M17" s="849">
        <v>1780</v>
      </c>
      <c r="N17" s="832">
        <v>1</v>
      </c>
      <c r="O17" s="832">
        <v>178</v>
      </c>
      <c r="P17" s="849">
        <v>11</v>
      </c>
      <c r="Q17" s="849">
        <v>1969</v>
      </c>
      <c r="R17" s="837">
        <v>1.1061797752808988</v>
      </c>
      <c r="S17" s="850">
        <v>179</v>
      </c>
    </row>
    <row r="18" spans="1:19" ht="14.45" customHeight="1" x14ac:dyDescent="0.2">
      <c r="A18" s="831" t="s">
        <v>2339</v>
      </c>
      <c r="B18" s="832" t="s">
        <v>2340</v>
      </c>
      <c r="C18" s="832" t="s">
        <v>593</v>
      </c>
      <c r="D18" s="832" t="s">
        <v>1034</v>
      </c>
      <c r="E18" s="832" t="s">
        <v>847</v>
      </c>
      <c r="F18" s="832" t="s">
        <v>2362</v>
      </c>
      <c r="G18" s="832" t="s">
        <v>2363</v>
      </c>
      <c r="H18" s="849"/>
      <c r="I18" s="849"/>
      <c r="J18" s="832"/>
      <c r="K18" s="832"/>
      <c r="L18" s="849"/>
      <c r="M18" s="849"/>
      <c r="N18" s="832"/>
      <c r="O18" s="832"/>
      <c r="P18" s="849">
        <v>3</v>
      </c>
      <c r="Q18" s="849">
        <v>681</v>
      </c>
      <c r="R18" s="837"/>
      <c r="S18" s="850">
        <v>227</v>
      </c>
    </row>
    <row r="19" spans="1:19" ht="14.45" customHeight="1" x14ac:dyDescent="0.2">
      <c r="A19" s="831" t="s">
        <v>2339</v>
      </c>
      <c r="B19" s="832" t="s">
        <v>2340</v>
      </c>
      <c r="C19" s="832" t="s">
        <v>593</v>
      </c>
      <c r="D19" s="832" t="s">
        <v>1034</v>
      </c>
      <c r="E19" s="832" t="s">
        <v>847</v>
      </c>
      <c r="F19" s="832" t="s">
        <v>2364</v>
      </c>
      <c r="G19" s="832" t="s">
        <v>2365</v>
      </c>
      <c r="H19" s="849">
        <v>16</v>
      </c>
      <c r="I19" s="849">
        <v>0</v>
      </c>
      <c r="J19" s="832"/>
      <c r="K19" s="832">
        <v>0</v>
      </c>
      <c r="L19" s="849"/>
      <c r="M19" s="849"/>
      <c r="N19" s="832"/>
      <c r="O19" s="832"/>
      <c r="P19" s="849"/>
      <c r="Q19" s="849"/>
      <c r="R19" s="837"/>
      <c r="S19" s="850"/>
    </row>
    <row r="20" spans="1:19" ht="14.45" customHeight="1" x14ac:dyDescent="0.2">
      <c r="A20" s="831" t="s">
        <v>2339</v>
      </c>
      <c r="B20" s="832" t="s">
        <v>2340</v>
      </c>
      <c r="C20" s="832" t="s">
        <v>593</v>
      </c>
      <c r="D20" s="832" t="s">
        <v>1034</v>
      </c>
      <c r="E20" s="832" t="s">
        <v>847</v>
      </c>
      <c r="F20" s="832" t="s">
        <v>2366</v>
      </c>
      <c r="G20" s="832" t="s">
        <v>2367</v>
      </c>
      <c r="H20" s="849">
        <v>54</v>
      </c>
      <c r="I20" s="849">
        <v>6264</v>
      </c>
      <c r="J20" s="832">
        <v>4.9090909090909092</v>
      </c>
      <c r="K20" s="832">
        <v>116</v>
      </c>
      <c r="L20" s="849">
        <v>11</v>
      </c>
      <c r="M20" s="849">
        <v>1276</v>
      </c>
      <c r="N20" s="832">
        <v>1</v>
      </c>
      <c r="O20" s="832">
        <v>116</v>
      </c>
      <c r="P20" s="849">
        <v>12</v>
      </c>
      <c r="Q20" s="849">
        <v>1392</v>
      </c>
      <c r="R20" s="837">
        <v>1.0909090909090908</v>
      </c>
      <c r="S20" s="850">
        <v>116</v>
      </c>
    </row>
    <row r="21" spans="1:19" ht="14.45" customHeight="1" x14ac:dyDescent="0.2">
      <c r="A21" s="831" t="s">
        <v>2339</v>
      </c>
      <c r="B21" s="832" t="s">
        <v>2340</v>
      </c>
      <c r="C21" s="832" t="s">
        <v>593</v>
      </c>
      <c r="D21" s="832" t="s">
        <v>1034</v>
      </c>
      <c r="E21" s="832" t="s">
        <v>847</v>
      </c>
      <c r="F21" s="832" t="s">
        <v>2368</v>
      </c>
      <c r="G21" s="832" t="s">
        <v>2369</v>
      </c>
      <c r="H21" s="849">
        <v>16</v>
      </c>
      <c r="I21" s="849">
        <v>512</v>
      </c>
      <c r="J21" s="832"/>
      <c r="K21" s="832">
        <v>32</v>
      </c>
      <c r="L21" s="849"/>
      <c r="M21" s="849"/>
      <c r="N21" s="832"/>
      <c r="O21" s="832"/>
      <c r="P21" s="849"/>
      <c r="Q21" s="849"/>
      <c r="R21" s="837"/>
      <c r="S21" s="850"/>
    </row>
    <row r="22" spans="1:19" ht="14.45" customHeight="1" x14ac:dyDescent="0.2">
      <c r="A22" s="831" t="s">
        <v>2339</v>
      </c>
      <c r="B22" s="832" t="s">
        <v>2340</v>
      </c>
      <c r="C22" s="832" t="s">
        <v>593</v>
      </c>
      <c r="D22" s="832" t="s">
        <v>1034</v>
      </c>
      <c r="E22" s="832" t="s">
        <v>847</v>
      </c>
      <c r="F22" s="832" t="s">
        <v>2370</v>
      </c>
      <c r="G22" s="832" t="s">
        <v>2371</v>
      </c>
      <c r="H22" s="849"/>
      <c r="I22" s="849"/>
      <c r="J22" s="832"/>
      <c r="K22" s="832"/>
      <c r="L22" s="849">
        <v>1</v>
      </c>
      <c r="M22" s="849">
        <v>355</v>
      </c>
      <c r="N22" s="832">
        <v>1</v>
      </c>
      <c r="O22" s="832">
        <v>355</v>
      </c>
      <c r="P22" s="849"/>
      <c r="Q22" s="849"/>
      <c r="R22" s="837"/>
      <c r="S22" s="850"/>
    </row>
    <row r="23" spans="1:19" ht="14.45" customHeight="1" x14ac:dyDescent="0.2">
      <c r="A23" s="831" t="s">
        <v>2339</v>
      </c>
      <c r="B23" s="832" t="s">
        <v>2340</v>
      </c>
      <c r="C23" s="832" t="s">
        <v>593</v>
      </c>
      <c r="D23" s="832" t="s">
        <v>1034</v>
      </c>
      <c r="E23" s="832" t="s">
        <v>847</v>
      </c>
      <c r="F23" s="832" t="s">
        <v>2372</v>
      </c>
      <c r="G23" s="832" t="s">
        <v>2373</v>
      </c>
      <c r="H23" s="849">
        <v>5</v>
      </c>
      <c r="I23" s="849">
        <v>370</v>
      </c>
      <c r="J23" s="832"/>
      <c r="K23" s="832">
        <v>74</v>
      </c>
      <c r="L23" s="849"/>
      <c r="M23" s="849"/>
      <c r="N23" s="832"/>
      <c r="O23" s="832"/>
      <c r="P23" s="849">
        <v>3</v>
      </c>
      <c r="Q23" s="849">
        <v>225</v>
      </c>
      <c r="R23" s="837"/>
      <c r="S23" s="850">
        <v>75</v>
      </c>
    </row>
    <row r="24" spans="1:19" ht="14.45" customHeight="1" x14ac:dyDescent="0.2">
      <c r="A24" s="831" t="s">
        <v>2339</v>
      </c>
      <c r="B24" s="832" t="s">
        <v>2340</v>
      </c>
      <c r="C24" s="832" t="s">
        <v>593</v>
      </c>
      <c r="D24" s="832" t="s">
        <v>1034</v>
      </c>
      <c r="E24" s="832" t="s">
        <v>847</v>
      </c>
      <c r="F24" s="832" t="s">
        <v>2374</v>
      </c>
      <c r="G24" s="832" t="s">
        <v>2375</v>
      </c>
      <c r="H24" s="849">
        <v>1</v>
      </c>
      <c r="I24" s="849">
        <v>701</v>
      </c>
      <c r="J24" s="832"/>
      <c r="K24" s="832">
        <v>701</v>
      </c>
      <c r="L24" s="849"/>
      <c r="M24" s="849"/>
      <c r="N24" s="832"/>
      <c r="O24" s="832"/>
      <c r="P24" s="849"/>
      <c r="Q24" s="849"/>
      <c r="R24" s="837"/>
      <c r="S24" s="850"/>
    </row>
    <row r="25" spans="1:19" ht="14.45" customHeight="1" x14ac:dyDescent="0.2">
      <c r="A25" s="831" t="s">
        <v>2339</v>
      </c>
      <c r="B25" s="832" t="s">
        <v>2340</v>
      </c>
      <c r="C25" s="832" t="s">
        <v>593</v>
      </c>
      <c r="D25" s="832" t="s">
        <v>1036</v>
      </c>
      <c r="E25" s="832" t="s">
        <v>847</v>
      </c>
      <c r="F25" s="832" t="s">
        <v>2360</v>
      </c>
      <c r="G25" s="832" t="s">
        <v>2361</v>
      </c>
      <c r="H25" s="849"/>
      <c r="I25" s="849"/>
      <c r="J25" s="832"/>
      <c r="K25" s="832"/>
      <c r="L25" s="849">
        <v>1</v>
      </c>
      <c r="M25" s="849">
        <v>178</v>
      </c>
      <c r="N25" s="832">
        <v>1</v>
      </c>
      <c r="O25" s="832">
        <v>178</v>
      </c>
      <c r="P25" s="849"/>
      <c r="Q25" s="849"/>
      <c r="R25" s="837"/>
      <c r="S25" s="850"/>
    </row>
    <row r="26" spans="1:19" ht="14.45" customHeight="1" x14ac:dyDescent="0.2">
      <c r="A26" s="831" t="s">
        <v>2339</v>
      </c>
      <c r="B26" s="832" t="s">
        <v>2340</v>
      </c>
      <c r="C26" s="832" t="s">
        <v>593</v>
      </c>
      <c r="D26" s="832" t="s">
        <v>1036</v>
      </c>
      <c r="E26" s="832" t="s">
        <v>847</v>
      </c>
      <c r="F26" s="832" t="s">
        <v>2366</v>
      </c>
      <c r="G26" s="832" t="s">
        <v>2367</v>
      </c>
      <c r="H26" s="849"/>
      <c r="I26" s="849"/>
      <c r="J26" s="832"/>
      <c r="K26" s="832"/>
      <c r="L26" s="849">
        <v>1</v>
      </c>
      <c r="M26" s="849">
        <v>116</v>
      </c>
      <c r="N26" s="832">
        <v>1</v>
      </c>
      <c r="O26" s="832">
        <v>116</v>
      </c>
      <c r="P26" s="849"/>
      <c r="Q26" s="849"/>
      <c r="R26" s="837"/>
      <c r="S26" s="850"/>
    </row>
    <row r="27" spans="1:19" ht="14.45" customHeight="1" x14ac:dyDescent="0.2">
      <c r="A27" s="831" t="s">
        <v>2339</v>
      </c>
      <c r="B27" s="832" t="s">
        <v>2340</v>
      </c>
      <c r="C27" s="832" t="s">
        <v>593</v>
      </c>
      <c r="D27" s="832" t="s">
        <v>1037</v>
      </c>
      <c r="E27" s="832" t="s">
        <v>847</v>
      </c>
      <c r="F27" s="832" t="s">
        <v>2358</v>
      </c>
      <c r="G27" s="832" t="s">
        <v>2359</v>
      </c>
      <c r="H27" s="849"/>
      <c r="I27" s="849"/>
      <c r="J27" s="832"/>
      <c r="K27" s="832"/>
      <c r="L27" s="849"/>
      <c r="M27" s="849"/>
      <c r="N27" s="832"/>
      <c r="O27" s="832"/>
      <c r="P27" s="849">
        <v>1</v>
      </c>
      <c r="Q27" s="849">
        <v>38</v>
      </c>
      <c r="R27" s="837"/>
      <c r="S27" s="850">
        <v>38</v>
      </c>
    </row>
    <row r="28" spans="1:19" ht="14.45" customHeight="1" x14ac:dyDescent="0.2">
      <c r="A28" s="831" t="s">
        <v>2339</v>
      </c>
      <c r="B28" s="832" t="s">
        <v>2340</v>
      </c>
      <c r="C28" s="832" t="s">
        <v>593</v>
      </c>
      <c r="D28" s="832" t="s">
        <v>1037</v>
      </c>
      <c r="E28" s="832" t="s">
        <v>847</v>
      </c>
      <c r="F28" s="832" t="s">
        <v>2360</v>
      </c>
      <c r="G28" s="832" t="s">
        <v>2361</v>
      </c>
      <c r="H28" s="849"/>
      <c r="I28" s="849"/>
      <c r="J28" s="832"/>
      <c r="K28" s="832"/>
      <c r="L28" s="849"/>
      <c r="M28" s="849"/>
      <c r="N28" s="832"/>
      <c r="O28" s="832"/>
      <c r="P28" s="849">
        <v>2</v>
      </c>
      <c r="Q28" s="849">
        <v>358</v>
      </c>
      <c r="R28" s="837"/>
      <c r="S28" s="850">
        <v>179</v>
      </c>
    </row>
    <row r="29" spans="1:19" ht="14.45" customHeight="1" x14ac:dyDescent="0.2">
      <c r="A29" s="831" t="s">
        <v>2339</v>
      </c>
      <c r="B29" s="832" t="s">
        <v>2340</v>
      </c>
      <c r="C29" s="832" t="s">
        <v>593</v>
      </c>
      <c r="D29" s="832" t="s">
        <v>1037</v>
      </c>
      <c r="E29" s="832" t="s">
        <v>847</v>
      </c>
      <c r="F29" s="832" t="s">
        <v>2366</v>
      </c>
      <c r="G29" s="832" t="s">
        <v>2367</v>
      </c>
      <c r="H29" s="849"/>
      <c r="I29" s="849"/>
      <c r="J29" s="832"/>
      <c r="K29" s="832"/>
      <c r="L29" s="849">
        <v>1</v>
      </c>
      <c r="M29" s="849">
        <v>116</v>
      </c>
      <c r="N29" s="832">
        <v>1</v>
      </c>
      <c r="O29" s="832">
        <v>116</v>
      </c>
      <c r="P29" s="849">
        <v>4</v>
      </c>
      <c r="Q29" s="849">
        <v>464</v>
      </c>
      <c r="R29" s="837">
        <v>4</v>
      </c>
      <c r="S29" s="850">
        <v>116</v>
      </c>
    </row>
    <row r="30" spans="1:19" ht="14.45" customHeight="1" x14ac:dyDescent="0.2">
      <c r="A30" s="831" t="s">
        <v>2339</v>
      </c>
      <c r="B30" s="832" t="s">
        <v>2340</v>
      </c>
      <c r="C30" s="832" t="s">
        <v>593</v>
      </c>
      <c r="D30" s="832" t="s">
        <v>1037</v>
      </c>
      <c r="E30" s="832" t="s">
        <v>847</v>
      </c>
      <c r="F30" s="832" t="s">
        <v>2370</v>
      </c>
      <c r="G30" s="832" t="s">
        <v>2371</v>
      </c>
      <c r="H30" s="849"/>
      <c r="I30" s="849"/>
      <c r="J30" s="832"/>
      <c r="K30" s="832"/>
      <c r="L30" s="849">
        <v>1</v>
      </c>
      <c r="M30" s="849">
        <v>355</v>
      </c>
      <c r="N30" s="832">
        <v>1</v>
      </c>
      <c r="O30" s="832">
        <v>355</v>
      </c>
      <c r="P30" s="849">
        <v>4</v>
      </c>
      <c r="Q30" s="849">
        <v>1432</v>
      </c>
      <c r="R30" s="837">
        <v>4.0338028169014084</v>
      </c>
      <c r="S30" s="850">
        <v>358</v>
      </c>
    </row>
    <row r="31" spans="1:19" ht="14.45" customHeight="1" x14ac:dyDescent="0.2">
      <c r="A31" s="831" t="s">
        <v>2339</v>
      </c>
      <c r="B31" s="832" t="s">
        <v>2340</v>
      </c>
      <c r="C31" s="832" t="s">
        <v>593</v>
      </c>
      <c r="D31" s="832" t="s">
        <v>1038</v>
      </c>
      <c r="E31" s="832" t="s">
        <v>2342</v>
      </c>
      <c r="F31" s="832" t="s">
        <v>2343</v>
      </c>
      <c r="G31" s="832" t="s">
        <v>2346</v>
      </c>
      <c r="H31" s="849">
        <v>4</v>
      </c>
      <c r="I31" s="849">
        <v>79087.600000000006</v>
      </c>
      <c r="J31" s="832">
        <v>0.50254884956094115</v>
      </c>
      <c r="K31" s="832">
        <v>19771.900000000001</v>
      </c>
      <c r="L31" s="849">
        <v>8</v>
      </c>
      <c r="M31" s="849">
        <v>157372.96</v>
      </c>
      <c r="N31" s="832">
        <v>1</v>
      </c>
      <c r="O31" s="832">
        <v>19671.62</v>
      </c>
      <c r="P31" s="849">
        <v>28</v>
      </c>
      <c r="Q31" s="849">
        <v>574298.4</v>
      </c>
      <c r="R31" s="837">
        <v>3.6492825705254579</v>
      </c>
      <c r="S31" s="850">
        <v>20510.657142857144</v>
      </c>
    </row>
    <row r="32" spans="1:19" ht="14.45" customHeight="1" x14ac:dyDescent="0.2">
      <c r="A32" s="831" t="s">
        <v>2339</v>
      </c>
      <c r="B32" s="832" t="s">
        <v>2340</v>
      </c>
      <c r="C32" s="832" t="s">
        <v>593</v>
      </c>
      <c r="D32" s="832" t="s">
        <v>1038</v>
      </c>
      <c r="E32" s="832" t="s">
        <v>2342</v>
      </c>
      <c r="F32" s="832" t="s">
        <v>2345</v>
      </c>
      <c r="G32" s="832" t="s">
        <v>2346</v>
      </c>
      <c r="H32" s="849"/>
      <c r="I32" s="849"/>
      <c r="J32" s="832"/>
      <c r="K32" s="832"/>
      <c r="L32" s="849">
        <v>2</v>
      </c>
      <c r="M32" s="849">
        <v>19654.22</v>
      </c>
      <c r="N32" s="832">
        <v>1</v>
      </c>
      <c r="O32" s="832">
        <v>9827.11</v>
      </c>
      <c r="P32" s="849">
        <v>20</v>
      </c>
      <c r="Q32" s="849">
        <v>205034.79000000004</v>
      </c>
      <c r="R32" s="837">
        <v>10.432100078252915</v>
      </c>
      <c r="S32" s="850">
        <v>10251.739500000001</v>
      </c>
    </row>
    <row r="33" spans="1:19" ht="14.45" customHeight="1" x14ac:dyDescent="0.2">
      <c r="A33" s="831" t="s">
        <v>2339</v>
      </c>
      <c r="B33" s="832" t="s">
        <v>2340</v>
      </c>
      <c r="C33" s="832" t="s">
        <v>593</v>
      </c>
      <c r="D33" s="832" t="s">
        <v>1038</v>
      </c>
      <c r="E33" s="832" t="s">
        <v>847</v>
      </c>
      <c r="F33" s="832" t="s">
        <v>2354</v>
      </c>
      <c r="G33" s="832" t="s">
        <v>2355</v>
      </c>
      <c r="H33" s="849"/>
      <c r="I33" s="849"/>
      <c r="J33" s="832"/>
      <c r="K33" s="832"/>
      <c r="L33" s="849"/>
      <c r="M33" s="849"/>
      <c r="N33" s="832"/>
      <c r="O33" s="832"/>
      <c r="P33" s="849">
        <v>1</v>
      </c>
      <c r="Q33" s="849">
        <v>67</v>
      </c>
      <c r="R33" s="837"/>
      <c r="S33" s="850">
        <v>67</v>
      </c>
    </row>
    <row r="34" spans="1:19" ht="14.45" customHeight="1" x14ac:dyDescent="0.2">
      <c r="A34" s="831" t="s">
        <v>2339</v>
      </c>
      <c r="B34" s="832" t="s">
        <v>2340</v>
      </c>
      <c r="C34" s="832" t="s">
        <v>593</v>
      </c>
      <c r="D34" s="832" t="s">
        <v>1038</v>
      </c>
      <c r="E34" s="832" t="s">
        <v>847</v>
      </c>
      <c r="F34" s="832" t="s">
        <v>2358</v>
      </c>
      <c r="G34" s="832" t="s">
        <v>2359</v>
      </c>
      <c r="H34" s="849">
        <v>15</v>
      </c>
      <c r="I34" s="849">
        <v>555</v>
      </c>
      <c r="J34" s="832">
        <v>0.20547945205479451</v>
      </c>
      <c r="K34" s="832">
        <v>37</v>
      </c>
      <c r="L34" s="849">
        <v>73</v>
      </c>
      <c r="M34" s="849">
        <v>2701</v>
      </c>
      <c r="N34" s="832">
        <v>1</v>
      </c>
      <c r="O34" s="832">
        <v>37</v>
      </c>
      <c r="P34" s="849">
        <v>81</v>
      </c>
      <c r="Q34" s="849">
        <v>3078</v>
      </c>
      <c r="R34" s="837">
        <v>1.139577934098482</v>
      </c>
      <c r="S34" s="850">
        <v>38</v>
      </c>
    </row>
    <row r="35" spans="1:19" ht="14.45" customHeight="1" x14ac:dyDescent="0.2">
      <c r="A35" s="831" t="s">
        <v>2339</v>
      </c>
      <c r="B35" s="832" t="s">
        <v>2340</v>
      </c>
      <c r="C35" s="832" t="s">
        <v>593</v>
      </c>
      <c r="D35" s="832" t="s">
        <v>1038</v>
      </c>
      <c r="E35" s="832" t="s">
        <v>847</v>
      </c>
      <c r="F35" s="832" t="s">
        <v>2360</v>
      </c>
      <c r="G35" s="832" t="s">
        <v>2361</v>
      </c>
      <c r="H35" s="849">
        <v>19</v>
      </c>
      <c r="I35" s="849">
        <v>3363</v>
      </c>
      <c r="J35" s="832">
        <v>0.7872191011235955</v>
      </c>
      <c r="K35" s="832">
        <v>177</v>
      </c>
      <c r="L35" s="849">
        <v>24</v>
      </c>
      <c r="M35" s="849">
        <v>4272</v>
      </c>
      <c r="N35" s="832">
        <v>1</v>
      </c>
      <c r="O35" s="832">
        <v>178</v>
      </c>
      <c r="P35" s="849">
        <v>18</v>
      </c>
      <c r="Q35" s="849">
        <v>3222</v>
      </c>
      <c r="R35" s="837">
        <v>0.7542134831460674</v>
      </c>
      <c r="S35" s="850">
        <v>179</v>
      </c>
    </row>
    <row r="36" spans="1:19" ht="14.45" customHeight="1" x14ac:dyDescent="0.2">
      <c r="A36" s="831" t="s">
        <v>2339</v>
      </c>
      <c r="B36" s="832" t="s">
        <v>2340</v>
      </c>
      <c r="C36" s="832" t="s">
        <v>593</v>
      </c>
      <c r="D36" s="832" t="s">
        <v>1038</v>
      </c>
      <c r="E36" s="832" t="s">
        <v>847</v>
      </c>
      <c r="F36" s="832" t="s">
        <v>2364</v>
      </c>
      <c r="G36" s="832" t="s">
        <v>2365</v>
      </c>
      <c r="H36" s="849">
        <v>5</v>
      </c>
      <c r="I36" s="849">
        <v>0</v>
      </c>
      <c r="J36" s="832"/>
      <c r="K36" s="832">
        <v>0</v>
      </c>
      <c r="L36" s="849">
        <v>8</v>
      </c>
      <c r="M36" s="849">
        <v>0</v>
      </c>
      <c r="N36" s="832"/>
      <c r="O36" s="832">
        <v>0</v>
      </c>
      <c r="P36" s="849">
        <v>35</v>
      </c>
      <c r="Q36" s="849">
        <v>0</v>
      </c>
      <c r="R36" s="837"/>
      <c r="S36" s="850">
        <v>0</v>
      </c>
    </row>
    <row r="37" spans="1:19" ht="14.45" customHeight="1" x14ac:dyDescent="0.2">
      <c r="A37" s="831" t="s">
        <v>2339</v>
      </c>
      <c r="B37" s="832" t="s">
        <v>2340</v>
      </c>
      <c r="C37" s="832" t="s">
        <v>593</v>
      </c>
      <c r="D37" s="832" t="s">
        <v>1038</v>
      </c>
      <c r="E37" s="832" t="s">
        <v>847</v>
      </c>
      <c r="F37" s="832" t="s">
        <v>2366</v>
      </c>
      <c r="G37" s="832" t="s">
        <v>2367</v>
      </c>
      <c r="H37" s="849">
        <v>205</v>
      </c>
      <c r="I37" s="849">
        <v>23780</v>
      </c>
      <c r="J37" s="832">
        <v>0.86592382200859375</v>
      </c>
      <c r="K37" s="832">
        <v>116</v>
      </c>
      <c r="L37" s="849">
        <v>237</v>
      </c>
      <c r="M37" s="849">
        <v>27462</v>
      </c>
      <c r="N37" s="832">
        <v>1</v>
      </c>
      <c r="O37" s="832">
        <v>115.87341772151899</v>
      </c>
      <c r="P37" s="849">
        <v>288</v>
      </c>
      <c r="Q37" s="849">
        <v>33408</v>
      </c>
      <c r="R37" s="837">
        <v>1.2165173694559754</v>
      </c>
      <c r="S37" s="850">
        <v>116</v>
      </c>
    </row>
    <row r="38" spans="1:19" ht="14.45" customHeight="1" x14ac:dyDescent="0.2">
      <c r="A38" s="831" t="s">
        <v>2339</v>
      </c>
      <c r="B38" s="832" t="s">
        <v>2340</v>
      </c>
      <c r="C38" s="832" t="s">
        <v>593</v>
      </c>
      <c r="D38" s="832" t="s">
        <v>1038</v>
      </c>
      <c r="E38" s="832" t="s">
        <v>847</v>
      </c>
      <c r="F38" s="832" t="s">
        <v>2368</v>
      </c>
      <c r="G38" s="832" t="s">
        <v>2369</v>
      </c>
      <c r="H38" s="849">
        <v>5</v>
      </c>
      <c r="I38" s="849">
        <v>160</v>
      </c>
      <c r="J38" s="832">
        <v>0.625</v>
      </c>
      <c r="K38" s="832">
        <v>32</v>
      </c>
      <c r="L38" s="849">
        <v>8</v>
      </c>
      <c r="M38" s="849">
        <v>256</v>
      </c>
      <c r="N38" s="832">
        <v>1</v>
      </c>
      <c r="O38" s="832">
        <v>32</v>
      </c>
      <c r="P38" s="849">
        <v>34</v>
      </c>
      <c r="Q38" s="849">
        <v>1122</v>
      </c>
      <c r="R38" s="837">
        <v>4.3828125</v>
      </c>
      <c r="S38" s="850">
        <v>33</v>
      </c>
    </row>
    <row r="39" spans="1:19" ht="14.45" customHeight="1" x14ac:dyDescent="0.2">
      <c r="A39" s="831" t="s">
        <v>2339</v>
      </c>
      <c r="B39" s="832" t="s">
        <v>2340</v>
      </c>
      <c r="C39" s="832" t="s">
        <v>593</v>
      </c>
      <c r="D39" s="832" t="s">
        <v>1038</v>
      </c>
      <c r="E39" s="832" t="s">
        <v>847</v>
      </c>
      <c r="F39" s="832" t="s">
        <v>2370</v>
      </c>
      <c r="G39" s="832" t="s">
        <v>2371</v>
      </c>
      <c r="H39" s="849">
        <v>195</v>
      </c>
      <c r="I39" s="849">
        <v>69225</v>
      </c>
      <c r="J39" s="832">
        <v>0.87443946188340804</v>
      </c>
      <c r="K39" s="832">
        <v>355</v>
      </c>
      <c r="L39" s="849">
        <v>223</v>
      </c>
      <c r="M39" s="849">
        <v>79165</v>
      </c>
      <c r="N39" s="832">
        <v>1</v>
      </c>
      <c r="O39" s="832">
        <v>355</v>
      </c>
      <c r="P39" s="849">
        <v>253</v>
      </c>
      <c r="Q39" s="849">
        <v>90574</v>
      </c>
      <c r="R39" s="837">
        <v>1.1441167182467</v>
      </c>
      <c r="S39" s="850">
        <v>358</v>
      </c>
    </row>
    <row r="40" spans="1:19" ht="14.45" customHeight="1" x14ac:dyDescent="0.2">
      <c r="A40" s="831" t="s">
        <v>2339</v>
      </c>
      <c r="B40" s="832" t="s">
        <v>2340</v>
      </c>
      <c r="C40" s="832" t="s">
        <v>593</v>
      </c>
      <c r="D40" s="832" t="s">
        <v>1038</v>
      </c>
      <c r="E40" s="832" t="s">
        <v>847</v>
      </c>
      <c r="F40" s="832" t="s">
        <v>2372</v>
      </c>
      <c r="G40" s="832" t="s">
        <v>2373</v>
      </c>
      <c r="H40" s="849"/>
      <c r="I40" s="849"/>
      <c r="J40" s="832"/>
      <c r="K40" s="832"/>
      <c r="L40" s="849">
        <v>3</v>
      </c>
      <c r="M40" s="849">
        <v>222</v>
      </c>
      <c r="N40" s="832">
        <v>1</v>
      </c>
      <c r="O40" s="832">
        <v>74</v>
      </c>
      <c r="P40" s="849">
        <v>24</v>
      </c>
      <c r="Q40" s="849">
        <v>1800</v>
      </c>
      <c r="R40" s="837">
        <v>8.1081081081081088</v>
      </c>
      <c r="S40" s="850">
        <v>75</v>
      </c>
    </row>
    <row r="41" spans="1:19" ht="14.45" customHeight="1" x14ac:dyDescent="0.2">
      <c r="A41" s="831" t="s">
        <v>2339</v>
      </c>
      <c r="B41" s="832" t="s">
        <v>2340</v>
      </c>
      <c r="C41" s="832" t="s">
        <v>593</v>
      </c>
      <c r="D41" s="832" t="s">
        <v>1038</v>
      </c>
      <c r="E41" s="832" t="s">
        <v>847</v>
      </c>
      <c r="F41" s="832" t="s">
        <v>2374</v>
      </c>
      <c r="G41" s="832" t="s">
        <v>2375</v>
      </c>
      <c r="H41" s="849"/>
      <c r="I41" s="849"/>
      <c r="J41" s="832"/>
      <c r="K41" s="832"/>
      <c r="L41" s="849">
        <v>2</v>
      </c>
      <c r="M41" s="849">
        <v>1404</v>
      </c>
      <c r="N41" s="832">
        <v>1</v>
      </c>
      <c r="O41" s="832">
        <v>702</v>
      </c>
      <c r="P41" s="849">
        <v>1</v>
      </c>
      <c r="Q41" s="849">
        <v>707</v>
      </c>
      <c r="R41" s="837">
        <v>0.50356125356125359</v>
      </c>
      <c r="S41" s="850">
        <v>707</v>
      </c>
    </row>
    <row r="42" spans="1:19" ht="14.45" customHeight="1" x14ac:dyDescent="0.2">
      <c r="A42" s="831" t="s">
        <v>2339</v>
      </c>
      <c r="B42" s="832" t="s">
        <v>2340</v>
      </c>
      <c r="C42" s="832" t="s">
        <v>593</v>
      </c>
      <c r="D42" s="832" t="s">
        <v>1039</v>
      </c>
      <c r="E42" s="832" t="s">
        <v>847</v>
      </c>
      <c r="F42" s="832" t="s">
        <v>2354</v>
      </c>
      <c r="G42" s="832" t="s">
        <v>2355</v>
      </c>
      <c r="H42" s="849"/>
      <c r="I42" s="849"/>
      <c r="J42" s="832"/>
      <c r="K42" s="832"/>
      <c r="L42" s="849">
        <v>1</v>
      </c>
      <c r="M42" s="849">
        <v>66</v>
      </c>
      <c r="N42" s="832">
        <v>1</v>
      </c>
      <c r="O42" s="832">
        <v>66</v>
      </c>
      <c r="P42" s="849">
        <v>1</v>
      </c>
      <c r="Q42" s="849">
        <v>67</v>
      </c>
      <c r="R42" s="837">
        <v>1.0151515151515151</v>
      </c>
      <c r="S42" s="850">
        <v>67</v>
      </c>
    </row>
    <row r="43" spans="1:19" ht="14.45" customHeight="1" x14ac:dyDescent="0.2">
      <c r="A43" s="831" t="s">
        <v>2339</v>
      </c>
      <c r="B43" s="832" t="s">
        <v>2340</v>
      </c>
      <c r="C43" s="832" t="s">
        <v>593</v>
      </c>
      <c r="D43" s="832" t="s">
        <v>1039</v>
      </c>
      <c r="E43" s="832" t="s">
        <v>847</v>
      </c>
      <c r="F43" s="832" t="s">
        <v>2358</v>
      </c>
      <c r="G43" s="832" t="s">
        <v>2359</v>
      </c>
      <c r="H43" s="849"/>
      <c r="I43" s="849"/>
      <c r="J43" s="832"/>
      <c r="K43" s="832"/>
      <c r="L43" s="849">
        <v>69</v>
      </c>
      <c r="M43" s="849">
        <v>2553</v>
      </c>
      <c r="N43" s="832">
        <v>1</v>
      </c>
      <c r="O43" s="832">
        <v>37</v>
      </c>
      <c r="P43" s="849">
        <v>9</v>
      </c>
      <c r="Q43" s="849">
        <v>342</v>
      </c>
      <c r="R43" s="837">
        <v>0.13396004700352526</v>
      </c>
      <c r="S43" s="850">
        <v>38</v>
      </c>
    </row>
    <row r="44" spans="1:19" ht="14.45" customHeight="1" x14ac:dyDescent="0.2">
      <c r="A44" s="831" t="s">
        <v>2339</v>
      </c>
      <c r="B44" s="832" t="s">
        <v>2340</v>
      </c>
      <c r="C44" s="832" t="s">
        <v>593</v>
      </c>
      <c r="D44" s="832" t="s">
        <v>1039</v>
      </c>
      <c r="E44" s="832" t="s">
        <v>847</v>
      </c>
      <c r="F44" s="832" t="s">
        <v>2360</v>
      </c>
      <c r="G44" s="832" t="s">
        <v>2361</v>
      </c>
      <c r="H44" s="849"/>
      <c r="I44" s="849"/>
      <c r="J44" s="832"/>
      <c r="K44" s="832"/>
      <c r="L44" s="849">
        <v>12</v>
      </c>
      <c r="M44" s="849">
        <v>2136</v>
      </c>
      <c r="N44" s="832">
        <v>1</v>
      </c>
      <c r="O44" s="832">
        <v>178</v>
      </c>
      <c r="P44" s="849">
        <v>1</v>
      </c>
      <c r="Q44" s="849">
        <v>179</v>
      </c>
      <c r="R44" s="837">
        <v>8.380149812734082E-2</v>
      </c>
      <c r="S44" s="850">
        <v>179</v>
      </c>
    </row>
    <row r="45" spans="1:19" ht="14.45" customHeight="1" x14ac:dyDescent="0.2">
      <c r="A45" s="831" t="s">
        <v>2339</v>
      </c>
      <c r="B45" s="832" t="s">
        <v>2340</v>
      </c>
      <c r="C45" s="832" t="s">
        <v>593</v>
      </c>
      <c r="D45" s="832" t="s">
        <v>1039</v>
      </c>
      <c r="E45" s="832" t="s">
        <v>847</v>
      </c>
      <c r="F45" s="832" t="s">
        <v>2362</v>
      </c>
      <c r="G45" s="832" t="s">
        <v>2363</v>
      </c>
      <c r="H45" s="849"/>
      <c r="I45" s="849"/>
      <c r="J45" s="832"/>
      <c r="K45" s="832"/>
      <c r="L45" s="849"/>
      <c r="M45" s="849"/>
      <c r="N45" s="832"/>
      <c r="O45" s="832"/>
      <c r="P45" s="849">
        <v>0</v>
      </c>
      <c r="Q45" s="849">
        <v>0</v>
      </c>
      <c r="R45" s="837"/>
      <c r="S45" s="850"/>
    </row>
    <row r="46" spans="1:19" ht="14.45" customHeight="1" x14ac:dyDescent="0.2">
      <c r="A46" s="831" t="s">
        <v>2339</v>
      </c>
      <c r="B46" s="832" t="s">
        <v>2340</v>
      </c>
      <c r="C46" s="832" t="s">
        <v>593</v>
      </c>
      <c r="D46" s="832" t="s">
        <v>1039</v>
      </c>
      <c r="E46" s="832" t="s">
        <v>847</v>
      </c>
      <c r="F46" s="832" t="s">
        <v>2366</v>
      </c>
      <c r="G46" s="832" t="s">
        <v>2367</v>
      </c>
      <c r="H46" s="849"/>
      <c r="I46" s="849"/>
      <c r="J46" s="832"/>
      <c r="K46" s="832"/>
      <c r="L46" s="849">
        <v>16</v>
      </c>
      <c r="M46" s="849">
        <v>1851</v>
      </c>
      <c r="N46" s="832">
        <v>1</v>
      </c>
      <c r="O46" s="832">
        <v>115.6875</v>
      </c>
      <c r="P46" s="849">
        <v>1</v>
      </c>
      <c r="Q46" s="849">
        <v>116</v>
      </c>
      <c r="R46" s="837">
        <v>6.266882766072393E-2</v>
      </c>
      <c r="S46" s="850">
        <v>116</v>
      </c>
    </row>
    <row r="47" spans="1:19" ht="14.45" customHeight="1" x14ac:dyDescent="0.2">
      <c r="A47" s="831" t="s">
        <v>2339</v>
      </c>
      <c r="B47" s="832" t="s">
        <v>2340</v>
      </c>
      <c r="C47" s="832" t="s">
        <v>593</v>
      </c>
      <c r="D47" s="832" t="s">
        <v>1039</v>
      </c>
      <c r="E47" s="832" t="s">
        <v>847</v>
      </c>
      <c r="F47" s="832" t="s">
        <v>2370</v>
      </c>
      <c r="G47" s="832" t="s">
        <v>2371</v>
      </c>
      <c r="H47" s="849"/>
      <c r="I47" s="849"/>
      <c r="J47" s="832"/>
      <c r="K47" s="832"/>
      <c r="L47" s="849">
        <v>11</v>
      </c>
      <c r="M47" s="849">
        <v>3905</v>
      </c>
      <c r="N47" s="832">
        <v>1</v>
      </c>
      <c r="O47" s="832">
        <v>355</v>
      </c>
      <c r="P47" s="849">
        <v>1</v>
      </c>
      <c r="Q47" s="849">
        <v>358</v>
      </c>
      <c r="R47" s="837">
        <v>9.1677336747759283E-2</v>
      </c>
      <c r="S47" s="850">
        <v>358</v>
      </c>
    </row>
    <row r="48" spans="1:19" ht="14.45" customHeight="1" x14ac:dyDescent="0.2">
      <c r="A48" s="831" t="s">
        <v>2339</v>
      </c>
      <c r="B48" s="832" t="s">
        <v>2340</v>
      </c>
      <c r="C48" s="832" t="s">
        <v>593</v>
      </c>
      <c r="D48" s="832" t="s">
        <v>1039</v>
      </c>
      <c r="E48" s="832" t="s">
        <v>847</v>
      </c>
      <c r="F48" s="832" t="s">
        <v>2372</v>
      </c>
      <c r="G48" s="832" t="s">
        <v>2373</v>
      </c>
      <c r="H48" s="849"/>
      <c r="I48" s="849"/>
      <c r="J48" s="832"/>
      <c r="K48" s="832"/>
      <c r="L48" s="849">
        <v>2</v>
      </c>
      <c r="M48" s="849">
        <v>148</v>
      </c>
      <c r="N48" s="832">
        <v>1</v>
      </c>
      <c r="O48" s="832">
        <v>74</v>
      </c>
      <c r="P48" s="849"/>
      <c r="Q48" s="849"/>
      <c r="R48" s="837"/>
      <c r="S48" s="850"/>
    </row>
    <row r="49" spans="1:19" ht="14.45" customHeight="1" x14ac:dyDescent="0.2">
      <c r="A49" s="831" t="s">
        <v>2339</v>
      </c>
      <c r="B49" s="832" t="s">
        <v>2340</v>
      </c>
      <c r="C49" s="832" t="s">
        <v>593</v>
      </c>
      <c r="D49" s="832" t="s">
        <v>1043</v>
      </c>
      <c r="E49" s="832" t="s">
        <v>2342</v>
      </c>
      <c r="F49" s="832" t="s">
        <v>2343</v>
      </c>
      <c r="G49" s="832" t="s">
        <v>2346</v>
      </c>
      <c r="H49" s="849">
        <v>104</v>
      </c>
      <c r="I49" s="849">
        <v>2052563.55</v>
      </c>
      <c r="J49" s="832">
        <v>1.0539531137504259</v>
      </c>
      <c r="K49" s="832">
        <v>19736.187980769231</v>
      </c>
      <c r="L49" s="849">
        <v>99</v>
      </c>
      <c r="M49" s="849">
        <v>1947490.38</v>
      </c>
      <c r="N49" s="832">
        <v>1</v>
      </c>
      <c r="O49" s="832">
        <v>19671.62</v>
      </c>
      <c r="P49" s="849">
        <v>22</v>
      </c>
      <c r="Q49" s="849">
        <v>451518</v>
      </c>
      <c r="R49" s="837">
        <v>0.2318460746388899</v>
      </c>
      <c r="S49" s="850">
        <v>20523.545454545456</v>
      </c>
    </row>
    <row r="50" spans="1:19" ht="14.45" customHeight="1" x14ac:dyDescent="0.2">
      <c r="A50" s="831" t="s">
        <v>2339</v>
      </c>
      <c r="B50" s="832" t="s">
        <v>2340</v>
      </c>
      <c r="C50" s="832" t="s">
        <v>593</v>
      </c>
      <c r="D50" s="832" t="s">
        <v>1043</v>
      </c>
      <c r="E50" s="832" t="s">
        <v>2342</v>
      </c>
      <c r="F50" s="832" t="s">
        <v>2345</v>
      </c>
      <c r="G50" s="832" t="s">
        <v>2346</v>
      </c>
      <c r="H50" s="849">
        <v>43</v>
      </c>
      <c r="I50" s="849">
        <v>423887.75</v>
      </c>
      <c r="J50" s="832">
        <v>0.81385901607610966</v>
      </c>
      <c r="K50" s="832">
        <v>9857.8546511627901</v>
      </c>
      <c r="L50" s="849">
        <v>53</v>
      </c>
      <c r="M50" s="849">
        <v>520836.83</v>
      </c>
      <c r="N50" s="832">
        <v>1</v>
      </c>
      <c r="O50" s="832">
        <v>9827.11</v>
      </c>
      <c r="P50" s="849">
        <v>14</v>
      </c>
      <c r="Q50" s="849">
        <v>142528.64000000001</v>
      </c>
      <c r="R50" s="837">
        <v>0.27365315160220144</v>
      </c>
      <c r="S50" s="850">
        <v>10180.617142857143</v>
      </c>
    </row>
    <row r="51" spans="1:19" ht="14.45" customHeight="1" x14ac:dyDescent="0.2">
      <c r="A51" s="831" t="s">
        <v>2339</v>
      </c>
      <c r="B51" s="832" t="s">
        <v>2340</v>
      </c>
      <c r="C51" s="832" t="s">
        <v>593</v>
      </c>
      <c r="D51" s="832" t="s">
        <v>1043</v>
      </c>
      <c r="E51" s="832" t="s">
        <v>2347</v>
      </c>
      <c r="F51" s="832" t="s">
        <v>2348</v>
      </c>
      <c r="G51" s="832" t="s">
        <v>2349</v>
      </c>
      <c r="H51" s="849"/>
      <c r="I51" s="849"/>
      <c r="J51" s="832"/>
      <c r="K51" s="832"/>
      <c r="L51" s="849"/>
      <c r="M51" s="849"/>
      <c r="N51" s="832"/>
      <c r="O51" s="832"/>
      <c r="P51" s="849">
        <v>1</v>
      </c>
      <c r="Q51" s="849">
        <v>1674.52</v>
      </c>
      <c r="R51" s="837"/>
      <c r="S51" s="850">
        <v>1674.52</v>
      </c>
    </row>
    <row r="52" spans="1:19" ht="14.45" customHeight="1" x14ac:dyDescent="0.2">
      <c r="A52" s="831" t="s">
        <v>2339</v>
      </c>
      <c r="B52" s="832" t="s">
        <v>2340</v>
      </c>
      <c r="C52" s="832" t="s">
        <v>593</v>
      </c>
      <c r="D52" s="832" t="s">
        <v>1043</v>
      </c>
      <c r="E52" s="832" t="s">
        <v>2347</v>
      </c>
      <c r="F52" s="832" t="s">
        <v>2350</v>
      </c>
      <c r="G52" s="832" t="s">
        <v>2351</v>
      </c>
      <c r="H52" s="849"/>
      <c r="I52" s="849"/>
      <c r="J52" s="832"/>
      <c r="K52" s="832"/>
      <c r="L52" s="849"/>
      <c r="M52" s="849"/>
      <c r="N52" s="832"/>
      <c r="O52" s="832"/>
      <c r="P52" s="849">
        <v>1</v>
      </c>
      <c r="Q52" s="849">
        <v>249.96</v>
      </c>
      <c r="R52" s="837"/>
      <c r="S52" s="850">
        <v>249.96</v>
      </c>
    </row>
    <row r="53" spans="1:19" ht="14.45" customHeight="1" x14ac:dyDescent="0.2">
      <c r="A53" s="831" t="s">
        <v>2339</v>
      </c>
      <c r="B53" s="832" t="s">
        <v>2340</v>
      </c>
      <c r="C53" s="832" t="s">
        <v>593</v>
      </c>
      <c r="D53" s="832" t="s">
        <v>1043</v>
      </c>
      <c r="E53" s="832" t="s">
        <v>847</v>
      </c>
      <c r="F53" s="832" t="s">
        <v>2352</v>
      </c>
      <c r="G53" s="832" t="s">
        <v>2353</v>
      </c>
      <c r="H53" s="849">
        <v>1</v>
      </c>
      <c r="I53" s="849">
        <v>30</v>
      </c>
      <c r="J53" s="832">
        <v>0.5</v>
      </c>
      <c r="K53" s="832">
        <v>30</v>
      </c>
      <c r="L53" s="849">
        <v>2</v>
      </c>
      <c r="M53" s="849">
        <v>60</v>
      </c>
      <c r="N53" s="832">
        <v>1</v>
      </c>
      <c r="O53" s="832">
        <v>30</v>
      </c>
      <c r="P53" s="849">
        <v>2</v>
      </c>
      <c r="Q53" s="849">
        <v>62</v>
      </c>
      <c r="R53" s="837">
        <v>1.0333333333333334</v>
      </c>
      <c r="S53" s="850">
        <v>31</v>
      </c>
    </row>
    <row r="54" spans="1:19" ht="14.45" customHeight="1" x14ac:dyDescent="0.2">
      <c r="A54" s="831" t="s">
        <v>2339</v>
      </c>
      <c r="B54" s="832" t="s">
        <v>2340</v>
      </c>
      <c r="C54" s="832" t="s">
        <v>593</v>
      </c>
      <c r="D54" s="832" t="s">
        <v>1043</v>
      </c>
      <c r="E54" s="832" t="s">
        <v>847</v>
      </c>
      <c r="F54" s="832" t="s">
        <v>2354</v>
      </c>
      <c r="G54" s="832" t="s">
        <v>2355</v>
      </c>
      <c r="H54" s="849"/>
      <c r="I54" s="849"/>
      <c r="J54" s="832"/>
      <c r="K54" s="832"/>
      <c r="L54" s="849">
        <v>1</v>
      </c>
      <c r="M54" s="849">
        <v>66</v>
      </c>
      <c r="N54" s="832">
        <v>1</v>
      </c>
      <c r="O54" s="832">
        <v>66</v>
      </c>
      <c r="P54" s="849">
        <v>17</v>
      </c>
      <c r="Q54" s="849">
        <v>1139</v>
      </c>
      <c r="R54" s="837">
        <v>17.257575757575758</v>
      </c>
      <c r="S54" s="850">
        <v>67</v>
      </c>
    </row>
    <row r="55" spans="1:19" ht="14.45" customHeight="1" x14ac:dyDescent="0.2">
      <c r="A55" s="831" t="s">
        <v>2339</v>
      </c>
      <c r="B55" s="832" t="s">
        <v>2340</v>
      </c>
      <c r="C55" s="832" t="s">
        <v>593</v>
      </c>
      <c r="D55" s="832" t="s">
        <v>1043</v>
      </c>
      <c r="E55" s="832" t="s">
        <v>847</v>
      </c>
      <c r="F55" s="832" t="s">
        <v>2356</v>
      </c>
      <c r="G55" s="832" t="s">
        <v>2357</v>
      </c>
      <c r="H55" s="849"/>
      <c r="I55" s="849"/>
      <c r="J55" s="832"/>
      <c r="K55" s="832"/>
      <c r="L55" s="849"/>
      <c r="M55" s="849"/>
      <c r="N55" s="832"/>
      <c r="O55" s="832"/>
      <c r="P55" s="849">
        <v>1</v>
      </c>
      <c r="Q55" s="849">
        <v>199</v>
      </c>
      <c r="R55" s="837"/>
      <c r="S55" s="850">
        <v>199</v>
      </c>
    </row>
    <row r="56" spans="1:19" ht="14.45" customHeight="1" x14ac:dyDescent="0.2">
      <c r="A56" s="831" t="s">
        <v>2339</v>
      </c>
      <c r="B56" s="832" t="s">
        <v>2340</v>
      </c>
      <c r="C56" s="832" t="s">
        <v>593</v>
      </c>
      <c r="D56" s="832" t="s">
        <v>1043</v>
      </c>
      <c r="E56" s="832" t="s">
        <v>847</v>
      </c>
      <c r="F56" s="832" t="s">
        <v>2358</v>
      </c>
      <c r="G56" s="832" t="s">
        <v>2359</v>
      </c>
      <c r="H56" s="849">
        <v>150</v>
      </c>
      <c r="I56" s="849">
        <v>5550</v>
      </c>
      <c r="J56" s="832">
        <v>0.74626865671641796</v>
      </c>
      <c r="K56" s="832">
        <v>37</v>
      </c>
      <c r="L56" s="849">
        <v>201</v>
      </c>
      <c r="M56" s="849">
        <v>7437</v>
      </c>
      <c r="N56" s="832">
        <v>1</v>
      </c>
      <c r="O56" s="832">
        <v>37</v>
      </c>
      <c r="P56" s="849">
        <v>202</v>
      </c>
      <c r="Q56" s="849">
        <v>7676</v>
      </c>
      <c r="R56" s="837">
        <v>1.0321366142261665</v>
      </c>
      <c r="S56" s="850">
        <v>38</v>
      </c>
    </row>
    <row r="57" spans="1:19" ht="14.45" customHeight="1" x14ac:dyDescent="0.2">
      <c r="A57" s="831" t="s">
        <v>2339</v>
      </c>
      <c r="B57" s="832" t="s">
        <v>2340</v>
      </c>
      <c r="C57" s="832" t="s">
        <v>593</v>
      </c>
      <c r="D57" s="832" t="s">
        <v>1043</v>
      </c>
      <c r="E57" s="832" t="s">
        <v>847</v>
      </c>
      <c r="F57" s="832" t="s">
        <v>2360</v>
      </c>
      <c r="G57" s="832" t="s">
        <v>2361</v>
      </c>
      <c r="H57" s="849">
        <v>296</v>
      </c>
      <c r="I57" s="849">
        <v>52392</v>
      </c>
      <c r="J57" s="832">
        <v>0.8865574658183295</v>
      </c>
      <c r="K57" s="832">
        <v>177</v>
      </c>
      <c r="L57" s="849">
        <v>332</v>
      </c>
      <c r="M57" s="849">
        <v>59096</v>
      </c>
      <c r="N57" s="832">
        <v>1</v>
      </c>
      <c r="O57" s="832">
        <v>178</v>
      </c>
      <c r="P57" s="849">
        <v>203</v>
      </c>
      <c r="Q57" s="849">
        <v>36337</v>
      </c>
      <c r="R57" s="837">
        <v>0.61488087180181394</v>
      </c>
      <c r="S57" s="850">
        <v>179</v>
      </c>
    </row>
    <row r="58" spans="1:19" ht="14.45" customHeight="1" x14ac:dyDescent="0.2">
      <c r="A58" s="831" t="s">
        <v>2339</v>
      </c>
      <c r="B58" s="832" t="s">
        <v>2340</v>
      </c>
      <c r="C58" s="832" t="s">
        <v>593</v>
      </c>
      <c r="D58" s="832" t="s">
        <v>1043</v>
      </c>
      <c r="E58" s="832" t="s">
        <v>847</v>
      </c>
      <c r="F58" s="832" t="s">
        <v>2364</v>
      </c>
      <c r="G58" s="832" t="s">
        <v>2365</v>
      </c>
      <c r="H58" s="849">
        <v>113</v>
      </c>
      <c r="I58" s="849">
        <v>0</v>
      </c>
      <c r="J58" s="832"/>
      <c r="K58" s="832">
        <v>0</v>
      </c>
      <c r="L58" s="849">
        <v>98</v>
      </c>
      <c r="M58" s="849">
        <v>0</v>
      </c>
      <c r="N58" s="832"/>
      <c r="O58" s="832">
        <v>0</v>
      </c>
      <c r="P58" s="849">
        <v>22</v>
      </c>
      <c r="Q58" s="849">
        <v>0</v>
      </c>
      <c r="R58" s="837"/>
      <c r="S58" s="850">
        <v>0</v>
      </c>
    </row>
    <row r="59" spans="1:19" ht="14.45" customHeight="1" x14ac:dyDescent="0.2">
      <c r="A59" s="831" t="s">
        <v>2339</v>
      </c>
      <c r="B59" s="832" t="s">
        <v>2340</v>
      </c>
      <c r="C59" s="832" t="s">
        <v>593</v>
      </c>
      <c r="D59" s="832" t="s">
        <v>1043</v>
      </c>
      <c r="E59" s="832" t="s">
        <v>847</v>
      </c>
      <c r="F59" s="832" t="s">
        <v>2366</v>
      </c>
      <c r="G59" s="832" t="s">
        <v>2367</v>
      </c>
      <c r="H59" s="849">
        <v>294</v>
      </c>
      <c r="I59" s="849">
        <v>34104</v>
      </c>
      <c r="J59" s="832">
        <v>0.89434348202344427</v>
      </c>
      <c r="K59" s="832">
        <v>116</v>
      </c>
      <c r="L59" s="849">
        <v>329</v>
      </c>
      <c r="M59" s="849">
        <v>38133</v>
      </c>
      <c r="N59" s="832">
        <v>1</v>
      </c>
      <c r="O59" s="832">
        <v>115.90577507598785</v>
      </c>
      <c r="P59" s="849">
        <v>204</v>
      </c>
      <c r="Q59" s="849">
        <v>23664</v>
      </c>
      <c r="R59" s="837">
        <v>0.62056486507749198</v>
      </c>
      <c r="S59" s="850">
        <v>116</v>
      </c>
    </row>
    <row r="60" spans="1:19" ht="14.45" customHeight="1" x14ac:dyDescent="0.2">
      <c r="A60" s="831" t="s">
        <v>2339</v>
      </c>
      <c r="B60" s="832" t="s">
        <v>2340</v>
      </c>
      <c r="C60" s="832" t="s">
        <v>593</v>
      </c>
      <c r="D60" s="832" t="s">
        <v>1043</v>
      </c>
      <c r="E60" s="832" t="s">
        <v>847</v>
      </c>
      <c r="F60" s="832" t="s">
        <v>2368</v>
      </c>
      <c r="G60" s="832" t="s">
        <v>2369</v>
      </c>
      <c r="H60" s="849">
        <v>112</v>
      </c>
      <c r="I60" s="849">
        <v>3584</v>
      </c>
      <c r="J60" s="832">
        <v>1.108910891089109</v>
      </c>
      <c r="K60" s="832">
        <v>32</v>
      </c>
      <c r="L60" s="849">
        <v>101</v>
      </c>
      <c r="M60" s="849">
        <v>3232</v>
      </c>
      <c r="N60" s="832">
        <v>1</v>
      </c>
      <c r="O60" s="832">
        <v>32</v>
      </c>
      <c r="P60" s="849">
        <v>22</v>
      </c>
      <c r="Q60" s="849">
        <v>726</v>
      </c>
      <c r="R60" s="837">
        <v>0.22462871287128713</v>
      </c>
      <c r="S60" s="850">
        <v>33</v>
      </c>
    </row>
    <row r="61" spans="1:19" ht="14.45" customHeight="1" x14ac:dyDescent="0.2">
      <c r="A61" s="831" t="s">
        <v>2339</v>
      </c>
      <c r="B61" s="832" t="s">
        <v>2340</v>
      </c>
      <c r="C61" s="832" t="s">
        <v>593</v>
      </c>
      <c r="D61" s="832" t="s">
        <v>1043</v>
      </c>
      <c r="E61" s="832" t="s">
        <v>847</v>
      </c>
      <c r="F61" s="832" t="s">
        <v>2370</v>
      </c>
      <c r="G61" s="832" t="s">
        <v>2371</v>
      </c>
      <c r="H61" s="849"/>
      <c r="I61" s="849"/>
      <c r="J61" s="832"/>
      <c r="K61" s="832"/>
      <c r="L61" s="849"/>
      <c r="M61" s="849"/>
      <c r="N61" s="832"/>
      <c r="O61" s="832"/>
      <c r="P61" s="849">
        <v>6</v>
      </c>
      <c r="Q61" s="849">
        <v>2148</v>
      </c>
      <c r="R61" s="837"/>
      <c r="S61" s="850">
        <v>358</v>
      </c>
    </row>
    <row r="62" spans="1:19" ht="14.45" customHeight="1" x14ac:dyDescent="0.2">
      <c r="A62" s="831" t="s">
        <v>2339</v>
      </c>
      <c r="B62" s="832" t="s">
        <v>2340</v>
      </c>
      <c r="C62" s="832" t="s">
        <v>593</v>
      </c>
      <c r="D62" s="832" t="s">
        <v>1043</v>
      </c>
      <c r="E62" s="832" t="s">
        <v>847</v>
      </c>
      <c r="F62" s="832" t="s">
        <v>2372</v>
      </c>
      <c r="G62" s="832" t="s">
        <v>2373</v>
      </c>
      <c r="H62" s="849">
        <v>10</v>
      </c>
      <c r="I62" s="849">
        <v>740</v>
      </c>
      <c r="J62" s="832">
        <v>0.7142857142857143</v>
      </c>
      <c r="K62" s="832">
        <v>74</v>
      </c>
      <c r="L62" s="849">
        <v>14</v>
      </c>
      <c r="M62" s="849">
        <v>1036</v>
      </c>
      <c r="N62" s="832">
        <v>1</v>
      </c>
      <c r="O62" s="832">
        <v>74</v>
      </c>
      <c r="P62" s="849">
        <v>37</v>
      </c>
      <c r="Q62" s="849">
        <v>2775</v>
      </c>
      <c r="R62" s="837">
        <v>2.6785714285714284</v>
      </c>
      <c r="S62" s="850">
        <v>75</v>
      </c>
    </row>
    <row r="63" spans="1:19" ht="14.45" customHeight="1" x14ac:dyDescent="0.2">
      <c r="A63" s="831" t="s">
        <v>2339</v>
      </c>
      <c r="B63" s="832" t="s">
        <v>2340</v>
      </c>
      <c r="C63" s="832" t="s">
        <v>593</v>
      </c>
      <c r="D63" s="832" t="s">
        <v>1045</v>
      </c>
      <c r="E63" s="832" t="s">
        <v>847</v>
      </c>
      <c r="F63" s="832" t="s">
        <v>2352</v>
      </c>
      <c r="G63" s="832" t="s">
        <v>2353</v>
      </c>
      <c r="H63" s="849">
        <v>1</v>
      </c>
      <c r="I63" s="849">
        <v>30</v>
      </c>
      <c r="J63" s="832"/>
      <c r="K63" s="832">
        <v>30</v>
      </c>
      <c r="L63" s="849"/>
      <c r="M63" s="849"/>
      <c r="N63" s="832"/>
      <c r="O63" s="832"/>
      <c r="P63" s="849"/>
      <c r="Q63" s="849"/>
      <c r="R63" s="837"/>
      <c r="S63" s="850"/>
    </row>
    <row r="64" spans="1:19" ht="14.45" customHeight="1" x14ac:dyDescent="0.2">
      <c r="A64" s="831" t="s">
        <v>2339</v>
      </c>
      <c r="B64" s="832" t="s">
        <v>2340</v>
      </c>
      <c r="C64" s="832" t="s">
        <v>593</v>
      </c>
      <c r="D64" s="832" t="s">
        <v>1045</v>
      </c>
      <c r="E64" s="832" t="s">
        <v>847</v>
      </c>
      <c r="F64" s="832" t="s">
        <v>2354</v>
      </c>
      <c r="G64" s="832" t="s">
        <v>2355</v>
      </c>
      <c r="H64" s="849">
        <v>1</v>
      </c>
      <c r="I64" s="849">
        <v>66</v>
      </c>
      <c r="J64" s="832">
        <v>0.5</v>
      </c>
      <c r="K64" s="832">
        <v>66</v>
      </c>
      <c r="L64" s="849">
        <v>2</v>
      </c>
      <c r="M64" s="849">
        <v>132</v>
      </c>
      <c r="N64" s="832">
        <v>1</v>
      </c>
      <c r="O64" s="832">
        <v>66</v>
      </c>
      <c r="P64" s="849">
        <v>2</v>
      </c>
      <c r="Q64" s="849">
        <v>134</v>
      </c>
      <c r="R64" s="837">
        <v>1.0151515151515151</v>
      </c>
      <c r="S64" s="850">
        <v>67</v>
      </c>
    </row>
    <row r="65" spans="1:19" ht="14.45" customHeight="1" x14ac:dyDescent="0.2">
      <c r="A65" s="831" t="s">
        <v>2339</v>
      </c>
      <c r="B65" s="832" t="s">
        <v>2340</v>
      </c>
      <c r="C65" s="832" t="s">
        <v>593</v>
      </c>
      <c r="D65" s="832" t="s">
        <v>1045</v>
      </c>
      <c r="E65" s="832" t="s">
        <v>847</v>
      </c>
      <c r="F65" s="832" t="s">
        <v>2358</v>
      </c>
      <c r="G65" s="832" t="s">
        <v>2359</v>
      </c>
      <c r="H65" s="849">
        <v>13</v>
      </c>
      <c r="I65" s="849">
        <v>481</v>
      </c>
      <c r="J65" s="832">
        <v>2.1666666666666665</v>
      </c>
      <c r="K65" s="832">
        <v>37</v>
      </c>
      <c r="L65" s="849">
        <v>6</v>
      </c>
      <c r="M65" s="849">
        <v>222</v>
      </c>
      <c r="N65" s="832">
        <v>1</v>
      </c>
      <c r="O65" s="832">
        <v>37</v>
      </c>
      <c r="P65" s="849">
        <v>46</v>
      </c>
      <c r="Q65" s="849">
        <v>1748</v>
      </c>
      <c r="R65" s="837">
        <v>7.8738738738738743</v>
      </c>
      <c r="S65" s="850">
        <v>38</v>
      </c>
    </row>
    <row r="66" spans="1:19" ht="14.45" customHeight="1" x14ac:dyDescent="0.2">
      <c r="A66" s="831" t="s">
        <v>2339</v>
      </c>
      <c r="B66" s="832" t="s">
        <v>2340</v>
      </c>
      <c r="C66" s="832" t="s">
        <v>593</v>
      </c>
      <c r="D66" s="832" t="s">
        <v>1045</v>
      </c>
      <c r="E66" s="832" t="s">
        <v>847</v>
      </c>
      <c r="F66" s="832" t="s">
        <v>2366</v>
      </c>
      <c r="G66" s="832" t="s">
        <v>2367</v>
      </c>
      <c r="H66" s="849">
        <v>2</v>
      </c>
      <c r="I66" s="849">
        <v>232</v>
      </c>
      <c r="J66" s="832"/>
      <c r="K66" s="832">
        <v>116</v>
      </c>
      <c r="L66" s="849"/>
      <c r="M66" s="849"/>
      <c r="N66" s="832"/>
      <c r="O66" s="832"/>
      <c r="P66" s="849"/>
      <c r="Q66" s="849"/>
      <c r="R66" s="837"/>
      <c r="S66" s="850"/>
    </row>
    <row r="67" spans="1:19" ht="14.45" customHeight="1" x14ac:dyDescent="0.2">
      <c r="A67" s="831" t="s">
        <v>2339</v>
      </c>
      <c r="B67" s="832" t="s">
        <v>2340</v>
      </c>
      <c r="C67" s="832" t="s">
        <v>593</v>
      </c>
      <c r="D67" s="832" t="s">
        <v>1045</v>
      </c>
      <c r="E67" s="832" t="s">
        <v>847</v>
      </c>
      <c r="F67" s="832" t="s">
        <v>2370</v>
      </c>
      <c r="G67" s="832" t="s">
        <v>2371</v>
      </c>
      <c r="H67" s="849">
        <v>3</v>
      </c>
      <c r="I67" s="849">
        <v>1065</v>
      </c>
      <c r="J67" s="832">
        <v>3</v>
      </c>
      <c r="K67" s="832">
        <v>355</v>
      </c>
      <c r="L67" s="849">
        <v>1</v>
      </c>
      <c r="M67" s="849">
        <v>355</v>
      </c>
      <c r="N67" s="832">
        <v>1</v>
      </c>
      <c r="O67" s="832">
        <v>355</v>
      </c>
      <c r="P67" s="849">
        <v>15</v>
      </c>
      <c r="Q67" s="849">
        <v>5370</v>
      </c>
      <c r="R67" s="837">
        <v>15.126760563380282</v>
      </c>
      <c r="S67" s="850">
        <v>358</v>
      </c>
    </row>
    <row r="68" spans="1:19" ht="14.45" customHeight="1" x14ac:dyDescent="0.2">
      <c r="A68" s="831" t="s">
        <v>2339</v>
      </c>
      <c r="B68" s="832" t="s">
        <v>2340</v>
      </c>
      <c r="C68" s="832" t="s">
        <v>593</v>
      </c>
      <c r="D68" s="832" t="s">
        <v>1045</v>
      </c>
      <c r="E68" s="832" t="s">
        <v>847</v>
      </c>
      <c r="F68" s="832" t="s">
        <v>2374</v>
      </c>
      <c r="G68" s="832" t="s">
        <v>2375</v>
      </c>
      <c r="H68" s="849">
        <v>13</v>
      </c>
      <c r="I68" s="849">
        <v>9113</v>
      </c>
      <c r="J68" s="832">
        <v>0.86543209876543215</v>
      </c>
      <c r="K68" s="832">
        <v>701</v>
      </c>
      <c r="L68" s="849">
        <v>15</v>
      </c>
      <c r="M68" s="849">
        <v>10530</v>
      </c>
      <c r="N68" s="832">
        <v>1</v>
      </c>
      <c r="O68" s="832">
        <v>702</v>
      </c>
      <c r="P68" s="849">
        <v>3</v>
      </c>
      <c r="Q68" s="849">
        <v>2121</v>
      </c>
      <c r="R68" s="837">
        <v>0.20142450142450141</v>
      </c>
      <c r="S68" s="850">
        <v>707</v>
      </c>
    </row>
    <row r="69" spans="1:19" ht="14.45" customHeight="1" x14ac:dyDescent="0.2">
      <c r="A69" s="831" t="s">
        <v>2339</v>
      </c>
      <c r="B69" s="832" t="s">
        <v>2340</v>
      </c>
      <c r="C69" s="832" t="s">
        <v>593</v>
      </c>
      <c r="D69" s="832" t="s">
        <v>1046</v>
      </c>
      <c r="E69" s="832" t="s">
        <v>847</v>
      </c>
      <c r="F69" s="832" t="s">
        <v>2352</v>
      </c>
      <c r="G69" s="832" t="s">
        <v>2353</v>
      </c>
      <c r="H69" s="849">
        <v>1</v>
      </c>
      <c r="I69" s="849">
        <v>30</v>
      </c>
      <c r="J69" s="832">
        <v>1</v>
      </c>
      <c r="K69" s="832">
        <v>30</v>
      </c>
      <c r="L69" s="849">
        <v>1</v>
      </c>
      <c r="M69" s="849">
        <v>30</v>
      </c>
      <c r="N69" s="832">
        <v>1</v>
      </c>
      <c r="O69" s="832">
        <v>30</v>
      </c>
      <c r="P69" s="849">
        <v>2</v>
      </c>
      <c r="Q69" s="849">
        <v>62</v>
      </c>
      <c r="R69" s="837">
        <v>2.0666666666666669</v>
      </c>
      <c r="S69" s="850">
        <v>31</v>
      </c>
    </row>
    <row r="70" spans="1:19" ht="14.45" customHeight="1" x14ac:dyDescent="0.2">
      <c r="A70" s="831" t="s">
        <v>2339</v>
      </c>
      <c r="B70" s="832" t="s">
        <v>2340</v>
      </c>
      <c r="C70" s="832" t="s">
        <v>593</v>
      </c>
      <c r="D70" s="832" t="s">
        <v>1046</v>
      </c>
      <c r="E70" s="832" t="s">
        <v>847</v>
      </c>
      <c r="F70" s="832" t="s">
        <v>2354</v>
      </c>
      <c r="G70" s="832" t="s">
        <v>2355</v>
      </c>
      <c r="H70" s="849">
        <v>1</v>
      </c>
      <c r="I70" s="849">
        <v>66</v>
      </c>
      <c r="J70" s="832">
        <v>0.14285714285714285</v>
      </c>
      <c r="K70" s="832">
        <v>66</v>
      </c>
      <c r="L70" s="849">
        <v>7</v>
      </c>
      <c r="M70" s="849">
        <v>462</v>
      </c>
      <c r="N70" s="832">
        <v>1</v>
      </c>
      <c r="O70" s="832">
        <v>66</v>
      </c>
      <c r="P70" s="849">
        <v>6</v>
      </c>
      <c r="Q70" s="849">
        <v>402</v>
      </c>
      <c r="R70" s="837">
        <v>0.87012987012987009</v>
      </c>
      <c r="S70" s="850">
        <v>67</v>
      </c>
    </row>
    <row r="71" spans="1:19" ht="14.45" customHeight="1" x14ac:dyDescent="0.2">
      <c r="A71" s="831" t="s">
        <v>2339</v>
      </c>
      <c r="B71" s="832" t="s">
        <v>2340</v>
      </c>
      <c r="C71" s="832" t="s">
        <v>593</v>
      </c>
      <c r="D71" s="832" t="s">
        <v>1046</v>
      </c>
      <c r="E71" s="832" t="s">
        <v>847</v>
      </c>
      <c r="F71" s="832" t="s">
        <v>2358</v>
      </c>
      <c r="G71" s="832" t="s">
        <v>2359</v>
      </c>
      <c r="H71" s="849">
        <v>37</v>
      </c>
      <c r="I71" s="849">
        <v>1369</v>
      </c>
      <c r="J71" s="832">
        <v>1.3703703703703705</v>
      </c>
      <c r="K71" s="832">
        <v>37</v>
      </c>
      <c r="L71" s="849">
        <v>27</v>
      </c>
      <c r="M71" s="849">
        <v>999</v>
      </c>
      <c r="N71" s="832">
        <v>1</v>
      </c>
      <c r="O71" s="832">
        <v>37</v>
      </c>
      <c r="P71" s="849">
        <v>67</v>
      </c>
      <c r="Q71" s="849">
        <v>2546</v>
      </c>
      <c r="R71" s="837">
        <v>2.5485485485485486</v>
      </c>
      <c r="S71" s="850">
        <v>38</v>
      </c>
    </row>
    <row r="72" spans="1:19" ht="14.45" customHeight="1" x14ac:dyDescent="0.2">
      <c r="A72" s="831" t="s">
        <v>2339</v>
      </c>
      <c r="B72" s="832" t="s">
        <v>2340</v>
      </c>
      <c r="C72" s="832" t="s">
        <v>593</v>
      </c>
      <c r="D72" s="832" t="s">
        <v>1046</v>
      </c>
      <c r="E72" s="832" t="s">
        <v>847</v>
      </c>
      <c r="F72" s="832" t="s">
        <v>2360</v>
      </c>
      <c r="G72" s="832" t="s">
        <v>2361</v>
      </c>
      <c r="H72" s="849">
        <v>3</v>
      </c>
      <c r="I72" s="849">
        <v>531</v>
      </c>
      <c r="J72" s="832"/>
      <c r="K72" s="832">
        <v>177</v>
      </c>
      <c r="L72" s="849"/>
      <c r="M72" s="849"/>
      <c r="N72" s="832"/>
      <c r="O72" s="832"/>
      <c r="P72" s="849"/>
      <c r="Q72" s="849"/>
      <c r="R72" s="837"/>
      <c r="S72" s="850"/>
    </row>
    <row r="73" spans="1:19" ht="14.45" customHeight="1" x14ac:dyDescent="0.2">
      <c r="A73" s="831" t="s">
        <v>2339</v>
      </c>
      <c r="B73" s="832" t="s">
        <v>2340</v>
      </c>
      <c r="C73" s="832" t="s">
        <v>593</v>
      </c>
      <c r="D73" s="832" t="s">
        <v>1046</v>
      </c>
      <c r="E73" s="832" t="s">
        <v>847</v>
      </c>
      <c r="F73" s="832" t="s">
        <v>2366</v>
      </c>
      <c r="G73" s="832" t="s">
        <v>2367</v>
      </c>
      <c r="H73" s="849">
        <v>3</v>
      </c>
      <c r="I73" s="849">
        <v>348</v>
      </c>
      <c r="J73" s="832"/>
      <c r="K73" s="832">
        <v>116</v>
      </c>
      <c r="L73" s="849"/>
      <c r="M73" s="849"/>
      <c r="N73" s="832"/>
      <c r="O73" s="832"/>
      <c r="P73" s="849">
        <v>1</v>
      </c>
      <c r="Q73" s="849">
        <v>116</v>
      </c>
      <c r="R73" s="837"/>
      <c r="S73" s="850">
        <v>116</v>
      </c>
    </row>
    <row r="74" spans="1:19" ht="14.45" customHeight="1" x14ac:dyDescent="0.2">
      <c r="A74" s="831" t="s">
        <v>2339</v>
      </c>
      <c r="B74" s="832" t="s">
        <v>2340</v>
      </c>
      <c r="C74" s="832" t="s">
        <v>593</v>
      </c>
      <c r="D74" s="832" t="s">
        <v>1046</v>
      </c>
      <c r="E74" s="832" t="s">
        <v>847</v>
      </c>
      <c r="F74" s="832" t="s">
        <v>2370</v>
      </c>
      <c r="G74" s="832" t="s">
        <v>2371</v>
      </c>
      <c r="H74" s="849"/>
      <c r="I74" s="849"/>
      <c r="J74" s="832"/>
      <c r="K74" s="832"/>
      <c r="L74" s="849">
        <v>8</v>
      </c>
      <c r="M74" s="849">
        <v>2840</v>
      </c>
      <c r="N74" s="832">
        <v>1</v>
      </c>
      <c r="O74" s="832">
        <v>355</v>
      </c>
      <c r="P74" s="849">
        <v>8</v>
      </c>
      <c r="Q74" s="849">
        <v>2864</v>
      </c>
      <c r="R74" s="837">
        <v>1.0084507042253521</v>
      </c>
      <c r="S74" s="850">
        <v>358</v>
      </c>
    </row>
    <row r="75" spans="1:19" ht="14.45" customHeight="1" x14ac:dyDescent="0.2">
      <c r="A75" s="831" t="s">
        <v>2339</v>
      </c>
      <c r="B75" s="832" t="s">
        <v>2340</v>
      </c>
      <c r="C75" s="832" t="s">
        <v>593</v>
      </c>
      <c r="D75" s="832" t="s">
        <v>1046</v>
      </c>
      <c r="E75" s="832" t="s">
        <v>847</v>
      </c>
      <c r="F75" s="832" t="s">
        <v>2374</v>
      </c>
      <c r="G75" s="832" t="s">
        <v>2375</v>
      </c>
      <c r="H75" s="849"/>
      <c r="I75" s="849"/>
      <c r="J75" s="832"/>
      <c r="K75" s="832"/>
      <c r="L75" s="849">
        <v>18</v>
      </c>
      <c r="M75" s="849">
        <v>12636</v>
      </c>
      <c r="N75" s="832">
        <v>1</v>
      </c>
      <c r="O75" s="832">
        <v>702</v>
      </c>
      <c r="P75" s="849">
        <v>11</v>
      </c>
      <c r="Q75" s="849">
        <v>7777</v>
      </c>
      <c r="R75" s="837">
        <v>0.61546375435264322</v>
      </c>
      <c r="S75" s="850">
        <v>707</v>
      </c>
    </row>
    <row r="76" spans="1:19" ht="14.45" customHeight="1" x14ac:dyDescent="0.2">
      <c r="A76" s="831" t="s">
        <v>2339</v>
      </c>
      <c r="B76" s="832" t="s">
        <v>2340</v>
      </c>
      <c r="C76" s="832" t="s">
        <v>593</v>
      </c>
      <c r="D76" s="832" t="s">
        <v>1047</v>
      </c>
      <c r="E76" s="832" t="s">
        <v>2342</v>
      </c>
      <c r="F76" s="832" t="s">
        <v>2343</v>
      </c>
      <c r="G76" s="832" t="s">
        <v>2346</v>
      </c>
      <c r="H76" s="849"/>
      <c r="I76" s="849"/>
      <c r="J76" s="832"/>
      <c r="K76" s="832"/>
      <c r="L76" s="849"/>
      <c r="M76" s="849"/>
      <c r="N76" s="832"/>
      <c r="O76" s="832"/>
      <c r="P76" s="849">
        <v>29</v>
      </c>
      <c r="Q76" s="849">
        <v>595185.1</v>
      </c>
      <c r="R76" s="837"/>
      <c r="S76" s="850">
        <v>20523.624137931034</v>
      </c>
    </row>
    <row r="77" spans="1:19" ht="14.45" customHeight="1" x14ac:dyDescent="0.2">
      <c r="A77" s="831" t="s">
        <v>2339</v>
      </c>
      <c r="B77" s="832" t="s">
        <v>2340</v>
      </c>
      <c r="C77" s="832" t="s">
        <v>593</v>
      </c>
      <c r="D77" s="832" t="s">
        <v>1047</v>
      </c>
      <c r="E77" s="832" t="s">
        <v>2342</v>
      </c>
      <c r="F77" s="832" t="s">
        <v>2345</v>
      </c>
      <c r="G77" s="832" t="s">
        <v>2346</v>
      </c>
      <c r="H77" s="849"/>
      <c r="I77" s="849"/>
      <c r="J77" s="832"/>
      <c r="K77" s="832"/>
      <c r="L77" s="849"/>
      <c r="M77" s="849"/>
      <c r="N77" s="832"/>
      <c r="O77" s="832"/>
      <c r="P77" s="849">
        <v>17</v>
      </c>
      <c r="Q77" s="849">
        <v>174896.62</v>
      </c>
      <c r="R77" s="837"/>
      <c r="S77" s="850">
        <v>10288.036470588235</v>
      </c>
    </row>
    <row r="78" spans="1:19" ht="14.45" customHeight="1" x14ac:dyDescent="0.2">
      <c r="A78" s="831" t="s">
        <v>2339</v>
      </c>
      <c r="B78" s="832" t="s">
        <v>2340</v>
      </c>
      <c r="C78" s="832" t="s">
        <v>593</v>
      </c>
      <c r="D78" s="832" t="s">
        <v>1047</v>
      </c>
      <c r="E78" s="832" t="s">
        <v>847</v>
      </c>
      <c r="F78" s="832" t="s">
        <v>2354</v>
      </c>
      <c r="G78" s="832" t="s">
        <v>2355</v>
      </c>
      <c r="H78" s="849">
        <v>2</v>
      </c>
      <c r="I78" s="849">
        <v>132</v>
      </c>
      <c r="J78" s="832">
        <v>0.16666666666666666</v>
      </c>
      <c r="K78" s="832">
        <v>66</v>
      </c>
      <c r="L78" s="849">
        <v>12</v>
      </c>
      <c r="M78" s="849">
        <v>792</v>
      </c>
      <c r="N78" s="832">
        <v>1</v>
      </c>
      <c r="O78" s="832">
        <v>66</v>
      </c>
      <c r="P78" s="849">
        <v>14</v>
      </c>
      <c r="Q78" s="849">
        <v>938</v>
      </c>
      <c r="R78" s="837">
        <v>1.1843434343434343</v>
      </c>
      <c r="S78" s="850">
        <v>67</v>
      </c>
    </row>
    <row r="79" spans="1:19" ht="14.45" customHeight="1" x14ac:dyDescent="0.2">
      <c r="A79" s="831" t="s">
        <v>2339</v>
      </c>
      <c r="B79" s="832" t="s">
        <v>2340</v>
      </c>
      <c r="C79" s="832" t="s">
        <v>593</v>
      </c>
      <c r="D79" s="832" t="s">
        <v>1047</v>
      </c>
      <c r="E79" s="832" t="s">
        <v>847</v>
      </c>
      <c r="F79" s="832" t="s">
        <v>2358</v>
      </c>
      <c r="G79" s="832" t="s">
        <v>2359</v>
      </c>
      <c r="H79" s="849">
        <v>83</v>
      </c>
      <c r="I79" s="849">
        <v>3071</v>
      </c>
      <c r="J79" s="832">
        <v>0.87368421052631584</v>
      </c>
      <c r="K79" s="832">
        <v>37</v>
      </c>
      <c r="L79" s="849">
        <v>95</v>
      </c>
      <c r="M79" s="849">
        <v>3515</v>
      </c>
      <c r="N79" s="832">
        <v>1</v>
      </c>
      <c r="O79" s="832">
        <v>37</v>
      </c>
      <c r="P79" s="849">
        <v>58</v>
      </c>
      <c r="Q79" s="849">
        <v>2204</v>
      </c>
      <c r="R79" s="837">
        <v>0.62702702702702706</v>
      </c>
      <c r="S79" s="850">
        <v>38</v>
      </c>
    </row>
    <row r="80" spans="1:19" ht="14.45" customHeight="1" x14ac:dyDescent="0.2">
      <c r="A80" s="831" t="s">
        <v>2339</v>
      </c>
      <c r="B80" s="832" t="s">
        <v>2340</v>
      </c>
      <c r="C80" s="832" t="s">
        <v>593</v>
      </c>
      <c r="D80" s="832" t="s">
        <v>1047</v>
      </c>
      <c r="E80" s="832" t="s">
        <v>847</v>
      </c>
      <c r="F80" s="832" t="s">
        <v>2360</v>
      </c>
      <c r="G80" s="832" t="s">
        <v>2361</v>
      </c>
      <c r="H80" s="849">
        <v>144</v>
      </c>
      <c r="I80" s="849">
        <v>25488</v>
      </c>
      <c r="J80" s="832">
        <v>0.96101349822788629</v>
      </c>
      <c r="K80" s="832">
        <v>177</v>
      </c>
      <c r="L80" s="849">
        <v>149</v>
      </c>
      <c r="M80" s="849">
        <v>26522</v>
      </c>
      <c r="N80" s="832">
        <v>1</v>
      </c>
      <c r="O80" s="832">
        <v>178</v>
      </c>
      <c r="P80" s="849">
        <v>193</v>
      </c>
      <c r="Q80" s="849">
        <v>34547</v>
      </c>
      <c r="R80" s="837">
        <v>1.3025789910263177</v>
      </c>
      <c r="S80" s="850">
        <v>179</v>
      </c>
    </row>
    <row r="81" spans="1:19" ht="14.45" customHeight="1" x14ac:dyDescent="0.2">
      <c r="A81" s="831" t="s">
        <v>2339</v>
      </c>
      <c r="B81" s="832" t="s">
        <v>2340</v>
      </c>
      <c r="C81" s="832" t="s">
        <v>593</v>
      </c>
      <c r="D81" s="832" t="s">
        <v>1047</v>
      </c>
      <c r="E81" s="832" t="s">
        <v>847</v>
      </c>
      <c r="F81" s="832" t="s">
        <v>2364</v>
      </c>
      <c r="G81" s="832" t="s">
        <v>2365</v>
      </c>
      <c r="H81" s="849"/>
      <c r="I81" s="849"/>
      <c r="J81" s="832"/>
      <c r="K81" s="832"/>
      <c r="L81" s="849"/>
      <c r="M81" s="849"/>
      <c r="N81" s="832"/>
      <c r="O81" s="832"/>
      <c r="P81" s="849">
        <v>35</v>
      </c>
      <c r="Q81" s="849">
        <v>0</v>
      </c>
      <c r="R81" s="837"/>
      <c r="S81" s="850">
        <v>0</v>
      </c>
    </row>
    <row r="82" spans="1:19" ht="14.45" customHeight="1" x14ac:dyDescent="0.2">
      <c r="A82" s="831" t="s">
        <v>2339</v>
      </c>
      <c r="B82" s="832" t="s">
        <v>2340</v>
      </c>
      <c r="C82" s="832" t="s">
        <v>593</v>
      </c>
      <c r="D82" s="832" t="s">
        <v>1047</v>
      </c>
      <c r="E82" s="832" t="s">
        <v>847</v>
      </c>
      <c r="F82" s="832" t="s">
        <v>2366</v>
      </c>
      <c r="G82" s="832" t="s">
        <v>2367</v>
      </c>
      <c r="H82" s="849">
        <v>142</v>
      </c>
      <c r="I82" s="849">
        <v>16472</v>
      </c>
      <c r="J82" s="832">
        <v>0.95985082454402426</v>
      </c>
      <c r="K82" s="832">
        <v>116</v>
      </c>
      <c r="L82" s="849">
        <v>148</v>
      </c>
      <c r="M82" s="849">
        <v>17161</v>
      </c>
      <c r="N82" s="832">
        <v>1</v>
      </c>
      <c r="O82" s="832">
        <v>115.95270270270271</v>
      </c>
      <c r="P82" s="849">
        <v>195</v>
      </c>
      <c r="Q82" s="849">
        <v>22620</v>
      </c>
      <c r="R82" s="837">
        <v>1.3181050055358079</v>
      </c>
      <c r="S82" s="850">
        <v>116</v>
      </c>
    </row>
    <row r="83" spans="1:19" ht="14.45" customHeight="1" x14ac:dyDescent="0.2">
      <c r="A83" s="831" t="s">
        <v>2339</v>
      </c>
      <c r="B83" s="832" t="s">
        <v>2340</v>
      </c>
      <c r="C83" s="832" t="s">
        <v>593</v>
      </c>
      <c r="D83" s="832" t="s">
        <v>1047</v>
      </c>
      <c r="E83" s="832" t="s">
        <v>847</v>
      </c>
      <c r="F83" s="832" t="s">
        <v>2368</v>
      </c>
      <c r="G83" s="832" t="s">
        <v>2369</v>
      </c>
      <c r="H83" s="849"/>
      <c r="I83" s="849"/>
      <c r="J83" s="832"/>
      <c r="K83" s="832"/>
      <c r="L83" s="849"/>
      <c r="M83" s="849"/>
      <c r="N83" s="832"/>
      <c r="O83" s="832"/>
      <c r="P83" s="849">
        <v>35</v>
      </c>
      <c r="Q83" s="849">
        <v>1155</v>
      </c>
      <c r="R83" s="837"/>
      <c r="S83" s="850">
        <v>33</v>
      </c>
    </row>
    <row r="84" spans="1:19" ht="14.45" customHeight="1" x14ac:dyDescent="0.2">
      <c r="A84" s="831" t="s">
        <v>2339</v>
      </c>
      <c r="B84" s="832" t="s">
        <v>2340</v>
      </c>
      <c r="C84" s="832" t="s">
        <v>593</v>
      </c>
      <c r="D84" s="832" t="s">
        <v>1047</v>
      </c>
      <c r="E84" s="832" t="s">
        <v>847</v>
      </c>
      <c r="F84" s="832" t="s">
        <v>2372</v>
      </c>
      <c r="G84" s="832" t="s">
        <v>2373</v>
      </c>
      <c r="H84" s="849">
        <v>6</v>
      </c>
      <c r="I84" s="849">
        <v>444</v>
      </c>
      <c r="J84" s="832">
        <v>0.54545454545454541</v>
      </c>
      <c r="K84" s="832">
        <v>74</v>
      </c>
      <c r="L84" s="849">
        <v>11</v>
      </c>
      <c r="M84" s="849">
        <v>814</v>
      </c>
      <c r="N84" s="832">
        <v>1</v>
      </c>
      <c r="O84" s="832">
        <v>74</v>
      </c>
      <c r="P84" s="849">
        <v>22</v>
      </c>
      <c r="Q84" s="849">
        <v>1650</v>
      </c>
      <c r="R84" s="837">
        <v>2.0270270270270272</v>
      </c>
      <c r="S84" s="850">
        <v>75</v>
      </c>
    </row>
    <row r="85" spans="1:19" ht="14.45" customHeight="1" x14ac:dyDescent="0.2">
      <c r="A85" s="831" t="s">
        <v>2339</v>
      </c>
      <c r="B85" s="832" t="s">
        <v>2340</v>
      </c>
      <c r="C85" s="832" t="s">
        <v>593</v>
      </c>
      <c r="D85" s="832" t="s">
        <v>1042</v>
      </c>
      <c r="E85" s="832" t="s">
        <v>847</v>
      </c>
      <c r="F85" s="832" t="s">
        <v>2352</v>
      </c>
      <c r="G85" s="832" t="s">
        <v>2353</v>
      </c>
      <c r="H85" s="849"/>
      <c r="I85" s="849"/>
      <c r="J85" s="832"/>
      <c r="K85" s="832"/>
      <c r="L85" s="849"/>
      <c r="M85" s="849"/>
      <c r="N85" s="832"/>
      <c r="O85" s="832"/>
      <c r="P85" s="849">
        <v>2</v>
      </c>
      <c r="Q85" s="849">
        <v>62</v>
      </c>
      <c r="R85" s="837"/>
      <c r="S85" s="850">
        <v>31</v>
      </c>
    </row>
    <row r="86" spans="1:19" ht="14.45" customHeight="1" x14ac:dyDescent="0.2">
      <c r="A86" s="831" t="s">
        <v>2339</v>
      </c>
      <c r="B86" s="832" t="s">
        <v>2340</v>
      </c>
      <c r="C86" s="832" t="s">
        <v>593</v>
      </c>
      <c r="D86" s="832" t="s">
        <v>1042</v>
      </c>
      <c r="E86" s="832" t="s">
        <v>847</v>
      </c>
      <c r="F86" s="832" t="s">
        <v>2354</v>
      </c>
      <c r="G86" s="832" t="s">
        <v>2355</v>
      </c>
      <c r="H86" s="849"/>
      <c r="I86" s="849"/>
      <c r="J86" s="832"/>
      <c r="K86" s="832"/>
      <c r="L86" s="849"/>
      <c r="M86" s="849"/>
      <c r="N86" s="832"/>
      <c r="O86" s="832"/>
      <c r="P86" s="849">
        <v>7</v>
      </c>
      <c r="Q86" s="849">
        <v>469</v>
      </c>
      <c r="R86" s="837"/>
      <c r="S86" s="850">
        <v>67</v>
      </c>
    </row>
    <row r="87" spans="1:19" ht="14.45" customHeight="1" x14ac:dyDescent="0.2">
      <c r="A87" s="831" t="s">
        <v>2339</v>
      </c>
      <c r="B87" s="832" t="s">
        <v>2340</v>
      </c>
      <c r="C87" s="832" t="s">
        <v>593</v>
      </c>
      <c r="D87" s="832" t="s">
        <v>1042</v>
      </c>
      <c r="E87" s="832" t="s">
        <v>847</v>
      </c>
      <c r="F87" s="832" t="s">
        <v>2358</v>
      </c>
      <c r="G87" s="832" t="s">
        <v>2359</v>
      </c>
      <c r="H87" s="849"/>
      <c r="I87" s="849"/>
      <c r="J87" s="832"/>
      <c r="K87" s="832"/>
      <c r="L87" s="849">
        <v>8</v>
      </c>
      <c r="M87" s="849">
        <v>296</v>
      </c>
      <c r="N87" s="832">
        <v>1</v>
      </c>
      <c r="O87" s="832">
        <v>37</v>
      </c>
      <c r="P87" s="849">
        <v>19</v>
      </c>
      <c r="Q87" s="849">
        <v>722</v>
      </c>
      <c r="R87" s="837">
        <v>2.439189189189189</v>
      </c>
      <c r="S87" s="850">
        <v>38</v>
      </c>
    </row>
    <row r="88" spans="1:19" ht="14.45" customHeight="1" x14ac:dyDescent="0.2">
      <c r="A88" s="831" t="s">
        <v>2339</v>
      </c>
      <c r="B88" s="832" t="s">
        <v>2340</v>
      </c>
      <c r="C88" s="832" t="s">
        <v>593</v>
      </c>
      <c r="D88" s="832" t="s">
        <v>1042</v>
      </c>
      <c r="E88" s="832" t="s">
        <v>847</v>
      </c>
      <c r="F88" s="832" t="s">
        <v>2360</v>
      </c>
      <c r="G88" s="832" t="s">
        <v>2361</v>
      </c>
      <c r="H88" s="849"/>
      <c r="I88" s="849"/>
      <c r="J88" s="832"/>
      <c r="K88" s="832"/>
      <c r="L88" s="849"/>
      <c r="M88" s="849"/>
      <c r="N88" s="832"/>
      <c r="O88" s="832"/>
      <c r="P88" s="849">
        <v>30</v>
      </c>
      <c r="Q88" s="849">
        <v>5370</v>
      </c>
      <c r="R88" s="837"/>
      <c r="S88" s="850">
        <v>179</v>
      </c>
    </row>
    <row r="89" spans="1:19" ht="14.45" customHeight="1" x14ac:dyDescent="0.2">
      <c r="A89" s="831" t="s">
        <v>2339</v>
      </c>
      <c r="B89" s="832" t="s">
        <v>2340</v>
      </c>
      <c r="C89" s="832" t="s">
        <v>593</v>
      </c>
      <c r="D89" s="832" t="s">
        <v>1042</v>
      </c>
      <c r="E89" s="832" t="s">
        <v>847</v>
      </c>
      <c r="F89" s="832" t="s">
        <v>2362</v>
      </c>
      <c r="G89" s="832" t="s">
        <v>2363</v>
      </c>
      <c r="H89" s="849"/>
      <c r="I89" s="849"/>
      <c r="J89" s="832"/>
      <c r="K89" s="832"/>
      <c r="L89" s="849"/>
      <c r="M89" s="849"/>
      <c r="N89" s="832"/>
      <c r="O89" s="832"/>
      <c r="P89" s="849">
        <v>1</v>
      </c>
      <c r="Q89" s="849">
        <v>227</v>
      </c>
      <c r="R89" s="837"/>
      <c r="S89" s="850">
        <v>227</v>
      </c>
    </row>
    <row r="90" spans="1:19" ht="14.45" customHeight="1" x14ac:dyDescent="0.2">
      <c r="A90" s="831" t="s">
        <v>2339</v>
      </c>
      <c r="B90" s="832" t="s">
        <v>2340</v>
      </c>
      <c r="C90" s="832" t="s">
        <v>593</v>
      </c>
      <c r="D90" s="832" t="s">
        <v>1042</v>
      </c>
      <c r="E90" s="832" t="s">
        <v>847</v>
      </c>
      <c r="F90" s="832" t="s">
        <v>2366</v>
      </c>
      <c r="G90" s="832" t="s">
        <v>2367</v>
      </c>
      <c r="H90" s="849"/>
      <c r="I90" s="849"/>
      <c r="J90" s="832"/>
      <c r="K90" s="832"/>
      <c r="L90" s="849"/>
      <c r="M90" s="849"/>
      <c r="N90" s="832"/>
      <c r="O90" s="832"/>
      <c r="P90" s="849">
        <v>37</v>
      </c>
      <c r="Q90" s="849">
        <v>4292</v>
      </c>
      <c r="R90" s="837"/>
      <c r="S90" s="850">
        <v>116</v>
      </c>
    </row>
    <row r="91" spans="1:19" ht="14.45" customHeight="1" x14ac:dyDescent="0.2">
      <c r="A91" s="831" t="s">
        <v>2339</v>
      </c>
      <c r="B91" s="832" t="s">
        <v>2340</v>
      </c>
      <c r="C91" s="832" t="s">
        <v>593</v>
      </c>
      <c r="D91" s="832" t="s">
        <v>1042</v>
      </c>
      <c r="E91" s="832" t="s">
        <v>847</v>
      </c>
      <c r="F91" s="832" t="s">
        <v>2372</v>
      </c>
      <c r="G91" s="832" t="s">
        <v>2373</v>
      </c>
      <c r="H91" s="849"/>
      <c r="I91" s="849"/>
      <c r="J91" s="832"/>
      <c r="K91" s="832"/>
      <c r="L91" s="849"/>
      <c r="M91" s="849"/>
      <c r="N91" s="832"/>
      <c r="O91" s="832"/>
      <c r="P91" s="849">
        <v>6</v>
      </c>
      <c r="Q91" s="849">
        <v>450</v>
      </c>
      <c r="R91" s="837"/>
      <c r="S91" s="850">
        <v>75</v>
      </c>
    </row>
    <row r="92" spans="1:19" ht="14.45" customHeight="1" x14ac:dyDescent="0.2">
      <c r="A92" s="831" t="s">
        <v>2339</v>
      </c>
      <c r="B92" s="832" t="s">
        <v>2340</v>
      </c>
      <c r="C92" s="832" t="s">
        <v>593</v>
      </c>
      <c r="D92" s="832" t="s">
        <v>1042</v>
      </c>
      <c r="E92" s="832" t="s">
        <v>847</v>
      </c>
      <c r="F92" s="832" t="s">
        <v>2374</v>
      </c>
      <c r="G92" s="832" t="s">
        <v>2375</v>
      </c>
      <c r="H92" s="849"/>
      <c r="I92" s="849"/>
      <c r="J92" s="832"/>
      <c r="K92" s="832"/>
      <c r="L92" s="849">
        <v>4</v>
      </c>
      <c r="M92" s="849">
        <v>2808</v>
      </c>
      <c r="N92" s="832">
        <v>1</v>
      </c>
      <c r="O92" s="832">
        <v>702</v>
      </c>
      <c r="P92" s="849">
        <v>1</v>
      </c>
      <c r="Q92" s="849">
        <v>707</v>
      </c>
      <c r="R92" s="837">
        <v>0.25178062678062679</v>
      </c>
      <c r="S92" s="850">
        <v>707</v>
      </c>
    </row>
    <row r="93" spans="1:19" ht="14.45" customHeight="1" x14ac:dyDescent="0.2">
      <c r="A93" s="831" t="s">
        <v>2339</v>
      </c>
      <c r="B93" s="832" t="s">
        <v>2340</v>
      </c>
      <c r="C93" s="832" t="s">
        <v>593</v>
      </c>
      <c r="D93" s="832" t="s">
        <v>1042</v>
      </c>
      <c r="E93" s="832" t="s">
        <v>847</v>
      </c>
      <c r="F93" s="832" t="s">
        <v>2378</v>
      </c>
      <c r="G93" s="832" t="s">
        <v>2379</v>
      </c>
      <c r="H93" s="849"/>
      <c r="I93" s="849"/>
      <c r="J93" s="832"/>
      <c r="K93" s="832"/>
      <c r="L93" s="849"/>
      <c r="M93" s="849"/>
      <c r="N93" s="832"/>
      <c r="O93" s="832"/>
      <c r="P93" s="849">
        <v>2</v>
      </c>
      <c r="Q93" s="849">
        <v>208</v>
      </c>
      <c r="R93" s="837"/>
      <c r="S93" s="850">
        <v>104</v>
      </c>
    </row>
    <row r="94" spans="1:19" ht="14.45" customHeight="1" x14ac:dyDescent="0.2">
      <c r="A94" s="831" t="s">
        <v>2339</v>
      </c>
      <c r="B94" s="832" t="s">
        <v>2340</v>
      </c>
      <c r="C94" s="832" t="s">
        <v>593</v>
      </c>
      <c r="D94" s="832" t="s">
        <v>2336</v>
      </c>
      <c r="E94" s="832" t="s">
        <v>847</v>
      </c>
      <c r="F94" s="832" t="s">
        <v>2354</v>
      </c>
      <c r="G94" s="832" t="s">
        <v>2355</v>
      </c>
      <c r="H94" s="849"/>
      <c r="I94" s="849"/>
      <c r="J94" s="832"/>
      <c r="K94" s="832"/>
      <c r="L94" s="849"/>
      <c r="M94" s="849"/>
      <c r="N94" s="832"/>
      <c r="O94" s="832"/>
      <c r="P94" s="849">
        <v>1</v>
      </c>
      <c r="Q94" s="849">
        <v>67</v>
      </c>
      <c r="R94" s="837"/>
      <c r="S94" s="850">
        <v>67</v>
      </c>
    </row>
    <row r="95" spans="1:19" ht="14.45" customHeight="1" x14ac:dyDescent="0.2">
      <c r="A95" s="831" t="s">
        <v>2339</v>
      </c>
      <c r="B95" s="832" t="s">
        <v>2340</v>
      </c>
      <c r="C95" s="832" t="s">
        <v>593</v>
      </c>
      <c r="D95" s="832" t="s">
        <v>2336</v>
      </c>
      <c r="E95" s="832" t="s">
        <v>847</v>
      </c>
      <c r="F95" s="832" t="s">
        <v>2358</v>
      </c>
      <c r="G95" s="832" t="s">
        <v>2359</v>
      </c>
      <c r="H95" s="849"/>
      <c r="I95" s="849"/>
      <c r="J95" s="832"/>
      <c r="K95" s="832"/>
      <c r="L95" s="849">
        <v>1</v>
      </c>
      <c r="M95" s="849">
        <v>37</v>
      </c>
      <c r="N95" s="832">
        <v>1</v>
      </c>
      <c r="O95" s="832">
        <v>37</v>
      </c>
      <c r="P95" s="849"/>
      <c r="Q95" s="849"/>
      <c r="R95" s="837"/>
      <c r="S95" s="850"/>
    </row>
    <row r="96" spans="1:19" ht="14.45" customHeight="1" x14ac:dyDescent="0.2">
      <c r="A96" s="831" t="s">
        <v>2339</v>
      </c>
      <c r="B96" s="832" t="s">
        <v>2340</v>
      </c>
      <c r="C96" s="832" t="s">
        <v>593</v>
      </c>
      <c r="D96" s="832" t="s">
        <v>2336</v>
      </c>
      <c r="E96" s="832" t="s">
        <v>847</v>
      </c>
      <c r="F96" s="832" t="s">
        <v>2360</v>
      </c>
      <c r="G96" s="832" t="s">
        <v>2361</v>
      </c>
      <c r="H96" s="849"/>
      <c r="I96" s="849"/>
      <c r="J96" s="832"/>
      <c r="K96" s="832"/>
      <c r="L96" s="849"/>
      <c r="M96" s="849"/>
      <c r="N96" s="832"/>
      <c r="O96" s="832"/>
      <c r="P96" s="849">
        <v>2</v>
      </c>
      <c r="Q96" s="849">
        <v>358</v>
      </c>
      <c r="R96" s="837"/>
      <c r="S96" s="850">
        <v>179</v>
      </c>
    </row>
    <row r="97" spans="1:19" ht="14.45" customHeight="1" x14ac:dyDescent="0.2">
      <c r="A97" s="831" t="s">
        <v>2339</v>
      </c>
      <c r="B97" s="832" t="s">
        <v>2340</v>
      </c>
      <c r="C97" s="832" t="s">
        <v>593</v>
      </c>
      <c r="D97" s="832" t="s">
        <v>2336</v>
      </c>
      <c r="E97" s="832" t="s">
        <v>847</v>
      </c>
      <c r="F97" s="832" t="s">
        <v>2366</v>
      </c>
      <c r="G97" s="832" t="s">
        <v>2367</v>
      </c>
      <c r="H97" s="849"/>
      <c r="I97" s="849"/>
      <c r="J97" s="832"/>
      <c r="K97" s="832"/>
      <c r="L97" s="849"/>
      <c r="M97" s="849"/>
      <c r="N97" s="832"/>
      <c r="O97" s="832"/>
      <c r="P97" s="849">
        <v>2</v>
      </c>
      <c r="Q97" s="849">
        <v>232</v>
      </c>
      <c r="R97" s="837"/>
      <c r="S97" s="850">
        <v>116</v>
      </c>
    </row>
    <row r="98" spans="1:19" ht="14.45" customHeight="1" x14ac:dyDescent="0.2">
      <c r="A98" s="831" t="s">
        <v>2339</v>
      </c>
      <c r="B98" s="832" t="s">
        <v>2340</v>
      </c>
      <c r="C98" s="832" t="s">
        <v>593</v>
      </c>
      <c r="D98" s="832" t="s">
        <v>2336</v>
      </c>
      <c r="E98" s="832" t="s">
        <v>847</v>
      </c>
      <c r="F98" s="832" t="s">
        <v>2372</v>
      </c>
      <c r="G98" s="832" t="s">
        <v>2373</v>
      </c>
      <c r="H98" s="849"/>
      <c r="I98" s="849"/>
      <c r="J98" s="832"/>
      <c r="K98" s="832"/>
      <c r="L98" s="849"/>
      <c r="M98" s="849"/>
      <c r="N98" s="832"/>
      <c r="O98" s="832"/>
      <c r="P98" s="849">
        <v>1</v>
      </c>
      <c r="Q98" s="849">
        <v>75</v>
      </c>
      <c r="R98" s="837"/>
      <c r="S98" s="850">
        <v>75</v>
      </c>
    </row>
    <row r="99" spans="1:19" ht="14.45" customHeight="1" x14ac:dyDescent="0.2">
      <c r="A99" s="831" t="s">
        <v>2339</v>
      </c>
      <c r="B99" s="832" t="s">
        <v>2340</v>
      </c>
      <c r="C99" s="832" t="s">
        <v>593</v>
      </c>
      <c r="D99" s="832" t="s">
        <v>2336</v>
      </c>
      <c r="E99" s="832" t="s">
        <v>847</v>
      </c>
      <c r="F99" s="832" t="s">
        <v>2374</v>
      </c>
      <c r="G99" s="832" t="s">
        <v>2375</v>
      </c>
      <c r="H99" s="849"/>
      <c r="I99" s="849"/>
      <c r="J99" s="832"/>
      <c r="K99" s="832"/>
      <c r="L99" s="849"/>
      <c r="M99" s="849"/>
      <c r="N99" s="832"/>
      <c r="O99" s="832"/>
      <c r="P99" s="849">
        <v>1</v>
      </c>
      <c r="Q99" s="849">
        <v>707</v>
      </c>
      <c r="R99" s="837"/>
      <c r="S99" s="850">
        <v>707</v>
      </c>
    </row>
    <row r="100" spans="1:19" ht="14.45" customHeight="1" x14ac:dyDescent="0.2">
      <c r="A100" s="831" t="s">
        <v>2339</v>
      </c>
      <c r="B100" s="832" t="s">
        <v>2340</v>
      </c>
      <c r="C100" s="832" t="s">
        <v>593</v>
      </c>
      <c r="D100" s="832" t="s">
        <v>1035</v>
      </c>
      <c r="E100" s="832" t="s">
        <v>847</v>
      </c>
      <c r="F100" s="832" t="s">
        <v>2358</v>
      </c>
      <c r="G100" s="832" t="s">
        <v>2359</v>
      </c>
      <c r="H100" s="849"/>
      <c r="I100" s="849"/>
      <c r="J100" s="832"/>
      <c r="K100" s="832"/>
      <c r="L100" s="849"/>
      <c r="M100" s="849"/>
      <c r="N100" s="832"/>
      <c r="O100" s="832"/>
      <c r="P100" s="849">
        <v>1</v>
      </c>
      <c r="Q100" s="849">
        <v>38</v>
      </c>
      <c r="R100" s="837"/>
      <c r="S100" s="850">
        <v>38</v>
      </c>
    </row>
    <row r="101" spans="1:19" ht="14.45" customHeight="1" x14ac:dyDescent="0.2">
      <c r="A101" s="831" t="s">
        <v>2339</v>
      </c>
      <c r="B101" s="832" t="s">
        <v>2340</v>
      </c>
      <c r="C101" s="832" t="s">
        <v>593</v>
      </c>
      <c r="D101" s="832" t="s">
        <v>2337</v>
      </c>
      <c r="E101" s="832" t="s">
        <v>847</v>
      </c>
      <c r="F101" s="832" t="s">
        <v>2352</v>
      </c>
      <c r="G101" s="832" t="s">
        <v>2353</v>
      </c>
      <c r="H101" s="849"/>
      <c r="I101" s="849"/>
      <c r="J101" s="832"/>
      <c r="K101" s="832"/>
      <c r="L101" s="849"/>
      <c r="M101" s="849"/>
      <c r="N101" s="832"/>
      <c r="O101" s="832"/>
      <c r="P101" s="849">
        <v>3</v>
      </c>
      <c r="Q101" s="849">
        <v>93</v>
      </c>
      <c r="R101" s="837"/>
      <c r="S101" s="850">
        <v>31</v>
      </c>
    </row>
    <row r="102" spans="1:19" ht="14.45" customHeight="1" x14ac:dyDescent="0.2">
      <c r="A102" s="831" t="s">
        <v>2339</v>
      </c>
      <c r="B102" s="832" t="s">
        <v>2340</v>
      </c>
      <c r="C102" s="832" t="s">
        <v>593</v>
      </c>
      <c r="D102" s="832" t="s">
        <v>2337</v>
      </c>
      <c r="E102" s="832" t="s">
        <v>847</v>
      </c>
      <c r="F102" s="832" t="s">
        <v>2354</v>
      </c>
      <c r="G102" s="832" t="s">
        <v>2355</v>
      </c>
      <c r="H102" s="849"/>
      <c r="I102" s="849"/>
      <c r="J102" s="832"/>
      <c r="K102" s="832"/>
      <c r="L102" s="849">
        <v>1</v>
      </c>
      <c r="M102" s="849">
        <v>66</v>
      </c>
      <c r="N102" s="832">
        <v>1</v>
      </c>
      <c r="O102" s="832">
        <v>66</v>
      </c>
      <c r="P102" s="849">
        <v>8</v>
      </c>
      <c r="Q102" s="849">
        <v>536</v>
      </c>
      <c r="R102" s="837">
        <v>8.1212121212121211</v>
      </c>
      <c r="S102" s="850">
        <v>67</v>
      </c>
    </row>
    <row r="103" spans="1:19" ht="14.45" customHeight="1" x14ac:dyDescent="0.2">
      <c r="A103" s="831" t="s">
        <v>2339</v>
      </c>
      <c r="B103" s="832" t="s">
        <v>2340</v>
      </c>
      <c r="C103" s="832" t="s">
        <v>593</v>
      </c>
      <c r="D103" s="832" t="s">
        <v>2337</v>
      </c>
      <c r="E103" s="832" t="s">
        <v>847</v>
      </c>
      <c r="F103" s="832" t="s">
        <v>2358</v>
      </c>
      <c r="G103" s="832" t="s">
        <v>2359</v>
      </c>
      <c r="H103" s="849">
        <v>1</v>
      </c>
      <c r="I103" s="849">
        <v>37</v>
      </c>
      <c r="J103" s="832"/>
      <c r="K103" s="832">
        <v>37</v>
      </c>
      <c r="L103" s="849"/>
      <c r="M103" s="849"/>
      <c r="N103" s="832"/>
      <c r="O103" s="832"/>
      <c r="P103" s="849">
        <v>42</v>
      </c>
      <c r="Q103" s="849">
        <v>1596</v>
      </c>
      <c r="R103" s="837"/>
      <c r="S103" s="850">
        <v>38</v>
      </c>
    </row>
    <row r="104" spans="1:19" ht="14.45" customHeight="1" x14ac:dyDescent="0.2">
      <c r="A104" s="831" t="s">
        <v>2339</v>
      </c>
      <c r="B104" s="832" t="s">
        <v>2340</v>
      </c>
      <c r="C104" s="832" t="s">
        <v>593</v>
      </c>
      <c r="D104" s="832" t="s">
        <v>2337</v>
      </c>
      <c r="E104" s="832" t="s">
        <v>847</v>
      </c>
      <c r="F104" s="832" t="s">
        <v>2360</v>
      </c>
      <c r="G104" s="832" t="s">
        <v>2361</v>
      </c>
      <c r="H104" s="849"/>
      <c r="I104" s="849"/>
      <c r="J104" s="832"/>
      <c r="K104" s="832"/>
      <c r="L104" s="849">
        <v>2</v>
      </c>
      <c r="M104" s="849">
        <v>356</v>
      </c>
      <c r="N104" s="832">
        <v>1</v>
      </c>
      <c r="O104" s="832">
        <v>178</v>
      </c>
      <c r="P104" s="849">
        <v>44</v>
      </c>
      <c r="Q104" s="849">
        <v>7876</v>
      </c>
      <c r="R104" s="837">
        <v>22.123595505617978</v>
      </c>
      <c r="S104" s="850">
        <v>179</v>
      </c>
    </row>
    <row r="105" spans="1:19" ht="14.45" customHeight="1" x14ac:dyDescent="0.2">
      <c r="A105" s="831" t="s">
        <v>2339</v>
      </c>
      <c r="B105" s="832" t="s">
        <v>2340</v>
      </c>
      <c r="C105" s="832" t="s">
        <v>593</v>
      </c>
      <c r="D105" s="832" t="s">
        <v>2337</v>
      </c>
      <c r="E105" s="832" t="s">
        <v>847</v>
      </c>
      <c r="F105" s="832" t="s">
        <v>2362</v>
      </c>
      <c r="G105" s="832" t="s">
        <v>2363</v>
      </c>
      <c r="H105" s="849"/>
      <c r="I105" s="849"/>
      <c r="J105" s="832"/>
      <c r="K105" s="832"/>
      <c r="L105" s="849"/>
      <c r="M105" s="849"/>
      <c r="N105" s="832"/>
      <c r="O105" s="832"/>
      <c r="P105" s="849">
        <v>2</v>
      </c>
      <c r="Q105" s="849">
        <v>454</v>
      </c>
      <c r="R105" s="837"/>
      <c r="S105" s="850">
        <v>227</v>
      </c>
    </row>
    <row r="106" spans="1:19" ht="14.45" customHeight="1" x14ac:dyDescent="0.2">
      <c r="A106" s="831" t="s">
        <v>2339</v>
      </c>
      <c r="B106" s="832" t="s">
        <v>2340</v>
      </c>
      <c r="C106" s="832" t="s">
        <v>593</v>
      </c>
      <c r="D106" s="832" t="s">
        <v>2337</v>
      </c>
      <c r="E106" s="832" t="s">
        <v>847</v>
      </c>
      <c r="F106" s="832" t="s">
        <v>2366</v>
      </c>
      <c r="G106" s="832" t="s">
        <v>2367</v>
      </c>
      <c r="H106" s="849">
        <v>1</v>
      </c>
      <c r="I106" s="849">
        <v>116</v>
      </c>
      <c r="J106" s="832">
        <v>9.0909090909090912E-2</v>
      </c>
      <c r="K106" s="832">
        <v>116</v>
      </c>
      <c r="L106" s="849">
        <v>11</v>
      </c>
      <c r="M106" s="849">
        <v>1276</v>
      </c>
      <c r="N106" s="832">
        <v>1</v>
      </c>
      <c r="O106" s="832">
        <v>116</v>
      </c>
      <c r="P106" s="849">
        <v>62</v>
      </c>
      <c r="Q106" s="849">
        <v>7192</v>
      </c>
      <c r="R106" s="837">
        <v>5.6363636363636367</v>
      </c>
      <c r="S106" s="850">
        <v>116</v>
      </c>
    </row>
    <row r="107" spans="1:19" ht="14.45" customHeight="1" x14ac:dyDescent="0.2">
      <c r="A107" s="831" t="s">
        <v>2339</v>
      </c>
      <c r="B107" s="832" t="s">
        <v>2340</v>
      </c>
      <c r="C107" s="832" t="s">
        <v>593</v>
      </c>
      <c r="D107" s="832" t="s">
        <v>2337</v>
      </c>
      <c r="E107" s="832" t="s">
        <v>847</v>
      </c>
      <c r="F107" s="832" t="s">
        <v>2370</v>
      </c>
      <c r="G107" s="832" t="s">
        <v>2371</v>
      </c>
      <c r="H107" s="849">
        <v>6</v>
      </c>
      <c r="I107" s="849">
        <v>2130</v>
      </c>
      <c r="J107" s="832">
        <v>0.6</v>
      </c>
      <c r="K107" s="832">
        <v>355</v>
      </c>
      <c r="L107" s="849">
        <v>10</v>
      </c>
      <c r="M107" s="849">
        <v>3550</v>
      </c>
      <c r="N107" s="832">
        <v>1</v>
      </c>
      <c r="O107" s="832">
        <v>355</v>
      </c>
      <c r="P107" s="849">
        <v>5</v>
      </c>
      <c r="Q107" s="849">
        <v>1790</v>
      </c>
      <c r="R107" s="837">
        <v>0.50422535211267605</v>
      </c>
      <c r="S107" s="850">
        <v>358</v>
      </c>
    </row>
    <row r="108" spans="1:19" ht="14.45" customHeight="1" x14ac:dyDescent="0.2">
      <c r="A108" s="831" t="s">
        <v>2339</v>
      </c>
      <c r="B108" s="832" t="s">
        <v>2340</v>
      </c>
      <c r="C108" s="832" t="s">
        <v>593</v>
      </c>
      <c r="D108" s="832" t="s">
        <v>2337</v>
      </c>
      <c r="E108" s="832" t="s">
        <v>847</v>
      </c>
      <c r="F108" s="832" t="s">
        <v>2372</v>
      </c>
      <c r="G108" s="832" t="s">
        <v>2373</v>
      </c>
      <c r="H108" s="849"/>
      <c r="I108" s="849"/>
      <c r="J108" s="832"/>
      <c r="K108" s="832"/>
      <c r="L108" s="849"/>
      <c r="M108" s="849"/>
      <c r="N108" s="832"/>
      <c r="O108" s="832"/>
      <c r="P108" s="849">
        <v>1</v>
      </c>
      <c r="Q108" s="849">
        <v>75</v>
      </c>
      <c r="R108" s="837"/>
      <c r="S108" s="850">
        <v>75</v>
      </c>
    </row>
    <row r="109" spans="1:19" ht="14.45" customHeight="1" x14ac:dyDescent="0.2">
      <c r="A109" s="831" t="s">
        <v>2339</v>
      </c>
      <c r="B109" s="832" t="s">
        <v>2340</v>
      </c>
      <c r="C109" s="832" t="s">
        <v>593</v>
      </c>
      <c r="D109" s="832" t="s">
        <v>2337</v>
      </c>
      <c r="E109" s="832" t="s">
        <v>847</v>
      </c>
      <c r="F109" s="832" t="s">
        <v>2374</v>
      </c>
      <c r="G109" s="832" t="s">
        <v>2375</v>
      </c>
      <c r="H109" s="849">
        <v>2</v>
      </c>
      <c r="I109" s="849">
        <v>1402</v>
      </c>
      <c r="J109" s="832">
        <v>0.66571699905033244</v>
      </c>
      <c r="K109" s="832">
        <v>701</v>
      </c>
      <c r="L109" s="849">
        <v>3</v>
      </c>
      <c r="M109" s="849">
        <v>2106</v>
      </c>
      <c r="N109" s="832">
        <v>1</v>
      </c>
      <c r="O109" s="832">
        <v>702</v>
      </c>
      <c r="P109" s="849">
        <v>2</v>
      </c>
      <c r="Q109" s="849">
        <v>1414</v>
      </c>
      <c r="R109" s="837">
        <v>0.67141500474833804</v>
      </c>
      <c r="S109" s="850">
        <v>707</v>
      </c>
    </row>
    <row r="110" spans="1:19" ht="14.45" customHeight="1" x14ac:dyDescent="0.2">
      <c r="A110" s="831" t="s">
        <v>2339</v>
      </c>
      <c r="B110" s="832" t="s">
        <v>2340</v>
      </c>
      <c r="C110" s="832" t="s">
        <v>593</v>
      </c>
      <c r="D110" s="832" t="s">
        <v>2337</v>
      </c>
      <c r="E110" s="832" t="s">
        <v>847</v>
      </c>
      <c r="F110" s="832" t="s">
        <v>2376</v>
      </c>
      <c r="G110" s="832" t="s">
        <v>2377</v>
      </c>
      <c r="H110" s="849"/>
      <c r="I110" s="849"/>
      <c r="J110" s="832"/>
      <c r="K110" s="832"/>
      <c r="L110" s="849">
        <v>1</v>
      </c>
      <c r="M110" s="849">
        <v>59</v>
      </c>
      <c r="N110" s="832">
        <v>1</v>
      </c>
      <c r="O110" s="832">
        <v>59</v>
      </c>
      <c r="P110" s="849">
        <v>1</v>
      </c>
      <c r="Q110" s="849">
        <v>61</v>
      </c>
      <c r="R110" s="837">
        <v>1.0338983050847457</v>
      </c>
      <c r="S110" s="850">
        <v>61</v>
      </c>
    </row>
    <row r="111" spans="1:19" ht="14.45" customHeight="1" thickBot="1" x14ac:dyDescent="0.25">
      <c r="A111" s="839" t="s">
        <v>2339</v>
      </c>
      <c r="B111" s="840" t="s">
        <v>2340</v>
      </c>
      <c r="C111" s="840" t="s">
        <v>593</v>
      </c>
      <c r="D111" s="840" t="s">
        <v>2337</v>
      </c>
      <c r="E111" s="840" t="s">
        <v>847</v>
      </c>
      <c r="F111" s="840" t="s">
        <v>2378</v>
      </c>
      <c r="G111" s="840" t="s">
        <v>2379</v>
      </c>
      <c r="H111" s="851"/>
      <c r="I111" s="851"/>
      <c r="J111" s="840"/>
      <c r="K111" s="840"/>
      <c r="L111" s="851"/>
      <c r="M111" s="851"/>
      <c r="N111" s="840"/>
      <c r="O111" s="840"/>
      <c r="P111" s="851">
        <v>1</v>
      </c>
      <c r="Q111" s="851">
        <v>104</v>
      </c>
      <c r="R111" s="845"/>
      <c r="S111" s="852">
        <v>104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36894E5C-BCFE-449E-ABB1-4E8DEAF64297}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7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247" bestFit="1" customWidth="1" collapsed="1"/>
    <col min="2" max="2" width="7.7109375" style="215" hidden="1" customWidth="1" outlineLevel="1"/>
    <col min="3" max="3" width="0.140625" style="247" hidden="1" customWidth="1"/>
    <col min="4" max="4" width="7.7109375" style="215" customWidth="1"/>
    <col min="5" max="5" width="5.42578125" style="247" hidden="1" customWidth="1"/>
    <col min="6" max="6" width="7.7109375" style="215" customWidth="1"/>
    <col min="7" max="7" width="7.7109375" style="332" customWidth="1" collapsed="1"/>
    <col min="8" max="8" width="7.7109375" style="215" hidden="1" customWidth="1" outlineLevel="1"/>
    <col min="9" max="9" width="5.42578125" style="247" hidden="1" customWidth="1"/>
    <col min="10" max="10" width="7.7109375" style="215" customWidth="1"/>
    <col min="11" max="11" width="5.42578125" style="247" hidden="1" customWidth="1"/>
    <col min="12" max="12" width="7.7109375" style="215" customWidth="1"/>
    <col min="13" max="13" width="7.7109375" style="332" customWidth="1" collapsed="1"/>
    <col min="14" max="14" width="7.7109375" style="215" hidden="1" customWidth="1" outlineLevel="1"/>
    <col min="15" max="15" width="5" style="247" hidden="1" customWidth="1"/>
    <col min="16" max="16" width="7.7109375" style="215" customWidth="1"/>
    <col min="17" max="17" width="5" style="247" hidden="1" customWidth="1"/>
    <col min="18" max="18" width="7.7109375" style="215" customWidth="1"/>
    <col min="19" max="19" width="7.7109375" style="332" customWidth="1"/>
    <col min="20" max="16384" width="8.85546875" style="247"/>
  </cols>
  <sheetData>
    <row r="1" spans="1:19" ht="18.600000000000001" customHeight="1" thickBot="1" x14ac:dyDescent="0.35">
      <c r="A1" s="524" t="s">
        <v>156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</row>
    <row r="2" spans="1:19" ht="14.45" customHeight="1" thickBot="1" x14ac:dyDescent="0.25">
      <c r="A2" s="371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  <c r="N2" s="348"/>
      <c r="O2" s="220"/>
      <c r="P2" s="348"/>
      <c r="Q2" s="220"/>
      <c r="R2" s="348"/>
      <c r="S2" s="349"/>
    </row>
    <row r="3" spans="1:19" ht="14.45" customHeight="1" thickBot="1" x14ac:dyDescent="0.25">
      <c r="A3" s="342" t="s">
        <v>158</v>
      </c>
      <c r="B3" s="343">
        <f>SUBTOTAL(9,B6:B1048576)</f>
        <v>55707886</v>
      </c>
      <c r="C3" s="344">
        <f t="shared" ref="C3:R3" si="0">SUBTOTAL(9,C6:C1048576)</f>
        <v>1.1808028216556561</v>
      </c>
      <c r="D3" s="344">
        <f t="shared" si="0"/>
        <v>47177975</v>
      </c>
      <c r="E3" s="344">
        <f t="shared" si="0"/>
        <v>1</v>
      </c>
      <c r="F3" s="344">
        <f t="shared" si="0"/>
        <v>44886468</v>
      </c>
      <c r="G3" s="347">
        <f>IF(D3&lt;&gt;0,F3/D3,"")</f>
        <v>0.95142845787679531</v>
      </c>
      <c r="H3" s="343">
        <f t="shared" si="0"/>
        <v>967399.28</v>
      </c>
      <c r="I3" s="344">
        <f t="shared" si="0"/>
        <v>0.79070285108910321</v>
      </c>
      <c r="J3" s="344">
        <f t="shared" si="0"/>
        <v>1223467.55</v>
      </c>
      <c r="K3" s="344">
        <f t="shared" si="0"/>
        <v>1</v>
      </c>
      <c r="L3" s="344">
        <f t="shared" si="0"/>
        <v>803107.14</v>
      </c>
      <c r="M3" s="345">
        <f>IF(J3&lt;&gt;0,L3/J3,"")</f>
        <v>0.65641883186848726</v>
      </c>
      <c r="N3" s="346">
        <f t="shared" si="0"/>
        <v>147934.65</v>
      </c>
      <c r="O3" s="344">
        <f t="shared" si="0"/>
        <v>1.44908376476457</v>
      </c>
      <c r="P3" s="344">
        <f t="shared" si="0"/>
        <v>88443.99</v>
      </c>
      <c r="Q3" s="344">
        <f t="shared" si="0"/>
        <v>1</v>
      </c>
      <c r="R3" s="344">
        <f t="shared" si="0"/>
        <v>142925.71000000002</v>
      </c>
      <c r="S3" s="345">
        <f>IF(P3&lt;&gt;0,R3/P3,"")</f>
        <v>1.616002511872203</v>
      </c>
    </row>
    <row r="4" spans="1:19" ht="14.45" customHeight="1" x14ac:dyDescent="0.2">
      <c r="A4" s="623" t="s">
        <v>128</v>
      </c>
      <c r="B4" s="624" t="s">
        <v>122</v>
      </c>
      <c r="C4" s="625"/>
      <c r="D4" s="625"/>
      <c r="E4" s="625"/>
      <c r="F4" s="625"/>
      <c r="G4" s="627"/>
      <c r="H4" s="624" t="s">
        <v>123</v>
      </c>
      <c r="I4" s="625"/>
      <c r="J4" s="625"/>
      <c r="K4" s="625"/>
      <c r="L4" s="625"/>
      <c r="M4" s="627"/>
      <c r="N4" s="624" t="s">
        <v>124</v>
      </c>
      <c r="O4" s="625"/>
      <c r="P4" s="625"/>
      <c r="Q4" s="625"/>
      <c r="R4" s="625"/>
      <c r="S4" s="627"/>
    </row>
    <row r="5" spans="1:19" ht="14.45" customHeight="1" thickBot="1" x14ac:dyDescent="0.25">
      <c r="A5" s="865"/>
      <c r="B5" s="866">
        <v>2015</v>
      </c>
      <c r="C5" s="867"/>
      <c r="D5" s="867">
        <v>2018</v>
      </c>
      <c r="E5" s="867"/>
      <c r="F5" s="867">
        <v>2019</v>
      </c>
      <c r="G5" s="901" t="s">
        <v>2</v>
      </c>
      <c r="H5" s="866">
        <v>2015</v>
      </c>
      <c r="I5" s="867"/>
      <c r="J5" s="867">
        <v>2018</v>
      </c>
      <c r="K5" s="867"/>
      <c r="L5" s="867">
        <v>2019</v>
      </c>
      <c r="M5" s="901" t="s">
        <v>2</v>
      </c>
      <c r="N5" s="866">
        <v>2015</v>
      </c>
      <c r="O5" s="867"/>
      <c r="P5" s="867">
        <v>2018</v>
      </c>
      <c r="Q5" s="867"/>
      <c r="R5" s="867">
        <v>2019</v>
      </c>
      <c r="S5" s="901" t="s">
        <v>2</v>
      </c>
    </row>
    <row r="6" spans="1:19" ht="14.45" customHeight="1" x14ac:dyDescent="0.2">
      <c r="A6" s="856" t="s">
        <v>1019</v>
      </c>
      <c r="B6" s="883">
        <v>55707886</v>
      </c>
      <c r="C6" s="825">
        <v>1.1808028216556561</v>
      </c>
      <c r="D6" s="883">
        <v>47177975</v>
      </c>
      <c r="E6" s="825">
        <v>1</v>
      </c>
      <c r="F6" s="883">
        <v>44886430</v>
      </c>
      <c r="G6" s="830">
        <v>0.95142765241619631</v>
      </c>
      <c r="H6" s="883">
        <v>967399.28</v>
      </c>
      <c r="I6" s="825">
        <v>0.79070285108910321</v>
      </c>
      <c r="J6" s="883">
        <v>1223467.55</v>
      </c>
      <c r="K6" s="825">
        <v>1</v>
      </c>
      <c r="L6" s="883">
        <v>803107.14</v>
      </c>
      <c r="M6" s="830">
        <v>0.65641883186848726</v>
      </c>
      <c r="N6" s="883">
        <v>128162.75</v>
      </c>
      <c r="O6" s="825">
        <v>1.44908376476457</v>
      </c>
      <c r="P6" s="883">
        <v>88443.99</v>
      </c>
      <c r="Q6" s="825">
        <v>1</v>
      </c>
      <c r="R6" s="883">
        <v>142925.71000000002</v>
      </c>
      <c r="S6" s="231">
        <v>1.616002511872203</v>
      </c>
    </row>
    <row r="7" spans="1:19" ht="14.45" customHeight="1" thickBot="1" x14ac:dyDescent="0.25">
      <c r="A7" s="889" t="s">
        <v>2382</v>
      </c>
      <c r="B7" s="887">
        <v>0</v>
      </c>
      <c r="C7" s="840"/>
      <c r="D7" s="887"/>
      <c r="E7" s="840"/>
      <c r="F7" s="887">
        <v>38</v>
      </c>
      <c r="G7" s="845"/>
      <c r="H7" s="887">
        <v>0</v>
      </c>
      <c r="I7" s="840"/>
      <c r="J7" s="887"/>
      <c r="K7" s="840"/>
      <c r="L7" s="887"/>
      <c r="M7" s="845"/>
      <c r="N7" s="887">
        <v>19771.900000000001</v>
      </c>
      <c r="O7" s="840"/>
      <c r="P7" s="887"/>
      <c r="Q7" s="840"/>
      <c r="R7" s="887"/>
      <c r="S7" s="84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D242E04A-4AAC-43E7-A72A-87A6B42DDA96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185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247" bestFit="1" customWidth="1"/>
    <col min="2" max="2" width="8.7109375" style="247" bestFit="1" customWidth="1"/>
    <col min="3" max="3" width="2.140625" style="247" bestFit="1" customWidth="1"/>
    <col min="4" max="4" width="8" style="247" bestFit="1" customWidth="1"/>
    <col min="5" max="5" width="52.85546875" style="247" bestFit="1" customWidth="1" collapsed="1"/>
    <col min="6" max="7" width="11.140625" style="329" hidden="1" customWidth="1" outlineLevel="1"/>
    <col min="8" max="9" width="9.28515625" style="329" hidden="1" customWidth="1"/>
    <col min="10" max="11" width="11.140625" style="329" customWidth="1"/>
    <col min="12" max="13" width="9.28515625" style="329" hidden="1" customWidth="1"/>
    <col min="14" max="15" width="11.140625" style="329" customWidth="1"/>
    <col min="16" max="16" width="11.140625" style="332" customWidth="1"/>
    <col min="17" max="17" width="11.140625" style="329" customWidth="1"/>
    <col min="18" max="16384" width="8.85546875" style="247"/>
  </cols>
  <sheetData>
    <row r="1" spans="1:17" ht="18.600000000000001" customHeight="1" thickBot="1" x14ac:dyDescent="0.35">
      <c r="A1" s="512" t="s">
        <v>2610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ht="14.45" customHeight="1" thickBot="1" x14ac:dyDescent="0.25">
      <c r="A2" s="371" t="s">
        <v>328</v>
      </c>
      <c r="B2" s="248"/>
      <c r="C2" s="248"/>
      <c r="D2" s="248"/>
      <c r="E2" s="248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1"/>
      <c r="Q2" s="350"/>
    </row>
    <row r="3" spans="1:17" ht="14.45" customHeight="1" thickBot="1" x14ac:dyDescent="0.25">
      <c r="E3" s="112" t="s">
        <v>158</v>
      </c>
      <c r="F3" s="207">
        <f t="shared" ref="F3:O3" si="0">SUBTOTAL(9,F6:F1048576)</f>
        <v>26247.8</v>
      </c>
      <c r="G3" s="208">
        <f t="shared" si="0"/>
        <v>56823219.93</v>
      </c>
      <c r="H3" s="208"/>
      <c r="I3" s="208"/>
      <c r="J3" s="208">
        <f t="shared" si="0"/>
        <v>25351.710000000003</v>
      </c>
      <c r="K3" s="208">
        <f t="shared" si="0"/>
        <v>48489886.539999999</v>
      </c>
      <c r="L3" s="208"/>
      <c r="M3" s="208"/>
      <c r="N3" s="208">
        <f t="shared" si="0"/>
        <v>26131.119999999995</v>
      </c>
      <c r="O3" s="208">
        <f t="shared" si="0"/>
        <v>45832500.850000001</v>
      </c>
      <c r="P3" s="79">
        <f>IF(K3=0,0,O3/K3)</f>
        <v>0.94519711470539569</v>
      </c>
      <c r="Q3" s="209">
        <f>IF(N3=0,0,O3/N3)</f>
        <v>1753.9432236352675</v>
      </c>
    </row>
    <row r="4" spans="1:17" ht="14.45" customHeight="1" x14ac:dyDescent="0.2">
      <c r="A4" s="632" t="s">
        <v>73</v>
      </c>
      <c r="B4" s="630" t="s">
        <v>118</v>
      </c>
      <c r="C4" s="632" t="s">
        <v>119</v>
      </c>
      <c r="D4" s="641" t="s">
        <v>120</v>
      </c>
      <c r="E4" s="633" t="s">
        <v>80</v>
      </c>
      <c r="F4" s="639">
        <v>2015</v>
      </c>
      <c r="G4" s="640"/>
      <c r="H4" s="210"/>
      <c r="I4" s="210"/>
      <c r="J4" s="639">
        <v>2018</v>
      </c>
      <c r="K4" s="640"/>
      <c r="L4" s="210"/>
      <c r="M4" s="210"/>
      <c r="N4" s="639">
        <v>2019</v>
      </c>
      <c r="O4" s="640"/>
      <c r="P4" s="642" t="s">
        <v>2</v>
      </c>
      <c r="Q4" s="631" t="s">
        <v>121</v>
      </c>
    </row>
    <row r="5" spans="1:17" ht="14.45" customHeight="1" thickBot="1" x14ac:dyDescent="0.25">
      <c r="A5" s="892"/>
      <c r="B5" s="890"/>
      <c r="C5" s="892"/>
      <c r="D5" s="902"/>
      <c r="E5" s="894"/>
      <c r="F5" s="903" t="s">
        <v>90</v>
      </c>
      <c r="G5" s="904" t="s">
        <v>14</v>
      </c>
      <c r="H5" s="905"/>
      <c r="I5" s="905"/>
      <c r="J5" s="903" t="s">
        <v>90</v>
      </c>
      <c r="K5" s="904" t="s">
        <v>14</v>
      </c>
      <c r="L5" s="905"/>
      <c r="M5" s="905"/>
      <c r="N5" s="903" t="s">
        <v>90</v>
      </c>
      <c r="O5" s="904" t="s">
        <v>14</v>
      </c>
      <c r="P5" s="906"/>
      <c r="Q5" s="899"/>
    </row>
    <row r="6" spans="1:17" ht="14.45" customHeight="1" x14ac:dyDescent="0.2">
      <c r="A6" s="824" t="s">
        <v>570</v>
      </c>
      <c r="B6" s="825" t="s">
        <v>2340</v>
      </c>
      <c r="C6" s="825" t="s">
        <v>2342</v>
      </c>
      <c r="D6" s="825" t="s">
        <v>2345</v>
      </c>
      <c r="E6" s="825" t="s">
        <v>2344</v>
      </c>
      <c r="F6" s="225">
        <v>0</v>
      </c>
      <c r="G6" s="225">
        <v>0</v>
      </c>
      <c r="H6" s="225"/>
      <c r="I6" s="225"/>
      <c r="J6" s="225">
        <v>0</v>
      </c>
      <c r="K6" s="225">
        <v>0</v>
      </c>
      <c r="L6" s="225"/>
      <c r="M6" s="225"/>
      <c r="N6" s="225">
        <v>0</v>
      </c>
      <c r="O6" s="225">
        <v>2.9103830456733704E-11</v>
      </c>
      <c r="P6" s="830"/>
      <c r="Q6" s="848"/>
    </row>
    <row r="7" spans="1:17" ht="14.45" customHeight="1" x14ac:dyDescent="0.2">
      <c r="A7" s="831" t="s">
        <v>570</v>
      </c>
      <c r="B7" s="832" t="s">
        <v>2340</v>
      </c>
      <c r="C7" s="832" t="s">
        <v>2342</v>
      </c>
      <c r="D7" s="832" t="s">
        <v>2345</v>
      </c>
      <c r="E7" s="832" t="s">
        <v>2346</v>
      </c>
      <c r="F7" s="849">
        <v>13</v>
      </c>
      <c r="G7" s="849">
        <v>128162.75</v>
      </c>
      <c r="H7" s="849">
        <v>1.44908376476457</v>
      </c>
      <c r="I7" s="849">
        <v>9858.6730769230762</v>
      </c>
      <c r="J7" s="849">
        <v>9</v>
      </c>
      <c r="K7" s="849">
        <v>88443.99</v>
      </c>
      <c r="L7" s="849">
        <v>1</v>
      </c>
      <c r="M7" s="849">
        <v>9827.11</v>
      </c>
      <c r="N7" s="849">
        <v>14</v>
      </c>
      <c r="O7" s="849">
        <v>142925.71</v>
      </c>
      <c r="P7" s="837">
        <v>1.6160025118722028</v>
      </c>
      <c r="Q7" s="850">
        <v>10208.979285714286</v>
      </c>
    </row>
    <row r="8" spans="1:17" ht="14.45" customHeight="1" x14ac:dyDescent="0.2">
      <c r="A8" s="831" t="s">
        <v>570</v>
      </c>
      <c r="B8" s="832" t="s">
        <v>2340</v>
      </c>
      <c r="C8" s="832" t="s">
        <v>847</v>
      </c>
      <c r="D8" s="832" t="s">
        <v>2358</v>
      </c>
      <c r="E8" s="832" t="s">
        <v>2359</v>
      </c>
      <c r="F8" s="849">
        <v>1</v>
      </c>
      <c r="G8" s="849">
        <v>37</v>
      </c>
      <c r="H8" s="849">
        <v>1</v>
      </c>
      <c r="I8" s="849">
        <v>37</v>
      </c>
      <c r="J8" s="849">
        <v>1</v>
      </c>
      <c r="K8" s="849">
        <v>37</v>
      </c>
      <c r="L8" s="849">
        <v>1</v>
      </c>
      <c r="M8" s="849">
        <v>37</v>
      </c>
      <c r="N8" s="849">
        <v>6</v>
      </c>
      <c r="O8" s="849">
        <v>228</v>
      </c>
      <c r="P8" s="837">
        <v>6.1621621621621623</v>
      </c>
      <c r="Q8" s="850">
        <v>38</v>
      </c>
    </row>
    <row r="9" spans="1:17" ht="14.45" customHeight="1" x14ac:dyDescent="0.2">
      <c r="A9" s="831" t="s">
        <v>570</v>
      </c>
      <c r="B9" s="832" t="s">
        <v>2340</v>
      </c>
      <c r="C9" s="832" t="s">
        <v>847</v>
      </c>
      <c r="D9" s="832" t="s">
        <v>2360</v>
      </c>
      <c r="E9" s="832" t="s">
        <v>2361</v>
      </c>
      <c r="F9" s="849">
        <v>2</v>
      </c>
      <c r="G9" s="849">
        <v>354</v>
      </c>
      <c r="H9" s="849">
        <v>0.6629213483146067</v>
      </c>
      <c r="I9" s="849">
        <v>177</v>
      </c>
      <c r="J9" s="849">
        <v>3</v>
      </c>
      <c r="K9" s="849">
        <v>534</v>
      </c>
      <c r="L9" s="849">
        <v>1</v>
      </c>
      <c r="M9" s="849">
        <v>178</v>
      </c>
      <c r="N9" s="849">
        <v>4</v>
      </c>
      <c r="O9" s="849">
        <v>716</v>
      </c>
      <c r="P9" s="837">
        <v>1.3408239700374531</v>
      </c>
      <c r="Q9" s="850">
        <v>179</v>
      </c>
    </row>
    <row r="10" spans="1:17" ht="14.45" customHeight="1" x14ac:dyDescent="0.2">
      <c r="A10" s="831" t="s">
        <v>570</v>
      </c>
      <c r="B10" s="832" t="s">
        <v>2340</v>
      </c>
      <c r="C10" s="832" t="s">
        <v>847</v>
      </c>
      <c r="D10" s="832" t="s">
        <v>2364</v>
      </c>
      <c r="E10" s="832" t="s">
        <v>2365</v>
      </c>
      <c r="F10" s="849">
        <v>13</v>
      </c>
      <c r="G10" s="849">
        <v>0</v>
      </c>
      <c r="H10" s="849"/>
      <c r="I10" s="849">
        <v>0</v>
      </c>
      <c r="J10" s="849">
        <v>9</v>
      </c>
      <c r="K10" s="849">
        <v>0</v>
      </c>
      <c r="L10" s="849"/>
      <c r="M10" s="849">
        <v>0</v>
      </c>
      <c r="N10" s="849">
        <v>14</v>
      </c>
      <c r="O10" s="849">
        <v>0</v>
      </c>
      <c r="P10" s="837"/>
      <c r="Q10" s="850">
        <v>0</v>
      </c>
    </row>
    <row r="11" spans="1:17" ht="14.45" customHeight="1" x14ac:dyDescent="0.2">
      <c r="A11" s="831" t="s">
        <v>570</v>
      </c>
      <c r="B11" s="832" t="s">
        <v>2340</v>
      </c>
      <c r="C11" s="832" t="s">
        <v>847</v>
      </c>
      <c r="D11" s="832" t="s">
        <v>2383</v>
      </c>
      <c r="E11" s="832" t="s">
        <v>2384</v>
      </c>
      <c r="F11" s="849"/>
      <c r="G11" s="849"/>
      <c r="H11" s="849"/>
      <c r="I11" s="849"/>
      <c r="J11" s="849"/>
      <c r="K11" s="849"/>
      <c r="L11" s="849"/>
      <c r="M11" s="849"/>
      <c r="N11" s="849">
        <v>1</v>
      </c>
      <c r="O11" s="849">
        <v>0</v>
      </c>
      <c r="P11" s="837"/>
      <c r="Q11" s="850">
        <v>0</v>
      </c>
    </row>
    <row r="12" spans="1:17" ht="14.45" customHeight="1" x14ac:dyDescent="0.2">
      <c r="A12" s="831" t="s">
        <v>570</v>
      </c>
      <c r="B12" s="832" t="s">
        <v>2340</v>
      </c>
      <c r="C12" s="832" t="s">
        <v>847</v>
      </c>
      <c r="D12" s="832" t="s">
        <v>2370</v>
      </c>
      <c r="E12" s="832" t="s">
        <v>2371</v>
      </c>
      <c r="F12" s="849">
        <v>5</v>
      </c>
      <c r="G12" s="849">
        <v>1775</v>
      </c>
      <c r="H12" s="849">
        <v>5</v>
      </c>
      <c r="I12" s="849">
        <v>355</v>
      </c>
      <c r="J12" s="849">
        <v>1</v>
      </c>
      <c r="K12" s="849">
        <v>355</v>
      </c>
      <c r="L12" s="849">
        <v>1</v>
      </c>
      <c r="M12" s="849">
        <v>355</v>
      </c>
      <c r="N12" s="849">
        <v>6</v>
      </c>
      <c r="O12" s="849">
        <v>2148</v>
      </c>
      <c r="P12" s="837">
        <v>6.0507042253521126</v>
      </c>
      <c r="Q12" s="850">
        <v>358</v>
      </c>
    </row>
    <row r="13" spans="1:17" ht="14.45" customHeight="1" x14ac:dyDescent="0.2">
      <c r="A13" s="831" t="s">
        <v>570</v>
      </c>
      <c r="B13" s="832" t="s">
        <v>2340</v>
      </c>
      <c r="C13" s="832" t="s">
        <v>847</v>
      </c>
      <c r="D13" s="832" t="s">
        <v>2374</v>
      </c>
      <c r="E13" s="832" t="s">
        <v>2375</v>
      </c>
      <c r="F13" s="849"/>
      <c r="G13" s="849"/>
      <c r="H13" s="849"/>
      <c r="I13" s="849"/>
      <c r="J13" s="849">
        <v>2</v>
      </c>
      <c r="K13" s="849">
        <v>1404</v>
      </c>
      <c r="L13" s="849">
        <v>1</v>
      </c>
      <c r="M13" s="849">
        <v>702</v>
      </c>
      <c r="N13" s="849">
        <v>2</v>
      </c>
      <c r="O13" s="849">
        <v>1414</v>
      </c>
      <c r="P13" s="837">
        <v>1.0071225071225072</v>
      </c>
      <c r="Q13" s="850">
        <v>707</v>
      </c>
    </row>
    <row r="14" spans="1:17" ht="14.45" customHeight="1" x14ac:dyDescent="0.2">
      <c r="A14" s="831" t="s">
        <v>570</v>
      </c>
      <c r="B14" s="832" t="s">
        <v>2385</v>
      </c>
      <c r="C14" s="832" t="s">
        <v>2342</v>
      </c>
      <c r="D14" s="832" t="s">
        <v>2386</v>
      </c>
      <c r="E14" s="832" t="s">
        <v>2387</v>
      </c>
      <c r="F14" s="849">
        <v>1</v>
      </c>
      <c r="G14" s="849">
        <v>434.87</v>
      </c>
      <c r="H14" s="849"/>
      <c r="I14" s="849">
        <v>434.87</v>
      </c>
      <c r="J14" s="849"/>
      <c r="K14" s="849"/>
      <c r="L14" s="849"/>
      <c r="M14" s="849"/>
      <c r="N14" s="849">
        <v>2</v>
      </c>
      <c r="O14" s="849">
        <v>147.86000000000001</v>
      </c>
      <c r="P14" s="837"/>
      <c r="Q14" s="850">
        <v>73.930000000000007</v>
      </c>
    </row>
    <row r="15" spans="1:17" ht="14.45" customHeight="1" x14ac:dyDescent="0.2">
      <c r="A15" s="831" t="s">
        <v>570</v>
      </c>
      <c r="B15" s="832" t="s">
        <v>2385</v>
      </c>
      <c r="C15" s="832" t="s">
        <v>2342</v>
      </c>
      <c r="D15" s="832" t="s">
        <v>2388</v>
      </c>
      <c r="E15" s="832" t="s">
        <v>2389</v>
      </c>
      <c r="F15" s="849"/>
      <c r="G15" s="849"/>
      <c r="H15" s="849"/>
      <c r="I15" s="849"/>
      <c r="J15" s="849">
        <v>6</v>
      </c>
      <c r="K15" s="849">
        <v>150.9</v>
      </c>
      <c r="L15" s="849">
        <v>1</v>
      </c>
      <c r="M15" s="849">
        <v>25.150000000000002</v>
      </c>
      <c r="N15" s="849"/>
      <c r="O15" s="849"/>
      <c r="P15" s="837"/>
      <c r="Q15" s="850"/>
    </row>
    <row r="16" spans="1:17" ht="14.45" customHeight="1" x14ac:dyDescent="0.2">
      <c r="A16" s="831" t="s">
        <v>570</v>
      </c>
      <c r="B16" s="832" t="s">
        <v>2385</v>
      </c>
      <c r="C16" s="832" t="s">
        <v>2342</v>
      </c>
      <c r="D16" s="832" t="s">
        <v>2390</v>
      </c>
      <c r="E16" s="832" t="s">
        <v>2391</v>
      </c>
      <c r="F16" s="849">
        <v>2</v>
      </c>
      <c r="G16" s="849">
        <v>2475.48</v>
      </c>
      <c r="H16" s="849">
        <v>0.33333333333333337</v>
      </c>
      <c r="I16" s="849">
        <v>1237.74</v>
      </c>
      <c r="J16" s="849">
        <v>6</v>
      </c>
      <c r="K16" s="849">
        <v>7426.44</v>
      </c>
      <c r="L16" s="849">
        <v>1</v>
      </c>
      <c r="M16" s="849">
        <v>1237.74</v>
      </c>
      <c r="N16" s="849"/>
      <c r="O16" s="849"/>
      <c r="P16" s="837"/>
      <c r="Q16" s="850"/>
    </row>
    <row r="17" spans="1:17" ht="14.45" customHeight="1" x14ac:dyDescent="0.2">
      <c r="A17" s="831" t="s">
        <v>570</v>
      </c>
      <c r="B17" s="832" t="s">
        <v>2385</v>
      </c>
      <c r="C17" s="832" t="s">
        <v>2342</v>
      </c>
      <c r="D17" s="832" t="s">
        <v>2392</v>
      </c>
      <c r="E17" s="832" t="s">
        <v>947</v>
      </c>
      <c r="F17" s="849"/>
      <c r="G17" s="849"/>
      <c r="H17" s="849"/>
      <c r="I17" s="849"/>
      <c r="J17" s="849"/>
      <c r="K17" s="849"/>
      <c r="L17" s="849"/>
      <c r="M17" s="849"/>
      <c r="N17" s="849">
        <v>0.7</v>
      </c>
      <c r="O17" s="849">
        <v>173.01</v>
      </c>
      <c r="P17" s="837"/>
      <c r="Q17" s="850">
        <v>247.15714285714287</v>
      </c>
    </row>
    <row r="18" spans="1:17" ht="14.45" customHeight="1" x14ac:dyDescent="0.2">
      <c r="A18" s="831" t="s">
        <v>570</v>
      </c>
      <c r="B18" s="832" t="s">
        <v>2385</v>
      </c>
      <c r="C18" s="832" t="s">
        <v>2342</v>
      </c>
      <c r="D18" s="832" t="s">
        <v>2393</v>
      </c>
      <c r="E18" s="832" t="s">
        <v>2394</v>
      </c>
      <c r="F18" s="849">
        <v>0.2</v>
      </c>
      <c r="G18" s="849">
        <v>8.56</v>
      </c>
      <c r="H18" s="849"/>
      <c r="I18" s="849">
        <v>42.8</v>
      </c>
      <c r="J18" s="849"/>
      <c r="K18" s="849"/>
      <c r="L18" s="849"/>
      <c r="M18" s="849"/>
      <c r="N18" s="849"/>
      <c r="O18" s="849"/>
      <c r="P18" s="837"/>
      <c r="Q18" s="850"/>
    </row>
    <row r="19" spans="1:17" ht="14.45" customHeight="1" x14ac:dyDescent="0.2">
      <c r="A19" s="831" t="s">
        <v>570</v>
      </c>
      <c r="B19" s="832" t="s">
        <v>2385</v>
      </c>
      <c r="C19" s="832" t="s">
        <v>2342</v>
      </c>
      <c r="D19" s="832" t="s">
        <v>2395</v>
      </c>
      <c r="E19" s="832" t="s">
        <v>657</v>
      </c>
      <c r="F19" s="849">
        <v>3.4</v>
      </c>
      <c r="G19" s="849">
        <v>459.34000000000003</v>
      </c>
      <c r="H19" s="849"/>
      <c r="I19" s="849">
        <v>135.10000000000002</v>
      </c>
      <c r="J19" s="849"/>
      <c r="K19" s="849"/>
      <c r="L19" s="849"/>
      <c r="M19" s="849"/>
      <c r="N19" s="849"/>
      <c r="O19" s="849"/>
      <c r="P19" s="837"/>
      <c r="Q19" s="850"/>
    </row>
    <row r="20" spans="1:17" ht="14.45" customHeight="1" x14ac:dyDescent="0.2">
      <c r="A20" s="831" t="s">
        <v>570</v>
      </c>
      <c r="B20" s="832" t="s">
        <v>2385</v>
      </c>
      <c r="C20" s="832" t="s">
        <v>2342</v>
      </c>
      <c r="D20" s="832" t="s">
        <v>2396</v>
      </c>
      <c r="E20" s="832" t="s">
        <v>2397</v>
      </c>
      <c r="F20" s="849"/>
      <c r="G20" s="849"/>
      <c r="H20" s="849"/>
      <c r="I20" s="849"/>
      <c r="J20" s="849">
        <v>0.3</v>
      </c>
      <c r="K20" s="849">
        <v>54.51</v>
      </c>
      <c r="L20" s="849">
        <v>1</v>
      </c>
      <c r="M20" s="849">
        <v>181.7</v>
      </c>
      <c r="N20" s="849"/>
      <c r="O20" s="849"/>
      <c r="P20" s="837"/>
      <c r="Q20" s="850"/>
    </row>
    <row r="21" spans="1:17" ht="14.45" customHeight="1" x14ac:dyDescent="0.2">
      <c r="A21" s="831" t="s">
        <v>570</v>
      </c>
      <c r="B21" s="832" t="s">
        <v>2385</v>
      </c>
      <c r="C21" s="832" t="s">
        <v>2342</v>
      </c>
      <c r="D21" s="832" t="s">
        <v>2398</v>
      </c>
      <c r="E21" s="832" t="s">
        <v>897</v>
      </c>
      <c r="F21" s="849">
        <v>0.2</v>
      </c>
      <c r="G21" s="849">
        <v>27.17</v>
      </c>
      <c r="H21" s="849"/>
      <c r="I21" s="849">
        <v>135.85</v>
      </c>
      <c r="J21" s="849"/>
      <c r="K21" s="849"/>
      <c r="L21" s="849"/>
      <c r="M21" s="849"/>
      <c r="N21" s="849"/>
      <c r="O21" s="849"/>
      <c r="P21" s="837"/>
      <c r="Q21" s="850"/>
    </row>
    <row r="22" spans="1:17" ht="14.45" customHeight="1" x14ac:dyDescent="0.2">
      <c r="A22" s="831" t="s">
        <v>570</v>
      </c>
      <c r="B22" s="832" t="s">
        <v>2385</v>
      </c>
      <c r="C22" s="832" t="s">
        <v>2342</v>
      </c>
      <c r="D22" s="832" t="s">
        <v>2399</v>
      </c>
      <c r="E22" s="832" t="s">
        <v>2400</v>
      </c>
      <c r="F22" s="849">
        <v>0.1</v>
      </c>
      <c r="G22" s="849">
        <v>163.18</v>
      </c>
      <c r="H22" s="849">
        <v>1</v>
      </c>
      <c r="I22" s="849">
        <v>1631.8</v>
      </c>
      <c r="J22" s="849">
        <v>0.1</v>
      </c>
      <c r="K22" s="849">
        <v>163.18</v>
      </c>
      <c r="L22" s="849">
        <v>1</v>
      </c>
      <c r="M22" s="849">
        <v>1631.8</v>
      </c>
      <c r="N22" s="849"/>
      <c r="O22" s="849"/>
      <c r="P22" s="837"/>
      <c r="Q22" s="850"/>
    </row>
    <row r="23" spans="1:17" ht="14.45" customHeight="1" x14ac:dyDescent="0.2">
      <c r="A23" s="831" t="s">
        <v>570</v>
      </c>
      <c r="B23" s="832" t="s">
        <v>2385</v>
      </c>
      <c r="C23" s="832" t="s">
        <v>2342</v>
      </c>
      <c r="D23" s="832" t="s">
        <v>2401</v>
      </c>
      <c r="E23" s="832" t="s">
        <v>2402</v>
      </c>
      <c r="F23" s="849">
        <v>0.4</v>
      </c>
      <c r="G23" s="849">
        <v>108.68</v>
      </c>
      <c r="H23" s="849">
        <v>0.57142857142857151</v>
      </c>
      <c r="I23" s="849">
        <v>271.7</v>
      </c>
      <c r="J23" s="849">
        <v>0.7</v>
      </c>
      <c r="K23" s="849">
        <v>190.19</v>
      </c>
      <c r="L23" s="849">
        <v>1</v>
      </c>
      <c r="M23" s="849">
        <v>271.7</v>
      </c>
      <c r="N23" s="849"/>
      <c r="O23" s="849"/>
      <c r="P23" s="837"/>
      <c r="Q23" s="850"/>
    </row>
    <row r="24" spans="1:17" ht="14.45" customHeight="1" x14ac:dyDescent="0.2">
      <c r="A24" s="831" t="s">
        <v>570</v>
      </c>
      <c r="B24" s="832" t="s">
        <v>2385</v>
      </c>
      <c r="C24" s="832" t="s">
        <v>2342</v>
      </c>
      <c r="D24" s="832" t="s">
        <v>2403</v>
      </c>
      <c r="E24" s="832" t="s">
        <v>2404</v>
      </c>
      <c r="F24" s="849">
        <v>5.3000000000000007</v>
      </c>
      <c r="G24" s="849">
        <v>245.39</v>
      </c>
      <c r="H24" s="849"/>
      <c r="I24" s="849">
        <v>46.29999999999999</v>
      </c>
      <c r="J24" s="849">
        <v>0</v>
      </c>
      <c r="K24" s="849">
        <v>0</v>
      </c>
      <c r="L24" s="849"/>
      <c r="M24" s="849"/>
      <c r="N24" s="849"/>
      <c r="O24" s="849"/>
      <c r="P24" s="837"/>
      <c r="Q24" s="850"/>
    </row>
    <row r="25" spans="1:17" ht="14.45" customHeight="1" x14ac:dyDescent="0.2">
      <c r="A25" s="831" t="s">
        <v>570</v>
      </c>
      <c r="B25" s="832" t="s">
        <v>2385</v>
      </c>
      <c r="C25" s="832" t="s">
        <v>2342</v>
      </c>
      <c r="D25" s="832" t="s">
        <v>2405</v>
      </c>
      <c r="E25" s="832" t="s">
        <v>2404</v>
      </c>
      <c r="F25" s="849">
        <v>0.1</v>
      </c>
      <c r="G25" s="849">
        <v>7.88</v>
      </c>
      <c r="H25" s="849">
        <v>2.3432156769454936E-2</v>
      </c>
      <c r="I25" s="849">
        <v>78.8</v>
      </c>
      <c r="J25" s="849">
        <v>4.7</v>
      </c>
      <c r="K25" s="849">
        <v>336.28999999999996</v>
      </c>
      <c r="L25" s="849">
        <v>1</v>
      </c>
      <c r="M25" s="849">
        <v>71.551063829787225</v>
      </c>
      <c r="N25" s="849">
        <v>2.6</v>
      </c>
      <c r="O25" s="849">
        <v>153.38000000000002</v>
      </c>
      <c r="P25" s="837">
        <v>0.45609444229682727</v>
      </c>
      <c r="Q25" s="850">
        <v>58.992307692307698</v>
      </c>
    </row>
    <row r="26" spans="1:17" ht="14.45" customHeight="1" x14ac:dyDescent="0.2">
      <c r="A26" s="831" t="s">
        <v>570</v>
      </c>
      <c r="B26" s="832" t="s">
        <v>2385</v>
      </c>
      <c r="C26" s="832" t="s">
        <v>2342</v>
      </c>
      <c r="D26" s="832" t="s">
        <v>2406</v>
      </c>
      <c r="E26" s="832" t="s">
        <v>914</v>
      </c>
      <c r="F26" s="849">
        <v>0.2</v>
      </c>
      <c r="G26" s="849">
        <v>326.36</v>
      </c>
      <c r="H26" s="849"/>
      <c r="I26" s="849">
        <v>1631.8</v>
      </c>
      <c r="J26" s="849"/>
      <c r="K26" s="849"/>
      <c r="L26" s="849"/>
      <c r="M26" s="849"/>
      <c r="N26" s="849">
        <v>0.30000000000000004</v>
      </c>
      <c r="O26" s="849">
        <v>489.54</v>
      </c>
      <c r="P26" s="837"/>
      <c r="Q26" s="850">
        <v>1631.7999999999997</v>
      </c>
    </row>
    <row r="27" spans="1:17" ht="14.45" customHeight="1" x14ac:dyDescent="0.2">
      <c r="A27" s="831" t="s">
        <v>570</v>
      </c>
      <c r="B27" s="832" t="s">
        <v>2385</v>
      </c>
      <c r="C27" s="832" t="s">
        <v>2342</v>
      </c>
      <c r="D27" s="832" t="s">
        <v>2407</v>
      </c>
      <c r="E27" s="832" t="s">
        <v>2408</v>
      </c>
      <c r="F27" s="849"/>
      <c r="G27" s="849"/>
      <c r="H27" s="849"/>
      <c r="I27" s="849"/>
      <c r="J27" s="849">
        <v>4</v>
      </c>
      <c r="K27" s="849">
        <v>438.4</v>
      </c>
      <c r="L27" s="849">
        <v>1</v>
      </c>
      <c r="M27" s="849">
        <v>109.6</v>
      </c>
      <c r="N27" s="849"/>
      <c r="O27" s="849"/>
      <c r="P27" s="837"/>
      <c r="Q27" s="850"/>
    </row>
    <row r="28" spans="1:17" ht="14.45" customHeight="1" x14ac:dyDescent="0.2">
      <c r="A28" s="831" t="s">
        <v>570</v>
      </c>
      <c r="B28" s="832" t="s">
        <v>2385</v>
      </c>
      <c r="C28" s="832" t="s">
        <v>2342</v>
      </c>
      <c r="D28" s="832" t="s">
        <v>2409</v>
      </c>
      <c r="E28" s="832" t="s">
        <v>2410</v>
      </c>
      <c r="F28" s="849"/>
      <c r="G28" s="849"/>
      <c r="H28" s="849"/>
      <c r="I28" s="849"/>
      <c r="J28" s="849">
        <v>0.1</v>
      </c>
      <c r="K28" s="849">
        <v>96.39</v>
      </c>
      <c r="L28" s="849">
        <v>1</v>
      </c>
      <c r="M28" s="849">
        <v>963.9</v>
      </c>
      <c r="N28" s="849"/>
      <c r="O28" s="849"/>
      <c r="P28" s="837"/>
      <c r="Q28" s="850"/>
    </row>
    <row r="29" spans="1:17" ht="14.45" customHeight="1" x14ac:dyDescent="0.2">
      <c r="A29" s="831" t="s">
        <v>570</v>
      </c>
      <c r="B29" s="832" t="s">
        <v>2385</v>
      </c>
      <c r="C29" s="832" t="s">
        <v>2342</v>
      </c>
      <c r="D29" s="832" t="s">
        <v>2411</v>
      </c>
      <c r="E29" s="832" t="s">
        <v>969</v>
      </c>
      <c r="F29" s="849"/>
      <c r="G29" s="849"/>
      <c r="H29" s="849"/>
      <c r="I29" s="849"/>
      <c r="J29" s="849">
        <v>3</v>
      </c>
      <c r="K29" s="849">
        <v>197.25</v>
      </c>
      <c r="L29" s="849">
        <v>1</v>
      </c>
      <c r="M29" s="849">
        <v>65.75</v>
      </c>
      <c r="N29" s="849"/>
      <c r="O29" s="849"/>
      <c r="P29" s="837"/>
      <c r="Q29" s="850"/>
    </row>
    <row r="30" spans="1:17" ht="14.45" customHeight="1" x14ac:dyDescent="0.2">
      <c r="A30" s="831" t="s">
        <v>570</v>
      </c>
      <c r="B30" s="832" t="s">
        <v>2385</v>
      </c>
      <c r="C30" s="832" t="s">
        <v>2342</v>
      </c>
      <c r="D30" s="832" t="s">
        <v>2412</v>
      </c>
      <c r="E30" s="832" t="s">
        <v>947</v>
      </c>
      <c r="F30" s="849">
        <v>0.2</v>
      </c>
      <c r="G30" s="849">
        <v>39.18</v>
      </c>
      <c r="H30" s="849"/>
      <c r="I30" s="849">
        <v>195.89999999999998</v>
      </c>
      <c r="J30" s="849"/>
      <c r="K30" s="849"/>
      <c r="L30" s="849"/>
      <c r="M30" s="849"/>
      <c r="N30" s="849">
        <v>0.5</v>
      </c>
      <c r="O30" s="849">
        <v>71.849999999999994</v>
      </c>
      <c r="P30" s="837"/>
      <c r="Q30" s="850">
        <v>143.69999999999999</v>
      </c>
    </row>
    <row r="31" spans="1:17" ht="14.45" customHeight="1" x14ac:dyDescent="0.2">
      <c r="A31" s="831" t="s">
        <v>570</v>
      </c>
      <c r="B31" s="832" t="s">
        <v>2385</v>
      </c>
      <c r="C31" s="832" t="s">
        <v>2342</v>
      </c>
      <c r="D31" s="832" t="s">
        <v>2413</v>
      </c>
      <c r="E31" s="832" t="s">
        <v>965</v>
      </c>
      <c r="F31" s="849">
        <v>0.2</v>
      </c>
      <c r="G31" s="849">
        <v>425.12</v>
      </c>
      <c r="H31" s="849"/>
      <c r="I31" s="849">
        <v>2125.6</v>
      </c>
      <c r="J31" s="849"/>
      <c r="K31" s="849"/>
      <c r="L31" s="849"/>
      <c r="M31" s="849"/>
      <c r="N31" s="849"/>
      <c r="O31" s="849"/>
      <c r="P31" s="837"/>
      <c r="Q31" s="850"/>
    </row>
    <row r="32" spans="1:17" ht="14.45" customHeight="1" x14ac:dyDescent="0.2">
      <c r="A32" s="831" t="s">
        <v>570</v>
      </c>
      <c r="B32" s="832" t="s">
        <v>2385</v>
      </c>
      <c r="C32" s="832" t="s">
        <v>2342</v>
      </c>
      <c r="D32" s="832" t="s">
        <v>2414</v>
      </c>
      <c r="E32" s="832" t="s">
        <v>982</v>
      </c>
      <c r="F32" s="849">
        <v>1</v>
      </c>
      <c r="G32" s="849">
        <v>109.6</v>
      </c>
      <c r="H32" s="849">
        <v>1</v>
      </c>
      <c r="I32" s="849">
        <v>109.6</v>
      </c>
      <c r="J32" s="849">
        <v>1</v>
      </c>
      <c r="K32" s="849">
        <v>109.6</v>
      </c>
      <c r="L32" s="849">
        <v>1</v>
      </c>
      <c r="M32" s="849">
        <v>109.6</v>
      </c>
      <c r="N32" s="849">
        <v>1</v>
      </c>
      <c r="O32" s="849">
        <v>33.39</v>
      </c>
      <c r="P32" s="837">
        <v>0.30465328467153285</v>
      </c>
      <c r="Q32" s="850">
        <v>33.39</v>
      </c>
    </row>
    <row r="33" spans="1:17" ht="14.45" customHeight="1" x14ac:dyDescent="0.2">
      <c r="A33" s="831" t="s">
        <v>570</v>
      </c>
      <c r="B33" s="832" t="s">
        <v>2385</v>
      </c>
      <c r="C33" s="832" t="s">
        <v>2342</v>
      </c>
      <c r="D33" s="832" t="s">
        <v>2415</v>
      </c>
      <c r="E33" s="832" t="s">
        <v>657</v>
      </c>
      <c r="F33" s="849">
        <v>1.8</v>
      </c>
      <c r="G33" s="849">
        <v>243.18</v>
      </c>
      <c r="H33" s="849">
        <v>0.36734693877551022</v>
      </c>
      <c r="I33" s="849">
        <v>135.1</v>
      </c>
      <c r="J33" s="849">
        <v>4.9000000000000004</v>
      </c>
      <c r="K33" s="849">
        <v>661.99</v>
      </c>
      <c r="L33" s="849">
        <v>1</v>
      </c>
      <c r="M33" s="849">
        <v>135.1</v>
      </c>
      <c r="N33" s="849">
        <v>2.1</v>
      </c>
      <c r="O33" s="849">
        <v>283.71000000000004</v>
      </c>
      <c r="P33" s="837">
        <v>0.4285714285714286</v>
      </c>
      <c r="Q33" s="850">
        <v>135.10000000000002</v>
      </c>
    </row>
    <row r="34" spans="1:17" ht="14.45" customHeight="1" x14ac:dyDescent="0.2">
      <c r="A34" s="831" t="s">
        <v>570</v>
      </c>
      <c r="B34" s="832" t="s">
        <v>2385</v>
      </c>
      <c r="C34" s="832" t="s">
        <v>2347</v>
      </c>
      <c r="D34" s="832" t="s">
        <v>2348</v>
      </c>
      <c r="E34" s="832" t="s">
        <v>2349</v>
      </c>
      <c r="F34" s="849">
        <v>4</v>
      </c>
      <c r="G34" s="849">
        <v>6452.4100000000008</v>
      </c>
      <c r="H34" s="849">
        <v>0.77197266442858281</v>
      </c>
      <c r="I34" s="849">
        <v>1613.1025000000002</v>
      </c>
      <c r="J34" s="849">
        <v>5</v>
      </c>
      <c r="K34" s="849">
        <v>8358.34</v>
      </c>
      <c r="L34" s="849">
        <v>1</v>
      </c>
      <c r="M34" s="849">
        <v>1671.6680000000001</v>
      </c>
      <c r="N34" s="849">
        <v>3</v>
      </c>
      <c r="O34" s="849">
        <v>5027.92</v>
      </c>
      <c r="P34" s="837">
        <v>0.60154528291502862</v>
      </c>
      <c r="Q34" s="850">
        <v>1675.9733333333334</v>
      </c>
    </row>
    <row r="35" spans="1:17" ht="14.45" customHeight="1" x14ac:dyDescent="0.2">
      <c r="A35" s="831" t="s">
        <v>570</v>
      </c>
      <c r="B35" s="832" t="s">
        <v>2385</v>
      </c>
      <c r="C35" s="832" t="s">
        <v>2347</v>
      </c>
      <c r="D35" s="832" t="s">
        <v>2416</v>
      </c>
      <c r="E35" s="832" t="s">
        <v>2417</v>
      </c>
      <c r="F35" s="849">
        <v>1</v>
      </c>
      <c r="G35" s="849">
        <v>10309.15</v>
      </c>
      <c r="H35" s="849">
        <v>1</v>
      </c>
      <c r="I35" s="849">
        <v>10309.15</v>
      </c>
      <c r="J35" s="849">
        <v>1</v>
      </c>
      <c r="K35" s="849">
        <v>10309.15</v>
      </c>
      <c r="L35" s="849">
        <v>1</v>
      </c>
      <c r="M35" s="849">
        <v>10309.15</v>
      </c>
      <c r="N35" s="849"/>
      <c r="O35" s="849"/>
      <c r="P35" s="837"/>
      <c r="Q35" s="850"/>
    </row>
    <row r="36" spans="1:17" ht="14.45" customHeight="1" x14ac:dyDescent="0.2">
      <c r="A36" s="831" t="s">
        <v>570</v>
      </c>
      <c r="B36" s="832" t="s">
        <v>2385</v>
      </c>
      <c r="C36" s="832" t="s">
        <v>2347</v>
      </c>
      <c r="D36" s="832" t="s">
        <v>2350</v>
      </c>
      <c r="E36" s="832" t="s">
        <v>2351</v>
      </c>
      <c r="F36" s="849">
        <v>5</v>
      </c>
      <c r="G36" s="849">
        <v>1224.25</v>
      </c>
      <c r="H36" s="849">
        <v>0.82106018537148073</v>
      </c>
      <c r="I36" s="849">
        <v>244.85</v>
      </c>
      <c r="J36" s="849">
        <v>6</v>
      </c>
      <c r="K36" s="849">
        <v>1491.06</v>
      </c>
      <c r="L36" s="849">
        <v>1</v>
      </c>
      <c r="M36" s="849">
        <v>248.51</v>
      </c>
      <c r="N36" s="849">
        <v>2</v>
      </c>
      <c r="O36" s="849">
        <v>499.92</v>
      </c>
      <c r="P36" s="837">
        <v>0.33527825842018433</v>
      </c>
      <c r="Q36" s="850">
        <v>249.96</v>
      </c>
    </row>
    <row r="37" spans="1:17" ht="14.45" customHeight="1" x14ac:dyDescent="0.2">
      <c r="A37" s="831" t="s">
        <v>570</v>
      </c>
      <c r="B37" s="832" t="s">
        <v>2385</v>
      </c>
      <c r="C37" s="832" t="s">
        <v>2418</v>
      </c>
      <c r="D37" s="832" t="s">
        <v>2419</v>
      </c>
      <c r="E37" s="832" t="s">
        <v>2420</v>
      </c>
      <c r="F37" s="849"/>
      <c r="G37" s="849"/>
      <c r="H37" s="849"/>
      <c r="I37" s="849"/>
      <c r="J37" s="849">
        <v>1</v>
      </c>
      <c r="K37" s="849">
        <v>530.62</v>
      </c>
      <c r="L37" s="849">
        <v>1</v>
      </c>
      <c r="M37" s="849">
        <v>530.62</v>
      </c>
      <c r="N37" s="849"/>
      <c r="O37" s="849"/>
      <c r="P37" s="837"/>
      <c r="Q37" s="850"/>
    </row>
    <row r="38" spans="1:17" ht="14.45" customHeight="1" x14ac:dyDescent="0.2">
      <c r="A38" s="831" t="s">
        <v>570</v>
      </c>
      <c r="B38" s="832" t="s">
        <v>2385</v>
      </c>
      <c r="C38" s="832" t="s">
        <v>2418</v>
      </c>
      <c r="D38" s="832" t="s">
        <v>2421</v>
      </c>
      <c r="E38" s="832" t="s">
        <v>2422</v>
      </c>
      <c r="F38" s="849"/>
      <c r="G38" s="849"/>
      <c r="H38" s="849"/>
      <c r="I38" s="849"/>
      <c r="J38" s="849"/>
      <c r="K38" s="849"/>
      <c r="L38" s="849"/>
      <c r="M38" s="849"/>
      <c r="N38" s="849">
        <v>1</v>
      </c>
      <c r="O38" s="849">
        <v>4227.33</v>
      </c>
      <c r="P38" s="837"/>
      <c r="Q38" s="850">
        <v>4227.33</v>
      </c>
    </row>
    <row r="39" spans="1:17" ht="14.45" customHeight="1" x14ac:dyDescent="0.2">
      <c r="A39" s="831" t="s">
        <v>570</v>
      </c>
      <c r="B39" s="832" t="s">
        <v>2385</v>
      </c>
      <c r="C39" s="832" t="s">
        <v>847</v>
      </c>
      <c r="D39" s="832" t="s">
        <v>2423</v>
      </c>
      <c r="E39" s="832" t="s">
        <v>2424</v>
      </c>
      <c r="F39" s="849">
        <v>644</v>
      </c>
      <c r="G39" s="849">
        <v>114632</v>
      </c>
      <c r="H39" s="849">
        <v>1.3116089613034623</v>
      </c>
      <c r="I39" s="849">
        <v>178</v>
      </c>
      <c r="J39" s="849">
        <v>491</v>
      </c>
      <c r="K39" s="849">
        <v>87398</v>
      </c>
      <c r="L39" s="849">
        <v>1</v>
      </c>
      <c r="M39" s="849">
        <v>178</v>
      </c>
      <c r="N39" s="849">
        <v>414</v>
      </c>
      <c r="O39" s="849">
        <v>74934</v>
      </c>
      <c r="P39" s="837">
        <v>0.85738804091626808</v>
      </c>
      <c r="Q39" s="850">
        <v>181</v>
      </c>
    </row>
    <row r="40" spans="1:17" ht="14.45" customHeight="1" x14ac:dyDescent="0.2">
      <c r="A40" s="831" t="s">
        <v>570</v>
      </c>
      <c r="B40" s="832" t="s">
        <v>2385</v>
      </c>
      <c r="C40" s="832" t="s">
        <v>847</v>
      </c>
      <c r="D40" s="832" t="s">
        <v>2356</v>
      </c>
      <c r="E40" s="832" t="s">
        <v>2357</v>
      </c>
      <c r="F40" s="849">
        <v>5</v>
      </c>
      <c r="G40" s="849">
        <v>979</v>
      </c>
      <c r="H40" s="849">
        <v>1.2487244897959184</v>
      </c>
      <c r="I40" s="849">
        <v>195.8</v>
      </c>
      <c r="J40" s="849">
        <v>4</v>
      </c>
      <c r="K40" s="849">
        <v>784</v>
      </c>
      <c r="L40" s="849">
        <v>1</v>
      </c>
      <c r="M40" s="849">
        <v>196</v>
      </c>
      <c r="N40" s="849">
        <v>1</v>
      </c>
      <c r="O40" s="849">
        <v>199</v>
      </c>
      <c r="P40" s="837">
        <v>0.25382653061224492</v>
      </c>
      <c r="Q40" s="850">
        <v>199</v>
      </c>
    </row>
    <row r="41" spans="1:17" ht="14.45" customHeight="1" x14ac:dyDescent="0.2">
      <c r="A41" s="831" t="s">
        <v>570</v>
      </c>
      <c r="B41" s="832" t="s">
        <v>2385</v>
      </c>
      <c r="C41" s="832" t="s">
        <v>847</v>
      </c>
      <c r="D41" s="832" t="s">
        <v>2425</v>
      </c>
      <c r="E41" s="832" t="s">
        <v>2426</v>
      </c>
      <c r="F41" s="849">
        <v>8</v>
      </c>
      <c r="G41" s="849">
        <v>8072</v>
      </c>
      <c r="H41" s="849">
        <v>0.7266180574309119</v>
      </c>
      <c r="I41" s="849">
        <v>1009</v>
      </c>
      <c r="J41" s="849">
        <v>11</v>
      </c>
      <c r="K41" s="849">
        <v>11109</v>
      </c>
      <c r="L41" s="849">
        <v>1</v>
      </c>
      <c r="M41" s="849">
        <v>1009.9090909090909</v>
      </c>
      <c r="N41" s="849">
        <v>8</v>
      </c>
      <c r="O41" s="849">
        <v>8104</v>
      </c>
      <c r="P41" s="837">
        <v>0.72949860473489958</v>
      </c>
      <c r="Q41" s="850">
        <v>1013</v>
      </c>
    </row>
    <row r="42" spans="1:17" ht="14.45" customHeight="1" x14ac:dyDescent="0.2">
      <c r="A42" s="831" t="s">
        <v>570</v>
      </c>
      <c r="B42" s="832" t="s">
        <v>2385</v>
      </c>
      <c r="C42" s="832" t="s">
        <v>847</v>
      </c>
      <c r="D42" s="832" t="s">
        <v>2362</v>
      </c>
      <c r="E42" s="832" t="s">
        <v>2363</v>
      </c>
      <c r="F42" s="849"/>
      <c r="G42" s="849"/>
      <c r="H42" s="849"/>
      <c r="I42" s="849"/>
      <c r="J42" s="849">
        <v>1406</v>
      </c>
      <c r="K42" s="849">
        <v>316350</v>
      </c>
      <c r="L42" s="849">
        <v>1</v>
      </c>
      <c r="M42" s="849">
        <v>225</v>
      </c>
      <c r="N42" s="849">
        <v>1781</v>
      </c>
      <c r="O42" s="849">
        <v>404287</v>
      </c>
      <c r="P42" s="837">
        <v>1.277973763236921</v>
      </c>
      <c r="Q42" s="850">
        <v>227</v>
      </c>
    </row>
    <row r="43" spans="1:17" ht="14.45" customHeight="1" x14ac:dyDescent="0.2">
      <c r="A43" s="831" t="s">
        <v>570</v>
      </c>
      <c r="B43" s="832" t="s">
        <v>2385</v>
      </c>
      <c r="C43" s="832" t="s">
        <v>847</v>
      </c>
      <c r="D43" s="832" t="s">
        <v>2427</v>
      </c>
      <c r="E43" s="832" t="s">
        <v>2428</v>
      </c>
      <c r="F43" s="849">
        <v>0</v>
      </c>
      <c r="G43" s="849">
        <v>0</v>
      </c>
      <c r="H43" s="849"/>
      <c r="I43" s="849"/>
      <c r="J43" s="849">
        <v>0</v>
      </c>
      <c r="K43" s="849">
        <v>0</v>
      </c>
      <c r="L43" s="849"/>
      <c r="M43" s="849"/>
      <c r="N43" s="849">
        <v>0</v>
      </c>
      <c r="O43" s="849">
        <v>0</v>
      </c>
      <c r="P43" s="837"/>
      <c r="Q43" s="850"/>
    </row>
    <row r="44" spans="1:17" ht="14.45" customHeight="1" x14ac:dyDescent="0.2">
      <c r="A44" s="831" t="s">
        <v>570</v>
      </c>
      <c r="B44" s="832" t="s">
        <v>2385</v>
      </c>
      <c r="C44" s="832" t="s">
        <v>847</v>
      </c>
      <c r="D44" s="832" t="s">
        <v>2429</v>
      </c>
      <c r="E44" s="832" t="s">
        <v>2430</v>
      </c>
      <c r="F44" s="849">
        <v>3200</v>
      </c>
      <c r="G44" s="849">
        <v>0</v>
      </c>
      <c r="H44" s="849"/>
      <c r="I44" s="849">
        <v>0</v>
      </c>
      <c r="J44" s="849">
        <v>2809</v>
      </c>
      <c r="K44" s="849">
        <v>0</v>
      </c>
      <c r="L44" s="849"/>
      <c r="M44" s="849">
        <v>0</v>
      </c>
      <c r="N44" s="849">
        <v>2665</v>
      </c>
      <c r="O44" s="849">
        <v>0</v>
      </c>
      <c r="P44" s="837"/>
      <c r="Q44" s="850">
        <v>0</v>
      </c>
    </row>
    <row r="45" spans="1:17" ht="14.45" customHeight="1" x14ac:dyDescent="0.2">
      <c r="A45" s="831" t="s">
        <v>570</v>
      </c>
      <c r="B45" s="832" t="s">
        <v>2385</v>
      </c>
      <c r="C45" s="832" t="s">
        <v>847</v>
      </c>
      <c r="D45" s="832" t="s">
        <v>2431</v>
      </c>
      <c r="E45" s="832" t="s">
        <v>2432</v>
      </c>
      <c r="F45" s="849">
        <v>63</v>
      </c>
      <c r="G45" s="849">
        <v>0</v>
      </c>
      <c r="H45" s="849"/>
      <c r="I45" s="849">
        <v>0</v>
      </c>
      <c r="J45" s="849">
        <v>48</v>
      </c>
      <c r="K45" s="849">
        <v>0</v>
      </c>
      <c r="L45" s="849"/>
      <c r="M45" s="849">
        <v>0</v>
      </c>
      <c r="N45" s="849">
        <v>37</v>
      </c>
      <c r="O45" s="849">
        <v>0</v>
      </c>
      <c r="P45" s="837"/>
      <c r="Q45" s="850">
        <v>0</v>
      </c>
    </row>
    <row r="46" spans="1:17" ht="14.45" customHeight="1" x14ac:dyDescent="0.2">
      <c r="A46" s="831" t="s">
        <v>570</v>
      </c>
      <c r="B46" s="832" t="s">
        <v>2385</v>
      </c>
      <c r="C46" s="832" t="s">
        <v>847</v>
      </c>
      <c r="D46" s="832" t="s">
        <v>2433</v>
      </c>
      <c r="E46" s="832" t="s">
        <v>2434</v>
      </c>
      <c r="F46" s="849">
        <v>1715</v>
      </c>
      <c r="G46" s="849">
        <v>0</v>
      </c>
      <c r="H46" s="849"/>
      <c r="I46" s="849">
        <v>0</v>
      </c>
      <c r="J46" s="849">
        <v>1753</v>
      </c>
      <c r="K46" s="849">
        <v>0</v>
      </c>
      <c r="L46" s="849"/>
      <c r="M46" s="849">
        <v>0</v>
      </c>
      <c r="N46" s="849">
        <v>1712</v>
      </c>
      <c r="O46" s="849">
        <v>0</v>
      </c>
      <c r="P46" s="837"/>
      <c r="Q46" s="850">
        <v>0</v>
      </c>
    </row>
    <row r="47" spans="1:17" ht="14.45" customHeight="1" x14ac:dyDescent="0.2">
      <c r="A47" s="831" t="s">
        <v>570</v>
      </c>
      <c r="B47" s="832" t="s">
        <v>2385</v>
      </c>
      <c r="C47" s="832" t="s">
        <v>847</v>
      </c>
      <c r="D47" s="832" t="s">
        <v>2435</v>
      </c>
      <c r="E47" s="832" t="s">
        <v>2436</v>
      </c>
      <c r="F47" s="849"/>
      <c r="G47" s="849"/>
      <c r="H47" s="849"/>
      <c r="I47" s="849"/>
      <c r="J47" s="849">
        <v>0</v>
      </c>
      <c r="K47" s="849">
        <v>0</v>
      </c>
      <c r="L47" s="849"/>
      <c r="M47" s="849"/>
      <c r="N47" s="849">
        <v>0</v>
      </c>
      <c r="O47" s="849">
        <v>0</v>
      </c>
      <c r="P47" s="837"/>
      <c r="Q47" s="850"/>
    </row>
    <row r="48" spans="1:17" ht="14.45" customHeight="1" x14ac:dyDescent="0.2">
      <c r="A48" s="831" t="s">
        <v>570</v>
      </c>
      <c r="B48" s="832" t="s">
        <v>2385</v>
      </c>
      <c r="C48" s="832" t="s">
        <v>847</v>
      </c>
      <c r="D48" s="832" t="s">
        <v>2370</v>
      </c>
      <c r="E48" s="832" t="s">
        <v>2371</v>
      </c>
      <c r="F48" s="849">
        <v>1949</v>
      </c>
      <c r="G48" s="849">
        <v>691895</v>
      </c>
      <c r="H48" s="849">
        <v>1.0172233820459291</v>
      </c>
      <c r="I48" s="849">
        <v>355</v>
      </c>
      <c r="J48" s="849">
        <v>1916</v>
      </c>
      <c r="K48" s="849">
        <v>680180</v>
      </c>
      <c r="L48" s="849">
        <v>1</v>
      </c>
      <c r="M48" s="849">
        <v>355</v>
      </c>
      <c r="N48" s="849">
        <v>1876</v>
      </c>
      <c r="O48" s="849">
        <v>671608</v>
      </c>
      <c r="P48" s="837">
        <v>0.98739745361521947</v>
      </c>
      <c r="Q48" s="850">
        <v>358</v>
      </c>
    </row>
    <row r="49" spans="1:17" ht="14.45" customHeight="1" x14ac:dyDescent="0.2">
      <c r="A49" s="831" t="s">
        <v>570</v>
      </c>
      <c r="B49" s="832" t="s">
        <v>2385</v>
      </c>
      <c r="C49" s="832" t="s">
        <v>847</v>
      </c>
      <c r="D49" s="832" t="s">
        <v>2374</v>
      </c>
      <c r="E49" s="832" t="s">
        <v>2375</v>
      </c>
      <c r="F49" s="849">
        <v>1745</v>
      </c>
      <c r="G49" s="849">
        <v>1223245</v>
      </c>
      <c r="H49" s="849">
        <v>0.99973601794097267</v>
      </c>
      <c r="I49" s="849">
        <v>701</v>
      </c>
      <c r="J49" s="849">
        <v>1743</v>
      </c>
      <c r="K49" s="849">
        <v>1223568</v>
      </c>
      <c r="L49" s="849">
        <v>1</v>
      </c>
      <c r="M49" s="849">
        <v>701.98967297762476</v>
      </c>
      <c r="N49" s="849">
        <v>1695</v>
      </c>
      <c r="O49" s="849">
        <v>1198300</v>
      </c>
      <c r="P49" s="837">
        <v>0.97934892053404465</v>
      </c>
      <c r="Q49" s="850">
        <v>706.96165191740408</v>
      </c>
    </row>
    <row r="50" spans="1:17" ht="14.45" customHeight="1" x14ac:dyDescent="0.2">
      <c r="A50" s="831" t="s">
        <v>570</v>
      </c>
      <c r="B50" s="832" t="s">
        <v>2385</v>
      </c>
      <c r="C50" s="832" t="s">
        <v>847</v>
      </c>
      <c r="D50" s="832" t="s">
        <v>2437</v>
      </c>
      <c r="E50" s="832" t="s">
        <v>2438</v>
      </c>
      <c r="F50" s="849">
        <v>1</v>
      </c>
      <c r="G50" s="849">
        <v>0</v>
      </c>
      <c r="H50" s="849"/>
      <c r="I50" s="849">
        <v>0</v>
      </c>
      <c r="J50" s="849">
        <v>4</v>
      </c>
      <c r="K50" s="849">
        <v>0</v>
      </c>
      <c r="L50" s="849"/>
      <c r="M50" s="849">
        <v>0</v>
      </c>
      <c r="N50" s="849"/>
      <c r="O50" s="849"/>
      <c r="P50" s="837"/>
      <c r="Q50" s="850"/>
    </row>
    <row r="51" spans="1:17" ht="14.45" customHeight="1" x14ac:dyDescent="0.2">
      <c r="A51" s="831" t="s">
        <v>570</v>
      </c>
      <c r="B51" s="832" t="s">
        <v>2385</v>
      </c>
      <c r="C51" s="832" t="s">
        <v>847</v>
      </c>
      <c r="D51" s="832" t="s">
        <v>2439</v>
      </c>
      <c r="E51" s="832" t="s">
        <v>2440</v>
      </c>
      <c r="F51" s="849">
        <v>1</v>
      </c>
      <c r="G51" s="849">
        <v>3614</v>
      </c>
      <c r="H51" s="849"/>
      <c r="I51" s="849">
        <v>3614</v>
      </c>
      <c r="J51" s="849"/>
      <c r="K51" s="849"/>
      <c r="L51" s="849"/>
      <c r="M51" s="849"/>
      <c r="N51" s="849"/>
      <c r="O51" s="849"/>
      <c r="P51" s="837"/>
      <c r="Q51" s="850"/>
    </row>
    <row r="52" spans="1:17" ht="14.45" customHeight="1" x14ac:dyDescent="0.2">
      <c r="A52" s="831" t="s">
        <v>570</v>
      </c>
      <c r="B52" s="832" t="s">
        <v>2385</v>
      </c>
      <c r="C52" s="832" t="s">
        <v>847</v>
      </c>
      <c r="D52" s="832" t="s">
        <v>2441</v>
      </c>
      <c r="E52" s="832" t="s">
        <v>2442</v>
      </c>
      <c r="F52" s="849"/>
      <c r="G52" s="849"/>
      <c r="H52" s="849"/>
      <c r="I52" s="849"/>
      <c r="J52" s="849">
        <v>0</v>
      </c>
      <c r="K52" s="849">
        <v>0</v>
      </c>
      <c r="L52" s="849"/>
      <c r="M52" s="849"/>
      <c r="N52" s="849"/>
      <c r="O52" s="849"/>
      <c r="P52" s="837"/>
      <c r="Q52" s="850"/>
    </row>
    <row r="53" spans="1:17" ht="14.45" customHeight="1" x14ac:dyDescent="0.2">
      <c r="A53" s="831" t="s">
        <v>570</v>
      </c>
      <c r="B53" s="832" t="s">
        <v>2385</v>
      </c>
      <c r="C53" s="832" t="s">
        <v>847</v>
      </c>
      <c r="D53" s="832" t="s">
        <v>2443</v>
      </c>
      <c r="E53" s="832" t="s">
        <v>2444</v>
      </c>
      <c r="F53" s="849">
        <v>10</v>
      </c>
      <c r="G53" s="849">
        <v>0</v>
      </c>
      <c r="H53" s="849"/>
      <c r="I53" s="849">
        <v>0</v>
      </c>
      <c r="J53" s="849">
        <v>11</v>
      </c>
      <c r="K53" s="849">
        <v>0</v>
      </c>
      <c r="L53" s="849"/>
      <c r="M53" s="849">
        <v>0</v>
      </c>
      <c r="N53" s="849">
        <v>11</v>
      </c>
      <c r="O53" s="849">
        <v>0</v>
      </c>
      <c r="P53" s="837"/>
      <c r="Q53" s="850">
        <v>0</v>
      </c>
    </row>
    <row r="54" spans="1:17" ht="14.45" customHeight="1" x14ac:dyDescent="0.2">
      <c r="A54" s="831" t="s">
        <v>570</v>
      </c>
      <c r="B54" s="832" t="s">
        <v>2385</v>
      </c>
      <c r="C54" s="832" t="s">
        <v>847</v>
      </c>
      <c r="D54" s="832" t="s">
        <v>2445</v>
      </c>
      <c r="E54" s="832" t="s">
        <v>2446</v>
      </c>
      <c r="F54" s="849">
        <v>364</v>
      </c>
      <c r="G54" s="849">
        <v>56784</v>
      </c>
      <c r="H54" s="849">
        <v>1.6901509063309224</v>
      </c>
      <c r="I54" s="849">
        <v>156</v>
      </c>
      <c r="J54" s="849">
        <v>214</v>
      </c>
      <c r="K54" s="849">
        <v>33597</v>
      </c>
      <c r="L54" s="849">
        <v>1</v>
      </c>
      <c r="M54" s="849">
        <v>156.99532710280374</v>
      </c>
      <c r="N54" s="849">
        <v>164</v>
      </c>
      <c r="O54" s="849">
        <v>25911</v>
      </c>
      <c r="P54" s="837">
        <v>0.7712295740691133</v>
      </c>
      <c r="Q54" s="850">
        <v>157.9939024390244</v>
      </c>
    </row>
    <row r="55" spans="1:17" ht="14.45" customHeight="1" x14ac:dyDescent="0.2">
      <c r="A55" s="831" t="s">
        <v>570</v>
      </c>
      <c r="B55" s="832" t="s">
        <v>2385</v>
      </c>
      <c r="C55" s="832" t="s">
        <v>847</v>
      </c>
      <c r="D55" s="832" t="s">
        <v>2447</v>
      </c>
      <c r="E55" s="832" t="s">
        <v>2448</v>
      </c>
      <c r="F55" s="849">
        <v>7215</v>
      </c>
      <c r="G55" s="849">
        <v>6847035</v>
      </c>
      <c r="H55" s="849">
        <v>1.0173434856175974</v>
      </c>
      <c r="I55" s="849">
        <v>949</v>
      </c>
      <c r="J55" s="849">
        <v>7093</v>
      </c>
      <c r="K55" s="849">
        <v>6730308</v>
      </c>
      <c r="L55" s="849">
        <v>1</v>
      </c>
      <c r="M55" s="849">
        <v>948.86620611870853</v>
      </c>
      <c r="N55" s="849">
        <v>6505</v>
      </c>
      <c r="O55" s="849">
        <v>6204525</v>
      </c>
      <c r="P55" s="837">
        <v>0.92187831522717834</v>
      </c>
      <c r="Q55" s="850">
        <v>953.80860876249039</v>
      </c>
    </row>
    <row r="56" spans="1:17" ht="14.45" customHeight="1" x14ac:dyDescent="0.2">
      <c r="A56" s="831" t="s">
        <v>570</v>
      </c>
      <c r="B56" s="832" t="s">
        <v>2385</v>
      </c>
      <c r="C56" s="832" t="s">
        <v>847</v>
      </c>
      <c r="D56" s="832" t="s">
        <v>2449</v>
      </c>
      <c r="E56" s="832" t="s">
        <v>2450</v>
      </c>
      <c r="F56" s="849">
        <v>1</v>
      </c>
      <c r="G56" s="849">
        <v>317</v>
      </c>
      <c r="H56" s="849"/>
      <c r="I56" s="849">
        <v>317</v>
      </c>
      <c r="J56" s="849"/>
      <c r="K56" s="849"/>
      <c r="L56" s="849"/>
      <c r="M56" s="849"/>
      <c r="N56" s="849"/>
      <c r="O56" s="849"/>
      <c r="P56" s="837"/>
      <c r="Q56" s="850"/>
    </row>
    <row r="57" spans="1:17" ht="14.45" customHeight="1" x14ac:dyDescent="0.2">
      <c r="A57" s="831" t="s">
        <v>570</v>
      </c>
      <c r="B57" s="832" t="s">
        <v>2385</v>
      </c>
      <c r="C57" s="832" t="s">
        <v>847</v>
      </c>
      <c r="D57" s="832" t="s">
        <v>2451</v>
      </c>
      <c r="E57" s="832" t="s">
        <v>2452</v>
      </c>
      <c r="F57" s="849"/>
      <c r="G57" s="849"/>
      <c r="H57" s="849"/>
      <c r="I57" s="849"/>
      <c r="J57" s="849"/>
      <c r="K57" s="849"/>
      <c r="L57" s="849"/>
      <c r="M57" s="849"/>
      <c r="N57" s="849">
        <v>1</v>
      </c>
      <c r="O57" s="849">
        <v>0</v>
      </c>
      <c r="P57" s="837"/>
      <c r="Q57" s="850">
        <v>0</v>
      </c>
    </row>
    <row r="58" spans="1:17" ht="14.45" customHeight="1" x14ac:dyDescent="0.2">
      <c r="A58" s="831" t="s">
        <v>570</v>
      </c>
      <c r="B58" s="832" t="s">
        <v>2385</v>
      </c>
      <c r="C58" s="832" t="s">
        <v>847</v>
      </c>
      <c r="D58" s="832" t="s">
        <v>2453</v>
      </c>
      <c r="E58" s="832" t="s">
        <v>2454</v>
      </c>
      <c r="F58" s="849"/>
      <c r="G58" s="849"/>
      <c r="H58" s="849"/>
      <c r="I58" s="849"/>
      <c r="J58" s="849"/>
      <c r="K58" s="849"/>
      <c r="L58" s="849"/>
      <c r="M58" s="849"/>
      <c r="N58" s="849">
        <v>1613</v>
      </c>
      <c r="O58" s="849">
        <v>0</v>
      </c>
      <c r="P58" s="837"/>
      <c r="Q58" s="850">
        <v>0</v>
      </c>
    </row>
    <row r="59" spans="1:17" ht="14.45" customHeight="1" x14ac:dyDescent="0.2">
      <c r="A59" s="831" t="s">
        <v>570</v>
      </c>
      <c r="B59" s="832" t="s">
        <v>2385</v>
      </c>
      <c r="C59" s="832" t="s">
        <v>847</v>
      </c>
      <c r="D59" s="832" t="s">
        <v>2455</v>
      </c>
      <c r="E59" s="832" t="s">
        <v>2456</v>
      </c>
      <c r="F59" s="849"/>
      <c r="G59" s="849"/>
      <c r="H59" s="849"/>
      <c r="I59" s="849"/>
      <c r="J59" s="849"/>
      <c r="K59" s="849"/>
      <c r="L59" s="849"/>
      <c r="M59" s="849"/>
      <c r="N59" s="849">
        <v>1348</v>
      </c>
      <c r="O59" s="849">
        <v>152324</v>
      </c>
      <c r="P59" s="837"/>
      <c r="Q59" s="850">
        <v>113</v>
      </c>
    </row>
    <row r="60" spans="1:17" ht="14.45" customHeight="1" x14ac:dyDescent="0.2">
      <c r="A60" s="831" t="s">
        <v>570</v>
      </c>
      <c r="B60" s="832" t="s">
        <v>2385</v>
      </c>
      <c r="C60" s="832" t="s">
        <v>847</v>
      </c>
      <c r="D60" s="832" t="s">
        <v>2457</v>
      </c>
      <c r="E60" s="832" t="s">
        <v>2458</v>
      </c>
      <c r="F60" s="849"/>
      <c r="G60" s="849"/>
      <c r="H60" s="849"/>
      <c r="I60" s="849"/>
      <c r="J60" s="849"/>
      <c r="K60" s="849"/>
      <c r="L60" s="849"/>
      <c r="M60" s="849"/>
      <c r="N60" s="849">
        <v>49</v>
      </c>
      <c r="O60" s="849">
        <v>0</v>
      </c>
      <c r="P60" s="837"/>
      <c r="Q60" s="850">
        <v>0</v>
      </c>
    </row>
    <row r="61" spans="1:17" ht="14.45" customHeight="1" x14ac:dyDescent="0.2">
      <c r="A61" s="831" t="s">
        <v>570</v>
      </c>
      <c r="B61" s="832" t="s">
        <v>2385</v>
      </c>
      <c r="C61" s="832" t="s">
        <v>847</v>
      </c>
      <c r="D61" s="832" t="s">
        <v>2459</v>
      </c>
      <c r="E61" s="832" t="s">
        <v>2460</v>
      </c>
      <c r="F61" s="849"/>
      <c r="G61" s="849"/>
      <c r="H61" s="849"/>
      <c r="I61" s="849"/>
      <c r="J61" s="849"/>
      <c r="K61" s="849"/>
      <c r="L61" s="849"/>
      <c r="M61" s="849"/>
      <c r="N61" s="849">
        <v>2</v>
      </c>
      <c r="O61" s="849">
        <v>0</v>
      </c>
      <c r="P61" s="837"/>
      <c r="Q61" s="850">
        <v>0</v>
      </c>
    </row>
    <row r="62" spans="1:17" ht="14.45" customHeight="1" x14ac:dyDescent="0.2">
      <c r="A62" s="831" t="s">
        <v>570</v>
      </c>
      <c r="B62" s="832" t="s">
        <v>2385</v>
      </c>
      <c r="C62" s="832" t="s">
        <v>847</v>
      </c>
      <c r="D62" s="832" t="s">
        <v>2461</v>
      </c>
      <c r="E62" s="832" t="s">
        <v>2462</v>
      </c>
      <c r="F62" s="849"/>
      <c r="G62" s="849"/>
      <c r="H62" s="849"/>
      <c r="I62" s="849"/>
      <c r="J62" s="849"/>
      <c r="K62" s="849"/>
      <c r="L62" s="849"/>
      <c r="M62" s="849"/>
      <c r="N62" s="849">
        <v>1</v>
      </c>
      <c r="O62" s="849">
        <v>0</v>
      </c>
      <c r="P62" s="837"/>
      <c r="Q62" s="850">
        <v>0</v>
      </c>
    </row>
    <row r="63" spans="1:17" ht="14.45" customHeight="1" x14ac:dyDescent="0.2">
      <c r="A63" s="831" t="s">
        <v>570</v>
      </c>
      <c r="B63" s="832" t="s">
        <v>2385</v>
      </c>
      <c r="C63" s="832" t="s">
        <v>847</v>
      </c>
      <c r="D63" s="832" t="s">
        <v>2463</v>
      </c>
      <c r="E63" s="832" t="s">
        <v>2464</v>
      </c>
      <c r="F63" s="849"/>
      <c r="G63" s="849"/>
      <c r="H63" s="849"/>
      <c r="I63" s="849"/>
      <c r="J63" s="849"/>
      <c r="K63" s="849"/>
      <c r="L63" s="849"/>
      <c r="M63" s="849"/>
      <c r="N63" s="849">
        <v>3</v>
      </c>
      <c r="O63" s="849">
        <v>0</v>
      </c>
      <c r="P63" s="837"/>
      <c r="Q63" s="850">
        <v>0</v>
      </c>
    </row>
    <row r="64" spans="1:17" ht="14.45" customHeight="1" x14ac:dyDescent="0.2">
      <c r="A64" s="831" t="s">
        <v>570</v>
      </c>
      <c r="B64" s="832" t="s">
        <v>2465</v>
      </c>
      <c r="C64" s="832" t="s">
        <v>2342</v>
      </c>
      <c r="D64" s="832" t="s">
        <v>2466</v>
      </c>
      <c r="E64" s="832" t="s">
        <v>2467</v>
      </c>
      <c r="F64" s="849">
        <v>11</v>
      </c>
      <c r="G64" s="849">
        <v>549.23</v>
      </c>
      <c r="H64" s="849"/>
      <c r="I64" s="849">
        <v>49.93</v>
      </c>
      <c r="J64" s="849"/>
      <c r="K64" s="849"/>
      <c r="L64" s="849"/>
      <c r="M64" s="849"/>
      <c r="N64" s="849"/>
      <c r="O64" s="849"/>
      <c r="P64" s="837"/>
      <c r="Q64" s="850"/>
    </row>
    <row r="65" spans="1:17" ht="14.45" customHeight="1" x14ac:dyDescent="0.2">
      <c r="A65" s="831" t="s">
        <v>570</v>
      </c>
      <c r="B65" s="832" t="s">
        <v>2465</v>
      </c>
      <c r="C65" s="832" t="s">
        <v>2342</v>
      </c>
      <c r="D65" s="832" t="s">
        <v>2386</v>
      </c>
      <c r="E65" s="832" t="s">
        <v>2387</v>
      </c>
      <c r="F65" s="849">
        <v>86</v>
      </c>
      <c r="G65" s="849">
        <v>37398.82</v>
      </c>
      <c r="H65" s="849">
        <v>1.9025255551836298</v>
      </c>
      <c r="I65" s="849">
        <v>434.87</v>
      </c>
      <c r="J65" s="849">
        <v>58</v>
      </c>
      <c r="K65" s="849">
        <v>19657.460000000003</v>
      </c>
      <c r="L65" s="849">
        <v>1</v>
      </c>
      <c r="M65" s="849">
        <v>338.92172413793111</v>
      </c>
      <c r="N65" s="849">
        <v>59.2</v>
      </c>
      <c r="O65" s="849">
        <v>4370.26</v>
      </c>
      <c r="P65" s="837">
        <v>0.22232068639590261</v>
      </c>
      <c r="Q65" s="850">
        <v>73.821959459459464</v>
      </c>
    </row>
    <row r="66" spans="1:17" ht="14.45" customHeight="1" x14ac:dyDescent="0.2">
      <c r="A66" s="831" t="s">
        <v>570</v>
      </c>
      <c r="B66" s="832" t="s">
        <v>2465</v>
      </c>
      <c r="C66" s="832" t="s">
        <v>2342</v>
      </c>
      <c r="D66" s="832" t="s">
        <v>2468</v>
      </c>
      <c r="E66" s="832" t="s">
        <v>986</v>
      </c>
      <c r="F66" s="849">
        <v>5.4</v>
      </c>
      <c r="G66" s="849">
        <v>1941.44</v>
      </c>
      <c r="H66" s="849">
        <v>2.3580911199912546</v>
      </c>
      <c r="I66" s="849">
        <v>359.52592592592589</v>
      </c>
      <c r="J66" s="849">
        <v>2</v>
      </c>
      <c r="K66" s="849">
        <v>823.31000000000006</v>
      </c>
      <c r="L66" s="849">
        <v>1</v>
      </c>
      <c r="M66" s="849">
        <v>411.65500000000003</v>
      </c>
      <c r="N66" s="849">
        <v>1.5</v>
      </c>
      <c r="O66" s="849">
        <v>559.31999999999994</v>
      </c>
      <c r="P66" s="837">
        <v>0.67935528537245982</v>
      </c>
      <c r="Q66" s="850">
        <v>372.87999999999994</v>
      </c>
    </row>
    <row r="67" spans="1:17" ht="14.45" customHeight="1" x14ac:dyDescent="0.2">
      <c r="A67" s="831" t="s">
        <v>570</v>
      </c>
      <c r="B67" s="832" t="s">
        <v>2465</v>
      </c>
      <c r="C67" s="832" t="s">
        <v>2342</v>
      </c>
      <c r="D67" s="832" t="s">
        <v>2469</v>
      </c>
      <c r="E67" s="832" t="s">
        <v>2470</v>
      </c>
      <c r="F67" s="849">
        <v>15</v>
      </c>
      <c r="G67" s="849">
        <v>10356.9</v>
      </c>
      <c r="H67" s="849"/>
      <c r="I67" s="849">
        <v>690.45999999999992</v>
      </c>
      <c r="J67" s="849"/>
      <c r="K67" s="849"/>
      <c r="L67" s="849"/>
      <c r="M67" s="849"/>
      <c r="N67" s="849"/>
      <c r="O67" s="849"/>
      <c r="P67" s="837"/>
      <c r="Q67" s="850"/>
    </row>
    <row r="68" spans="1:17" ht="14.45" customHeight="1" x14ac:dyDescent="0.2">
      <c r="A68" s="831" t="s">
        <v>570</v>
      </c>
      <c r="B68" s="832" t="s">
        <v>2465</v>
      </c>
      <c r="C68" s="832" t="s">
        <v>2342</v>
      </c>
      <c r="D68" s="832" t="s">
        <v>2388</v>
      </c>
      <c r="E68" s="832" t="s">
        <v>2389</v>
      </c>
      <c r="F68" s="849">
        <v>1</v>
      </c>
      <c r="G68" s="849">
        <v>58.4</v>
      </c>
      <c r="H68" s="849">
        <v>0.5</v>
      </c>
      <c r="I68" s="849">
        <v>58.4</v>
      </c>
      <c r="J68" s="849">
        <v>2</v>
      </c>
      <c r="K68" s="849">
        <v>116.8</v>
      </c>
      <c r="L68" s="849">
        <v>1</v>
      </c>
      <c r="M68" s="849">
        <v>58.4</v>
      </c>
      <c r="N68" s="849">
        <v>19</v>
      </c>
      <c r="O68" s="849">
        <v>828.08999999999992</v>
      </c>
      <c r="P68" s="837">
        <v>7.089811643835616</v>
      </c>
      <c r="Q68" s="850">
        <v>43.583684210526314</v>
      </c>
    </row>
    <row r="69" spans="1:17" ht="14.45" customHeight="1" x14ac:dyDescent="0.2">
      <c r="A69" s="831" t="s">
        <v>570</v>
      </c>
      <c r="B69" s="832" t="s">
        <v>2465</v>
      </c>
      <c r="C69" s="832" t="s">
        <v>2342</v>
      </c>
      <c r="D69" s="832" t="s">
        <v>2390</v>
      </c>
      <c r="E69" s="832" t="s">
        <v>2391</v>
      </c>
      <c r="F69" s="849"/>
      <c r="G69" s="849"/>
      <c r="H69" s="849"/>
      <c r="I69" s="849"/>
      <c r="J69" s="849">
        <v>2</v>
      </c>
      <c r="K69" s="849">
        <v>2475.48</v>
      </c>
      <c r="L69" s="849">
        <v>1</v>
      </c>
      <c r="M69" s="849">
        <v>1237.74</v>
      </c>
      <c r="N69" s="849"/>
      <c r="O69" s="849"/>
      <c r="P69" s="837"/>
      <c r="Q69" s="850"/>
    </row>
    <row r="70" spans="1:17" ht="14.45" customHeight="1" x14ac:dyDescent="0.2">
      <c r="A70" s="831" t="s">
        <v>570</v>
      </c>
      <c r="B70" s="832" t="s">
        <v>2465</v>
      </c>
      <c r="C70" s="832" t="s">
        <v>2342</v>
      </c>
      <c r="D70" s="832" t="s">
        <v>2471</v>
      </c>
      <c r="E70" s="832" t="s">
        <v>2472</v>
      </c>
      <c r="F70" s="849">
        <v>26</v>
      </c>
      <c r="G70" s="849">
        <v>3347.24</v>
      </c>
      <c r="H70" s="849">
        <v>1.1304347826086953</v>
      </c>
      <c r="I70" s="849">
        <v>128.73999999999998</v>
      </c>
      <c r="J70" s="849">
        <v>23</v>
      </c>
      <c r="K70" s="849">
        <v>2961.0200000000004</v>
      </c>
      <c r="L70" s="849">
        <v>1</v>
      </c>
      <c r="M70" s="849">
        <v>128.74</v>
      </c>
      <c r="N70" s="849">
        <v>16</v>
      </c>
      <c r="O70" s="849">
        <v>2059.84</v>
      </c>
      <c r="P70" s="837">
        <v>0.69565217391304346</v>
      </c>
      <c r="Q70" s="850">
        <v>128.74</v>
      </c>
    </row>
    <row r="71" spans="1:17" ht="14.45" customHeight="1" x14ac:dyDescent="0.2">
      <c r="A71" s="831" t="s">
        <v>570</v>
      </c>
      <c r="B71" s="832" t="s">
        <v>2465</v>
      </c>
      <c r="C71" s="832" t="s">
        <v>2342</v>
      </c>
      <c r="D71" s="832" t="s">
        <v>2392</v>
      </c>
      <c r="E71" s="832" t="s">
        <v>947</v>
      </c>
      <c r="F71" s="849">
        <v>0.3</v>
      </c>
      <c r="G71" s="849">
        <v>201.15</v>
      </c>
      <c r="H71" s="849"/>
      <c r="I71" s="849">
        <v>670.5</v>
      </c>
      <c r="J71" s="849"/>
      <c r="K71" s="849"/>
      <c r="L71" s="849"/>
      <c r="M71" s="849"/>
      <c r="N71" s="849"/>
      <c r="O71" s="849"/>
      <c r="P71" s="837"/>
      <c r="Q71" s="850"/>
    </row>
    <row r="72" spans="1:17" ht="14.45" customHeight="1" x14ac:dyDescent="0.2">
      <c r="A72" s="831" t="s">
        <v>570</v>
      </c>
      <c r="B72" s="832" t="s">
        <v>2465</v>
      </c>
      <c r="C72" s="832" t="s">
        <v>2342</v>
      </c>
      <c r="D72" s="832" t="s">
        <v>2393</v>
      </c>
      <c r="E72" s="832" t="s">
        <v>2394</v>
      </c>
      <c r="F72" s="849">
        <v>5.7</v>
      </c>
      <c r="G72" s="849">
        <v>243.96000000000004</v>
      </c>
      <c r="H72" s="849">
        <v>3.3529411764705883</v>
      </c>
      <c r="I72" s="849">
        <v>42.800000000000004</v>
      </c>
      <c r="J72" s="849">
        <v>1.7</v>
      </c>
      <c r="K72" s="849">
        <v>72.760000000000005</v>
      </c>
      <c r="L72" s="849">
        <v>1</v>
      </c>
      <c r="M72" s="849">
        <v>42.800000000000004</v>
      </c>
      <c r="N72" s="849"/>
      <c r="O72" s="849"/>
      <c r="P72" s="837"/>
      <c r="Q72" s="850"/>
    </row>
    <row r="73" spans="1:17" ht="14.45" customHeight="1" x14ac:dyDescent="0.2">
      <c r="A73" s="831" t="s">
        <v>570</v>
      </c>
      <c r="B73" s="832" t="s">
        <v>2465</v>
      </c>
      <c r="C73" s="832" t="s">
        <v>2342</v>
      </c>
      <c r="D73" s="832" t="s">
        <v>2396</v>
      </c>
      <c r="E73" s="832" t="s">
        <v>2397</v>
      </c>
      <c r="F73" s="849">
        <v>0.2</v>
      </c>
      <c r="G73" s="849">
        <v>54.34</v>
      </c>
      <c r="H73" s="849"/>
      <c r="I73" s="849">
        <v>271.7</v>
      </c>
      <c r="J73" s="849"/>
      <c r="K73" s="849"/>
      <c r="L73" s="849"/>
      <c r="M73" s="849"/>
      <c r="N73" s="849">
        <v>0.8</v>
      </c>
      <c r="O73" s="849">
        <v>145.28</v>
      </c>
      <c r="P73" s="837"/>
      <c r="Q73" s="850">
        <v>181.6</v>
      </c>
    </row>
    <row r="74" spans="1:17" ht="14.45" customHeight="1" x14ac:dyDescent="0.2">
      <c r="A74" s="831" t="s">
        <v>570</v>
      </c>
      <c r="B74" s="832" t="s">
        <v>2465</v>
      </c>
      <c r="C74" s="832" t="s">
        <v>2342</v>
      </c>
      <c r="D74" s="832" t="s">
        <v>2398</v>
      </c>
      <c r="E74" s="832" t="s">
        <v>897</v>
      </c>
      <c r="F74" s="849">
        <v>6.8000000000000007</v>
      </c>
      <c r="G74" s="849">
        <v>923.8</v>
      </c>
      <c r="H74" s="849">
        <v>8.5001840264998147</v>
      </c>
      <c r="I74" s="849">
        <v>135.85294117647058</v>
      </c>
      <c r="J74" s="849">
        <v>0.8</v>
      </c>
      <c r="K74" s="849">
        <v>108.68</v>
      </c>
      <c r="L74" s="849">
        <v>1</v>
      </c>
      <c r="M74" s="849">
        <v>135.85</v>
      </c>
      <c r="N74" s="849">
        <v>1.9200000000000002</v>
      </c>
      <c r="O74" s="849">
        <v>260.82000000000005</v>
      </c>
      <c r="P74" s="837">
        <v>2.3998895841001109</v>
      </c>
      <c r="Q74" s="850">
        <v>135.84375000000003</v>
      </c>
    </row>
    <row r="75" spans="1:17" ht="14.45" customHeight="1" x14ac:dyDescent="0.2">
      <c r="A75" s="831" t="s">
        <v>570</v>
      </c>
      <c r="B75" s="832" t="s">
        <v>2465</v>
      </c>
      <c r="C75" s="832" t="s">
        <v>2342</v>
      </c>
      <c r="D75" s="832" t="s">
        <v>2473</v>
      </c>
      <c r="E75" s="832" t="s">
        <v>2474</v>
      </c>
      <c r="F75" s="849">
        <v>2</v>
      </c>
      <c r="G75" s="849">
        <v>131.5</v>
      </c>
      <c r="H75" s="849"/>
      <c r="I75" s="849">
        <v>65.75</v>
      </c>
      <c r="J75" s="849"/>
      <c r="K75" s="849"/>
      <c r="L75" s="849"/>
      <c r="M75" s="849"/>
      <c r="N75" s="849"/>
      <c r="O75" s="849"/>
      <c r="P75" s="837"/>
      <c r="Q75" s="850"/>
    </row>
    <row r="76" spans="1:17" ht="14.45" customHeight="1" x14ac:dyDescent="0.2">
      <c r="A76" s="831" t="s">
        <v>570</v>
      </c>
      <c r="B76" s="832" t="s">
        <v>2465</v>
      </c>
      <c r="C76" s="832" t="s">
        <v>2342</v>
      </c>
      <c r="D76" s="832" t="s">
        <v>2399</v>
      </c>
      <c r="E76" s="832" t="s">
        <v>2400</v>
      </c>
      <c r="F76" s="849">
        <v>3.1</v>
      </c>
      <c r="G76" s="849">
        <v>5058.58</v>
      </c>
      <c r="H76" s="849">
        <v>1.55</v>
      </c>
      <c r="I76" s="849">
        <v>1631.8</v>
      </c>
      <c r="J76" s="849">
        <v>2.0000000000000004</v>
      </c>
      <c r="K76" s="849">
        <v>3263.6</v>
      </c>
      <c r="L76" s="849">
        <v>1</v>
      </c>
      <c r="M76" s="849">
        <v>1631.7999999999995</v>
      </c>
      <c r="N76" s="849">
        <v>0.6</v>
      </c>
      <c r="O76" s="849">
        <v>979.08</v>
      </c>
      <c r="P76" s="837">
        <v>0.30000000000000004</v>
      </c>
      <c r="Q76" s="850">
        <v>1631.8000000000002</v>
      </c>
    </row>
    <row r="77" spans="1:17" ht="14.45" customHeight="1" x14ac:dyDescent="0.2">
      <c r="A77" s="831" t="s">
        <v>570</v>
      </c>
      <c r="B77" s="832" t="s">
        <v>2465</v>
      </c>
      <c r="C77" s="832" t="s">
        <v>2342</v>
      </c>
      <c r="D77" s="832" t="s">
        <v>2475</v>
      </c>
      <c r="E77" s="832" t="s">
        <v>714</v>
      </c>
      <c r="F77" s="849">
        <v>18</v>
      </c>
      <c r="G77" s="849">
        <v>280430.62</v>
      </c>
      <c r="H77" s="849">
        <v>0.99277815055996266</v>
      </c>
      <c r="I77" s="849">
        <v>15579.478888888889</v>
      </c>
      <c r="J77" s="849">
        <v>18.100000000000001</v>
      </c>
      <c r="K77" s="849">
        <v>282470.58</v>
      </c>
      <c r="L77" s="849">
        <v>1</v>
      </c>
      <c r="M77" s="849">
        <v>15606.109392265193</v>
      </c>
      <c r="N77" s="849">
        <v>14.5</v>
      </c>
      <c r="O77" s="849">
        <v>226438.85000000003</v>
      </c>
      <c r="P77" s="837">
        <v>0.80163693507479616</v>
      </c>
      <c r="Q77" s="850">
        <v>15616.472413793106</v>
      </c>
    </row>
    <row r="78" spans="1:17" ht="14.45" customHeight="1" x14ac:dyDescent="0.2">
      <c r="A78" s="831" t="s">
        <v>570</v>
      </c>
      <c r="B78" s="832" t="s">
        <v>2465</v>
      </c>
      <c r="C78" s="832" t="s">
        <v>2342</v>
      </c>
      <c r="D78" s="832" t="s">
        <v>2401</v>
      </c>
      <c r="E78" s="832" t="s">
        <v>2402</v>
      </c>
      <c r="F78" s="849">
        <v>3.2</v>
      </c>
      <c r="G78" s="849">
        <v>869.44</v>
      </c>
      <c r="H78" s="849">
        <v>1.6842105263157896</v>
      </c>
      <c r="I78" s="849">
        <v>271.7</v>
      </c>
      <c r="J78" s="849">
        <v>1.9</v>
      </c>
      <c r="K78" s="849">
        <v>516.23</v>
      </c>
      <c r="L78" s="849">
        <v>1</v>
      </c>
      <c r="M78" s="849">
        <v>271.70000000000005</v>
      </c>
      <c r="N78" s="849"/>
      <c r="O78" s="849"/>
      <c r="P78" s="837"/>
      <c r="Q78" s="850"/>
    </row>
    <row r="79" spans="1:17" ht="14.45" customHeight="1" x14ac:dyDescent="0.2">
      <c r="A79" s="831" t="s">
        <v>570</v>
      </c>
      <c r="B79" s="832" t="s">
        <v>2465</v>
      </c>
      <c r="C79" s="832" t="s">
        <v>2342</v>
      </c>
      <c r="D79" s="832" t="s">
        <v>2476</v>
      </c>
      <c r="E79" s="832" t="s">
        <v>2477</v>
      </c>
      <c r="F79" s="849">
        <v>19</v>
      </c>
      <c r="G79" s="849">
        <v>2082.4</v>
      </c>
      <c r="H79" s="849">
        <v>9.5000000000000018</v>
      </c>
      <c r="I79" s="849">
        <v>109.60000000000001</v>
      </c>
      <c r="J79" s="849">
        <v>2</v>
      </c>
      <c r="K79" s="849">
        <v>219.2</v>
      </c>
      <c r="L79" s="849">
        <v>1</v>
      </c>
      <c r="M79" s="849">
        <v>109.6</v>
      </c>
      <c r="N79" s="849">
        <v>10</v>
      </c>
      <c r="O79" s="849">
        <v>1096</v>
      </c>
      <c r="P79" s="837">
        <v>5</v>
      </c>
      <c r="Q79" s="850">
        <v>109.6</v>
      </c>
    </row>
    <row r="80" spans="1:17" ht="14.45" customHeight="1" x14ac:dyDescent="0.2">
      <c r="A80" s="831" t="s">
        <v>570</v>
      </c>
      <c r="B80" s="832" t="s">
        <v>2465</v>
      </c>
      <c r="C80" s="832" t="s">
        <v>2342</v>
      </c>
      <c r="D80" s="832" t="s">
        <v>2478</v>
      </c>
      <c r="E80" s="832" t="s">
        <v>2479</v>
      </c>
      <c r="F80" s="849">
        <v>6</v>
      </c>
      <c r="G80" s="849">
        <v>355.02</v>
      </c>
      <c r="H80" s="849"/>
      <c r="I80" s="849">
        <v>59.169999999999995</v>
      </c>
      <c r="J80" s="849"/>
      <c r="K80" s="849"/>
      <c r="L80" s="849"/>
      <c r="M80" s="849"/>
      <c r="N80" s="849"/>
      <c r="O80" s="849"/>
      <c r="P80" s="837"/>
      <c r="Q80" s="850"/>
    </row>
    <row r="81" spans="1:17" ht="14.45" customHeight="1" x14ac:dyDescent="0.2">
      <c r="A81" s="831" t="s">
        <v>570</v>
      </c>
      <c r="B81" s="832" t="s">
        <v>2465</v>
      </c>
      <c r="C81" s="832" t="s">
        <v>2342</v>
      </c>
      <c r="D81" s="832" t="s">
        <v>2403</v>
      </c>
      <c r="E81" s="832" t="s">
        <v>2404</v>
      </c>
      <c r="F81" s="849">
        <v>27.5</v>
      </c>
      <c r="G81" s="849">
        <v>1273.3400000000001</v>
      </c>
      <c r="H81" s="849">
        <v>39.288491206417781</v>
      </c>
      <c r="I81" s="849">
        <v>46.303272727272734</v>
      </c>
      <c r="J81" s="849">
        <v>0.7</v>
      </c>
      <c r="K81" s="849">
        <v>32.409999999999997</v>
      </c>
      <c r="L81" s="849">
        <v>1</v>
      </c>
      <c r="M81" s="849">
        <v>46.3</v>
      </c>
      <c r="N81" s="849"/>
      <c r="O81" s="849"/>
      <c r="P81" s="837"/>
      <c r="Q81" s="850"/>
    </row>
    <row r="82" spans="1:17" ht="14.45" customHeight="1" x14ac:dyDescent="0.2">
      <c r="A82" s="831" t="s">
        <v>570</v>
      </c>
      <c r="B82" s="832" t="s">
        <v>2465</v>
      </c>
      <c r="C82" s="832" t="s">
        <v>2342</v>
      </c>
      <c r="D82" s="832" t="s">
        <v>2405</v>
      </c>
      <c r="E82" s="832" t="s">
        <v>2404</v>
      </c>
      <c r="F82" s="849"/>
      <c r="G82" s="849"/>
      <c r="H82" s="849"/>
      <c r="I82" s="849"/>
      <c r="J82" s="849">
        <v>14.2</v>
      </c>
      <c r="K82" s="849">
        <v>974.72000000000014</v>
      </c>
      <c r="L82" s="849">
        <v>1</v>
      </c>
      <c r="M82" s="849">
        <v>68.642253521126776</v>
      </c>
      <c r="N82" s="849">
        <v>11.1</v>
      </c>
      <c r="O82" s="849">
        <v>654.15</v>
      </c>
      <c r="P82" s="837">
        <v>0.67111580761654621</v>
      </c>
      <c r="Q82" s="850">
        <v>58.932432432432435</v>
      </c>
    </row>
    <row r="83" spans="1:17" ht="14.45" customHeight="1" x14ac:dyDescent="0.2">
      <c r="A83" s="831" t="s">
        <v>570</v>
      </c>
      <c r="B83" s="832" t="s">
        <v>2465</v>
      </c>
      <c r="C83" s="832" t="s">
        <v>2342</v>
      </c>
      <c r="D83" s="832" t="s">
        <v>2480</v>
      </c>
      <c r="E83" s="832" t="s">
        <v>2481</v>
      </c>
      <c r="F83" s="849">
        <v>0.7</v>
      </c>
      <c r="G83" s="849">
        <v>419.86</v>
      </c>
      <c r="H83" s="849">
        <v>1.1666666666666667</v>
      </c>
      <c r="I83" s="849">
        <v>599.80000000000007</v>
      </c>
      <c r="J83" s="849">
        <v>0.6</v>
      </c>
      <c r="K83" s="849">
        <v>359.88</v>
      </c>
      <c r="L83" s="849">
        <v>1</v>
      </c>
      <c r="M83" s="849">
        <v>599.80000000000007</v>
      </c>
      <c r="N83" s="849"/>
      <c r="O83" s="849"/>
      <c r="P83" s="837"/>
      <c r="Q83" s="850"/>
    </row>
    <row r="84" spans="1:17" ht="14.45" customHeight="1" x14ac:dyDescent="0.2">
      <c r="A84" s="831" t="s">
        <v>570</v>
      </c>
      <c r="B84" s="832" t="s">
        <v>2465</v>
      </c>
      <c r="C84" s="832" t="s">
        <v>2342</v>
      </c>
      <c r="D84" s="832" t="s">
        <v>2482</v>
      </c>
      <c r="E84" s="832" t="s">
        <v>2483</v>
      </c>
      <c r="F84" s="849">
        <v>1</v>
      </c>
      <c r="G84" s="849">
        <v>3498.62</v>
      </c>
      <c r="H84" s="849"/>
      <c r="I84" s="849">
        <v>3498.62</v>
      </c>
      <c r="J84" s="849"/>
      <c r="K84" s="849"/>
      <c r="L84" s="849"/>
      <c r="M84" s="849"/>
      <c r="N84" s="849"/>
      <c r="O84" s="849"/>
      <c r="P84" s="837"/>
      <c r="Q84" s="850"/>
    </row>
    <row r="85" spans="1:17" ht="14.45" customHeight="1" x14ac:dyDescent="0.2">
      <c r="A85" s="831" t="s">
        <v>570</v>
      </c>
      <c r="B85" s="832" t="s">
        <v>2465</v>
      </c>
      <c r="C85" s="832" t="s">
        <v>2342</v>
      </c>
      <c r="D85" s="832" t="s">
        <v>2484</v>
      </c>
      <c r="E85" s="832" t="s">
        <v>902</v>
      </c>
      <c r="F85" s="849">
        <v>50</v>
      </c>
      <c r="G85" s="849">
        <v>4624.5</v>
      </c>
      <c r="H85" s="849">
        <v>1.5576371205690958</v>
      </c>
      <c r="I85" s="849">
        <v>92.49</v>
      </c>
      <c r="J85" s="849">
        <v>32.1</v>
      </c>
      <c r="K85" s="849">
        <v>2968.92</v>
      </c>
      <c r="L85" s="849">
        <v>1</v>
      </c>
      <c r="M85" s="849">
        <v>92.489719626168224</v>
      </c>
      <c r="N85" s="849"/>
      <c r="O85" s="849"/>
      <c r="P85" s="837"/>
      <c r="Q85" s="850"/>
    </row>
    <row r="86" spans="1:17" ht="14.45" customHeight="1" x14ac:dyDescent="0.2">
      <c r="A86" s="831" t="s">
        <v>570</v>
      </c>
      <c r="B86" s="832" t="s">
        <v>2465</v>
      </c>
      <c r="C86" s="832" t="s">
        <v>2342</v>
      </c>
      <c r="D86" s="832" t="s">
        <v>2406</v>
      </c>
      <c r="E86" s="832" t="s">
        <v>914</v>
      </c>
      <c r="F86" s="849">
        <v>10.4</v>
      </c>
      <c r="G86" s="849">
        <v>16970.719999999998</v>
      </c>
      <c r="H86" s="849">
        <v>1.9259259259259258</v>
      </c>
      <c r="I86" s="849">
        <v>1631.7999999999997</v>
      </c>
      <c r="J86" s="849">
        <v>5.4</v>
      </c>
      <c r="K86" s="849">
        <v>8811.7199999999993</v>
      </c>
      <c r="L86" s="849">
        <v>1</v>
      </c>
      <c r="M86" s="849">
        <v>1631.7999999999997</v>
      </c>
      <c r="N86" s="849">
        <v>8.3000000000000007</v>
      </c>
      <c r="O86" s="849">
        <v>13544.099999999999</v>
      </c>
      <c r="P86" s="837">
        <v>1.5370551946725497</v>
      </c>
      <c r="Q86" s="850">
        <v>1631.8192771084334</v>
      </c>
    </row>
    <row r="87" spans="1:17" ht="14.45" customHeight="1" x14ac:dyDescent="0.2">
      <c r="A87" s="831" t="s">
        <v>570</v>
      </c>
      <c r="B87" s="832" t="s">
        <v>2465</v>
      </c>
      <c r="C87" s="832" t="s">
        <v>2342</v>
      </c>
      <c r="D87" s="832" t="s">
        <v>2407</v>
      </c>
      <c r="E87" s="832" t="s">
        <v>2408</v>
      </c>
      <c r="F87" s="849">
        <v>9</v>
      </c>
      <c r="G87" s="849">
        <v>986.4</v>
      </c>
      <c r="H87" s="849">
        <v>0.9</v>
      </c>
      <c r="I87" s="849">
        <v>109.6</v>
      </c>
      <c r="J87" s="849">
        <v>10</v>
      </c>
      <c r="K87" s="849">
        <v>1096</v>
      </c>
      <c r="L87" s="849">
        <v>1</v>
      </c>
      <c r="M87" s="849">
        <v>109.6</v>
      </c>
      <c r="N87" s="849">
        <v>9</v>
      </c>
      <c r="O87" s="849">
        <v>986.4</v>
      </c>
      <c r="P87" s="837">
        <v>0.9</v>
      </c>
      <c r="Q87" s="850">
        <v>109.6</v>
      </c>
    </row>
    <row r="88" spans="1:17" ht="14.45" customHeight="1" x14ac:dyDescent="0.2">
      <c r="A88" s="831" t="s">
        <v>570</v>
      </c>
      <c r="B88" s="832" t="s">
        <v>2465</v>
      </c>
      <c r="C88" s="832" t="s">
        <v>2342</v>
      </c>
      <c r="D88" s="832" t="s">
        <v>2485</v>
      </c>
      <c r="E88" s="832" t="s">
        <v>2486</v>
      </c>
      <c r="F88" s="849">
        <v>0.1</v>
      </c>
      <c r="G88" s="849">
        <v>38.26</v>
      </c>
      <c r="H88" s="849"/>
      <c r="I88" s="849">
        <v>382.59999999999997</v>
      </c>
      <c r="J88" s="849"/>
      <c r="K88" s="849"/>
      <c r="L88" s="849"/>
      <c r="M88" s="849"/>
      <c r="N88" s="849">
        <v>0.3</v>
      </c>
      <c r="O88" s="849">
        <v>44.55</v>
      </c>
      <c r="P88" s="837"/>
      <c r="Q88" s="850">
        <v>148.5</v>
      </c>
    </row>
    <row r="89" spans="1:17" ht="14.45" customHeight="1" x14ac:dyDescent="0.2">
      <c r="A89" s="831" t="s">
        <v>570</v>
      </c>
      <c r="B89" s="832" t="s">
        <v>2465</v>
      </c>
      <c r="C89" s="832" t="s">
        <v>2342</v>
      </c>
      <c r="D89" s="832" t="s">
        <v>2487</v>
      </c>
      <c r="E89" s="832" t="s">
        <v>2488</v>
      </c>
      <c r="F89" s="849">
        <v>7</v>
      </c>
      <c r="G89" s="849">
        <v>72306.429999999993</v>
      </c>
      <c r="H89" s="849"/>
      <c r="I89" s="849">
        <v>10329.49</v>
      </c>
      <c r="J89" s="849"/>
      <c r="K89" s="849"/>
      <c r="L89" s="849"/>
      <c r="M89" s="849"/>
      <c r="N89" s="849"/>
      <c r="O89" s="849"/>
      <c r="P89" s="837"/>
      <c r="Q89" s="850"/>
    </row>
    <row r="90" spans="1:17" ht="14.45" customHeight="1" x14ac:dyDescent="0.2">
      <c r="A90" s="831" t="s">
        <v>570</v>
      </c>
      <c r="B90" s="832" t="s">
        <v>2465</v>
      </c>
      <c r="C90" s="832" t="s">
        <v>2342</v>
      </c>
      <c r="D90" s="832" t="s">
        <v>2489</v>
      </c>
      <c r="E90" s="832" t="s">
        <v>888</v>
      </c>
      <c r="F90" s="849">
        <v>12</v>
      </c>
      <c r="G90" s="849">
        <v>38073.360000000001</v>
      </c>
      <c r="H90" s="849">
        <v>12</v>
      </c>
      <c r="I90" s="849">
        <v>3172.78</v>
      </c>
      <c r="J90" s="849">
        <v>1</v>
      </c>
      <c r="K90" s="849">
        <v>3172.78</v>
      </c>
      <c r="L90" s="849">
        <v>1</v>
      </c>
      <c r="M90" s="849">
        <v>3172.78</v>
      </c>
      <c r="N90" s="849">
        <v>6</v>
      </c>
      <c r="O90" s="849">
        <v>15218.34</v>
      </c>
      <c r="P90" s="837">
        <v>4.7965317481829812</v>
      </c>
      <c r="Q90" s="850">
        <v>2536.39</v>
      </c>
    </row>
    <row r="91" spans="1:17" ht="14.45" customHeight="1" x14ac:dyDescent="0.2">
      <c r="A91" s="831" t="s">
        <v>570</v>
      </c>
      <c r="B91" s="832" t="s">
        <v>2465</v>
      </c>
      <c r="C91" s="832" t="s">
        <v>2342</v>
      </c>
      <c r="D91" s="832" t="s">
        <v>2411</v>
      </c>
      <c r="E91" s="832" t="s">
        <v>969</v>
      </c>
      <c r="F91" s="849"/>
      <c r="G91" s="849"/>
      <c r="H91" s="849"/>
      <c r="I91" s="849"/>
      <c r="J91" s="849">
        <v>13</v>
      </c>
      <c r="K91" s="849">
        <v>854.75</v>
      </c>
      <c r="L91" s="849">
        <v>1</v>
      </c>
      <c r="M91" s="849">
        <v>65.75</v>
      </c>
      <c r="N91" s="849">
        <v>2</v>
      </c>
      <c r="O91" s="849">
        <v>53.22</v>
      </c>
      <c r="P91" s="837">
        <v>6.2263819830359751E-2</v>
      </c>
      <c r="Q91" s="850">
        <v>26.61</v>
      </c>
    </row>
    <row r="92" spans="1:17" ht="14.45" customHeight="1" x14ac:dyDescent="0.2">
      <c r="A92" s="831" t="s">
        <v>570</v>
      </c>
      <c r="B92" s="832" t="s">
        <v>2465</v>
      </c>
      <c r="C92" s="832" t="s">
        <v>2342</v>
      </c>
      <c r="D92" s="832" t="s">
        <v>2490</v>
      </c>
      <c r="E92" s="832" t="s">
        <v>2491</v>
      </c>
      <c r="F92" s="849">
        <v>1.3</v>
      </c>
      <c r="G92" s="849">
        <v>1026.74</v>
      </c>
      <c r="H92" s="849">
        <v>1.0833333333333333</v>
      </c>
      <c r="I92" s="849">
        <v>789.8</v>
      </c>
      <c r="J92" s="849">
        <v>1.2</v>
      </c>
      <c r="K92" s="849">
        <v>947.76</v>
      </c>
      <c r="L92" s="849">
        <v>1</v>
      </c>
      <c r="M92" s="849">
        <v>789.80000000000007</v>
      </c>
      <c r="N92" s="849">
        <v>0.5</v>
      </c>
      <c r="O92" s="849">
        <v>394.9</v>
      </c>
      <c r="P92" s="837">
        <v>0.41666666666666663</v>
      </c>
      <c r="Q92" s="850">
        <v>789.8</v>
      </c>
    </row>
    <row r="93" spans="1:17" ht="14.45" customHeight="1" x14ac:dyDescent="0.2">
      <c r="A93" s="831" t="s">
        <v>570</v>
      </c>
      <c r="B93" s="832" t="s">
        <v>2465</v>
      </c>
      <c r="C93" s="832" t="s">
        <v>2342</v>
      </c>
      <c r="D93" s="832" t="s">
        <v>2412</v>
      </c>
      <c r="E93" s="832" t="s">
        <v>947</v>
      </c>
      <c r="F93" s="849">
        <v>0.2</v>
      </c>
      <c r="G93" s="849">
        <v>39.18</v>
      </c>
      <c r="H93" s="849">
        <v>0.29221360381861572</v>
      </c>
      <c r="I93" s="849">
        <v>195.89999999999998</v>
      </c>
      <c r="J93" s="849">
        <v>0.4</v>
      </c>
      <c r="K93" s="849">
        <v>134.08000000000001</v>
      </c>
      <c r="L93" s="849">
        <v>1</v>
      </c>
      <c r="M93" s="849">
        <v>335.2</v>
      </c>
      <c r="N93" s="849">
        <v>1</v>
      </c>
      <c r="O93" s="849">
        <v>143.66</v>
      </c>
      <c r="P93" s="837">
        <v>1.0714498806682575</v>
      </c>
      <c r="Q93" s="850">
        <v>143.66</v>
      </c>
    </row>
    <row r="94" spans="1:17" ht="14.45" customHeight="1" x14ac:dyDescent="0.2">
      <c r="A94" s="831" t="s">
        <v>570</v>
      </c>
      <c r="B94" s="832" t="s">
        <v>2465</v>
      </c>
      <c r="C94" s="832" t="s">
        <v>2342</v>
      </c>
      <c r="D94" s="832" t="s">
        <v>2413</v>
      </c>
      <c r="E94" s="832" t="s">
        <v>965</v>
      </c>
      <c r="F94" s="849">
        <v>2</v>
      </c>
      <c r="G94" s="849">
        <v>4251.2</v>
      </c>
      <c r="H94" s="849">
        <v>1.1062565218183285</v>
      </c>
      <c r="I94" s="849">
        <v>2125.6</v>
      </c>
      <c r="J94" s="849">
        <v>2.2000000000000002</v>
      </c>
      <c r="K94" s="849">
        <v>3842.87</v>
      </c>
      <c r="L94" s="849">
        <v>1</v>
      </c>
      <c r="M94" s="849">
        <v>1746.7590909090907</v>
      </c>
      <c r="N94" s="849">
        <v>1.4000000000000001</v>
      </c>
      <c r="O94" s="849">
        <v>642.66</v>
      </c>
      <c r="P94" s="837">
        <v>0.16723438471767194</v>
      </c>
      <c r="Q94" s="850">
        <v>459.04285714285709</v>
      </c>
    </row>
    <row r="95" spans="1:17" ht="14.45" customHeight="1" x14ac:dyDescent="0.2">
      <c r="A95" s="831" t="s">
        <v>570</v>
      </c>
      <c r="B95" s="832" t="s">
        <v>2465</v>
      </c>
      <c r="C95" s="832" t="s">
        <v>2342</v>
      </c>
      <c r="D95" s="832" t="s">
        <v>2414</v>
      </c>
      <c r="E95" s="832" t="s">
        <v>982</v>
      </c>
      <c r="F95" s="849">
        <v>20</v>
      </c>
      <c r="G95" s="849">
        <v>2356.52</v>
      </c>
      <c r="H95" s="849">
        <v>5.3752737226277372</v>
      </c>
      <c r="I95" s="849">
        <v>117.82599999999999</v>
      </c>
      <c r="J95" s="849">
        <v>4</v>
      </c>
      <c r="K95" s="849">
        <v>438.4</v>
      </c>
      <c r="L95" s="849">
        <v>1</v>
      </c>
      <c r="M95" s="849">
        <v>109.6</v>
      </c>
      <c r="N95" s="849">
        <v>9</v>
      </c>
      <c r="O95" s="849">
        <v>300.51</v>
      </c>
      <c r="P95" s="837">
        <v>0.68546989051094886</v>
      </c>
      <c r="Q95" s="850">
        <v>33.39</v>
      </c>
    </row>
    <row r="96" spans="1:17" ht="14.45" customHeight="1" x14ac:dyDescent="0.2">
      <c r="A96" s="831" t="s">
        <v>570</v>
      </c>
      <c r="B96" s="832" t="s">
        <v>2465</v>
      </c>
      <c r="C96" s="832" t="s">
        <v>2342</v>
      </c>
      <c r="D96" s="832" t="s">
        <v>2492</v>
      </c>
      <c r="E96" s="832" t="s">
        <v>978</v>
      </c>
      <c r="F96" s="849"/>
      <c r="G96" s="849"/>
      <c r="H96" s="849"/>
      <c r="I96" s="849"/>
      <c r="J96" s="849"/>
      <c r="K96" s="849"/>
      <c r="L96" s="849"/>
      <c r="M96" s="849"/>
      <c r="N96" s="849">
        <v>0.3</v>
      </c>
      <c r="O96" s="849">
        <v>189.63</v>
      </c>
      <c r="P96" s="837"/>
      <c r="Q96" s="850">
        <v>632.1</v>
      </c>
    </row>
    <row r="97" spans="1:17" ht="14.45" customHeight="1" x14ac:dyDescent="0.2">
      <c r="A97" s="831" t="s">
        <v>570</v>
      </c>
      <c r="B97" s="832" t="s">
        <v>2465</v>
      </c>
      <c r="C97" s="832" t="s">
        <v>2342</v>
      </c>
      <c r="D97" s="832" t="s">
        <v>2493</v>
      </c>
      <c r="E97" s="832" t="s">
        <v>972</v>
      </c>
      <c r="F97" s="849">
        <v>0.5</v>
      </c>
      <c r="G97" s="849">
        <v>815.9</v>
      </c>
      <c r="H97" s="849"/>
      <c r="I97" s="849">
        <v>1631.8</v>
      </c>
      <c r="J97" s="849"/>
      <c r="K97" s="849"/>
      <c r="L97" s="849"/>
      <c r="M97" s="849"/>
      <c r="N97" s="849"/>
      <c r="O97" s="849"/>
      <c r="P97" s="837"/>
      <c r="Q97" s="850"/>
    </row>
    <row r="98" spans="1:17" ht="14.45" customHeight="1" x14ac:dyDescent="0.2">
      <c r="A98" s="831" t="s">
        <v>570</v>
      </c>
      <c r="B98" s="832" t="s">
        <v>2465</v>
      </c>
      <c r="C98" s="832" t="s">
        <v>2342</v>
      </c>
      <c r="D98" s="832" t="s">
        <v>2494</v>
      </c>
      <c r="E98" s="832" t="s">
        <v>972</v>
      </c>
      <c r="F98" s="849">
        <v>0.3</v>
      </c>
      <c r="G98" s="849">
        <v>979.11</v>
      </c>
      <c r="H98" s="849"/>
      <c r="I98" s="849">
        <v>3263.7000000000003</v>
      </c>
      <c r="J98" s="849"/>
      <c r="K98" s="849"/>
      <c r="L98" s="849"/>
      <c r="M98" s="849"/>
      <c r="N98" s="849">
        <v>2.4</v>
      </c>
      <c r="O98" s="849">
        <v>2600.52</v>
      </c>
      <c r="P98" s="837"/>
      <c r="Q98" s="850">
        <v>1083.55</v>
      </c>
    </row>
    <row r="99" spans="1:17" ht="14.45" customHeight="1" x14ac:dyDescent="0.2">
      <c r="A99" s="831" t="s">
        <v>570</v>
      </c>
      <c r="B99" s="832" t="s">
        <v>2465</v>
      </c>
      <c r="C99" s="832" t="s">
        <v>2342</v>
      </c>
      <c r="D99" s="832" t="s">
        <v>2495</v>
      </c>
      <c r="E99" s="832" t="s">
        <v>2496</v>
      </c>
      <c r="F99" s="849">
        <v>1</v>
      </c>
      <c r="G99" s="849">
        <v>265.85000000000002</v>
      </c>
      <c r="H99" s="849"/>
      <c r="I99" s="849">
        <v>265.85000000000002</v>
      </c>
      <c r="J99" s="849"/>
      <c r="K99" s="849"/>
      <c r="L99" s="849"/>
      <c r="M99" s="849"/>
      <c r="N99" s="849"/>
      <c r="O99" s="849"/>
      <c r="P99" s="837"/>
      <c r="Q99" s="850"/>
    </row>
    <row r="100" spans="1:17" ht="14.45" customHeight="1" x14ac:dyDescent="0.2">
      <c r="A100" s="831" t="s">
        <v>570</v>
      </c>
      <c r="B100" s="832" t="s">
        <v>2465</v>
      </c>
      <c r="C100" s="832" t="s">
        <v>2342</v>
      </c>
      <c r="D100" s="832" t="s">
        <v>2497</v>
      </c>
      <c r="E100" s="832" t="s">
        <v>2498</v>
      </c>
      <c r="F100" s="849"/>
      <c r="G100" s="849"/>
      <c r="H100" s="849"/>
      <c r="I100" s="849"/>
      <c r="J100" s="849">
        <v>3.61</v>
      </c>
      <c r="K100" s="849">
        <v>618701.28</v>
      </c>
      <c r="L100" s="849">
        <v>1</v>
      </c>
      <c r="M100" s="849">
        <v>171385.39612188368</v>
      </c>
      <c r="N100" s="849">
        <v>1</v>
      </c>
      <c r="O100" s="849">
        <v>171385.38</v>
      </c>
      <c r="P100" s="837">
        <v>0.27700828419168616</v>
      </c>
      <c r="Q100" s="850">
        <v>171385.38</v>
      </c>
    </row>
    <row r="101" spans="1:17" ht="14.45" customHeight="1" x14ac:dyDescent="0.2">
      <c r="A101" s="831" t="s">
        <v>570</v>
      </c>
      <c r="B101" s="832" t="s">
        <v>2465</v>
      </c>
      <c r="C101" s="832" t="s">
        <v>2342</v>
      </c>
      <c r="D101" s="832" t="s">
        <v>2499</v>
      </c>
      <c r="E101" s="832" t="s">
        <v>2474</v>
      </c>
      <c r="F101" s="849">
        <v>4</v>
      </c>
      <c r="G101" s="849">
        <v>131.47999999999999</v>
      </c>
      <c r="H101" s="849"/>
      <c r="I101" s="849">
        <v>32.869999999999997</v>
      </c>
      <c r="J101" s="849"/>
      <c r="K101" s="849"/>
      <c r="L101" s="849"/>
      <c r="M101" s="849"/>
      <c r="N101" s="849"/>
      <c r="O101" s="849"/>
      <c r="P101" s="837"/>
      <c r="Q101" s="850"/>
    </row>
    <row r="102" spans="1:17" ht="14.45" customHeight="1" x14ac:dyDescent="0.2">
      <c r="A102" s="831" t="s">
        <v>570</v>
      </c>
      <c r="B102" s="832" t="s">
        <v>2465</v>
      </c>
      <c r="C102" s="832" t="s">
        <v>2347</v>
      </c>
      <c r="D102" s="832" t="s">
        <v>2500</v>
      </c>
      <c r="E102" s="832" t="s">
        <v>2349</v>
      </c>
      <c r="F102" s="849">
        <v>1</v>
      </c>
      <c r="G102" s="849">
        <v>2641.15</v>
      </c>
      <c r="H102" s="849">
        <v>0.25</v>
      </c>
      <c r="I102" s="849">
        <v>2641.15</v>
      </c>
      <c r="J102" s="849">
        <v>4</v>
      </c>
      <c r="K102" s="849">
        <v>10564.6</v>
      </c>
      <c r="L102" s="849">
        <v>1</v>
      </c>
      <c r="M102" s="849">
        <v>2641.15</v>
      </c>
      <c r="N102" s="849"/>
      <c r="O102" s="849"/>
      <c r="P102" s="837"/>
      <c r="Q102" s="850"/>
    </row>
    <row r="103" spans="1:17" ht="14.45" customHeight="1" x14ac:dyDescent="0.2">
      <c r="A103" s="831" t="s">
        <v>570</v>
      </c>
      <c r="B103" s="832" t="s">
        <v>2465</v>
      </c>
      <c r="C103" s="832" t="s">
        <v>2347</v>
      </c>
      <c r="D103" s="832" t="s">
        <v>2348</v>
      </c>
      <c r="E103" s="832" t="s">
        <v>2349</v>
      </c>
      <c r="F103" s="849">
        <v>87</v>
      </c>
      <c r="G103" s="849">
        <v>141613.16999999998</v>
      </c>
      <c r="H103" s="849">
        <v>1.6051922004889032</v>
      </c>
      <c r="I103" s="849">
        <v>1627.7375862068964</v>
      </c>
      <c r="J103" s="849">
        <v>53</v>
      </c>
      <c r="K103" s="849">
        <v>88221.94</v>
      </c>
      <c r="L103" s="849">
        <v>1</v>
      </c>
      <c r="M103" s="849">
        <v>1664.5649056603775</v>
      </c>
      <c r="N103" s="849">
        <v>63.1</v>
      </c>
      <c r="O103" s="849">
        <v>105697.09</v>
      </c>
      <c r="P103" s="837">
        <v>1.1980816790018447</v>
      </c>
      <c r="Q103" s="850">
        <v>1675.0727416798732</v>
      </c>
    </row>
    <row r="104" spans="1:17" ht="14.45" customHeight="1" x14ac:dyDescent="0.2">
      <c r="A104" s="831" t="s">
        <v>570</v>
      </c>
      <c r="B104" s="832" t="s">
        <v>2465</v>
      </c>
      <c r="C104" s="832" t="s">
        <v>2347</v>
      </c>
      <c r="D104" s="832" t="s">
        <v>2416</v>
      </c>
      <c r="E104" s="832" t="s">
        <v>2417</v>
      </c>
      <c r="F104" s="849">
        <v>2</v>
      </c>
      <c r="G104" s="849">
        <v>20618.3</v>
      </c>
      <c r="H104" s="849">
        <v>0.4995699273843589</v>
      </c>
      <c r="I104" s="849">
        <v>10309.15</v>
      </c>
      <c r="J104" s="849">
        <v>4</v>
      </c>
      <c r="K104" s="849">
        <v>41272.1</v>
      </c>
      <c r="L104" s="849">
        <v>1</v>
      </c>
      <c r="M104" s="849">
        <v>10318.025</v>
      </c>
      <c r="N104" s="849">
        <v>7</v>
      </c>
      <c r="O104" s="849">
        <v>72423.7</v>
      </c>
      <c r="P104" s="837">
        <v>1.7547859207551832</v>
      </c>
      <c r="Q104" s="850">
        <v>10346.242857142857</v>
      </c>
    </row>
    <row r="105" spans="1:17" ht="14.45" customHeight="1" x14ac:dyDescent="0.2">
      <c r="A105" s="831" t="s">
        <v>570</v>
      </c>
      <c r="B105" s="832" t="s">
        <v>2465</v>
      </c>
      <c r="C105" s="832" t="s">
        <v>2347</v>
      </c>
      <c r="D105" s="832" t="s">
        <v>2501</v>
      </c>
      <c r="E105" s="832" t="s">
        <v>2417</v>
      </c>
      <c r="F105" s="849">
        <v>33</v>
      </c>
      <c r="G105" s="849">
        <v>135626.96000000002</v>
      </c>
      <c r="H105" s="849">
        <v>5.4886634685504641</v>
      </c>
      <c r="I105" s="849">
        <v>4109.9078787878798</v>
      </c>
      <c r="J105" s="849">
        <v>6</v>
      </c>
      <c r="K105" s="849">
        <v>24710.38</v>
      </c>
      <c r="L105" s="849">
        <v>1</v>
      </c>
      <c r="M105" s="849">
        <v>4118.3966666666665</v>
      </c>
      <c r="N105" s="849">
        <v>12</v>
      </c>
      <c r="O105" s="849">
        <v>49470.630000000005</v>
      </c>
      <c r="P105" s="837">
        <v>2.002018180214145</v>
      </c>
      <c r="Q105" s="850">
        <v>4122.5525000000007</v>
      </c>
    </row>
    <row r="106" spans="1:17" ht="14.45" customHeight="1" x14ac:dyDescent="0.2">
      <c r="A106" s="831" t="s">
        <v>570</v>
      </c>
      <c r="B106" s="832" t="s">
        <v>2465</v>
      </c>
      <c r="C106" s="832" t="s">
        <v>2347</v>
      </c>
      <c r="D106" s="832" t="s">
        <v>2502</v>
      </c>
      <c r="E106" s="832" t="s">
        <v>2503</v>
      </c>
      <c r="F106" s="849">
        <v>39</v>
      </c>
      <c r="G106" s="849">
        <v>47252.79</v>
      </c>
      <c r="H106" s="849">
        <v>2.7815360471673567</v>
      </c>
      <c r="I106" s="849">
        <v>1211.6100000000001</v>
      </c>
      <c r="J106" s="849">
        <v>14</v>
      </c>
      <c r="K106" s="849">
        <v>16988.02</v>
      </c>
      <c r="L106" s="849">
        <v>1</v>
      </c>
      <c r="M106" s="849">
        <v>1213.43</v>
      </c>
      <c r="N106" s="849">
        <v>15</v>
      </c>
      <c r="O106" s="849">
        <v>18389.490000000002</v>
      </c>
      <c r="P106" s="837">
        <v>1.0824975482722532</v>
      </c>
      <c r="Q106" s="850">
        <v>1225.9660000000001</v>
      </c>
    </row>
    <row r="107" spans="1:17" ht="14.45" customHeight="1" x14ac:dyDescent="0.2">
      <c r="A107" s="831" t="s">
        <v>570</v>
      </c>
      <c r="B107" s="832" t="s">
        <v>2465</v>
      </c>
      <c r="C107" s="832" t="s">
        <v>2347</v>
      </c>
      <c r="D107" s="832" t="s">
        <v>2504</v>
      </c>
      <c r="E107" s="832" t="s">
        <v>2505</v>
      </c>
      <c r="F107" s="849">
        <v>1</v>
      </c>
      <c r="G107" s="849">
        <v>1211.6099999999999</v>
      </c>
      <c r="H107" s="849"/>
      <c r="I107" s="849">
        <v>1211.6099999999999</v>
      </c>
      <c r="J107" s="849"/>
      <c r="K107" s="849"/>
      <c r="L107" s="849"/>
      <c r="M107" s="849"/>
      <c r="N107" s="849"/>
      <c r="O107" s="849"/>
      <c r="P107" s="837"/>
      <c r="Q107" s="850"/>
    </row>
    <row r="108" spans="1:17" ht="14.45" customHeight="1" x14ac:dyDescent="0.2">
      <c r="A108" s="831" t="s">
        <v>570</v>
      </c>
      <c r="B108" s="832" t="s">
        <v>2465</v>
      </c>
      <c r="C108" s="832" t="s">
        <v>2347</v>
      </c>
      <c r="D108" s="832" t="s">
        <v>2350</v>
      </c>
      <c r="E108" s="832" t="s">
        <v>2351</v>
      </c>
      <c r="F108" s="849">
        <v>122</v>
      </c>
      <c r="G108" s="849">
        <v>29899.82</v>
      </c>
      <c r="H108" s="849">
        <v>1.8637357842541427</v>
      </c>
      <c r="I108" s="849">
        <v>245.08049180327868</v>
      </c>
      <c r="J108" s="849">
        <v>65</v>
      </c>
      <c r="K108" s="849">
        <v>16042.95</v>
      </c>
      <c r="L108" s="849">
        <v>1</v>
      </c>
      <c r="M108" s="849">
        <v>246.81461538461539</v>
      </c>
      <c r="N108" s="849">
        <v>81</v>
      </c>
      <c r="O108" s="849">
        <v>20246.759999999995</v>
      </c>
      <c r="P108" s="837">
        <v>1.2620347255336453</v>
      </c>
      <c r="Q108" s="850">
        <v>249.95999999999992</v>
      </c>
    </row>
    <row r="109" spans="1:17" ht="14.45" customHeight="1" x14ac:dyDescent="0.2">
      <c r="A109" s="831" t="s">
        <v>570</v>
      </c>
      <c r="B109" s="832" t="s">
        <v>2465</v>
      </c>
      <c r="C109" s="832" t="s">
        <v>2418</v>
      </c>
      <c r="D109" s="832" t="s">
        <v>2506</v>
      </c>
      <c r="E109" s="832" t="s">
        <v>2507</v>
      </c>
      <c r="F109" s="849"/>
      <c r="G109" s="849"/>
      <c r="H109" s="849"/>
      <c r="I109" s="849"/>
      <c r="J109" s="849">
        <v>2</v>
      </c>
      <c r="K109" s="849">
        <v>7851.26</v>
      </c>
      <c r="L109" s="849">
        <v>1</v>
      </c>
      <c r="M109" s="849">
        <v>3925.63</v>
      </c>
      <c r="N109" s="849"/>
      <c r="O109" s="849"/>
      <c r="P109" s="837"/>
      <c r="Q109" s="850"/>
    </row>
    <row r="110" spans="1:17" ht="14.45" customHeight="1" x14ac:dyDescent="0.2">
      <c r="A110" s="831" t="s">
        <v>570</v>
      </c>
      <c r="B110" s="832" t="s">
        <v>2465</v>
      </c>
      <c r="C110" s="832" t="s">
        <v>2418</v>
      </c>
      <c r="D110" s="832" t="s">
        <v>2508</v>
      </c>
      <c r="E110" s="832" t="s">
        <v>2509</v>
      </c>
      <c r="F110" s="849"/>
      <c r="G110" s="849"/>
      <c r="H110" s="849"/>
      <c r="I110" s="849"/>
      <c r="J110" s="849">
        <v>3</v>
      </c>
      <c r="K110" s="849">
        <v>15669.9</v>
      </c>
      <c r="L110" s="849">
        <v>1</v>
      </c>
      <c r="M110" s="849">
        <v>5223.3</v>
      </c>
      <c r="N110" s="849"/>
      <c r="O110" s="849"/>
      <c r="P110" s="837"/>
      <c r="Q110" s="850"/>
    </row>
    <row r="111" spans="1:17" ht="14.45" customHeight="1" x14ac:dyDescent="0.2">
      <c r="A111" s="831" t="s">
        <v>570</v>
      </c>
      <c r="B111" s="832" t="s">
        <v>2465</v>
      </c>
      <c r="C111" s="832" t="s">
        <v>2418</v>
      </c>
      <c r="D111" s="832" t="s">
        <v>2510</v>
      </c>
      <c r="E111" s="832" t="s">
        <v>2511</v>
      </c>
      <c r="F111" s="849">
        <v>1</v>
      </c>
      <c r="G111" s="849">
        <v>460.87</v>
      </c>
      <c r="H111" s="849"/>
      <c r="I111" s="849">
        <v>460.87</v>
      </c>
      <c r="J111" s="849"/>
      <c r="K111" s="849"/>
      <c r="L111" s="849"/>
      <c r="M111" s="849"/>
      <c r="N111" s="849"/>
      <c r="O111" s="849"/>
      <c r="P111" s="837"/>
      <c r="Q111" s="850"/>
    </row>
    <row r="112" spans="1:17" ht="14.45" customHeight="1" x14ac:dyDescent="0.2">
      <c r="A112" s="831" t="s">
        <v>570</v>
      </c>
      <c r="B112" s="832" t="s">
        <v>2465</v>
      </c>
      <c r="C112" s="832" t="s">
        <v>2418</v>
      </c>
      <c r="D112" s="832" t="s">
        <v>2512</v>
      </c>
      <c r="E112" s="832" t="s">
        <v>2513</v>
      </c>
      <c r="F112" s="849">
        <v>1</v>
      </c>
      <c r="G112" s="849">
        <v>10478</v>
      </c>
      <c r="H112" s="849">
        <v>1</v>
      </c>
      <c r="I112" s="849">
        <v>10478</v>
      </c>
      <c r="J112" s="849">
        <v>1</v>
      </c>
      <c r="K112" s="849">
        <v>10478</v>
      </c>
      <c r="L112" s="849">
        <v>1</v>
      </c>
      <c r="M112" s="849">
        <v>10478</v>
      </c>
      <c r="N112" s="849">
        <v>2</v>
      </c>
      <c r="O112" s="849">
        <v>20956</v>
      </c>
      <c r="P112" s="837">
        <v>2</v>
      </c>
      <c r="Q112" s="850">
        <v>10478</v>
      </c>
    </row>
    <row r="113" spans="1:17" ht="14.45" customHeight="1" x14ac:dyDescent="0.2">
      <c r="A113" s="831" t="s">
        <v>570</v>
      </c>
      <c r="B113" s="832" t="s">
        <v>2465</v>
      </c>
      <c r="C113" s="832" t="s">
        <v>2418</v>
      </c>
      <c r="D113" s="832" t="s">
        <v>2514</v>
      </c>
      <c r="E113" s="832" t="s">
        <v>2515</v>
      </c>
      <c r="F113" s="849">
        <v>1</v>
      </c>
      <c r="G113" s="849">
        <v>556.5</v>
      </c>
      <c r="H113" s="849"/>
      <c r="I113" s="849">
        <v>556.5</v>
      </c>
      <c r="J113" s="849"/>
      <c r="K113" s="849"/>
      <c r="L113" s="849"/>
      <c r="M113" s="849"/>
      <c r="N113" s="849"/>
      <c r="O113" s="849"/>
      <c r="P113" s="837"/>
      <c r="Q113" s="850"/>
    </row>
    <row r="114" spans="1:17" ht="14.45" customHeight="1" x14ac:dyDescent="0.2">
      <c r="A114" s="831" t="s">
        <v>570</v>
      </c>
      <c r="B114" s="832" t="s">
        <v>2465</v>
      </c>
      <c r="C114" s="832" t="s">
        <v>2418</v>
      </c>
      <c r="D114" s="832" t="s">
        <v>2516</v>
      </c>
      <c r="E114" s="832" t="s">
        <v>2517</v>
      </c>
      <c r="F114" s="849">
        <v>1</v>
      </c>
      <c r="G114" s="849">
        <v>61920</v>
      </c>
      <c r="H114" s="849"/>
      <c r="I114" s="849">
        <v>61920</v>
      </c>
      <c r="J114" s="849"/>
      <c r="K114" s="849"/>
      <c r="L114" s="849"/>
      <c r="M114" s="849"/>
      <c r="N114" s="849">
        <v>1</v>
      </c>
      <c r="O114" s="849">
        <v>61920</v>
      </c>
      <c r="P114" s="837"/>
      <c r="Q114" s="850">
        <v>61920</v>
      </c>
    </row>
    <row r="115" spans="1:17" ht="14.45" customHeight="1" x14ac:dyDescent="0.2">
      <c r="A115" s="831" t="s">
        <v>570</v>
      </c>
      <c r="B115" s="832" t="s">
        <v>2465</v>
      </c>
      <c r="C115" s="832" t="s">
        <v>2418</v>
      </c>
      <c r="D115" s="832" t="s">
        <v>2518</v>
      </c>
      <c r="E115" s="832" t="s">
        <v>2519</v>
      </c>
      <c r="F115" s="849"/>
      <c r="G115" s="849"/>
      <c r="H115" s="849"/>
      <c r="I115" s="849"/>
      <c r="J115" s="849">
        <v>1</v>
      </c>
      <c r="K115" s="849">
        <v>6133.4</v>
      </c>
      <c r="L115" s="849">
        <v>1</v>
      </c>
      <c r="M115" s="849">
        <v>6133.4</v>
      </c>
      <c r="N115" s="849"/>
      <c r="O115" s="849"/>
      <c r="P115" s="837"/>
      <c r="Q115" s="850"/>
    </row>
    <row r="116" spans="1:17" ht="14.45" customHeight="1" x14ac:dyDescent="0.2">
      <c r="A116" s="831" t="s">
        <v>570</v>
      </c>
      <c r="B116" s="832" t="s">
        <v>2465</v>
      </c>
      <c r="C116" s="832" t="s">
        <v>847</v>
      </c>
      <c r="D116" s="832" t="s">
        <v>2423</v>
      </c>
      <c r="E116" s="832" t="s">
        <v>2424</v>
      </c>
      <c r="F116" s="849"/>
      <c r="G116" s="849"/>
      <c r="H116" s="849"/>
      <c r="I116" s="849"/>
      <c r="J116" s="849">
        <v>212</v>
      </c>
      <c r="K116" s="849">
        <v>37736</v>
      </c>
      <c r="L116" s="849">
        <v>1</v>
      </c>
      <c r="M116" s="849">
        <v>178</v>
      </c>
      <c r="N116" s="849">
        <v>233</v>
      </c>
      <c r="O116" s="849">
        <v>42173</v>
      </c>
      <c r="P116" s="837">
        <v>1.1175800296798812</v>
      </c>
      <c r="Q116" s="850">
        <v>181</v>
      </c>
    </row>
    <row r="117" spans="1:17" ht="14.45" customHeight="1" x14ac:dyDescent="0.2">
      <c r="A117" s="831" t="s">
        <v>570</v>
      </c>
      <c r="B117" s="832" t="s">
        <v>2465</v>
      </c>
      <c r="C117" s="832" t="s">
        <v>847</v>
      </c>
      <c r="D117" s="832" t="s">
        <v>2520</v>
      </c>
      <c r="E117" s="832" t="s">
        <v>2521</v>
      </c>
      <c r="F117" s="849">
        <v>203</v>
      </c>
      <c r="G117" s="849">
        <v>5879895</v>
      </c>
      <c r="H117" s="849">
        <v>1.3096774193548386</v>
      </c>
      <c r="I117" s="849">
        <v>28965</v>
      </c>
      <c r="J117" s="849">
        <v>155</v>
      </c>
      <c r="K117" s="849">
        <v>4489575</v>
      </c>
      <c r="L117" s="849">
        <v>1</v>
      </c>
      <c r="M117" s="849">
        <v>28965</v>
      </c>
      <c r="N117" s="849">
        <v>101</v>
      </c>
      <c r="O117" s="849">
        <v>2926081</v>
      </c>
      <c r="P117" s="837">
        <v>0.65175010997700222</v>
      </c>
      <c r="Q117" s="850">
        <v>28971.09900990099</v>
      </c>
    </row>
    <row r="118" spans="1:17" ht="14.45" customHeight="1" x14ac:dyDescent="0.2">
      <c r="A118" s="831" t="s">
        <v>570</v>
      </c>
      <c r="B118" s="832" t="s">
        <v>2465</v>
      </c>
      <c r="C118" s="832" t="s">
        <v>847</v>
      </c>
      <c r="D118" s="832" t="s">
        <v>2522</v>
      </c>
      <c r="E118" s="832" t="s">
        <v>2523</v>
      </c>
      <c r="F118" s="849">
        <v>531</v>
      </c>
      <c r="G118" s="849">
        <v>7259832</v>
      </c>
      <c r="H118" s="849">
        <v>1.2178899082568808</v>
      </c>
      <c r="I118" s="849">
        <v>13672</v>
      </c>
      <c r="J118" s="849">
        <v>436</v>
      </c>
      <c r="K118" s="849">
        <v>5960992</v>
      </c>
      <c r="L118" s="849">
        <v>1</v>
      </c>
      <c r="M118" s="849">
        <v>13672</v>
      </c>
      <c r="N118" s="849">
        <v>440</v>
      </c>
      <c r="O118" s="849">
        <v>6018028</v>
      </c>
      <c r="P118" s="837">
        <v>1.0095682060972402</v>
      </c>
      <c r="Q118" s="850">
        <v>13677.336363636363</v>
      </c>
    </row>
    <row r="119" spans="1:17" ht="14.45" customHeight="1" x14ac:dyDescent="0.2">
      <c r="A119" s="831" t="s">
        <v>570</v>
      </c>
      <c r="B119" s="832" t="s">
        <v>2465</v>
      </c>
      <c r="C119" s="832" t="s">
        <v>847</v>
      </c>
      <c r="D119" s="832" t="s">
        <v>2427</v>
      </c>
      <c r="E119" s="832" t="s">
        <v>2428</v>
      </c>
      <c r="F119" s="849">
        <v>0</v>
      </c>
      <c r="G119" s="849">
        <v>0</v>
      </c>
      <c r="H119" s="849"/>
      <c r="I119" s="849"/>
      <c r="J119" s="849">
        <v>0</v>
      </c>
      <c r="K119" s="849">
        <v>0</v>
      </c>
      <c r="L119" s="849"/>
      <c r="M119" s="849"/>
      <c r="N119" s="849">
        <v>0</v>
      </c>
      <c r="O119" s="849">
        <v>0</v>
      </c>
      <c r="P119" s="837"/>
      <c r="Q119" s="850"/>
    </row>
    <row r="120" spans="1:17" ht="14.45" customHeight="1" x14ac:dyDescent="0.2">
      <c r="A120" s="831" t="s">
        <v>570</v>
      </c>
      <c r="B120" s="832" t="s">
        <v>2465</v>
      </c>
      <c r="C120" s="832" t="s">
        <v>847</v>
      </c>
      <c r="D120" s="832" t="s">
        <v>2429</v>
      </c>
      <c r="E120" s="832" t="s">
        <v>2430</v>
      </c>
      <c r="F120" s="849">
        <v>2162</v>
      </c>
      <c r="G120" s="849">
        <v>0</v>
      </c>
      <c r="H120" s="849"/>
      <c r="I120" s="849">
        <v>0</v>
      </c>
      <c r="J120" s="849">
        <v>1621</v>
      </c>
      <c r="K120" s="849">
        <v>0</v>
      </c>
      <c r="L120" s="849"/>
      <c r="M120" s="849">
        <v>0</v>
      </c>
      <c r="N120" s="849">
        <v>1013</v>
      </c>
      <c r="O120" s="849">
        <v>0</v>
      </c>
      <c r="P120" s="837"/>
      <c r="Q120" s="850">
        <v>0</v>
      </c>
    </row>
    <row r="121" spans="1:17" ht="14.45" customHeight="1" x14ac:dyDescent="0.2">
      <c r="A121" s="831" t="s">
        <v>570</v>
      </c>
      <c r="B121" s="832" t="s">
        <v>2465</v>
      </c>
      <c r="C121" s="832" t="s">
        <v>847</v>
      </c>
      <c r="D121" s="832" t="s">
        <v>2524</v>
      </c>
      <c r="E121" s="832" t="s">
        <v>2525</v>
      </c>
      <c r="F121" s="849"/>
      <c r="G121" s="849"/>
      <c r="H121" s="849"/>
      <c r="I121" s="849"/>
      <c r="J121" s="849"/>
      <c r="K121" s="849"/>
      <c r="L121" s="849"/>
      <c r="M121" s="849"/>
      <c r="N121" s="849">
        <v>11</v>
      </c>
      <c r="O121" s="849">
        <v>0</v>
      </c>
      <c r="P121" s="837"/>
      <c r="Q121" s="850">
        <v>0</v>
      </c>
    </row>
    <row r="122" spans="1:17" ht="14.45" customHeight="1" x14ac:dyDescent="0.2">
      <c r="A122" s="831" t="s">
        <v>570</v>
      </c>
      <c r="B122" s="832" t="s">
        <v>2465</v>
      </c>
      <c r="C122" s="832" t="s">
        <v>847</v>
      </c>
      <c r="D122" s="832" t="s">
        <v>2526</v>
      </c>
      <c r="E122" s="832" t="s">
        <v>2527</v>
      </c>
      <c r="F122" s="849"/>
      <c r="G122" s="849"/>
      <c r="H122" s="849"/>
      <c r="I122" s="849"/>
      <c r="J122" s="849"/>
      <c r="K122" s="849"/>
      <c r="L122" s="849"/>
      <c r="M122" s="849"/>
      <c r="N122" s="849">
        <v>19</v>
      </c>
      <c r="O122" s="849">
        <v>0</v>
      </c>
      <c r="P122" s="837"/>
      <c r="Q122" s="850">
        <v>0</v>
      </c>
    </row>
    <row r="123" spans="1:17" ht="14.45" customHeight="1" x14ac:dyDescent="0.2">
      <c r="A123" s="831" t="s">
        <v>570</v>
      </c>
      <c r="B123" s="832" t="s">
        <v>2465</v>
      </c>
      <c r="C123" s="832" t="s">
        <v>847</v>
      </c>
      <c r="D123" s="832" t="s">
        <v>2431</v>
      </c>
      <c r="E123" s="832" t="s">
        <v>2432</v>
      </c>
      <c r="F123" s="849">
        <v>42</v>
      </c>
      <c r="G123" s="849">
        <v>0</v>
      </c>
      <c r="H123" s="849"/>
      <c r="I123" s="849">
        <v>0</v>
      </c>
      <c r="J123" s="849">
        <v>28</v>
      </c>
      <c r="K123" s="849">
        <v>0</v>
      </c>
      <c r="L123" s="849"/>
      <c r="M123" s="849">
        <v>0</v>
      </c>
      <c r="N123" s="849">
        <v>17</v>
      </c>
      <c r="O123" s="849">
        <v>0</v>
      </c>
      <c r="P123" s="837"/>
      <c r="Q123" s="850">
        <v>0</v>
      </c>
    </row>
    <row r="124" spans="1:17" ht="14.45" customHeight="1" x14ac:dyDescent="0.2">
      <c r="A124" s="831" t="s">
        <v>570</v>
      </c>
      <c r="B124" s="832" t="s">
        <v>2465</v>
      </c>
      <c r="C124" s="832" t="s">
        <v>847</v>
      </c>
      <c r="D124" s="832" t="s">
        <v>2528</v>
      </c>
      <c r="E124" s="832" t="s">
        <v>2529</v>
      </c>
      <c r="F124" s="849">
        <v>13</v>
      </c>
      <c r="G124" s="849">
        <v>0</v>
      </c>
      <c r="H124" s="849"/>
      <c r="I124" s="849">
        <v>0</v>
      </c>
      <c r="J124" s="849">
        <v>8</v>
      </c>
      <c r="K124" s="849">
        <v>0</v>
      </c>
      <c r="L124" s="849"/>
      <c r="M124" s="849">
        <v>0</v>
      </c>
      <c r="N124" s="849">
        <v>14</v>
      </c>
      <c r="O124" s="849">
        <v>0</v>
      </c>
      <c r="P124" s="837"/>
      <c r="Q124" s="850">
        <v>0</v>
      </c>
    </row>
    <row r="125" spans="1:17" ht="14.45" customHeight="1" x14ac:dyDescent="0.2">
      <c r="A125" s="831" t="s">
        <v>570</v>
      </c>
      <c r="B125" s="832" t="s">
        <v>2465</v>
      </c>
      <c r="C125" s="832" t="s">
        <v>847</v>
      </c>
      <c r="D125" s="832" t="s">
        <v>2433</v>
      </c>
      <c r="E125" s="832" t="s">
        <v>2434</v>
      </c>
      <c r="F125" s="849">
        <v>59</v>
      </c>
      <c r="G125" s="849">
        <v>0</v>
      </c>
      <c r="H125" s="849"/>
      <c r="I125" s="849">
        <v>0</v>
      </c>
      <c r="J125" s="849">
        <v>45</v>
      </c>
      <c r="K125" s="849">
        <v>0</v>
      </c>
      <c r="L125" s="849"/>
      <c r="M125" s="849">
        <v>0</v>
      </c>
      <c r="N125" s="849">
        <v>42</v>
      </c>
      <c r="O125" s="849">
        <v>0</v>
      </c>
      <c r="P125" s="837"/>
      <c r="Q125" s="850">
        <v>0</v>
      </c>
    </row>
    <row r="126" spans="1:17" ht="14.45" customHeight="1" x14ac:dyDescent="0.2">
      <c r="A126" s="831" t="s">
        <v>570</v>
      </c>
      <c r="B126" s="832" t="s">
        <v>2465</v>
      </c>
      <c r="C126" s="832" t="s">
        <v>847</v>
      </c>
      <c r="D126" s="832" t="s">
        <v>2530</v>
      </c>
      <c r="E126" s="832" t="s">
        <v>2527</v>
      </c>
      <c r="F126" s="849"/>
      <c r="G126" s="849"/>
      <c r="H126" s="849"/>
      <c r="I126" s="849"/>
      <c r="J126" s="849"/>
      <c r="K126" s="849"/>
      <c r="L126" s="849"/>
      <c r="M126" s="849"/>
      <c r="N126" s="849">
        <v>4</v>
      </c>
      <c r="O126" s="849">
        <v>0</v>
      </c>
      <c r="P126" s="837"/>
      <c r="Q126" s="850">
        <v>0</v>
      </c>
    </row>
    <row r="127" spans="1:17" ht="14.45" customHeight="1" x14ac:dyDescent="0.2">
      <c r="A127" s="831" t="s">
        <v>570</v>
      </c>
      <c r="B127" s="832" t="s">
        <v>2465</v>
      </c>
      <c r="C127" s="832" t="s">
        <v>847</v>
      </c>
      <c r="D127" s="832" t="s">
        <v>2531</v>
      </c>
      <c r="E127" s="832" t="s">
        <v>2527</v>
      </c>
      <c r="F127" s="849"/>
      <c r="G127" s="849"/>
      <c r="H127" s="849"/>
      <c r="I127" s="849"/>
      <c r="J127" s="849"/>
      <c r="K127" s="849"/>
      <c r="L127" s="849"/>
      <c r="M127" s="849"/>
      <c r="N127" s="849">
        <v>2</v>
      </c>
      <c r="O127" s="849">
        <v>0</v>
      </c>
      <c r="P127" s="837"/>
      <c r="Q127" s="850">
        <v>0</v>
      </c>
    </row>
    <row r="128" spans="1:17" ht="14.45" customHeight="1" x14ac:dyDescent="0.2">
      <c r="A128" s="831" t="s">
        <v>570</v>
      </c>
      <c r="B128" s="832" t="s">
        <v>2465</v>
      </c>
      <c r="C128" s="832" t="s">
        <v>847</v>
      </c>
      <c r="D128" s="832" t="s">
        <v>2370</v>
      </c>
      <c r="E128" s="832" t="s">
        <v>2371</v>
      </c>
      <c r="F128" s="849">
        <v>51</v>
      </c>
      <c r="G128" s="849">
        <v>18104</v>
      </c>
      <c r="H128" s="849">
        <v>1.6450704225352113</v>
      </c>
      <c r="I128" s="849">
        <v>354.98039215686276</v>
      </c>
      <c r="J128" s="849">
        <v>31</v>
      </c>
      <c r="K128" s="849">
        <v>11005</v>
      </c>
      <c r="L128" s="849">
        <v>1</v>
      </c>
      <c r="M128" s="849">
        <v>355</v>
      </c>
      <c r="N128" s="849">
        <v>24</v>
      </c>
      <c r="O128" s="849">
        <v>8589</v>
      </c>
      <c r="P128" s="837">
        <v>0.7804634257155838</v>
      </c>
      <c r="Q128" s="850">
        <v>357.875</v>
      </c>
    </row>
    <row r="129" spans="1:17" ht="14.45" customHeight="1" x14ac:dyDescent="0.2">
      <c r="A129" s="831" t="s">
        <v>570</v>
      </c>
      <c r="B129" s="832" t="s">
        <v>2465</v>
      </c>
      <c r="C129" s="832" t="s">
        <v>847</v>
      </c>
      <c r="D129" s="832" t="s">
        <v>2532</v>
      </c>
      <c r="E129" s="832" t="s">
        <v>2527</v>
      </c>
      <c r="F129" s="849"/>
      <c r="G129" s="849"/>
      <c r="H129" s="849"/>
      <c r="I129" s="849"/>
      <c r="J129" s="849"/>
      <c r="K129" s="849"/>
      <c r="L129" s="849"/>
      <c r="M129" s="849"/>
      <c r="N129" s="849">
        <v>12</v>
      </c>
      <c r="O129" s="849">
        <v>0</v>
      </c>
      <c r="P129" s="837"/>
      <c r="Q129" s="850">
        <v>0</v>
      </c>
    </row>
    <row r="130" spans="1:17" ht="14.45" customHeight="1" x14ac:dyDescent="0.2">
      <c r="A130" s="831" t="s">
        <v>570</v>
      </c>
      <c r="B130" s="832" t="s">
        <v>2465</v>
      </c>
      <c r="C130" s="832" t="s">
        <v>847</v>
      </c>
      <c r="D130" s="832" t="s">
        <v>2374</v>
      </c>
      <c r="E130" s="832" t="s">
        <v>2375</v>
      </c>
      <c r="F130" s="849">
        <v>191</v>
      </c>
      <c r="G130" s="849">
        <v>133891</v>
      </c>
      <c r="H130" s="849">
        <v>1.352775953523617</v>
      </c>
      <c r="I130" s="849">
        <v>701</v>
      </c>
      <c r="J130" s="849">
        <v>141</v>
      </c>
      <c r="K130" s="849">
        <v>98975</v>
      </c>
      <c r="L130" s="849">
        <v>1</v>
      </c>
      <c r="M130" s="849">
        <v>701.95035460992904</v>
      </c>
      <c r="N130" s="849">
        <v>113</v>
      </c>
      <c r="O130" s="849">
        <v>79861</v>
      </c>
      <c r="P130" s="837">
        <v>0.80688052538519828</v>
      </c>
      <c r="Q130" s="850">
        <v>706.73451327433634</v>
      </c>
    </row>
    <row r="131" spans="1:17" ht="14.45" customHeight="1" x14ac:dyDescent="0.2">
      <c r="A131" s="831" t="s">
        <v>570</v>
      </c>
      <c r="B131" s="832" t="s">
        <v>2465</v>
      </c>
      <c r="C131" s="832" t="s">
        <v>847</v>
      </c>
      <c r="D131" s="832" t="s">
        <v>2533</v>
      </c>
      <c r="E131" s="832" t="s">
        <v>2527</v>
      </c>
      <c r="F131" s="849"/>
      <c r="G131" s="849"/>
      <c r="H131" s="849"/>
      <c r="I131" s="849"/>
      <c r="J131" s="849"/>
      <c r="K131" s="849"/>
      <c r="L131" s="849"/>
      <c r="M131" s="849"/>
      <c r="N131" s="849">
        <v>3</v>
      </c>
      <c r="O131" s="849">
        <v>0</v>
      </c>
      <c r="P131" s="837"/>
      <c r="Q131" s="850">
        <v>0</v>
      </c>
    </row>
    <row r="132" spans="1:17" ht="14.45" customHeight="1" x14ac:dyDescent="0.2">
      <c r="A132" s="831" t="s">
        <v>570</v>
      </c>
      <c r="B132" s="832" t="s">
        <v>2465</v>
      </c>
      <c r="C132" s="832" t="s">
        <v>847</v>
      </c>
      <c r="D132" s="832" t="s">
        <v>2534</v>
      </c>
      <c r="E132" s="832" t="s">
        <v>2535</v>
      </c>
      <c r="F132" s="849">
        <v>2242</v>
      </c>
      <c r="G132" s="849">
        <v>14151504</v>
      </c>
      <c r="H132" s="849">
        <v>1.2967032967032968</v>
      </c>
      <c r="I132" s="849">
        <v>6312</v>
      </c>
      <c r="J132" s="849">
        <v>1729</v>
      </c>
      <c r="K132" s="849">
        <v>10913448</v>
      </c>
      <c r="L132" s="849">
        <v>1</v>
      </c>
      <c r="M132" s="849">
        <v>6312</v>
      </c>
      <c r="N132" s="849">
        <v>1377</v>
      </c>
      <c r="O132" s="849">
        <v>8698624</v>
      </c>
      <c r="P132" s="837">
        <v>0.79705552269090396</v>
      </c>
      <c r="Q132" s="850">
        <v>6317.0835148874366</v>
      </c>
    </row>
    <row r="133" spans="1:17" ht="14.45" customHeight="1" x14ac:dyDescent="0.2">
      <c r="A133" s="831" t="s">
        <v>570</v>
      </c>
      <c r="B133" s="832" t="s">
        <v>2465</v>
      </c>
      <c r="C133" s="832" t="s">
        <v>847</v>
      </c>
      <c r="D133" s="832" t="s">
        <v>2443</v>
      </c>
      <c r="E133" s="832" t="s">
        <v>2444</v>
      </c>
      <c r="F133" s="849">
        <v>49</v>
      </c>
      <c r="G133" s="849">
        <v>0</v>
      </c>
      <c r="H133" s="849"/>
      <c r="I133" s="849">
        <v>0</v>
      </c>
      <c r="J133" s="849">
        <v>45</v>
      </c>
      <c r="K133" s="849">
        <v>0</v>
      </c>
      <c r="L133" s="849"/>
      <c r="M133" s="849">
        <v>0</v>
      </c>
      <c r="N133" s="849">
        <v>36</v>
      </c>
      <c r="O133" s="849">
        <v>0</v>
      </c>
      <c r="P133" s="837"/>
      <c r="Q133" s="850">
        <v>0</v>
      </c>
    </row>
    <row r="134" spans="1:17" ht="14.45" customHeight="1" x14ac:dyDescent="0.2">
      <c r="A134" s="831" t="s">
        <v>570</v>
      </c>
      <c r="B134" s="832" t="s">
        <v>2465</v>
      </c>
      <c r="C134" s="832" t="s">
        <v>847</v>
      </c>
      <c r="D134" s="832" t="s">
        <v>2445</v>
      </c>
      <c r="E134" s="832" t="s">
        <v>2446</v>
      </c>
      <c r="F134" s="849"/>
      <c r="G134" s="849"/>
      <c r="H134" s="849"/>
      <c r="I134" s="849"/>
      <c r="J134" s="849">
        <v>40</v>
      </c>
      <c r="K134" s="849">
        <v>6280</v>
      </c>
      <c r="L134" s="849">
        <v>1</v>
      </c>
      <c r="M134" s="849">
        <v>157</v>
      </c>
      <c r="N134" s="849">
        <v>62</v>
      </c>
      <c r="O134" s="849">
        <v>9796</v>
      </c>
      <c r="P134" s="837">
        <v>1.5598726114649681</v>
      </c>
      <c r="Q134" s="850">
        <v>158</v>
      </c>
    </row>
    <row r="135" spans="1:17" ht="14.45" customHeight="1" x14ac:dyDescent="0.2">
      <c r="A135" s="831" t="s">
        <v>570</v>
      </c>
      <c r="B135" s="832" t="s">
        <v>2465</v>
      </c>
      <c r="C135" s="832" t="s">
        <v>847</v>
      </c>
      <c r="D135" s="832" t="s">
        <v>2449</v>
      </c>
      <c r="E135" s="832" t="s">
        <v>2450</v>
      </c>
      <c r="F135" s="849">
        <v>1</v>
      </c>
      <c r="G135" s="849">
        <v>317</v>
      </c>
      <c r="H135" s="849"/>
      <c r="I135" s="849">
        <v>317</v>
      </c>
      <c r="J135" s="849"/>
      <c r="K135" s="849"/>
      <c r="L135" s="849"/>
      <c r="M135" s="849"/>
      <c r="N135" s="849"/>
      <c r="O135" s="849"/>
      <c r="P135" s="837"/>
      <c r="Q135" s="850"/>
    </row>
    <row r="136" spans="1:17" ht="14.45" customHeight="1" x14ac:dyDescent="0.2">
      <c r="A136" s="831" t="s">
        <v>570</v>
      </c>
      <c r="B136" s="832" t="s">
        <v>2465</v>
      </c>
      <c r="C136" s="832" t="s">
        <v>847</v>
      </c>
      <c r="D136" s="832" t="s">
        <v>2536</v>
      </c>
      <c r="E136" s="832" t="s">
        <v>2537</v>
      </c>
      <c r="F136" s="849">
        <v>766</v>
      </c>
      <c r="G136" s="849">
        <v>18947010</v>
      </c>
      <c r="H136" s="849">
        <v>1.1839258114374034</v>
      </c>
      <c r="I136" s="849">
        <v>24735</v>
      </c>
      <c r="J136" s="849">
        <v>647</v>
      </c>
      <c r="K136" s="849">
        <v>16003545</v>
      </c>
      <c r="L136" s="849">
        <v>1</v>
      </c>
      <c r="M136" s="849">
        <v>24735</v>
      </c>
      <c r="N136" s="849">
        <v>725</v>
      </c>
      <c r="O136" s="849">
        <v>17936754</v>
      </c>
      <c r="P136" s="837">
        <v>1.1207987980163145</v>
      </c>
      <c r="Q136" s="850">
        <v>24740.350344827588</v>
      </c>
    </row>
    <row r="137" spans="1:17" ht="14.45" customHeight="1" x14ac:dyDescent="0.2">
      <c r="A137" s="831" t="s">
        <v>570</v>
      </c>
      <c r="B137" s="832" t="s">
        <v>2465</v>
      </c>
      <c r="C137" s="832" t="s">
        <v>847</v>
      </c>
      <c r="D137" s="832" t="s">
        <v>2538</v>
      </c>
      <c r="E137" s="832" t="s">
        <v>2539</v>
      </c>
      <c r="F137" s="849">
        <v>30</v>
      </c>
      <c r="G137" s="849">
        <v>0</v>
      </c>
      <c r="H137" s="849"/>
      <c r="I137" s="849">
        <v>0</v>
      </c>
      <c r="J137" s="849">
        <v>23</v>
      </c>
      <c r="K137" s="849">
        <v>0</v>
      </c>
      <c r="L137" s="849"/>
      <c r="M137" s="849">
        <v>0</v>
      </c>
      <c r="N137" s="849">
        <v>19</v>
      </c>
      <c r="O137" s="849">
        <v>0</v>
      </c>
      <c r="P137" s="837"/>
      <c r="Q137" s="850">
        <v>0</v>
      </c>
    </row>
    <row r="138" spans="1:17" ht="14.45" customHeight="1" x14ac:dyDescent="0.2">
      <c r="A138" s="831" t="s">
        <v>570</v>
      </c>
      <c r="B138" s="832" t="s">
        <v>2465</v>
      </c>
      <c r="C138" s="832" t="s">
        <v>847</v>
      </c>
      <c r="D138" s="832" t="s">
        <v>2540</v>
      </c>
      <c r="E138" s="832" t="s">
        <v>2541</v>
      </c>
      <c r="F138" s="849">
        <v>1</v>
      </c>
      <c r="G138" s="849">
        <v>624</v>
      </c>
      <c r="H138" s="849"/>
      <c r="I138" s="849">
        <v>624</v>
      </c>
      <c r="J138" s="849"/>
      <c r="K138" s="849"/>
      <c r="L138" s="849"/>
      <c r="M138" s="849"/>
      <c r="N138" s="849"/>
      <c r="O138" s="849"/>
      <c r="P138" s="837"/>
      <c r="Q138" s="850"/>
    </row>
    <row r="139" spans="1:17" ht="14.45" customHeight="1" x14ac:dyDescent="0.2">
      <c r="A139" s="831" t="s">
        <v>570</v>
      </c>
      <c r="B139" s="832" t="s">
        <v>2465</v>
      </c>
      <c r="C139" s="832" t="s">
        <v>847</v>
      </c>
      <c r="D139" s="832" t="s">
        <v>2542</v>
      </c>
      <c r="E139" s="832" t="s">
        <v>2527</v>
      </c>
      <c r="F139" s="849"/>
      <c r="G139" s="849"/>
      <c r="H139" s="849"/>
      <c r="I139" s="849"/>
      <c r="J139" s="849"/>
      <c r="K139" s="849"/>
      <c r="L139" s="849"/>
      <c r="M139" s="849"/>
      <c r="N139" s="849">
        <v>2</v>
      </c>
      <c r="O139" s="849">
        <v>0</v>
      </c>
      <c r="P139" s="837"/>
      <c r="Q139" s="850">
        <v>0</v>
      </c>
    </row>
    <row r="140" spans="1:17" ht="14.45" customHeight="1" x14ac:dyDescent="0.2">
      <c r="A140" s="831" t="s">
        <v>570</v>
      </c>
      <c r="B140" s="832" t="s">
        <v>2465</v>
      </c>
      <c r="C140" s="832" t="s">
        <v>847</v>
      </c>
      <c r="D140" s="832" t="s">
        <v>2451</v>
      </c>
      <c r="E140" s="832" t="s">
        <v>2452</v>
      </c>
      <c r="F140" s="849">
        <v>16</v>
      </c>
      <c r="G140" s="849">
        <v>0</v>
      </c>
      <c r="H140" s="849"/>
      <c r="I140" s="849">
        <v>0</v>
      </c>
      <c r="J140" s="849">
        <v>8</v>
      </c>
      <c r="K140" s="849">
        <v>0</v>
      </c>
      <c r="L140" s="849"/>
      <c r="M140" s="849">
        <v>0</v>
      </c>
      <c r="N140" s="849">
        <v>8</v>
      </c>
      <c r="O140" s="849">
        <v>0</v>
      </c>
      <c r="P140" s="837"/>
      <c r="Q140" s="850">
        <v>0</v>
      </c>
    </row>
    <row r="141" spans="1:17" ht="14.45" customHeight="1" x14ac:dyDescent="0.2">
      <c r="A141" s="831" t="s">
        <v>570</v>
      </c>
      <c r="B141" s="832" t="s">
        <v>2465</v>
      </c>
      <c r="C141" s="832" t="s">
        <v>847</v>
      </c>
      <c r="D141" s="832" t="s">
        <v>2543</v>
      </c>
      <c r="E141" s="832" t="s">
        <v>2544</v>
      </c>
      <c r="F141" s="849">
        <v>973</v>
      </c>
      <c r="G141" s="849">
        <v>0</v>
      </c>
      <c r="H141" s="849"/>
      <c r="I141" s="849">
        <v>0</v>
      </c>
      <c r="J141" s="849">
        <v>795</v>
      </c>
      <c r="K141" s="849">
        <v>0</v>
      </c>
      <c r="L141" s="849"/>
      <c r="M141" s="849">
        <v>0</v>
      </c>
      <c r="N141" s="849">
        <v>251</v>
      </c>
      <c r="O141" s="849">
        <v>0</v>
      </c>
      <c r="P141" s="837"/>
      <c r="Q141" s="850">
        <v>0</v>
      </c>
    </row>
    <row r="142" spans="1:17" ht="14.45" customHeight="1" x14ac:dyDescent="0.2">
      <c r="A142" s="831" t="s">
        <v>570</v>
      </c>
      <c r="B142" s="832" t="s">
        <v>2465</v>
      </c>
      <c r="C142" s="832" t="s">
        <v>847</v>
      </c>
      <c r="D142" s="832" t="s">
        <v>2545</v>
      </c>
      <c r="E142" s="832" t="s">
        <v>2546</v>
      </c>
      <c r="F142" s="849"/>
      <c r="G142" s="849"/>
      <c r="H142" s="849"/>
      <c r="I142" s="849"/>
      <c r="J142" s="849">
        <v>152</v>
      </c>
      <c r="K142" s="849">
        <v>240464</v>
      </c>
      <c r="L142" s="849">
        <v>1</v>
      </c>
      <c r="M142" s="849">
        <v>1582</v>
      </c>
      <c r="N142" s="849">
        <v>34</v>
      </c>
      <c r="O142" s="849">
        <v>53933</v>
      </c>
      <c r="P142" s="837">
        <v>0.22428721139131014</v>
      </c>
      <c r="Q142" s="850">
        <v>1586.2647058823529</v>
      </c>
    </row>
    <row r="143" spans="1:17" ht="14.45" customHeight="1" x14ac:dyDescent="0.2">
      <c r="A143" s="831" t="s">
        <v>570</v>
      </c>
      <c r="B143" s="832" t="s">
        <v>2465</v>
      </c>
      <c r="C143" s="832" t="s">
        <v>847</v>
      </c>
      <c r="D143" s="832" t="s">
        <v>2453</v>
      </c>
      <c r="E143" s="832" t="s">
        <v>2454</v>
      </c>
      <c r="F143" s="849"/>
      <c r="G143" s="849"/>
      <c r="H143" s="849"/>
      <c r="I143" s="849"/>
      <c r="J143" s="849"/>
      <c r="K143" s="849"/>
      <c r="L143" s="849"/>
      <c r="M143" s="849"/>
      <c r="N143" s="849">
        <v>37</v>
      </c>
      <c r="O143" s="849">
        <v>0</v>
      </c>
      <c r="P143" s="837"/>
      <c r="Q143" s="850">
        <v>0</v>
      </c>
    </row>
    <row r="144" spans="1:17" ht="14.45" customHeight="1" x14ac:dyDescent="0.2">
      <c r="A144" s="831" t="s">
        <v>570</v>
      </c>
      <c r="B144" s="832" t="s">
        <v>2465</v>
      </c>
      <c r="C144" s="832" t="s">
        <v>847</v>
      </c>
      <c r="D144" s="832" t="s">
        <v>2457</v>
      </c>
      <c r="E144" s="832" t="s">
        <v>2458</v>
      </c>
      <c r="F144" s="849"/>
      <c r="G144" s="849"/>
      <c r="H144" s="849"/>
      <c r="I144" s="849"/>
      <c r="J144" s="849"/>
      <c r="K144" s="849"/>
      <c r="L144" s="849"/>
      <c r="M144" s="849"/>
      <c r="N144" s="849">
        <v>23</v>
      </c>
      <c r="O144" s="849">
        <v>0</v>
      </c>
      <c r="P144" s="837"/>
      <c r="Q144" s="850">
        <v>0</v>
      </c>
    </row>
    <row r="145" spans="1:17" ht="14.45" customHeight="1" x14ac:dyDescent="0.2">
      <c r="A145" s="831" t="s">
        <v>570</v>
      </c>
      <c r="B145" s="832" t="s">
        <v>2465</v>
      </c>
      <c r="C145" s="832" t="s">
        <v>847</v>
      </c>
      <c r="D145" s="832" t="s">
        <v>2459</v>
      </c>
      <c r="E145" s="832" t="s">
        <v>2460</v>
      </c>
      <c r="F145" s="849"/>
      <c r="G145" s="849"/>
      <c r="H145" s="849"/>
      <c r="I145" s="849"/>
      <c r="J145" s="849"/>
      <c r="K145" s="849"/>
      <c r="L145" s="849"/>
      <c r="M145" s="849"/>
      <c r="N145" s="849">
        <v>41</v>
      </c>
      <c r="O145" s="849">
        <v>0</v>
      </c>
      <c r="P145" s="837"/>
      <c r="Q145" s="850">
        <v>0</v>
      </c>
    </row>
    <row r="146" spans="1:17" ht="14.45" customHeight="1" x14ac:dyDescent="0.2">
      <c r="A146" s="831" t="s">
        <v>570</v>
      </c>
      <c r="B146" s="832" t="s">
        <v>2465</v>
      </c>
      <c r="C146" s="832" t="s">
        <v>847</v>
      </c>
      <c r="D146" s="832" t="s">
        <v>2461</v>
      </c>
      <c r="E146" s="832" t="s">
        <v>2462</v>
      </c>
      <c r="F146" s="849"/>
      <c r="G146" s="849"/>
      <c r="H146" s="849"/>
      <c r="I146" s="849"/>
      <c r="J146" s="849"/>
      <c r="K146" s="849"/>
      <c r="L146" s="849"/>
      <c r="M146" s="849"/>
      <c r="N146" s="849">
        <v>8</v>
      </c>
      <c r="O146" s="849">
        <v>0</v>
      </c>
      <c r="P146" s="837"/>
      <c r="Q146" s="850">
        <v>0</v>
      </c>
    </row>
    <row r="147" spans="1:17" ht="14.45" customHeight="1" x14ac:dyDescent="0.2">
      <c r="A147" s="831" t="s">
        <v>570</v>
      </c>
      <c r="B147" s="832" t="s">
        <v>2465</v>
      </c>
      <c r="C147" s="832" t="s">
        <v>847</v>
      </c>
      <c r="D147" s="832" t="s">
        <v>2463</v>
      </c>
      <c r="E147" s="832" t="s">
        <v>2464</v>
      </c>
      <c r="F147" s="849"/>
      <c r="G147" s="849"/>
      <c r="H147" s="849"/>
      <c r="I147" s="849"/>
      <c r="J147" s="849"/>
      <c r="K147" s="849"/>
      <c r="L147" s="849"/>
      <c r="M147" s="849"/>
      <c r="N147" s="849">
        <v>15</v>
      </c>
      <c r="O147" s="849">
        <v>0</v>
      </c>
      <c r="P147" s="837"/>
      <c r="Q147" s="850">
        <v>0</v>
      </c>
    </row>
    <row r="148" spans="1:17" ht="14.45" customHeight="1" x14ac:dyDescent="0.2">
      <c r="A148" s="831" t="s">
        <v>570</v>
      </c>
      <c r="B148" s="832" t="s">
        <v>2465</v>
      </c>
      <c r="C148" s="832" t="s">
        <v>847</v>
      </c>
      <c r="D148" s="832" t="s">
        <v>2547</v>
      </c>
      <c r="E148" s="832" t="s">
        <v>2548</v>
      </c>
      <c r="F148" s="849"/>
      <c r="G148" s="849"/>
      <c r="H148" s="849"/>
      <c r="I148" s="849"/>
      <c r="J148" s="849"/>
      <c r="K148" s="849"/>
      <c r="L148" s="849"/>
      <c r="M148" s="849"/>
      <c r="N148" s="849">
        <v>3</v>
      </c>
      <c r="O148" s="849">
        <v>0</v>
      </c>
      <c r="P148" s="837"/>
      <c r="Q148" s="850">
        <v>0</v>
      </c>
    </row>
    <row r="149" spans="1:17" ht="14.45" customHeight="1" x14ac:dyDescent="0.2">
      <c r="A149" s="831" t="s">
        <v>570</v>
      </c>
      <c r="B149" s="832" t="s">
        <v>2465</v>
      </c>
      <c r="C149" s="832" t="s">
        <v>847</v>
      </c>
      <c r="D149" s="832" t="s">
        <v>2549</v>
      </c>
      <c r="E149" s="832" t="s">
        <v>2550</v>
      </c>
      <c r="F149" s="849"/>
      <c r="G149" s="849"/>
      <c r="H149" s="849"/>
      <c r="I149" s="849"/>
      <c r="J149" s="849"/>
      <c r="K149" s="849"/>
      <c r="L149" s="849"/>
      <c r="M149" s="849"/>
      <c r="N149" s="849">
        <v>6</v>
      </c>
      <c r="O149" s="849">
        <v>95382</v>
      </c>
      <c r="P149" s="837"/>
      <c r="Q149" s="850">
        <v>15897</v>
      </c>
    </row>
    <row r="150" spans="1:17" ht="14.45" customHeight="1" x14ac:dyDescent="0.2">
      <c r="A150" s="831" t="s">
        <v>570</v>
      </c>
      <c r="B150" s="832" t="s">
        <v>2551</v>
      </c>
      <c r="C150" s="832" t="s">
        <v>847</v>
      </c>
      <c r="D150" s="832" t="s">
        <v>2552</v>
      </c>
      <c r="E150" s="832" t="s">
        <v>2553</v>
      </c>
      <c r="F150" s="849"/>
      <c r="G150" s="849"/>
      <c r="H150" s="849"/>
      <c r="I150" s="849"/>
      <c r="J150" s="849">
        <v>1</v>
      </c>
      <c r="K150" s="849">
        <v>1967</v>
      </c>
      <c r="L150" s="849">
        <v>1</v>
      </c>
      <c r="M150" s="849">
        <v>1967</v>
      </c>
      <c r="N150" s="849"/>
      <c r="O150" s="849"/>
      <c r="P150" s="837"/>
      <c r="Q150" s="850"/>
    </row>
    <row r="151" spans="1:17" ht="14.45" customHeight="1" x14ac:dyDescent="0.2">
      <c r="A151" s="831" t="s">
        <v>570</v>
      </c>
      <c r="B151" s="832" t="s">
        <v>2551</v>
      </c>
      <c r="C151" s="832" t="s">
        <v>847</v>
      </c>
      <c r="D151" s="832" t="s">
        <v>2554</v>
      </c>
      <c r="E151" s="832" t="s">
        <v>2555</v>
      </c>
      <c r="F151" s="849">
        <v>6</v>
      </c>
      <c r="G151" s="849">
        <v>16626</v>
      </c>
      <c r="H151" s="849">
        <v>2.9983769161406673</v>
      </c>
      <c r="I151" s="849">
        <v>2771</v>
      </c>
      <c r="J151" s="849">
        <v>2</v>
      </c>
      <c r="K151" s="849">
        <v>5545</v>
      </c>
      <c r="L151" s="849">
        <v>1</v>
      </c>
      <c r="M151" s="849">
        <v>2772.5</v>
      </c>
      <c r="N151" s="849">
        <v>1</v>
      </c>
      <c r="O151" s="849">
        <v>2786</v>
      </c>
      <c r="P151" s="837">
        <v>0.50243462578899911</v>
      </c>
      <c r="Q151" s="850">
        <v>2786</v>
      </c>
    </row>
    <row r="152" spans="1:17" ht="14.45" customHeight="1" x14ac:dyDescent="0.2">
      <c r="A152" s="831" t="s">
        <v>570</v>
      </c>
      <c r="B152" s="832" t="s">
        <v>2551</v>
      </c>
      <c r="C152" s="832" t="s">
        <v>847</v>
      </c>
      <c r="D152" s="832" t="s">
        <v>2556</v>
      </c>
      <c r="E152" s="832" t="s">
        <v>2557</v>
      </c>
      <c r="F152" s="849">
        <v>1</v>
      </c>
      <c r="G152" s="849">
        <v>6173</v>
      </c>
      <c r="H152" s="849"/>
      <c r="I152" s="849">
        <v>6173</v>
      </c>
      <c r="J152" s="849"/>
      <c r="K152" s="849"/>
      <c r="L152" s="849"/>
      <c r="M152" s="849"/>
      <c r="N152" s="849"/>
      <c r="O152" s="849"/>
      <c r="P152" s="837"/>
      <c r="Q152" s="850"/>
    </row>
    <row r="153" spans="1:17" ht="14.45" customHeight="1" x14ac:dyDescent="0.2">
      <c r="A153" s="831" t="s">
        <v>570</v>
      </c>
      <c r="B153" s="832" t="s">
        <v>2551</v>
      </c>
      <c r="C153" s="832" t="s">
        <v>847</v>
      </c>
      <c r="D153" s="832" t="s">
        <v>2558</v>
      </c>
      <c r="E153" s="832" t="s">
        <v>2559</v>
      </c>
      <c r="F153" s="849">
        <v>1</v>
      </c>
      <c r="G153" s="849">
        <v>11395</v>
      </c>
      <c r="H153" s="849"/>
      <c r="I153" s="849">
        <v>11395</v>
      </c>
      <c r="J153" s="849"/>
      <c r="K153" s="849"/>
      <c r="L153" s="849"/>
      <c r="M153" s="849"/>
      <c r="N153" s="849"/>
      <c r="O153" s="849"/>
      <c r="P153" s="837"/>
      <c r="Q153" s="850"/>
    </row>
    <row r="154" spans="1:17" ht="14.45" customHeight="1" x14ac:dyDescent="0.2">
      <c r="A154" s="831" t="s">
        <v>570</v>
      </c>
      <c r="B154" s="832" t="s">
        <v>2551</v>
      </c>
      <c r="C154" s="832" t="s">
        <v>847</v>
      </c>
      <c r="D154" s="832" t="s">
        <v>2560</v>
      </c>
      <c r="E154" s="832" t="s">
        <v>2561</v>
      </c>
      <c r="F154" s="849">
        <v>1</v>
      </c>
      <c r="G154" s="849">
        <v>96</v>
      </c>
      <c r="H154" s="849"/>
      <c r="I154" s="849">
        <v>96</v>
      </c>
      <c r="J154" s="849"/>
      <c r="K154" s="849"/>
      <c r="L154" s="849"/>
      <c r="M154" s="849"/>
      <c r="N154" s="849"/>
      <c r="O154" s="849"/>
      <c r="P154" s="837"/>
      <c r="Q154" s="850"/>
    </row>
    <row r="155" spans="1:17" ht="14.45" customHeight="1" x14ac:dyDescent="0.2">
      <c r="A155" s="831" t="s">
        <v>570</v>
      </c>
      <c r="B155" s="832" t="s">
        <v>2551</v>
      </c>
      <c r="C155" s="832" t="s">
        <v>847</v>
      </c>
      <c r="D155" s="832" t="s">
        <v>2562</v>
      </c>
      <c r="E155" s="832" t="s">
        <v>2563</v>
      </c>
      <c r="F155" s="849">
        <v>2</v>
      </c>
      <c r="G155" s="849">
        <v>10296</v>
      </c>
      <c r="H155" s="849"/>
      <c r="I155" s="849">
        <v>5148</v>
      </c>
      <c r="J155" s="849"/>
      <c r="K155" s="849"/>
      <c r="L155" s="849"/>
      <c r="M155" s="849"/>
      <c r="N155" s="849"/>
      <c r="O155" s="849"/>
      <c r="P155" s="837"/>
      <c r="Q155" s="850"/>
    </row>
    <row r="156" spans="1:17" ht="14.45" customHeight="1" x14ac:dyDescent="0.2">
      <c r="A156" s="831" t="s">
        <v>570</v>
      </c>
      <c r="B156" s="832" t="s">
        <v>2551</v>
      </c>
      <c r="C156" s="832" t="s">
        <v>847</v>
      </c>
      <c r="D156" s="832" t="s">
        <v>2564</v>
      </c>
      <c r="E156" s="832" t="s">
        <v>2565</v>
      </c>
      <c r="F156" s="849">
        <v>1</v>
      </c>
      <c r="G156" s="849">
        <v>1709</v>
      </c>
      <c r="H156" s="849"/>
      <c r="I156" s="849">
        <v>1709</v>
      </c>
      <c r="J156" s="849"/>
      <c r="K156" s="849"/>
      <c r="L156" s="849"/>
      <c r="M156" s="849"/>
      <c r="N156" s="849"/>
      <c r="O156" s="849"/>
      <c r="P156" s="837"/>
      <c r="Q156" s="850"/>
    </row>
    <row r="157" spans="1:17" ht="14.45" customHeight="1" x14ac:dyDescent="0.2">
      <c r="A157" s="831" t="s">
        <v>570</v>
      </c>
      <c r="B157" s="832" t="s">
        <v>2551</v>
      </c>
      <c r="C157" s="832" t="s">
        <v>847</v>
      </c>
      <c r="D157" s="832" t="s">
        <v>2566</v>
      </c>
      <c r="E157" s="832" t="s">
        <v>2567</v>
      </c>
      <c r="F157" s="849">
        <v>1</v>
      </c>
      <c r="G157" s="849">
        <v>716</v>
      </c>
      <c r="H157" s="849"/>
      <c r="I157" s="849">
        <v>716</v>
      </c>
      <c r="J157" s="849"/>
      <c r="K157" s="849"/>
      <c r="L157" s="849"/>
      <c r="M157" s="849"/>
      <c r="N157" s="849"/>
      <c r="O157" s="849"/>
      <c r="P157" s="837"/>
      <c r="Q157" s="850"/>
    </row>
    <row r="158" spans="1:17" ht="14.45" customHeight="1" x14ac:dyDescent="0.2">
      <c r="A158" s="831" t="s">
        <v>570</v>
      </c>
      <c r="B158" s="832" t="s">
        <v>2551</v>
      </c>
      <c r="C158" s="832" t="s">
        <v>847</v>
      </c>
      <c r="D158" s="832" t="s">
        <v>2439</v>
      </c>
      <c r="E158" s="832" t="s">
        <v>2440</v>
      </c>
      <c r="F158" s="849"/>
      <c r="G158" s="849"/>
      <c r="H158" s="849"/>
      <c r="I158" s="849"/>
      <c r="J158" s="849">
        <v>2</v>
      </c>
      <c r="K158" s="849">
        <v>7233</v>
      </c>
      <c r="L158" s="849">
        <v>1</v>
      </c>
      <c r="M158" s="849">
        <v>3616.5</v>
      </c>
      <c r="N158" s="849"/>
      <c r="O158" s="849"/>
      <c r="P158" s="837"/>
      <c r="Q158" s="850"/>
    </row>
    <row r="159" spans="1:17" ht="14.45" customHeight="1" x14ac:dyDescent="0.2">
      <c r="A159" s="831" t="s">
        <v>570</v>
      </c>
      <c r="B159" s="832" t="s">
        <v>2551</v>
      </c>
      <c r="C159" s="832" t="s">
        <v>847</v>
      </c>
      <c r="D159" s="832" t="s">
        <v>2568</v>
      </c>
      <c r="E159" s="832" t="s">
        <v>2569</v>
      </c>
      <c r="F159" s="849">
        <v>2</v>
      </c>
      <c r="G159" s="849">
        <v>3970</v>
      </c>
      <c r="H159" s="849">
        <v>0.99924490309589731</v>
      </c>
      <c r="I159" s="849">
        <v>1985</v>
      </c>
      <c r="J159" s="849">
        <v>2</v>
      </c>
      <c r="K159" s="849">
        <v>3973</v>
      </c>
      <c r="L159" s="849">
        <v>1</v>
      </c>
      <c r="M159" s="849">
        <v>1986.5</v>
      </c>
      <c r="N159" s="849">
        <v>1</v>
      </c>
      <c r="O159" s="849">
        <v>1999</v>
      </c>
      <c r="P159" s="837">
        <v>0.50314623710042794</v>
      </c>
      <c r="Q159" s="850">
        <v>1999</v>
      </c>
    </row>
    <row r="160" spans="1:17" ht="14.45" customHeight="1" x14ac:dyDescent="0.2">
      <c r="A160" s="831" t="s">
        <v>570</v>
      </c>
      <c r="B160" s="832" t="s">
        <v>2551</v>
      </c>
      <c r="C160" s="832" t="s">
        <v>847</v>
      </c>
      <c r="D160" s="832" t="s">
        <v>2449</v>
      </c>
      <c r="E160" s="832" t="s">
        <v>2450</v>
      </c>
      <c r="F160" s="849">
        <v>2</v>
      </c>
      <c r="G160" s="849">
        <v>634</v>
      </c>
      <c r="H160" s="849"/>
      <c r="I160" s="849">
        <v>317</v>
      </c>
      <c r="J160" s="849"/>
      <c r="K160" s="849"/>
      <c r="L160" s="849"/>
      <c r="M160" s="849"/>
      <c r="N160" s="849"/>
      <c r="O160" s="849"/>
      <c r="P160" s="837"/>
      <c r="Q160" s="850"/>
    </row>
    <row r="161" spans="1:17" ht="14.45" customHeight="1" x14ac:dyDescent="0.2">
      <c r="A161" s="831" t="s">
        <v>570</v>
      </c>
      <c r="B161" s="832" t="s">
        <v>2551</v>
      </c>
      <c r="C161" s="832" t="s">
        <v>847</v>
      </c>
      <c r="D161" s="832" t="s">
        <v>2570</v>
      </c>
      <c r="E161" s="832" t="s">
        <v>2571</v>
      </c>
      <c r="F161" s="849">
        <v>1</v>
      </c>
      <c r="G161" s="849">
        <v>3298</v>
      </c>
      <c r="H161" s="849"/>
      <c r="I161" s="849">
        <v>3298</v>
      </c>
      <c r="J161" s="849"/>
      <c r="K161" s="849"/>
      <c r="L161" s="849"/>
      <c r="M161" s="849"/>
      <c r="N161" s="849"/>
      <c r="O161" s="849"/>
      <c r="P161" s="837"/>
      <c r="Q161" s="850"/>
    </row>
    <row r="162" spans="1:17" ht="14.45" customHeight="1" x14ac:dyDescent="0.2">
      <c r="A162" s="831" t="s">
        <v>570</v>
      </c>
      <c r="B162" s="832" t="s">
        <v>2551</v>
      </c>
      <c r="C162" s="832" t="s">
        <v>847</v>
      </c>
      <c r="D162" s="832" t="s">
        <v>2572</v>
      </c>
      <c r="E162" s="832" t="s">
        <v>2573</v>
      </c>
      <c r="F162" s="849">
        <v>1</v>
      </c>
      <c r="G162" s="849">
        <v>1269</v>
      </c>
      <c r="H162" s="849"/>
      <c r="I162" s="849">
        <v>1269</v>
      </c>
      <c r="J162" s="849"/>
      <c r="K162" s="849"/>
      <c r="L162" s="849"/>
      <c r="M162" s="849"/>
      <c r="N162" s="849"/>
      <c r="O162" s="849"/>
      <c r="P162" s="837"/>
      <c r="Q162" s="850"/>
    </row>
    <row r="163" spans="1:17" ht="14.45" customHeight="1" x14ac:dyDescent="0.2">
      <c r="A163" s="831" t="s">
        <v>570</v>
      </c>
      <c r="B163" s="832" t="s">
        <v>2551</v>
      </c>
      <c r="C163" s="832" t="s">
        <v>847</v>
      </c>
      <c r="D163" s="832" t="s">
        <v>2574</v>
      </c>
      <c r="E163" s="832" t="s">
        <v>2575</v>
      </c>
      <c r="F163" s="849"/>
      <c r="G163" s="849"/>
      <c r="H163" s="849"/>
      <c r="I163" s="849"/>
      <c r="J163" s="849">
        <v>2</v>
      </c>
      <c r="K163" s="849">
        <v>10580</v>
      </c>
      <c r="L163" s="849">
        <v>1</v>
      </c>
      <c r="M163" s="849">
        <v>5290</v>
      </c>
      <c r="N163" s="849"/>
      <c r="O163" s="849"/>
      <c r="P163" s="837"/>
      <c r="Q163" s="850"/>
    </row>
    <row r="164" spans="1:17" ht="14.45" customHeight="1" x14ac:dyDescent="0.2">
      <c r="A164" s="831" t="s">
        <v>570</v>
      </c>
      <c r="B164" s="832" t="s">
        <v>2551</v>
      </c>
      <c r="C164" s="832" t="s">
        <v>847</v>
      </c>
      <c r="D164" s="832" t="s">
        <v>2576</v>
      </c>
      <c r="E164" s="832" t="s">
        <v>2577</v>
      </c>
      <c r="F164" s="849">
        <v>2</v>
      </c>
      <c r="G164" s="849">
        <v>11404</v>
      </c>
      <c r="H164" s="849">
        <v>0.99737624628301558</v>
      </c>
      <c r="I164" s="849">
        <v>5702</v>
      </c>
      <c r="J164" s="849">
        <v>2</v>
      </c>
      <c r="K164" s="849">
        <v>11434</v>
      </c>
      <c r="L164" s="849">
        <v>1</v>
      </c>
      <c r="M164" s="849">
        <v>5717</v>
      </c>
      <c r="N164" s="849">
        <v>1</v>
      </c>
      <c r="O164" s="849">
        <v>5765</v>
      </c>
      <c r="P164" s="837">
        <v>0.50419800594717512</v>
      </c>
      <c r="Q164" s="850">
        <v>5765</v>
      </c>
    </row>
    <row r="165" spans="1:17" ht="14.45" customHeight="1" x14ac:dyDescent="0.2">
      <c r="A165" s="831" t="s">
        <v>570</v>
      </c>
      <c r="B165" s="832" t="s">
        <v>2551</v>
      </c>
      <c r="C165" s="832" t="s">
        <v>847</v>
      </c>
      <c r="D165" s="832" t="s">
        <v>2578</v>
      </c>
      <c r="E165" s="832" t="s">
        <v>2579</v>
      </c>
      <c r="F165" s="849">
        <v>1</v>
      </c>
      <c r="G165" s="849">
        <v>8450</v>
      </c>
      <c r="H165" s="849">
        <v>0.99811008740845741</v>
      </c>
      <c r="I165" s="849">
        <v>8450</v>
      </c>
      <c r="J165" s="849">
        <v>1</v>
      </c>
      <c r="K165" s="849">
        <v>8466</v>
      </c>
      <c r="L165" s="849">
        <v>1</v>
      </c>
      <c r="M165" s="849">
        <v>8466</v>
      </c>
      <c r="N165" s="849"/>
      <c r="O165" s="849"/>
      <c r="P165" s="837"/>
      <c r="Q165" s="850"/>
    </row>
    <row r="166" spans="1:17" ht="14.45" customHeight="1" x14ac:dyDescent="0.2">
      <c r="A166" s="831" t="s">
        <v>570</v>
      </c>
      <c r="B166" s="832" t="s">
        <v>2551</v>
      </c>
      <c r="C166" s="832" t="s">
        <v>847</v>
      </c>
      <c r="D166" s="832" t="s">
        <v>2580</v>
      </c>
      <c r="E166" s="832" t="s">
        <v>2581</v>
      </c>
      <c r="F166" s="849"/>
      <c r="G166" s="849"/>
      <c r="H166" s="849"/>
      <c r="I166" s="849"/>
      <c r="J166" s="849">
        <v>1</v>
      </c>
      <c r="K166" s="849">
        <v>6818</v>
      </c>
      <c r="L166" s="849">
        <v>1</v>
      </c>
      <c r="M166" s="849">
        <v>6818</v>
      </c>
      <c r="N166" s="849"/>
      <c r="O166" s="849"/>
      <c r="P166" s="837"/>
      <c r="Q166" s="850"/>
    </row>
    <row r="167" spans="1:17" ht="14.45" customHeight="1" x14ac:dyDescent="0.2">
      <c r="A167" s="831" t="s">
        <v>570</v>
      </c>
      <c r="B167" s="832" t="s">
        <v>2551</v>
      </c>
      <c r="C167" s="832" t="s">
        <v>847</v>
      </c>
      <c r="D167" s="832" t="s">
        <v>2582</v>
      </c>
      <c r="E167" s="832" t="s">
        <v>2583</v>
      </c>
      <c r="F167" s="849">
        <v>1</v>
      </c>
      <c r="G167" s="849">
        <v>16817</v>
      </c>
      <c r="H167" s="849"/>
      <c r="I167" s="849">
        <v>16817</v>
      </c>
      <c r="J167" s="849"/>
      <c r="K167" s="849"/>
      <c r="L167" s="849"/>
      <c r="M167" s="849"/>
      <c r="N167" s="849"/>
      <c r="O167" s="849"/>
      <c r="P167" s="837"/>
      <c r="Q167" s="850"/>
    </row>
    <row r="168" spans="1:17" ht="14.45" customHeight="1" x14ac:dyDescent="0.2">
      <c r="A168" s="831" t="s">
        <v>570</v>
      </c>
      <c r="B168" s="832" t="s">
        <v>2584</v>
      </c>
      <c r="C168" s="832" t="s">
        <v>847</v>
      </c>
      <c r="D168" s="832" t="s">
        <v>2585</v>
      </c>
      <c r="E168" s="832" t="s">
        <v>2586</v>
      </c>
      <c r="F168" s="849"/>
      <c r="G168" s="849"/>
      <c r="H168" s="849"/>
      <c r="I168" s="849"/>
      <c r="J168" s="849"/>
      <c r="K168" s="849"/>
      <c r="L168" s="849"/>
      <c r="M168" s="849"/>
      <c r="N168" s="849">
        <v>1</v>
      </c>
      <c r="O168" s="849">
        <v>11910</v>
      </c>
      <c r="P168" s="837"/>
      <c r="Q168" s="850">
        <v>11910</v>
      </c>
    </row>
    <row r="169" spans="1:17" ht="14.45" customHeight="1" x14ac:dyDescent="0.2">
      <c r="A169" s="831" t="s">
        <v>570</v>
      </c>
      <c r="B169" s="832" t="s">
        <v>2584</v>
      </c>
      <c r="C169" s="832" t="s">
        <v>847</v>
      </c>
      <c r="D169" s="832" t="s">
        <v>2587</v>
      </c>
      <c r="E169" s="832" t="s">
        <v>2588</v>
      </c>
      <c r="F169" s="849">
        <v>1</v>
      </c>
      <c r="G169" s="849">
        <v>2348</v>
      </c>
      <c r="H169" s="849">
        <v>0.99787505312367186</v>
      </c>
      <c r="I169" s="849">
        <v>2348</v>
      </c>
      <c r="J169" s="849">
        <v>1</v>
      </c>
      <c r="K169" s="849">
        <v>2353</v>
      </c>
      <c r="L169" s="849">
        <v>1</v>
      </c>
      <c r="M169" s="849">
        <v>2353</v>
      </c>
      <c r="N169" s="849">
        <v>1</v>
      </c>
      <c r="O169" s="849">
        <v>2369</v>
      </c>
      <c r="P169" s="837">
        <v>1.00679983000425</v>
      </c>
      <c r="Q169" s="850">
        <v>2369</v>
      </c>
    </row>
    <row r="170" spans="1:17" ht="14.45" customHeight="1" x14ac:dyDescent="0.2">
      <c r="A170" s="831" t="s">
        <v>570</v>
      </c>
      <c r="B170" s="832" t="s">
        <v>2584</v>
      </c>
      <c r="C170" s="832" t="s">
        <v>847</v>
      </c>
      <c r="D170" s="832" t="s">
        <v>2589</v>
      </c>
      <c r="E170" s="832" t="s">
        <v>2590</v>
      </c>
      <c r="F170" s="849">
        <v>1</v>
      </c>
      <c r="G170" s="849">
        <v>5238</v>
      </c>
      <c r="H170" s="849">
        <v>0.99904634751096699</v>
      </c>
      <c r="I170" s="849">
        <v>5238</v>
      </c>
      <c r="J170" s="849">
        <v>1</v>
      </c>
      <c r="K170" s="849">
        <v>5243</v>
      </c>
      <c r="L170" s="849">
        <v>1</v>
      </c>
      <c r="M170" s="849">
        <v>5243</v>
      </c>
      <c r="N170" s="849">
        <v>1</v>
      </c>
      <c r="O170" s="849">
        <v>5259</v>
      </c>
      <c r="P170" s="837">
        <v>1.0030516879649056</v>
      </c>
      <c r="Q170" s="850">
        <v>5259</v>
      </c>
    </row>
    <row r="171" spans="1:17" ht="14.45" customHeight="1" x14ac:dyDescent="0.2">
      <c r="A171" s="831" t="s">
        <v>570</v>
      </c>
      <c r="B171" s="832" t="s">
        <v>2584</v>
      </c>
      <c r="C171" s="832" t="s">
        <v>847</v>
      </c>
      <c r="D171" s="832" t="s">
        <v>2591</v>
      </c>
      <c r="E171" s="832" t="s">
        <v>2592</v>
      </c>
      <c r="F171" s="849">
        <v>1</v>
      </c>
      <c r="G171" s="849">
        <v>4114</v>
      </c>
      <c r="H171" s="849"/>
      <c r="I171" s="849">
        <v>4114</v>
      </c>
      <c r="J171" s="849"/>
      <c r="K171" s="849"/>
      <c r="L171" s="849"/>
      <c r="M171" s="849"/>
      <c r="N171" s="849"/>
      <c r="O171" s="849"/>
      <c r="P171" s="837"/>
      <c r="Q171" s="850"/>
    </row>
    <row r="172" spans="1:17" ht="14.45" customHeight="1" x14ac:dyDescent="0.2">
      <c r="A172" s="831" t="s">
        <v>570</v>
      </c>
      <c r="B172" s="832" t="s">
        <v>2584</v>
      </c>
      <c r="C172" s="832" t="s">
        <v>847</v>
      </c>
      <c r="D172" s="832" t="s">
        <v>2593</v>
      </c>
      <c r="E172" s="832" t="s">
        <v>2594</v>
      </c>
      <c r="F172" s="849"/>
      <c r="G172" s="849"/>
      <c r="H172" s="849"/>
      <c r="I172" s="849"/>
      <c r="J172" s="849"/>
      <c r="K172" s="849"/>
      <c r="L172" s="849"/>
      <c r="M172" s="849"/>
      <c r="N172" s="849">
        <v>1</v>
      </c>
      <c r="O172" s="849">
        <v>2392</v>
      </c>
      <c r="P172" s="837"/>
      <c r="Q172" s="850">
        <v>2392</v>
      </c>
    </row>
    <row r="173" spans="1:17" ht="14.45" customHeight="1" x14ac:dyDescent="0.2">
      <c r="A173" s="831" t="s">
        <v>570</v>
      </c>
      <c r="B173" s="832" t="s">
        <v>2584</v>
      </c>
      <c r="C173" s="832" t="s">
        <v>847</v>
      </c>
      <c r="D173" s="832" t="s">
        <v>2595</v>
      </c>
      <c r="E173" s="832" t="s">
        <v>2596</v>
      </c>
      <c r="F173" s="849">
        <v>1</v>
      </c>
      <c r="G173" s="849">
        <v>4617</v>
      </c>
      <c r="H173" s="849"/>
      <c r="I173" s="849">
        <v>4617</v>
      </c>
      <c r="J173" s="849"/>
      <c r="K173" s="849"/>
      <c r="L173" s="849"/>
      <c r="M173" s="849"/>
      <c r="N173" s="849">
        <v>2</v>
      </c>
      <c r="O173" s="849">
        <v>9318</v>
      </c>
      <c r="P173" s="837"/>
      <c r="Q173" s="850">
        <v>4659</v>
      </c>
    </row>
    <row r="174" spans="1:17" ht="14.45" customHeight="1" x14ac:dyDescent="0.2">
      <c r="A174" s="831" t="s">
        <v>570</v>
      </c>
      <c r="B174" s="832" t="s">
        <v>2584</v>
      </c>
      <c r="C174" s="832" t="s">
        <v>847</v>
      </c>
      <c r="D174" s="832" t="s">
        <v>2597</v>
      </c>
      <c r="E174" s="832" t="s">
        <v>2598</v>
      </c>
      <c r="F174" s="849"/>
      <c r="G174" s="849"/>
      <c r="H174" s="849"/>
      <c r="I174" s="849"/>
      <c r="J174" s="849"/>
      <c r="K174" s="849"/>
      <c r="L174" s="849"/>
      <c r="M174" s="849"/>
      <c r="N174" s="849">
        <v>1</v>
      </c>
      <c r="O174" s="849">
        <v>0</v>
      </c>
      <c r="P174" s="837"/>
      <c r="Q174" s="850">
        <v>0</v>
      </c>
    </row>
    <row r="175" spans="1:17" ht="14.45" customHeight="1" x14ac:dyDescent="0.2">
      <c r="A175" s="831" t="s">
        <v>570</v>
      </c>
      <c r="B175" s="832" t="s">
        <v>2599</v>
      </c>
      <c r="C175" s="832" t="s">
        <v>847</v>
      </c>
      <c r="D175" s="832" t="s">
        <v>2600</v>
      </c>
      <c r="E175" s="832" t="s">
        <v>2601</v>
      </c>
      <c r="F175" s="849"/>
      <c r="G175" s="849"/>
      <c r="H175" s="849"/>
      <c r="I175" s="849"/>
      <c r="J175" s="849">
        <v>2</v>
      </c>
      <c r="K175" s="849">
        <v>748</v>
      </c>
      <c r="L175" s="849">
        <v>1</v>
      </c>
      <c r="M175" s="849">
        <v>374</v>
      </c>
      <c r="N175" s="849"/>
      <c r="O175" s="849"/>
      <c r="P175" s="837"/>
      <c r="Q175" s="850"/>
    </row>
    <row r="176" spans="1:17" ht="14.45" customHeight="1" x14ac:dyDescent="0.2">
      <c r="A176" s="831" t="s">
        <v>570</v>
      </c>
      <c r="B176" s="832" t="s">
        <v>2599</v>
      </c>
      <c r="C176" s="832" t="s">
        <v>847</v>
      </c>
      <c r="D176" s="832" t="s">
        <v>2441</v>
      </c>
      <c r="E176" s="832" t="s">
        <v>2442</v>
      </c>
      <c r="F176" s="849">
        <v>1260</v>
      </c>
      <c r="G176" s="849">
        <v>257040</v>
      </c>
      <c r="H176" s="849">
        <v>1.0103654438037288</v>
      </c>
      <c r="I176" s="849">
        <v>204</v>
      </c>
      <c r="J176" s="849">
        <v>1241</v>
      </c>
      <c r="K176" s="849">
        <v>254403</v>
      </c>
      <c r="L176" s="849">
        <v>1</v>
      </c>
      <c r="M176" s="849">
        <v>204.99838839645446</v>
      </c>
      <c r="N176" s="849">
        <v>1120</v>
      </c>
      <c r="O176" s="849">
        <v>230713</v>
      </c>
      <c r="P176" s="837">
        <v>0.90688002893047648</v>
      </c>
      <c r="Q176" s="850">
        <v>205.99375000000001</v>
      </c>
    </row>
    <row r="177" spans="1:17" ht="14.45" customHeight="1" x14ac:dyDescent="0.2">
      <c r="A177" s="831" t="s">
        <v>570</v>
      </c>
      <c r="B177" s="832" t="s">
        <v>2602</v>
      </c>
      <c r="C177" s="832" t="s">
        <v>847</v>
      </c>
      <c r="D177" s="832" t="s">
        <v>2362</v>
      </c>
      <c r="E177" s="832" t="s">
        <v>2363</v>
      </c>
      <c r="F177" s="849"/>
      <c r="G177" s="849"/>
      <c r="H177" s="849"/>
      <c r="I177" s="849"/>
      <c r="J177" s="849">
        <v>50</v>
      </c>
      <c r="K177" s="849">
        <v>11250</v>
      </c>
      <c r="L177" s="849">
        <v>1</v>
      </c>
      <c r="M177" s="849">
        <v>225</v>
      </c>
      <c r="N177" s="849"/>
      <c r="O177" s="849"/>
      <c r="P177" s="837"/>
      <c r="Q177" s="850"/>
    </row>
    <row r="178" spans="1:17" ht="14.45" customHeight="1" x14ac:dyDescent="0.2">
      <c r="A178" s="831" t="s">
        <v>570</v>
      </c>
      <c r="B178" s="832" t="s">
        <v>2602</v>
      </c>
      <c r="C178" s="832" t="s">
        <v>847</v>
      </c>
      <c r="D178" s="832" t="s">
        <v>2427</v>
      </c>
      <c r="E178" s="832" t="s">
        <v>2428</v>
      </c>
      <c r="F178" s="849"/>
      <c r="G178" s="849"/>
      <c r="H178" s="849"/>
      <c r="I178" s="849"/>
      <c r="J178" s="849">
        <v>0</v>
      </c>
      <c r="K178" s="849">
        <v>0</v>
      </c>
      <c r="L178" s="849"/>
      <c r="M178" s="849"/>
      <c r="N178" s="849"/>
      <c r="O178" s="849"/>
      <c r="P178" s="837"/>
      <c r="Q178" s="850"/>
    </row>
    <row r="179" spans="1:17" ht="14.45" customHeight="1" x14ac:dyDescent="0.2">
      <c r="A179" s="831" t="s">
        <v>570</v>
      </c>
      <c r="B179" s="832" t="s">
        <v>2603</v>
      </c>
      <c r="C179" s="832" t="s">
        <v>847</v>
      </c>
      <c r="D179" s="832" t="s">
        <v>2604</v>
      </c>
      <c r="E179" s="832" t="s">
        <v>2605</v>
      </c>
      <c r="F179" s="849">
        <v>2</v>
      </c>
      <c r="G179" s="849">
        <v>1674</v>
      </c>
      <c r="H179" s="849"/>
      <c r="I179" s="849">
        <v>837</v>
      </c>
      <c r="J179" s="849"/>
      <c r="K179" s="849"/>
      <c r="L179" s="849"/>
      <c r="M179" s="849"/>
      <c r="N179" s="849"/>
      <c r="O179" s="849"/>
      <c r="P179" s="837"/>
      <c r="Q179" s="850"/>
    </row>
    <row r="180" spans="1:17" ht="14.45" customHeight="1" x14ac:dyDescent="0.2">
      <c r="A180" s="831" t="s">
        <v>570</v>
      </c>
      <c r="B180" s="832" t="s">
        <v>2603</v>
      </c>
      <c r="C180" s="832" t="s">
        <v>847</v>
      </c>
      <c r="D180" s="832" t="s">
        <v>2606</v>
      </c>
      <c r="E180" s="832" t="s">
        <v>2607</v>
      </c>
      <c r="F180" s="849">
        <v>1</v>
      </c>
      <c r="G180" s="849">
        <v>86</v>
      </c>
      <c r="H180" s="849"/>
      <c r="I180" s="849">
        <v>86</v>
      </c>
      <c r="J180" s="849"/>
      <c r="K180" s="849"/>
      <c r="L180" s="849"/>
      <c r="M180" s="849"/>
      <c r="N180" s="849"/>
      <c r="O180" s="849"/>
      <c r="P180" s="837"/>
      <c r="Q180" s="850"/>
    </row>
    <row r="181" spans="1:17" ht="14.45" customHeight="1" x14ac:dyDescent="0.2">
      <c r="A181" s="831" t="s">
        <v>570</v>
      </c>
      <c r="B181" s="832" t="s">
        <v>2608</v>
      </c>
      <c r="C181" s="832" t="s">
        <v>847</v>
      </c>
      <c r="D181" s="832" t="s">
        <v>2449</v>
      </c>
      <c r="E181" s="832" t="s">
        <v>2450</v>
      </c>
      <c r="F181" s="849"/>
      <c r="G181" s="849"/>
      <c r="H181" s="849"/>
      <c r="I181" s="849"/>
      <c r="J181" s="849">
        <v>1</v>
      </c>
      <c r="K181" s="849">
        <v>318</v>
      </c>
      <c r="L181" s="849">
        <v>1</v>
      </c>
      <c r="M181" s="849">
        <v>318</v>
      </c>
      <c r="N181" s="849"/>
      <c r="O181" s="849"/>
      <c r="P181" s="837"/>
      <c r="Q181" s="850"/>
    </row>
    <row r="182" spans="1:17" ht="14.45" customHeight="1" x14ac:dyDescent="0.2">
      <c r="A182" s="831" t="s">
        <v>2609</v>
      </c>
      <c r="B182" s="832" t="s">
        <v>2340</v>
      </c>
      <c r="C182" s="832" t="s">
        <v>2342</v>
      </c>
      <c r="D182" s="832" t="s">
        <v>2343</v>
      </c>
      <c r="E182" s="832" t="s">
        <v>2344</v>
      </c>
      <c r="F182" s="849">
        <v>0</v>
      </c>
      <c r="G182" s="849">
        <v>0</v>
      </c>
      <c r="H182" s="849"/>
      <c r="I182" s="849"/>
      <c r="J182" s="849"/>
      <c r="K182" s="849"/>
      <c r="L182" s="849"/>
      <c r="M182" s="849"/>
      <c r="N182" s="849"/>
      <c r="O182" s="849"/>
      <c r="P182" s="837"/>
      <c r="Q182" s="850"/>
    </row>
    <row r="183" spans="1:17" ht="14.45" customHeight="1" x14ac:dyDescent="0.2">
      <c r="A183" s="831" t="s">
        <v>2609</v>
      </c>
      <c r="B183" s="832" t="s">
        <v>2340</v>
      </c>
      <c r="C183" s="832" t="s">
        <v>2342</v>
      </c>
      <c r="D183" s="832" t="s">
        <v>2343</v>
      </c>
      <c r="E183" s="832" t="s">
        <v>2346</v>
      </c>
      <c r="F183" s="849">
        <v>1</v>
      </c>
      <c r="G183" s="849">
        <v>19771.900000000001</v>
      </c>
      <c r="H183" s="849"/>
      <c r="I183" s="849">
        <v>19771.900000000001</v>
      </c>
      <c r="J183" s="849"/>
      <c r="K183" s="849"/>
      <c r="L183" s="849"/>
      <c r="M183" s="849"/>
      <c r="N183" s="849"/>
      <c r="O183" s="849"/>
      <c r="P183" s="837"/>
      <c r="Q183" s="850"/>
    </row>
    <row r="184" spans="1:17" ht="14.45" customHeight="1" x14ac:dyDescent="0.2">
      <c r="A184" s="831" t="s">
        <v>2609</v>
      </c>
      <c r="B184" s="832" t="s">
        <v>2340</v>
      </c>
      <c r="C184" s="832" t="s">
        <v>847</v>
      </c>
      <c r="D184" s="832" t="s">
        <v>2358</v>
      </c>
      <c r="E184" s="832" t="s">
        <v>2359</v>
      </c>
      <c r="F184" s="849"/>
      <c r="G184" s="849"/>
      <c r="H184" s="849"/>
      <c r="I184" s="849"/>
      <c r="J184" s="849"/>
      <c r="K184" s="849"/>
      <c r="L184" s="849"/>
      <c r="M184" s="849"/>
      <c r="N184" s="849">
        <v>1</v>
      </c>
      <c r="O184" s="849">
        <v>38</v>
      </c>
      <c r="P184" s="837"/>
      <c r="Q184" s="850">
        <v>38</v>
      </c>
    </row>
    <row r="185" spans="1:17" ht="14.45" customHeight="1" thickBot="1" x14ac:dyDescent="0.25">
      <c r="A185" s="839" t="s">
        <v>2609</v>
      </c>
      <c r="B185" s="840" t="s">
        <v>2340</v>
      </c>
      <c r="C185" s="840" t="s">
        <v>847</v>
      </c>
      <c r="D185" s="840" t="s">
        <v>2364</v>
      </c>
      <c r="E185" s="840" t="s">
        <v>2365</v>
      </c>
      <c r="F185" s="851">
        <v>1</v>
      </c>
      <c r="G185" s="851">
        <v>0</v>
      </c>
      <c r="H185" s="851"/>
      <c r="I185" s="851">
        <v>0</v>
      </c>
      <c r="J185" s="851"/>
      <c r="K185" s="851"/>
      <c r="L185" s="851"/>
      <c r="M185" s="851"/>
      <c r="N185" s="851"/>
      <c r="O185" s="851"/>
      <c r="P185" s="845"/>
      <c r="Q185" s="852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DCCD2B42-0569-4DA0-8C0E-56AA771AF9D9}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28515625" defaultRowHeight="14.45" customHeight="1" outlineLevelRow="1" outlineLevelCol="1" x14ac:dyDescent="0.2"/>
  <cols>
    <col min="1" max="1" width="29.140625" style="353" customWidth="1"/>
    <col min="2" max="2" width="7.85546875" style="353" hidden="1" customWidth="1" outlineLevel="1"/>
    <col min="3" max="3" width="7.85546875" style="353" customWidth="1" collapsed="1"/>
    <col min="4" max="4" width="7.85546875" style="353" customWidth="1"/>
    <col min="5" max="5" width="7.85546875" style="353" hidden="1" customWidth="1" outlineLevel="1"/>
    <col min="6" max="6" width="7.85546875" style="361" customWidth="1" collapsed="1"/>
    <col min="7" max="7" width="7.85546875" style="353" hidden="1" customWidth="1" outlineLevel="1"/>
    <col min="8" max="8" width="7.85546875" style="353" customWidth="1" collapsed="1"/>
    <col min="9" max="9" width="7.85546875" style="353" customWidth="1"/>
    <col min="10" max="10" width="7.85546875" style="353" hidden="1" customWidth="1" outlineLevel="1"/>
    <col min="11" max="11" width="7.85546875" style="362" customWidth="1" collapsed="1"/>
    <col min="12" max="13" width="7.85546875" style="353" hidden="1" customWidth="1"/>
    <col min="14" max="15" width="7.85546875" style="353" customWidth="1"/>
    <col min="16" max="16" width="0" style="353" hidden="1" customWidth="1" outlineLevel="1"/>
    <col min="17" max="17" width="9.5703125" style="353" hidden="1" customWidth="1" outlineLevel="1"/>
    <col min="18" max="18" width="9.28515625" style="353" collapsed="1"/>
    <col min="19" max="16384" width="9.28515625" style="353"/>
  </cols>
  <sheetData>
    <row r="1" spans="1:17" ht="18.600000000000001" customHeight="1" thickBot="1" x14ac:dyDescent="0.35">
      <c r="A1" s="657" t="s">
        <v>134</v>
      </c>
      <c r="B1" s="657"/>
      <c r="C1" s="657"/>
      <c r="D1" s="657"/>
      <c r="E1" s="657"/>
      <c r="F1" s="657"/>
      <c r="G1" s="657"/>
      <c r="H1" s="657"/>
      <c r="I1" s="657"/>
      <c r="J1" s="657"/>
      <c r="K1" s="657"/>
      <c r="L1" s="657"/>
      <c r="M1" s="657"/>
      <c r="N1" s="657"/>
      <c r="O1" s="657"/>
      <c r="P1" s="657"/>
      <c r="Q1" s="657"/>
    </row>
    <row r="2" spans="1:17" ht="14.45" customHeight="1" thickBot="1" x14ac:dyDescent="0.25">
      <c r="A2" s="371" t="s">
        <v>328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</row>
    <row r="3" spans="1:17" ht="14.45" customHeight="1" thickBot="1" x14ac:dyDescent="0.25">
      <c r="A3" s="647" t="s">
        <v>69</v>
      </c>
      <c r="B3" s="624" t="s">
        <v>70</v>
      </c>
      <c r="C3" s="625"/>
      <c r="D3" s="625"/>
      <c r="E3" s="626"/>
      <c r="F3" s="627"/>
      <c r="G3" s="624" t="s">
        <v>240</v>
      </c>
      <c r="H3" s="625"/>
      <c r="I3" s="625"/>
      <c r="J3" s="626"/>
      <c r="K3" s="627"/>
      <c r="L3" s="121"/>
      <c r="M3" s="122"/>
      <c r="N3" s="121"/>
      <c r="O3" s="123"/>
    </row>
    <row r="4" spans="1:17" ht="14.45" customHeight="1" thickBot="1" x14ac:dyDescent="0.25">
      <c r="A4" s="648"/>
      <c r="B4" s="124">
        <v>2015</v>
      </c>
      <c r="C4" s="125">
        <v>2018</v>
      </c>
      <c r="D4" s="125">
        <v>2019</v>
      </c>
      <c r="E4" s="418" t="s">
        <v>257</v>
      </c>
      <c r="F4" s="419" t="s">
        <v>2</v>
      </c>
      <c r="G4" s="124">
        <v>2015</v>
      </c>
      <c r="H4" s="125">
        <v>2018</v>
      </c>
      <c r="I4" s="125">
        <v>2019</v>
      </c>
      <c r="J4" s="125" t="s">
        <v>257</v>
      </c>
      <c r="K4" s="126" t="s">
        <v>2</v>
      </c>
      <c r="L4" s="121"/>
      <c r="M4" s="121"/>
      <c r="N4" s="127" t="s">
        <v>71</v>
      </c>
      <c r="O4" s="128" t="s">
        <v>72</v>
      </c>
      <c r="P4" s="127" t="s">
        <v>266</v>
      </c>
      <c r="Q4" s="128" t="s">
        <v>267</v>
      </c>
    </row>
    <row r="5" spans="1:17" ht="14.45" hidden="1" customHeight="1" outlineLevel="1" x14ac:dyDescent="0.2">
      <c r="A5" s="440" t="s">
        <v>167</v>
      </c>
      <c r="B5" s="119">
        <v>565.35599999999999</v>
      </c>
      <c r="C5" s="114">
        <v>650.10400000000004</v>
      </c>
      <c r="D5" s="114">
        <v>462.08699999999999</v>
      </c>
      <c r="E5" s="424">
        <f>IF(OR(D5=0,B5=0),"",D5/B5)</f>
        <v>0.81733810201006085</v>
      </c>
      <c r="F5" s="129">
        <f>IF(OR(D5=0,C5=0),"",D5/C5)</f>
        <v>0.71078935062697657</v>
      </c>
      <c r="G5" s="130">
        <v>545</v>
      </c>
      <c r="H5" s="114">
        <v>523</v>
      </c>
      <c r="I5" s="114">
        <v>492</v>
      </c>
      <c r="J5" s="424">
        <f>IF(OR(I5=0,G5=0),"",I5/G5)</f>
        <v>0.9027522935779817</v>
      </c>
      <c r="K5" s="131">
        <f>IF(OR(I5=0,H5=0),"",I5/H5)</f>
        <v>0.94072657743785848</v>
      </c>
      <c r="L5" s="121"/>
      <c r="M5" s="121"/>
      <c r="N5" s="7">
        <f>D5-C5</f>
        <v>-188.01700000000005</v>
      </c>
      <c r="O5" s="8">
        <f>I5-H5</f>
        <v>-31</v>
      </c>
      <c r="P5" s="7">
        <f>D5-B5</f>
        <v>-103.26900000000001</v>
      </c>
      <c r="Q5" s="8">
        <f>I5-G5</f>
        <v>-53</v>
      </c>
    </row>
    <row r="6" spans="1:17" ht="14.45" hidden="1" customHeight="1" outlineLevel="1" x14ac:dyDescent="0.2">
      <c r="A6" s="441" t="s">
        <v>168</v>
      </c>
      <c r="B6" s="120">
        <v>195.95400000000001</v>
      </c>
      <c r="C6" s="113">
        <v>161.774</v>
      </c>
      <c r="D6" s="113">
        <v>140.953</v>
      </c>
      <c r="E6" s="424">
        <f t="shared" ref="E6:E12" si="0">IF(OR(D6=0,B6=0),"",D6/B6)</f>
        <v>0.71931677842759012</v>
      </c>
      <c r="F6" s="129">
        <f t="shared" ref="F6:F12" si="1">IF(OR(D6=0,C6=0),"",D6/C6)</f>
        <v>0.87129575828006978</v>
      </c>
      <c r="G6" s="133">
        <v>224</v>
      </c>
      <c r="H6" s="113">
        <v>209</v>
      </c>
      <c r="I6" s="113">
        <v>214</v>
      </c>
      <c r="J6" s="425">
        <f t="shared" ref="J6:J12" si="2">IF(OR(I6=0,G6=0),"",I6/G6)</f>
        <v>0.9553571428571429</v>
      </c>
      <c r="K6" s="134">
        <f t="shared" ref="K6:K12" si="3">IF(OR(I6=0,H6=0),"",I6/H6)</f>
        <v>1.0239234449760766</v>
      </c>
      <c r="L6" s="121"/>
      <c r="M6" s="121"/>
      <c r="N6" s="5">
        <f t="shared" ref="N6:N13" si="4">D6-C6</f>
        <v>-20.820999999999998</v>
      </c>
      <c r="O6" s="6">
        <f t="shared" ref="O6:O13" si="5">I6-H6</f>
        <v>5</v>
      </c>
      <c r="P6" s="5">
        <f t="shared" ref="P6:P13" si="6">D6-B6</f>
        <v>-55.001000000000005</v>
      </c>
      <c r="Q6" s="6">
        <f t="shared" ref="Q6:Q13" si="7">I6-G6</f>
        <v>-10</v>
      </c>
    </row>
    <row r="7" spans="1:17" ht="14.45" hidden="1" customHeight="1" outlineLevel="1" x14ac:dyDescent="0.2">
      <c r="A7" s="441" t="s">
        <v>169</v>
      </c>
      <c r="B7" s="120">
        <v>968.59400000000005</v>
      </c>
      <c r="C7" s="113">
        <v>638.61</v>
      </c>
      <c r="D7" s="113">
        <v>741.923</v>
      </c>
      <c r="E7" s="424">
        <f t="shared" si="0"/>
        <v>0.76597934738394002</v>
      </c>
      <c r="F7" s="129">
        <f t="shared" si="1"/>
        <v>1.1617779239285322</v>
      </c>
      <c r="G7" s="133">
        <v>838</v>
      </c>
      <c r="H7" s="113">
        <v>799</v>
      </c>
      <c r="I7" s="113">
        <v>764</v>
      </c>
      <c r="J7" s="425">
        <f t="shared" si="2"/>
        <v>0.91169451073985686</v>
      </c>
      <c r="K7" s="134">
        <f t="shared" si="3"/>
        <v>0.95619524405506884</v>
      </c>
      <c r="L7" s="121"/>
      <c r="M7" s="121"/>
      <c r="N7" s="5">
        <f t="shared" si="4"/>
        <v>103.31299999999999</v>
      </c>
      <c r="O7" s="6">
        <f t="shared" si="5"/>
        <v>-35</v>
      </c>
      <c r="P7" s="5">
        <f t="shared" si="6"/>
        <v>-226.67100000000005</v>
      </c>
      <c r="Q7" s="6">
        <f t="shared" si="7"/>
        <v>-74</v>
      </c>
    </row>
    <row r="8" spans="1:17" ht="14.45" hidden="1" customHeight="1" outlineLevel="1" x14ac:dyDescent="0.2">
      <c r="A8" s="441" t="s">
        <v>170</v>
      </c>
      <c r="B8" s="120">
        <v>93.543000000000006</v>
      </c>
      <c r="C8" s="113">
        <v>54.040999999999997</v>
      </c>
      <c r="D8" s="113">
        <v>36.195</v>
      </c>
      <c r="E8" s="424">
        <f t="shared" si="0"/>
        <v>0.38693435104711199</v>
      </c>
      <c r="F8" s="129">
        <f t="shared" si="1"/>
        <v>0.66976924927369963</v>
      </c>
      <c r="G8" s="133">
        <v>62</v>
      </c>
      <c r="H8" s="113">
        <v>74</v>
      </c>
      <c r="I8" s="113">
        <v>79</v>
      </c>
      <c r="J8" s="425">
        <f t="shared" si="2"/>
        <v>1.2741935483870968</v>
      </c>
      <c r="K8" s="134">
        <f t="shared" si="3"/>
        <v>1.0675675675675675</v>
      </c>
      <c r="L8" s="121"/>
      <c r="M8" s="121"/>
      <c r="N8" s="5">
        <f t="shared" si="4"/>
        <v>-17.845999999999997</v>
      </c>
      <c r="O8" s="6">
        <f t="shared" si="5"/>
        <v>5</v>
      </c>
      <c r="P8" s="5">
        <f t="shared" si="6"/>
        <v>-57.348000000000006</v>
      </c>
      <c r="Q8" s="6">
        <f t="shared" si="7"/>
        <v>17</v>
      </c>
    </row>
    <row r="9" spans="1:17" ht="14.45" hidden="1" customHeight="1" outlineLevel="1" x14ac:dyDescent="0.2">
      <c r="A9" s="441" t="s">
        <v>171</v>
      </c>
      <c r="B9" s="120">
        <v>0</v>
      </c>
      <c r="C9" s="113">
        <v>0</v>
      </c>
      <c r="D9" s="113">
        <v>4.1550000000000002</v>
      </c>
      <c r="E9" s="424" t="str">
        <f t="shared" si="0"/>
        <v/>
      </c>
      <c r="F9" s="129" t="str">
        <f t="shared" si="1"/>
        <v/>
      </c>
      <c r="G9" s="133">
        <v>0</v>
      </c>
      <c r="H9" s="113">
        <v>0</v>
      </c>
      <c r="I9" s="113">
        <v>2</v>
      </c>
      <c r="J9" s="425" t="str">
        <f t="shared" si="2"/>
        <v/>
      </c>
      <c r="K9" s="134" t="str">
        <f t="shared" si="3"/>
        <v/>
      </c>
      <c r="L9" s="121"/>
      <c r="M9" s="121"/>
      <c r="N9" s="5">
        <f t="shared" si="4"/>
        <v>4.1550000000000002</v>
      </c>
      <c r="O9" s="6">
        <f t="shared" si="5"/>
        <v>2</v>
      </c>
      <c r="P9" s="5">
        <f t="shared" si="6"/>
        <v>4.1550000000000002</v>
      </c>
      <c r="Q9" s="6">
        <f t="shared" si="7"/>
        <v>2</v>
      </c>
    </row>
    <row r="10" spans="1:17" ht="14.45" hidden="1" customHeight="1" outlineLevel="1" x14ac:dyDescent="0.2">
      <c r="A10" s="441" t="s">
        <v>172</v>
      </c>
      <c r="B10" s="120">
        <v>278.57499999999999</v>
      </c>
      <c r="C10" s="113">
        <v>267.83</v>
      </c>
      <c r="D10" s="113">
        <v>495.44099999999997</v>
      </c>
      <c r="E10" s="424">
        <f t="shared" si="0"/>
        <v>1.7784833527775286</v>
      </c>
      <c r="F10" s="129">
        <f t="shared" si="1"/>
        <v>1.8498338498301161</v>
      </c>
      <c r="G10" s="133">
        <v>286</v>
      </c>
      <c r="H10" s="113">
        <v>271</v>
      </c>
      <c r="I10" s="113">
        <v>281</v>
      </c>
      <c r="J10" s="425">
        <f t="shared" si="2"/>
        <v>0.9825174825174825</v>
      </c>
      <c r="K10" s="134">
        <f t="shared" si="3"/>
        <v>1.03690036900369</v>
      </c>
      <c r="L10" s="121"/>
      <c r="M10" s="121"/>
      <c r="N10" s="5">
        <f t="shared" si="4"/>
        <v>227.61099999999999</v>
      </c>
      <c r="O10" s="6">
        <f t="shared" si="5"/>
        <v>10</v>
      </c>
      <c r="P10" s="5">
        <f t="shared" si="6"/>
        <v>216.86599999999999</v>
      </c>
      <c r="Q10" s="6">
        <f t="shared" si="7"/>
        <v>-5</v>
      </c>
    </row>
    <row r="11" spans="1:17" ht="14.45" hidden="1" customHeight="1" outlineLevel="1" x14ac:dyDescent="0.2">
      <c r="A11" s="441" t="s">
        <v>173</v>
      </c>
      <c r="B11" s="120">
        <v>173.7</v>
      </c>
      <c r="C11" s="113">
        <v>81.412000000000006</v>
      </c>
      <c r="D11" s="113">
        <v>18.763000000000002</v>
      </c>
      <c r="E11" s="424">
        <f t="shared" si="0"/>
        <v>0.10801957397812322</v>
      </c>
      <c r="F11" s="129">
        <f t="shared" si="1"/>
        <v>0.2304697096251167</v>
      </c>
      <c r="G11" s="133">
        <v>59</v>
      </c>
      <c r="H11" s="113">
        <v>56</v>
      </c>
      <c r="I11" s="113">
        <v>35</v>
      </c>
      <c r="J11" s="425">
        <f t="shared" si="2"/>
        <v>0.59322033898305082</v>
      </c>
      <c r="K11" s="134">
        <f t="shared" si="3"/>
        <v>0.625</v>
      </c>
      <c r="L11" s="121"/>
      <c r="M11" s="121"/>
      <c r="N11" s="5">
        <f t="shared" si="4"/>
        <v>-62.649000000000001</v>
      </c>
      <c r="O11" s="6">
        <f t="shared" si="5"/>
        <v>-21</v>
      </c>
      <c r="P11" s="5">
        <f t="shared" si="6"/>
        <v>-154.93699999999998</v>
      </c>
      <c r="Q11" s="6">
        <f t="shared" si="7"/>
        <v>-24</v>
      </c>
    </row>
    <row r="12" spans="1:17" ht="14.45" hidden="1" customHeight="1" outlineLevel="1" thickBot="1" x14ac:dyDescent="0.25">
      <c r="A12" s="442" t="s">
        <v>208</v>
      </c>
      <c r="B12" s="238">
        <v>1.3380000000000001</v>
      </c>
      <c r="C12" s="239">
        <v>0</v>
      </c>
      <c r="D12" s="239">
        <v>0</v>
      </c>
      <c r="E12" s="424" t="str">
        <f t="shared" si="0"/>
        <v/>
      </c>
      <c r="F12" s="129" t="str">
        <f t="shared" si="1"/>
        <v/>
      </c>
      <c r="G12" s="241">
        <v>4</v>
      </c>
      <c r="H12" s="239">
        <v>0</v>
      </c>
      <c r="I12" s="239">
        <v>0</v>
      </c>
      <c r="J12" s="426" t="str">
        <f t="shared" si="2"/>
        <v/>
      </c>
      <c r="K12" s="242" t="str">
        <f t="shared" si="3"/>
        <v/>
      </c>
      <c r="L12" s="121"/>
      <c r="M12" s="121"/>
      <c r="N12" s="243">
        <f t="shared" si="4"/>
        <v>0</v>
      </c>
      <c r="O12" s="244">
        <f t="shared" si="5"/>
        <v>0</v>
      </c>
      <c r="P12" s="243">
        <f t="shared" si="6"/>
        <v>-1.3380000000000001</v>
      </c>
      <c r="Q12" s="244">
        <f t="shared" si="7"/>
        <v>-4</v>
      </c>
    </row>
    <row r="13" spans="1:17" ht="14.45" customHeight="1" collapsed="1" thickBot="1" x14ac:dyDescent="0.25">
      <c r="A13" s="117" t="s">
        <v>3</v>
      </c>
      <c r="B13" s="115">
        <f>SUM(B5:B12)</f>
        <v>2277.06</v>
      </c>
      <c r="C13" s="116">
        <f>SUM(C5:C12)</f>
        <v>1853.771</v>
      </c>
      <c r="D13" s="116">
        <f>SUM(D5:D12)</f>
        <v>1899.5169999999998</v>
      </c>
      <c r="E13" s="420">
        <f>IF(OR(D13=0,B13=0),0,D13/B13)</f>
        <v>0.83419716652174292</v>
      </c>
      <c r="F13" s="135">
        <f>IF(OR(D13=0,C13=0),0,D13/C13)</f>
        <v>1.0246772659621928</v>
      </c>
      <c r="G13" s="136">
        <f>SUM(G5:G12)</f>
        <v>2018</v>
      </c>
      <c r="H13" s="116">
        <f>SUM(H5:H12)</f>
        <v>1932</v>
      </c>
      <c r="I13" s="116">
        <f>SUM(I5:I12)</f>
        <v>1867</v>
      </c>
      <c r="J13" s="420">
        <f>IF(OR(I13=0,G13=0),0,I13/G13)</f>
        <v>0.92517343904856297</v>
      </c>
      <c r="K13" s="137">
        <f>IF(OR(I13=0,H13=0),0,I13/H13)</f>
        <v>0.96635610766045543</v>
      </c>
      <c r="L13" s="121"/>
      <c r="M13" s="121"/>
      <c r="N13" s="127">
        <f t="shared" si="4"/>
        <v>45.745999999999867</v>
      </c>
      <c r="O13" s="138">
        <f t="shared" si="5"/>
        <v>-65</v>
      </c>
      <c r="P13" s="127">
        <f t="shared" si="6"/>
        <v>-377.54300000000012</v>
      </c>
      <c r="Q13" s="138">
        <f t="shared" si="7"/>
        <v>-151</v>
      </c>
    </row>
    <row r="14" spans="1:17" ht="14.45" customHeight="1" x14ac:dyDescent="0.2">
      <c r="A14" s="139"/>
      <c r="B14" s="649"/>
      <c r="C14" s="649"/>
      <c r="D14" s="649"/>
      <c r="E14" s="650"/>
      <c r="F14" s="649"/>
      <c r="G14" s="649"/>
      <c r="H14" s="649"/>
      <c r="I14" s="649"/>
      <c r="J14" s="650"/>
      <c r="K14" s="649"/>
      <c r="L14" s="121"/>
      <c r="M14" s="121"/>
      <c r="N14" s="121"/>
      <c r="O14" s="123"/>
      <c r="P14" s="121"/>
      <c r="Q14" s="123"/>
    </row>
    <row r="15" spans="1:17" ht="14.45" customHeight="1" thickBot="1" x14ac:dyDescent="0.25">
      <c r="A15" s="139"/>
      <c r="B15" s="354"/>
      <c r="C15" s="355"/>
      <c r="D15" s="355"/>
      <c r="E15" s="355"/>
      <c r="F15" s="355"/>
      <c r="G15" s="354"/>
      <c r="H15" s="355"/>
      <c r="I15" s="355"/>
      <c r="J15" s="355"/>
      <c r="K15" s="355"/>
      <c r="L15" s="121"/>
      <c r="M15" s="121"/>
      <c r="N15" s="121"/>
      <c r="O15" s="123"/>
      <c r="P15" s="121"/>
      <c r="Q15" s="123"/>
    </row>
    <row r="16" spans="1:17" ht="14.45" customHeight="1" thickBot="1" x14ac:dyDescent="0.25">
      <c r="A16" s="651" t="s">
        <v>258</v>
      </c>
      <c r="B16" s="653" t="s">
        <v>70</v>
      </c>
      <c r="C16" s="654"/>
      <c r="D16" s="654"/>
      <c r="E16" s="655"/>
      <c r="F16" s="656"/>
      <c r="G16" s="653" t="s">
        <v>240</v>
      </c>
      <c r="H16" s="654"/>
      <c r="I16" s="654"/>
      <c r="J16" s="655"/>
      <c r="K16" s="656"/>
      <c r="L16" s="672" t="s">
        <v>178</v>
      </c>
      <c r="M16" s="673"/>
      <c r="N16" s="155"/>
      <c r="O16" s="155"/>
      <c r="P16" s="155"/>
      <c r="Q16" s="155"/>
    </row>
    <row r="17" spans="1:17" ht="14.45" customHeight="1" thickBot="1" x14ac:dyDescent="0.25">
      <c r="A17" s="652"/>
      <c r="B17" s="140">
        <v>2015</v>
      </c>
      <c r="C17" s="141">
        <v>2018</v>
      </c>
      <c r="D17" s="141">
        <v>2019</v>
      </c>
      <c r="E17" s="141" t="s">
        <v>257</v>
      </c>
      <c r="F17" s="142" t="s">
        <v>2</v>
      </c>
      <c r="G17" s="140">
        <v>2015</v>
      </c>
      <c r="H17" s="141">
        <v>2018</v>
      </c>
      <c r="I17" s="141">
        <v>2019</v>
      </c>
      <c r="J17" s="141" t="s">
        <v>257</v>
      </c>
      <c r="K17" s="142" t="s">
        <v>2</v>
      </c>
      <c r="L17" s="643" t="s">
        <v>179</v>
      </c>
      <c r="M17" s="644"/>
      <c r="N17" s="143" t="s">
        <v>71</v>
      </c>
      <c r="O17" s="144" t="s">
        <v>72</v>
      </c>
      <c r="P17" s="143" t="s">
        <v>266</v>
      </c>
      <c r="Q17" s="144" t="s">
        <v>267</v>
      </c>
    </row>
    <row r="18" spans="1:17" ht="14.45" hidden="1" customHeight="1" outlineLevel="1" x14ac:dyDescent="0.2">
      <c r="A18" s="440" t="s">
        <v>167</v>
      </c>
      <c r="B18" s="119">
        <v>4.4870000000000001</v>
      </c>
      <c r="C18" s="114">
        <v>4.0629999999999997</v>
      </c>
      <c r="D18" s="114">
        <v>9.2919999999999998</v>
      </c>
      <c r="E18" s="424">
        <f>IF(OR(D18=0,B18=0),"",D18/B18)</f>
        <v>2.0708714062848226</v>
      </c>
      <c r="F18" s="129">
        <f>IF(OR(D18=0,C18=0),"",D18/C18)</f>
        <v>2.2869800639921243</v>
      </c>
      <c r="G18" s="119">
        <v>12</v>
      </c>
      <c r="H18" s="114">
        <v>9</v>
      </c>
      <c r="I18" s="114">
        <v>9</v>
      </c>
      <c r="J18" s="424">
        <f>IF(OR(I18=0,G18=0),"",I18/G18)</f>
        <v>0.75</v>
      </c>
      <c r="K18" s="131">
        <f>IF(OR(I18=0,H18=0),"",I18/H18)</f>
        <v>1</v>
      </c>
      <c r="L18" s="645">
        <v>0.91871999999999998</v>
      </c>
      <c r="M18" s="646"/>
      <c r="N18" s="145">
        <f t="shared" ref="N18:N26" si="8">D18-C18</f>
        <v>5.2290000000000001</v>
      </c>
      <c r="O18" s="146">
        <f t="shared" ref="O18:O26" si="9">I18-H18</f>
        <v>0</v>
      </c>
      <c r="P18" s="145">
        <f t="shared" ref="P18:P26" si="10">D18-B18</f>
        <v>4.8049999999999997</v>
      </c>
      <c r="Q18" s="146">
        <f t="shared" ref="Q18:Q26" si="11">I18-G18</f>
        <v>-3</v>
      </c>
    </row>
    <row r="19" spans="1:17" ht="14.45" hidden="1" customHeight="1" outlineLevel="1" x14ac:dyDescent="0.2">
      <c r="A19" s="441" t="s">
        <v>168</v>
      </c>
      <c r="B19" s="120">
        <v>0.93700000000000006</v>
      </c>
      <c r="C19" s="113">
        <v>1.2589999999999999</v>
      </c>
      <c r="D19" s="113">
        <v>0.66500000000000004</v>
      </c>
      <c r="E19" s="425">
        <f t="shared" ref="E19:E25" si="12">IF(OR(D19=0,B19=0),"",D19/B19)</f>
        <v>0.7097118463180363</v>
      </c>
      <c r="F19" s="132">
        <f t="shared" ref="F19:F25" si="13">IF(OR(D19=0,C19=0),"",D19/C19)</f>
        <v>0.52819698173153307</v>
      </c>
      <c r="G19" s="120">
        <v>3</v>
      </c>
      <c r="H19" s="113">
        <v>4</v>
      </c>
      <c r="I19" s="113">
        <v>2</v>
      </c>
      <c r="J19" s="425">
        <f t="shared" ref="J19:J25" si="14">IF(OR(I19=0,G19=0),"",I19/G19)</f>
        <v>0.66666666666666663</v>
      </c>
      <c r="K19" s="134">
        <f t="shared" ref="K19:K25" si="15">IF(OR(I19=0,H19=0),"",I19/H19)</f>
        <v>0.5</v>
      </c>
      <c r="L19" s="645">
        <v>0.99456</v>
      </c>
      <c r="M19" s="646"/>
      <c r="N19" s="147">
        <f t="shared" si="8"/>
        <v>-0.59399999999999986</v>
      </c>
      <c r="O19" s="148">
        <f t="shared" si="9"/>
        <v>-2</v>
      </c>
      <c r="P19" s="147">
        <f t="shared" si="10"/>
        <v>-0.27200000000000002</v>
      </c>
      <c r="Q19" s="148">
        <f t="shared" si="11"/>
        <v>-1</v>
      </c>
    </row>
    <row r="20" spans="1:17" ht="14.45" hidden="1" customHeight="1" outlineLevel="1" x14ac:dyDescent="0.2">
      <c r="A20" s="441" t="s">
        <v>169</v>
      </c>
      <c r="B20" s="120">
        <v>4.5060000000000002</v>
      </c>
      <c r="C20" s="113">
        <v>14.673999999999999</v>
      </c>
      <c r="D20" s="113">
        <v>19.734999999999999</v>
      </c>
      <c r="E20" s="425">
        <f t="shared" si="12"/>
        <v>4.3797159343098091</v>
      </c>
      <c r="F20" s="132">
        <f t="shared" si="13"/>
        <v>1.3448957339512062</v>
      </c>
      <c r="G20" s="120">
        <v>18</v>
      </c>
      <c r="H20" s="113">
        <v>12</v>
      </c>
      <c r="I20" s="113">
        <v>13</v>
      </c>
      <c r="J20" s="425">
        <f t="shared" si="14"/>
        <v>0.72222222222222221</v>
      </c>
      <c r="K20" s="134">
        <f t="shared" si="15"/>
        <v>1.0833333333333333</v>
      </c>
      <c r="L20" s="645">
        <v>0.96671999999999991</v>
      </c>
      <c r="M20" s="646"/>
      <c r="N20" s="147">
        <f t="shared" si="8"/>
        <v>5.0609999999999999</v>
      </c>
      <c r="O20" s="148">
        <f t="shared" si="9"/>
        <v>1</v>
      </c>
      <c r="P20" s="147">
        <f t="shared" si="10"/>
        <v>15.228999999999999</v>
      </c>
      <c r="Q20" s="148">
        <f t="shared" si="11"/>
        <v>-5</v>
      </c>
    </row>
    <row r="21" spans="1:17" ht="14.45" hidden="1" customHeight="1" outlineLevel="1" x14ac:dyDescent="0.2">
      <c r="A21" s="441" t="s">
        <v>170</v>
      </c>
      <c r="B21" s="120">
        <v>0</v>
      </c>
      <c r="C21" s="113">
        <v>0.25700000000000001</v>
      </c>
      <c r="D21" s="113">
        <v>0.60599999999999998</v>
      </c>
      <c r="E21" s="425" t="str">
        <f t="shared" si="12"/>
        <v/>
      </c>
      <c r="F21" s="132">
        <f t="shared" si="13"/>
        <v>2.3579766536964981</v>
      </c>
      <c r="G21" s="120">
        <v>0</v>
      </c>
      <c r="H21" s="113">
        <v>1</v>
      </c>
      <c r="I21" s="113">
        <v>2</v>
      </c>
      <c r="J21" s="425" t="str">
        <f t="shared" si="14"/>
        <v/>
      </c>
      <c r="K21" s="134">
        <f t="shared" si="15"/>
        <v>2</v>
      </c>
      <c r="L21" s="645">
        <v>1.11744</v>
      </c>
      <c r="M21" s="646"/>
      <c r="N21" s="147">
        <f t="shared" si="8"/>
        <v>0.34899999999999998</v>
      </c>
      <c r="O21" s="148">
        <f t="shared" si="9"/>
        <v>1</v>
      </c>
      <c r="P21" s="147">
        <f t="shared" si="10"/>
        <v>0.60599999999999998</v>
      </c>
      <c r="Q21" s="148">
        <f t="shared" si="11"/>
        <v>2</v>
      </c>
    </row>
    <row r="22" spans="1:17" ht="14.45" hidden="1" customHeight="1" outlineLevel="1" x14ac:dyDescent="0.2">
      <c r="A22" s="441" t="s">
        <v>171</v>
      </c>
      <c r="B22" s="120">
        <v>0</v>
      </c>
      <c r="C22" s="113">
        <v>0</v>
      </c>
      <c r="D22" s="113">
        <v>0</v>
      </c>
      <c r="E22" s="425" t="str">
        <f t="shared" si="12"/>
        <v/>
      </c>
      <c r="F22" s="132" t="str">
        <f t="shared" si="13"/>
        <v/>
      </c>
      <c r="G22" s="120">
        <v>0</v>
      </c>
      <c r="H22" s="113">
        <v>0</v>
      </c>
      <c r="I22" s="113">
        <v>0</v>
      </c>
      <c r="J22" s="425" t="str">
        <f t="shared" si="14"/>
        <v/>
      </c>
      <c r="K22" s="134" t="str">
        <f t="shared" si="15"/>
        <v/>
      </c>
      <c r="L22" s="645">
        <v>0.96</v>
      </c>
      <c r="M22" s="646"/>
      <c r="N22" s="147">
        <f t="shared" si="8"/>
        <v>0</v>
      </c>
      <c r="O22" s="148">
        <f t="shared" si="9"/>
        <v>0</v>
      </c>
      <c r="P22" s="147">
        <f t="shared" si="10"/>
        <v>0</v>
      </c>
      <c r="Q22" s="148">
        <f t="shared" si="11"/>
        <v>0</v>
      </c>
    </row>
    <row r="23" spans="1:17" ht="14.45" hidden="1" customHeight="1" outlineLevel="1" x14ac:dyDescent="0.2">
      <c r="A23" s="441" t="s">
        <v>172</v>
      </c>
      <c r="B23" s="120">
        <v>2.3839999999999999</v>
      </c>
      <c r="C23" s="113">
        <v>0.94799999999999995</v>
      </c>
      <c r="D23" s="113">
        <v>2.867</v>
      </c>
      <c r="E23" s="425">
        <f t="shared" si="12"/>
        <v>1.2026006711409396</v>
      </c>
      <c r="F23" s="132">
        <f t="shared" si="13"/>
        <v>3.0242616033755274</v>
      </c>
      <c r="G23" s="120">
        <v>9</v>
      </c>
      <c r="H23" s="113">
        <v>4</v>
      </c>
      <c r="I23" s="113">
        <v>11</v>
      </c>
      <c r="J23" s="425">
        <f t="shared" si="14"/>
        <v>1.2222222222222223</v>
      </c>
      <c r="K23" s="134">
        <f t="shared" si="15"/>
        <v>2.75</v>
      </c>
      <c r="L23" s="645">
        <v>0.98495999999999995</v>
      </c>
      <c r="M23" s="646"/>
      <c r="N23" s="147">
        <f t="shared" si="8"/>
        <v>1.919</v>
      </c>
      <c r="O23" s="148">
        <f t="shared" si="9"/>
        <v>7</v>
      </c>
      <c r="P23" s="147">
        <f t="shared" si="10"/>
        <v>0.4830000000000001</v>
      </c>
      <c r="Q23" s="148">
        <f t="shared" si="11"/>
        <v>2</v>
      </c>
    </row>
    <row r="24" spans="1:17" ht="14.45" hidden="1" customHeight="1" outlineLevel="1" x14ac:dyDescent="0.2">
      <c r="A24" s="441" t="s">
        <v>173</v>
      </c>
      <c r="B24" s="120">
        <v>0.25700000000000001</v>
      </c>
      <c r="C24" s="113">
        <v>0.17699999999999999</v>
      </c>
      <c r="D24" s="113">
        <v>0</v>
      </c>
      <c r="E24" s="425" t="str">
        <f t="shared" si="12"/>
        <v/>
      </c>
      <c r="F24" s="132" t="str">
        <f t="shared" si="13"/>
        <v/>
      </c>
      <c r="G24" s="120">
        <v>1</v>
      </c>
      <c r="H24" s="113">
        <v>1</v>
      </c>
      <c r="I24" s="113">
        <v>0</v>
      </c>
      <c r="J24" s="425" t="str">
        <f t="shared" si="14"/>
        <v/>
      </c>
      <c r="K24" s="134" t="str">
        <f t="shared" si="15"/>
        <v/>
      </c>
      <c r="L24" s="645">
        <v>1.0147199999999998</v>
      </c>
      <c r="M24" s="646"/>
      <c r="N24" s="147">
        <f t="shared" si="8"/>
        <v>-0.17699999999999999</v>
      </c>
      <c r="O24" s="148">
        <f t="shared" si="9"/>
        <v>-1</v>
      </c>
      <c r="P24" s="147">
        <f t="shared" si="10"/>
        <v>-0.25700000000000001</v>
      </c>
      <c r="Q24" s="148">
        <f t="shared" si="11"/>
        <v>-1</v>
      </c>
    </row>
    <row r="25" spans="1:17" ht="14.45" hidden="1" customHeight="1" outlineLevel="1" thickBot="1" x14ac:dyDescent="0.25">
      <c r="A25" s="442" t="s">
        <v>208</v>
      </c>
      <c r="B25" s="238">
        <v>0.75600000000000001</v>
      </c>
      <c r="C25" s="239">
        <v>0</v>
      </c>
      <c r="D25" s="239">
        <v>0</v>
      </c>
      <c r="E25" s="426" t="str">
        <f t="shared" si="12"/>
        <v/>
      </c>
      <c r="F25" s="240" t="str">
        <f t="shared" si="13"/>
        <v/>
      </c>
      <c r="G25" s="238">
        <v>2</v>
      </c>
      <c r="H25" s="239">
        <v>0</v>
      </c>
      <c r="I25" s="239">
        <v>0</v>
      </c>
      <c r="J25" s="426" t="str">
        <f t="shared" si="14"/>
        <v/>
      </c>
      <c r="K25" s="242" t="str">
        <f t="shared" si="15"/>
        <v/>
      </c>
      <c r="L25" s="356"/>
      <c r="M25" s="357"/>
      <c r="N25" s="245">
        <f t="shared" si="8"/>
        <v>0</v>
      </c>
      <c r="O25" s="246">
        <f t="shared" si="9"/>
        <v>0</v>
      </c>
      <c r="P25" s="245">
        <f t="shared" si="10"/>
        <v>-0.75600000000000001</v>
      </c>
      <c r="Q25" s="246">
        <f t="shared" si="11"/>
        <v>-2</v>
      </c>
    </row>
    <row r="26" spans="1:17" ht="14.45" customHeight="1" collapsed="1" thickBot="1" x14ac:dyDescent="0.25">
      <c r="A26" s="445" t="s">
        <v>3</v>
      </c>
      <c r="B26" s="149">
        <f>SUM(B18:B25)</f>
        <v>13.327</v>
      </c>
      <c r="C26" s="150">
        <f>SUM(C18:C25)</f>
        <v>21.378</v>
      </c>
      <c r="D26" s="150">
        <f>SUM(D18:D25)</f>
        <v>33.164999999999999</v>
      </c>
      <c r="E26" s="421">
        <f>IF(OR(D26=0,B26=0),0,D26/B26)</f>
        <v>2.4885570646056876</v>
      </c>
      <c r="F26" s="151">
        <f>IF(OR(D26=0,C26=0),0,D26/C26)</f>
        <v>1.5513612124614089</v>
      </c>
      <c r="G26" s="149">
        <f>SUM(G18:G25)</f>
        <v>45</v>
      </c>
      <c r="H26" s="150">
        <f>SUM(H18:H25)</f>
        <v>31</v>
      </c>
      <c r="I26" s="150">
        <f>SUM(I18:I25)</f>
        <v>37</v>
      </c>
      <c r="J26" s="421">
        <f>IF(OR(I26=0,G26=0),0,I26/G26)</f>
        <v>0.82222222222222219</v>
      </c>
      <c r="K26" s="152">
        <f>IF(OR(I26=0,H26=0),0,I26/H26)</f>
        <v>1.1935483870967742</v>
      </c>
      <c r="L26" s="121"/>
      <c r="M26" s="121"/>
      <c r="N26" s="143">
        <f t="shared" si="8"/>
        <v>11.786999999999999</v>
      </c>
      <c r="O26" s="153">
        <f t="shared" si="9"/>
        <v>6</v>
      </c>
      <c r="P26" s="143">
        <f t="shared" si="10"/>
        <v>19.838000000000001</v>
      </c>
      <c r="Q26" s="153">
        <f t="shared" si="11"/>
        <v>-8</v>
      </c>
    </row>
    <row r="27" spans="1:17" ht="14.45" customHeight="1" x14ac:dyDescent="0.2">
      <c r="A27" s="154"/>
      <c r="B27" s="649" t="s">
        <v>206</v>
      </c>
      <c r="C27" s="658"/>
      <c r="D27" s="658"/>
      <c r="E27" s="659"/>
      <c r="F27" s="658"/>
      <c r="G27" s="649" t="s">
        <v>207</v>
      </c>
      <c r="H27" s="658"/>
      <c r="I27" s="658"/>
      <c r="J27" s="659"/>
      <c r="K27" s="658"/>
      <c r="L27" s="155"/>
      <c r="M27" s="155"/>
      <c r="N27" s="155"/>
      <c r="O27" s="156"/>
      <c r="P27" s="155"/>
      <c r="Q27" s="156"/>
    </row>
    <row r="28" spans="1:17" ht="14.45" customHeight="1" thickBot="1" x14ac:dyDescent="0.25">
      <c r="A28" s="154"/>
      <c r="B28" s="354"/>
      <c r="C28" s="355"/>
      <c r="D28" s="355"/>
      <c r="E28" s="355"/>
      <c r="F28" s="355"/>
      <c r="G28" s="354"/>
      <c r="H28" s="355"/>
      <c r="I28" s="355"/>
      <c r="J28" s="355"/>
      <c r="K28" s="355"/>
      <c r="L28" s="155"/>
      <c r="M28" s="155"/>
      <c r="N28" s="155"/>
      <c r="O28" s="156"/>
      <c r="P28" s="155"/>
      <c r="Q28" s="156"/>
    </row>
    <row r="29" spans="1:17" ht="14.45" customHeight="1" thickBot="1" x14ac:dyDescent="0.25">
      <c r="A29" s="666" t="s">
        <v>259</v>
      </c>
      <c r="B29" s="668" t="s">
        <v>70</v>
      </c>
      <c r="C29" s="669"/>
      <c r="D29" s="669"/>
      <c r="E29" s="670"/>
      <c r="F29" s="671"/>
      <c r="G29" s="669" t="s">
        <v>240</v>
      </c>
      <c r="H29" s="669"/>
      <c r="I29" s="669"/>
      <c r="J29" s="670"/>
      <c r="K29" s="671"/>
      <c r="L29" s="155"/>
      <c r="M29" s="155"/>
      <c r="N29" s="155"/>
      <c r="O29" s="156"/>
      <c r="P29" s="155"/>
      <c r="Q29" s="156"/>
    </row>
    <row r="30" spans="1:17" ht="14.45" customHeight="1" thickBot="1" x14ac:dyDescent="0.25">
      <c r="A30" s="667"/>
      <c r="B30" s="157">
        <v>2015</v>
      </c>
      <c r="C30" s="158">
        <v>2018</v>
      </c>
      <c r="D30" s="158">
        <v>2019</v>
      </c>
      <c r="E30" s="158" t="s">
        <v>257</v>
      </c>
      <c r="F30" s="159" t="s">
        <v>2</v>
      </c>
      <c r="G30" s="158">
        <v>2015</v>
      </c>
      <c r="H30" s="158">
        <v>2018</v>
      </c>
      <c r="I30" s="158">
        <v>2019</v>
      </c>
      <c r="J30" s="158" t="s">
        <v>257</v>
      </c>
      <c r="K30" s="159" t="s">
        <v>2</v>
      </c>
      <c r="L30" s="155"/>
      <c r="M30" s="155"/>
      <c r="N30" s="160" t="s">
        <v>71</v>
      </c>
      <c r="O30" s="161" t="s">
        <v>72</v>
      </c>
      <c r="P30" s="160" t="s">
        <v>266</v>
      </c>
      <c r="Q30" s="161" t="s">
        <v>267</v>
      </c>
    </row>
    <row r="31" spans="1:17" ht="14.45" hidden="1" customHeight="1" outlineLevel="1" x14ac:dyDescent="0.2">
      <c r="A31" s="440" t="s">
        <v>167</v>
      </c>
      <c r="B31" s="119">
        <v>0</v>
      </c>
      <c r="C31" s="114">
        <v>0</v>
      </c>
      <c r="D31" s="114">
        <v>0</v>
      </c>
      <c r="E31" s="424" t="str">
        <f>IF(OR(D31=0,B31=0),"",D31/B31)</f>
        <v/>
      </c>
      <c r="F31" s="129" t="str">
        <f>IF(OR(D31=0,C31=0),"",D31/C31)</f>
        <v/>
      </c>
      <c r="G31" s="130">
        <v>0</v>
      </c>
      <c r="H31" s="114">
        <v>0</v>
      </c>
      <c r="I31" s="114">
        <v>0</v>
      </c>
      <c r="J31" s="424" t="str">
        <f>IF(OR(I31=0,G31=0),"",I31/G31)</f>
        <v/>
      </c>
      <c r="K31" s="131" t="str">
        <f>IF(OR(I31=0,H31=0),"",I31/H31)</f>
        <v/>
      </c>
      <c r="L31" s="155"/>
      <c r="M31" s="155"/>
      <c r="N31" s="145">
        <f t="shared" ref="N31:N39" si="16">D31-C31</f>
        <v>0</v>
      </c>
      <c r="O31" s="146">
        <f t="shared" ref="O31:O39" si="17">I31-H31</f>
        <v>0</v>
      </c>
      <c r="P31" s="145">
        <f t="shared" ref="P31:P39" si="18">D31-B31</f>
        <v>0</v>
      </c>
      <c r="Q31" s="146">
        <f t="shared" ref="Q31:Q39" si="19">I31-G31</f>
        <v>0</v>
      </c>
    </row>
    <row r="32" spans="1:17" ht="14.45" hidden="1" customHeight="1" outlineLevel="1" x14ac:dyDescent="0.2">
      <c r="A32" s="441" t="s">
        <v>168</v>
      </c>
      <c r="B32" s="120">
        <v>0</v>
      </c>
      <c r="C32" s="113">
        <v>0</v>
      </c>
      <c r="D32" s="113">
        <v>0</v>
      </c>
      <c r="E32" s="425" t="str">
        <f t="shared" ref="E32:E38" si="20">IF(OR(D32=0,B32=0),"",D32/B32)</f>
        <v/>
      </c>
      <c r="F32" s="132" t="str">
        <f t="shared" ref="F32:F38" si="21">IF(OR(D32=0,C32=0),"",D32/C32)</f>
        <v/>
      </c>
      <c r="G32" s="133">
        <v>0</v>
      </c>
      <c r="H32" s="113">
        <v>0</v>
      </c>
      <c r="I32" s="113">
        <v>0</v>
      </c>
      <c r="J32" s="425" t="str">
        <f t="shared" ref="J32:J38" si="22">IF(OR(I32=0,G32=0),"",I32/G32)</f>
        <v/>
      </c>
      <c r="K32" s="134" t="str">
        <f t="shared" ref="K32:K38" si="23">IF(OR(I32=0,H32=0),"",I32/H32)</f>
        <v/>
      </c>
      <c r="L32" s="155"/>
      <c r="M32" s="155"/>
      <c r="N32" s="147">
        <f t="shared" si="16"/>
        <v>0</v>
      </c>
      <c r="O32" s="148">
        <f t="shared" si="17"/>
        <v>0</v>
      </c>
      <c r="P32" s="147">
        <f t="shared" si="18"/>
        <v>0</v>
      </c>
      <c r="Q32" s="148">
        <f t="shared" si="19"/>
        <v>0</v>
      </c>
    </row>
    <row r="33" spans="1:17" ht="14.45" hidden="1" customHeight="1" outlineLevel="1" x14ac:dyDescent="0.2">
      <c r="A33" s="441" t="s">
        <v>169</v>
      </c>
      <c r="B33" s="120">
        <v>0</v>
      </c>
      <c r="C33" s="113">
        <v>0</v>
      </c>
      <c r="D33" s="113">
        <v>0</v>
      </c>
      <c r="E33" s="425" t="str">
        <f t="shared" si="20"/>
        <v/>
      </c>
      <c r="F33" s="132" t="str">
        <f t="shared" si="21"/>
        <v/>
      </c>
      <c r="G33" s="133">
        <v>0</v>
      </c>
      <c r="H33" s="113">
        <v>0</v>
      </c>
      <c r="I33" s="113">
        <v>0</v>
      </c>
      <c r="J33" s="425" t="str">
        <f t="shared" si="22"/>
        <v/>
      </c>
      <c r="K33" s="134" t="str">
        <f t="shared" si="23"/>
        <v/>
      </c>
      <c r="L33" s="155"/>
      <c r="M33" s="155"/>
      <c r="N33" s="147">
        <f t="shared" si="16"/>
        <v>0</v>
      </c>
      <c r="O33" s="148">
        <f t="shared" si="17"/>
        <v>0</v>
      </c>
      <c r="P33" s="147">
        <f t="shared" si="18"/>
        <v>0</v>
      </c>
      <c r="Q33" s="148">
        <f t="shared" si="19"/>
        <v>0</v>
      </c>
    </row>
    <row r="34" spans="1:17" ht="14.45" hidden="1" customHeight="1" outlineLevel="1" x14ac:dyDescent="0.2">
      <c r="A34" s="441" t="s">
        <v>170</v>
      </c>
      <c r="B34" s="120">
        <v>0</v>
      </c>
      <c r="C34" s="113">
        <v>0</v>
      </c>
      <c r="D34" s="113">
        <v>0</v>
      </c>
      <c r="E34" s="425" t="str">
        <f t="shared" si="20"/>
        <v/>
      </c>
      <c r="F34" s="132" t="str">
        <f t="shared" si="21"/>
        <v/>
      </c>
      <c r="G34" s="133">
        <v>0</v>
      </c>
      <c r="H34" s="113">
        <v>0</v>
      </c>
      <c r="I34" s="113">
        <v>0</v>
      </c>
      <c r="J34" s="425" t="str">
        <f t="shared" si="22"/>
        <v/>
      </c>
      <c r="K34" s="134" t="str">
        <f t="shared" si="23"/>
        <v/>
      </c>
      <c r="L34" s="155"/>
      <c r="M34" s="155"/>
      <c r="N34" s="147">
        <f t="shared" si="16"/>
        <v>0</v>
      </c>
      <c r="O34" s="148">
        <f t="shared" si="17"/>
        <v>0</v>
      </c>
      <c r="P34" s="147">
        <f t="shared" si="18"/>
        <v>0</v>
      </c>
      <c r="Q34" s="148">
        <f t="shared" si="19"/>
        <v>0</v>
      </c>
    </row>
    <row r="35" spans="1:17" ht="14.45" hidden="1" customHeight="1" outlineLevel="1" x14ac:dyDescent="0.2">
      <c r="A35" s="441" t="s">
        <v>171</v>
      </c>
      <c r="B35" s="120">
        <v>0</v>
      </c>
      <c r="C35" s="113">
        <v>0</v>
      </c>
      <c r="D35" s="113">
        <v>0</v>
      </c>
      <c r="E35" s="425" t="str">
        <f t="shared" si="20"/>
        <v/>
      </c>
      <c r="F35" s="132" t="str">
        <f t="shared" si="21"/>
        <v/>
      </c>
      <c r="G35" s="133">
        <v>0</v>
      </c>
      <c r="H35" s="113">
        <v>0</v>
      </c>
      <c r="I35" s="113">
        <v>0</v>
      </c>
      <c r="J35" s="425" t="str">
        <f t="shared" si="22"/>
        <v/>
      </c>
      <c r="K35" s="134" t="str">
        <f t="shared" si="23"/>
        <v/>
      </c>
      <c r="L35" s="155"/>
      <c r="M35" s="155"/>
      <c r="N35" s="147">
        <f t="shared" si="16"/>
        <v>0</v>
      </c>
      <c r="O35" s="148">
        <f t="shared" si="17"/>
        <v>0</v>
      </c>
      <c r="P35" s="147">
        <f t="shared" si="18"/>
        <v>0</v>
      </c>
      <c r="Q35" s="148">
        <f t="shared" si="19"/>
        <v>0</v>
      </c>
    </row>
    <row r="36" spans="1:17" ht="14.45" hidden="1" customHeight="1" outlineLevel="1" x14ac:dyDescent="0.2">
      <c r="A36" s="441" t="s">
        <v>172</v>
      </c>
      <c r="B36" s="120">
        <v>0</v>
      </c>
      <c r="C36" s="113">
        <v>0</v>
      </c>
      <c r="D36" s="113">
        <v>0</v>
      </c>
      <c r="E36" s="425" t="str">
        <f t="shared" si="20"/>
        <v/>
      </c>
      <c r="F36" s="132" t="str">
        <f t="shared" si="21"/>
        <v/>
      </c>
      <c r="G36" s="133">
        <v>0</v>
      </c>
      <c r="H36" s="113">
        <v>0</v>
      </c>
      <c r="I36" s="113">
        <v>0</v>
      </c>
      <c r="J36" s="425" t="str">
        <f t="shared" si="22"/>
        <v/>
      </c>
      <c r="K36" s="134" t="str">
        <f t="shared" si="23"/>
        <v/>
      </c>
      <c r="L36" s="155"/>
      <c r="M36" s="155"/>
      <c r="N36" s="147">
        <f t="shared" si="16"/>
        <v>0</v>
      </c>
      <c r="O36" s="148">
        <f t="shared" si="17"/>
        <v>0</v>
      </c>
      <c r="P36" s="147">
        <f t="shared" si="18"/>
        <v>0</v>
      </c>
      <c r="Q36" s="148">
        <f t="shared" si="19"/>
        <v>0</v>
      </c>
    </row>
    <row r="37" spans="1:17" ht="14.45" hidden="1" customHeight="1" outlineLevel="1" x14ac:dyDescent="0.2">
      <c r="A37" s="441" t="s">
        <v>173</v>
      </c>
      <c r="B37" s="120">
        <v>0</v>
      </c>
      <c r="C37" s="113">
        <v>0</v>
      </c>
      <c r="D37" s="113">
        <v>0</v>
      </c>
      <c r="E37" s="425" t="str">
        <f t="shared" si="20"/>
        <v/>
      </c>
      <c r="F37" s="132" t="str">
        <f t="shared" si="21"/>
        <v/>
      </c>
      <c r="G37" s="133">
        <v>0</v>
      </c>
      <c r="H37" s="113">
        <v>0</v>
      </c>
      <c r="I37" s="113">
        <v>0</v>
      </c>
      <c r="J37" s="425" t="str">
        <f t="shared" si="22"/>
        <v/>
      </c>
      <c r="K37" s="134" t="str">
        <f t="shared" si="23"/>
        <v/>
      </c>
      <c r="L37" s="155"/>
      <c r="M37" s="155"/>
      <c r="N37" s="147">
        <f t="shared" si="16"/>
        <v>0</v>
      </c>
      <c r="O37" s="148">
        <f t="shared" si="17"/>
        <v>0</v>
      </c>
      <c r="P37" s="147">
        <f t="shared" si="18"/>
        <v>0</v>
      </c>
      <c r="Q37" s="148">
        <f t="shared" si="19"/>
        <v>0</v>
      </c>
    </row>
    <row r="38" spans="1:17" ht="14.45" hidden="1" customHeight="1" outlineLevel="1" thickBot="1" x14ac:dyDescent="0.25">
      <c r="A38" s="442" t="s">
        <v>208</v>
      </c>
      <c r="B38" s="238">
        <v>0</v>
      </c>
      <c r="C38" s="239">
        <v>0</v>
      </c>
      <c r="D38" s="239">
        <v>0</v>
      </c>
      <c r="E38" s="426" t="str">
        <f t="shared" si="20"/>
        <v/>
      </c>
      <c r="F38" s="240" t="str">
        <f t="shared" si="21"/>
        <v/>
      </c>
      <c r="G38" s="241">
        <v>0</v>
      </c>
      <c r="H38" s="239">
        <v>0</v>
      </c>
      <c r="I38" s="239">
        <v>0</v>
      </c>
      <c r="J38" s="426" t="str">
        <f t="shared" si="22"/>
        <v/>
      </c>
      <c r="K38" s="242" t="str">
        <f t="shared" si="23"/>
        <v/>
      </c>
      <c r="L38" s="155"/>
      <c r="M38" s="155"/>
      <c r="N38" s="245">
        <f t="shared" si="16"/>
        <v>0</v>
      </c>
      <c r="O38" s="246">
        <f t="shared" si="17"/>
        <v>0</v>
      </c>
      <c r="P38" s="245">
        <f t="shared" si="18"/>
        <v>0</v>
      </c>
      <c r="Q38" s="246">
        <f t="shared" si="19"/>
        <v>0</v>
      </c>
    </row>
    <row r="39" spans="1:17" ht="14.45" customHeight="1" collapsed="1" thickBot="1" x14ac:dyDescent="0.25">
      <c r="A39" s="444" t="s">
        <v>3</v>
      </c>
      <c r="B39" s="118">
        <f>SUM(B31:B38)</f>
        <v>0</v>
      </c>
      <c r="C39" s="162">
        <f>SUM(C31:C38)</f>
        <v>0</v>
      </c>
      <c r="D39" s="162">
        <f>SUM(D31:D38)</f>
        <v>0</v>
      </c>
      <c r="E39" s="422">
        <f>IF(OR(D39=0,B39=0),0,D39/B39)</f>
        <v>0</v>
      </c>
      <c r="F39" s="163">
        <f>IF(OR(D39=0,C39=0),0,D39/C39)</f>
        <v>0</v>
      </c>
      <c r="G39" s="164">
        <f>SUM(G31:G38)</f>
        <v>0</v>
      </c>
      <c r="H39" s="162">
        <f>SUM(H31:H38)</f>
        <v>0</v>
      </c>
      <c r="I39" s="162">
        <f>SUM(I31:I38)</f>
        <v>0</v>
      </c>
      <c r="J39" s="422">
        <f>IF(OR(I39=0,G39=0),0,I39/G39)</f>
        <v>0</v>
      </c>
      <c r="K39" s="165">
        <f>IF(OR(I39=0,H39=0),0,I39/H39)</f>
        <v>0</v>
      </c>
      <c r="L39" s="155"/>
      <c r="M39" s="155"/>
      <c r="N39" s="160">
        <f t="shared" si="16"/>
        <v>0</v>
      </c>
      <c r="O39" s="166">
        <f t="shared" si="17"/>
        <v>0</v>
      </c>
      <c r="P39" s="160">
        <f t="shared" si="18"/>
        <v>0</v>
      </c>
      <c r="Q39" s="166">
        <f t="shared" si="19"/>
        <v>0</v>
      </c>
    </row>
    <row r="40" spans="1:17" ht="14.45" customHeight="1" x14ac:dyDescent="0.2">
      <c r="A40" s="358"/>
      <c r="B40" s="358"/>
      <c r="C40" s="358"/>
      <c r="D40" s="358"/>
      <c r="E40" s="358"/>
      <c r="F40" s="359"/>
      <c r="G40" s="358"/>
      <c r="H40" s="358"/>
      <c r="I40" s="358"/>
      <c r="J40" s="358"/>
      <c r="K40" s="360"/>
      <c r="L40" s="358"/>
      <c r="M40" s="358"/>
      <c r="N40" s="358"/>
      <c r="O40" s="358"/>
      <c r="P40" s="358"/>
      <c r="Q40" s="358"/>
    </row>
    <row r="41" spans="1:17" ht="14.45" customHeight="1" thickBot="1" x14ac:dyDescent="0.25">
      <c r="A41" s="358"/>
      <c r="B41" s="358"/>
      <c r="C41" s="358"/>
      <c r="D41" s="358"/>
      <c r="E41" s="358"/>
      <c r="F41" s="359"/>
      <c r="G41" s="358"/>
      <c r="H41" s="358"/>
      <c r="I41" s="358"/>
      <c r="J41" s="358"/>
      <c r="K41" s="360"/>
      <c r="L41" s="358"/>
      <c r="M41" s="358"/>
      <c r="N41" s="358"/>
      <c r="O41" s="358"/>
      <c r="P41" s="358"/>
      <c r="Q41" s="358"/>
    </row>
    <row r="42" spans="1:17" ht="14.45" customHeight="1" thickBot="1" x14ac:dyDescent="0.25">
      <c r="A42" s="660" t="s">
        <v>260</v>
      </c>
      <c r="B42" s="662" t="s">
        <v>70</v>
      </c>
      <c r="C42" s="663"/>
      <c r="D42" s="663"/>
      <c r="E42" s="664"/>
      <c r="F42" s="665"/>
      <c r="G42" s="663" t="s">
        <v>240</v>
      </c>
      <c r="H42" s="663"/>
      <c r="I42" s="663"/>
      <c r="J42" s="664"/>
      <c r="K42" s="665"/>
      <c r="L42" s="155"/>
      <c r="M42" s="155"/>
      <c r="N42" s="155"/>
      <c r="O42" s="156"/>
      <c r="P42" s="155"/>
      <c r="Q42" s="156"/>
    </row>
    <row r="43" spans="1:17" ht="14.45" customHeight="1" thickBot="1" x14ac:dyDescent="0.25">
      <c r="A43" s="661"/>
      <c r="B43" s="407">
        <v>2015</v>
      </c>
      <c r="C43" s="408">
        <v>2018</v>
      </c>
      <c r="D43" s="408">
        <v>2019</v>
      </c>
      <c r="E43" s="408" t="s">
        <v>257</v>
      </c>
      <c r="F43" s="409" t="s">
        <v>2</v>
      </c>
      <c r="G43" s="408">
        <v>2015</v>
      </c>
      <c r="H43" s="408">
        <v>2018</v>
      </c>
      <c r="I43" s="408">
        <v>2019</v>
      </c>
      <c r="J43" s="408" t="s">
        <v>257</v>
      </c>
      <c r="K43" s="409" t="s">
        <v>2</v>
      </c>
      <c r="L43" s="155"/>
      <c r="M43" s="155"/>
      <c r="N43" s="415" t="s">
        <v>71</v>
      </c>
      <c r="O43" s="417" t="s">
        <v>72</v>
      </c>
      <c r="P43" s="415" t="s">
        <v>266</v>
      </c>
      <c r="Q43" s="417" t="s">
        <v>267</v>
      </c>
    </row>
    <row r="44" spans="1:17" ht="14.45" hidden="1" customHeight="1" outlineLevel="1" x14ac:dyDescent="0.2">
      <c r="A44" s="440" t="s">
        <v>167</v>
      </c>
      <c r="B44" s="119">
        <v>560.86900000000003</v>
      </c>
      <c r="C44" s="114">
        <v>646.04100000000005</v>
      </c>
      <c r="D44" s="114">
        <v>452.79500000000002</v>
      </c>
      <c r="E44" s="424">
        <f>IF(OR(D44=0,B44=0),"",D44/B44)</f>
        <v>0.8073097282966254</v>
      </c>
      <c r="F44" s="129">
        <f>IF(OR(D44=0,C44=0),"",D44/C44)</f>
        <v>0.70087656975331281</v>
      </c>
      <c r="G44" s="130">
        <v>533</v>
      </c>
      <c r="H44" s="114">
        <v>514</v>
      </c>
      <c r="I44" s="114">
        <v>483</v>
      </c>
      <c r="J44" s="424">
        <f>IF(OR(I44=0,G44=0),"",I44/G44)</f>
        <v>0.90619136960600377</v>
      </c>
      <c r="K44" s="131">
        <f>IF(OR(I44=0,H44=0),"",I44/H44)</f>
        <v>0.93968871595330739</v>
      </c>
      <c r="L44" s="155"/>
      <c r="M44" s="155"/>
      <c r="N44" s="145">
        <f t="shared" ref="N44:N52" si="24">D44-C44</f>
        <v>-193.24600000000004</v>
      </c>
      <c r="O44" s="146">
        <f t="shared" ref="O44:O52" si="25">I44-H44</f>
        <v>-31</v>
      </c>
      <c r="P44" s="145">
        <f t="shared" ref="P44:P52" si="26">D44-B44</f>
        <v>-108.07400000000001</v>
      </c>
      <c r="Q44" s="146">
        <f t="shared" ref="Q44:Q52" si="27">I44-G44</f>
        <v>-50</v>
      </c>
    </row>
    <row r="45" spans="1:17" ht="14.45" hidden="1" customHeight="1" outlineLevel="1" x14ac:dyDescent="0.2">
      <c r="A45" s="441" t="s">
        <v>168</v>
      </c>
      <c r="B45" s="120">
        <v>195.017</v>
      </c>
      <c r="C45" s="113">
        <v>160.51499999999999</v>
      </c>
      <c r="D45" s="113">
        <v>140.28800000000001</v>
      </c>
      <c r="E45" s="425">
        <f t="shared" ref="E45:E51" si="28">IF(OR(D45=0,B45=0),"",D45/B45)</f>
        <v>0.7193629273345401</v>
      </c>
      <c r="F45" s="132">
        <f t="shared" ref="F45:F51" si="29">IF(OR(D45=0,C45=0),"",D45/C45)</f>
        <v>0.87398685481107696</v>
      </c>
      <c r="G45" s="133">
        <v>221</v>
      </c>
      <c r="H45" s="113">
        <v>205</v>
      </c>
      <c r="I45" s="113">
        <v>212</v>
      </c>
      <c r="J45" s="425">
        <f t="shared" ref="J45:J51" si="30">IF(OR(I45=0,G45=0),"",I45/G45)</f>
        <v>0.95927601809954754</v>
      </c>
      <c r="K45" s="134">
        <f t="shared" ref="K45:K51" si="31">IF(OR(I45=0,H45=0),"",I45/H45)</f>
        <v>1.0341463414634147</v>
      </c>
      <c r="L45" s="155"/>
      <c r="M45" s="155"/>
      <c r="N45" s="147">
        <f t="shared" si="24"/>
        <v>-20.226999999999975</v>
      </c>
      <c r="O45" s="148">
        <f t="shared" si="25"/>
        <v>7</v>
      </c>
      <c r="P45" s="147">
        <f t="shared" si="26"/>
        <v>-54.728999999999985</v>
      </c>
      <c r="Q45" s="148">
        <f t="shared" si="27"/>
        <v>-9</v>
      </c>
    </row>
    <row r="46" spans="1:17" ht="14.45" hidden="1" customHeight="1" outlineLevel="1" x14ac:dyDescent="0.2">
      <c r="A46" s="441" t="s">
        <v>169</v>
      </c>
      <c r="B46" s="120">
        <v>964.08799999999997</v>
      </c>
      <c r="C46" s="113">
        <v>623.93600000000004</v>
      </c>
      <c r="D46" s="113">
        <v>722.18799999999999</v>
      </c>
      <c r="E46" s="425">
        <f t="shared" si="28"/>
        <v>0.74908929475317609</v>
      </c>
      <c r="F46" s="132">
        <f t="shared" si="29"/>
        <v>1.1574712791055493</v>
      </c>
      <c r="G46" s="133">
        <v>820</v>
      </c>
      <c r="H46" s="113">
        <v>787</v>
      </c>
      <c r="I46" s="113">
        <v>751</v>
      </c>
      <c r="J46" s="425">
        <f t="shared" si="30"/>
        <v>0.9158536585365854</v>
      </c>
      <c r="K46" s="134">
        <f t="shared" si="31"/>
        <v>0.95425667090216015</v>
      </c>
      <c r="L46" s="155"/>
      <c r="M46" s="155"/>
      <c r="N46" s="147">
        <f t="shared" si="24"/>
        <v>98.251999999999953</v>
      </c>
      <c r="O46" s="148">
        <f t="shared" si="25"/>
        <v>-36</v>
      </c>
      <c r="P46" s="147">
        <f t="shared" si="26"/>
        <v>-241.89999999999998</v>
      </c>
      <c r="Q46" s="148">
        <f t="shared" si="27"/>
        <v>-69</v>
      </c>
    </row>
    <row r="47" spans="1:17" ht="14.45" hidden="1" customHeight="1" outlineLevel="1" x14ac:dyDescent="0.2">
      <c r="A47" s="441" t="s">
        <v>170</v>
      </c>
      <c r="B47" s="120">
        <v>93.543000000000006</v>
      </c>
      <c r="C47" s="113">
        <v>53.783999999999999</v>
      </c>
      <c r="D47" s="113">
        <v>35.588999999999999</v>
      </c>
      <c r="E47" s="425">
        <f t="shared" si="28"/>
        <v>0.38045604695166924</v>
      </c>
      <c r="F47" s="132">
        <f t="shared" si="29"/>
        <v>0.66170236501561797</v>
      </c>
      <c r="G47" s="133">
        <v>62</v>
      </c>
      <c r="H47" s="113">
        <v>73</v>
      </c>
      <c r="I47" s="113">
        <v>77</v>
      </c>
      <c r="J47" s="425">
        <f t="shared" si="30"/>
        <v>1.2419354838709677</v>
      </c>
      <c r="K47" s="134">
        <f t="shared" si="31"/>
        <v>1.0547945205479452</v>
      </c>
      <c r="L47" s="155"/>
      <c r="M47" s="155"/>
      <c r="N47" s="147">
        <f t="shared" si="24"/>
        <v>-18.195</v>
      </c>
      <c r="O47" s="148">
        <f t="shared" si="25"/>
        <v>4</v>
      </c>
      <c r="P47" s="147">
        <f t="shared" si="26"/>
        <v>-57.954000000000008</v>
      </c>
      <c r="Q47" s="148">
        <f t="shared" si="27"/>
        <v>15</v>
      </c>
    </row>
    <row r="48" spans="1:17" ht="14.45" hidden="1" customHeight="1" outlineLevel="1" x14ac:dyDescent="0.2">
      <c r="A48" s="441" t="s">
        <v>171</v>
      </c>
      <c r="B48" s="120">
        <v>0</v>
      </c>
      <c r="C48" s="113">
        <v>0</v>
      </c>
      <c r="D48" s="113">
        <v>4.1550000000000002</v>
      </c>
      <c r="E48" s="425" t="str">
        <f t="shared" si="28"/>
        <v/>
      </c>
      <c r="F48" s="132" t="str">
        <f t="shared" si="29"/>
        <v/>
      </c>
      <c r="G48" s="133">
        <v>0</v>
      </c>
      <c r="H48" s="113">
        <v>0</v>
      </c>
      <c r="I48" s="113">
        <v>2</v>
      </c>
      <c r="J48" s="425" t="str">
        <f t="shared" si="30"/>
        <v/>
      </c>
      <c r="K48" s="134" t="str">
        <f t="shared" si="31"/>
        <v/>
      </c>
      <c r="L48" s="155"/>
      <c r="M48" s="155"/>
      <c r="N48" s="147">
        <f t="shared" si="24"/>
        <v>4.1550000000000002</v>
      </c>
      <c r="O48" s="148">
        <f t="shared" si="25"/>
        <v>2</v>
      </c>
      <c r="P48" s="147">
        <f t="shared" si="26"/>
        <v>4.1550000000000002</v>
      </c>
      <c r="Q48" s="148">
        <f t="shared" si="27"/>
        <v>2</v>
      </c>
    </row>
    <row r="49" spans="1:17" ht="14.45" hidden="1" customHeight="1" outlineLevel="1" x14ac:dyDescent="0.2">
      <c r="A49" s="441" t="s">
        <v>172</v>
      </c>
      <c r="B49" s="120">
        <v>276.19099999999997</v>
      </c>
      <c r="C49" s="113">
        <v>266.88200000000001</v>
      </c>
      <c r="D49" s="113">
        <v>492.57400000000001</v>
      </c>
      <c r="E49" s="425">
        <f t="shared" si="28"/>
        <v>1.7834542037937517</v>
      </c>
      <c r="F49" s="132">
        <f t="shared" si="29"/>
        <v>1.8456621278317757</v>
      </c>
      <c r="G49" s="133">
        <v>277</v>
      </c>
      <c r="H49" s="113">
        <v>267</v>
      </c>
      <c r="I49" s="113">
        <v>270</v>
      </c>
      <c r="J49" s="425">
        <f t="shared" si="30"/>
        <v>0.97472924187725629</v>
      </c>
      <c r="K49" s="134">
        <f t="shared" si="31"/>
        <v>1.0112359550561798</v>
      </c>
      <c r="L49" s="155"/>
      <c r="M49" s="155"/>
      <c r="N49" s="147">
        <f t="shared" si="24"/>
        <v>225.69200000000001</v>
      </c>
      <c r="O49" s="148">
        <f t="shared" si="25"/>
        <v>3</v>
      </c>
      <c r="P49" s="147">
        <f t="shared" si="26"/>
        <v>216.38300000000004</v>
      </c>
      <c r="Q49" s="148">
        <f t="shared" si="27"/>
        <v>-7</v>
      </c>
    </row>
    <row r="50" spans="1:17" ht="14.45" hidden="1" customHeight="1" outlineLevel="1" x14ac:dyDescent="0.2">
      <c r="A50" s="441" t="s">
        <v>173</v>
      </c>
      <c r="B50" s="120">
        <v>173.44300000000001</v>
      </c>
      <c r="C50" s="113">
        <v>81.234999999999999</v>
      </c>
      <c r="D50" s="113">
        <v>18.763000000000002</v>
      </c>
      <c r="E50" s="425">
        <f t="shared" si="28"/>
        <v>0.10817963250174409</v>
      </c>
      <c r="F50" s="132">
        <f t="shared" si="29"/>
        <v>0.23097187173016559</v>
      </c>
      <c r="G50" s="133">
        <v>58</v>
      </c>
      <c r="H50" s="113">
        <v>55</v>
      </c>
      <c r="I50" s="113">
        <v>35</v>
      </c>
      <c r="J50" s="425">
        <f t="shared" si="30"/>
        <v>0.60344827586206895</v>
      </c>
      <c r="K50" s="134">
        <f t="shared" si="31"/>
        <v>0.63636363636363635</v>
      </c>
      <c r="L50" s="155"/>
      <c r="M50" s="155"/>
      <c r="N50" s="147">
        <f t="shared" si="24"/>
        <v>-62.471999999999994</v>
      </c>
      <c r="O50" s="148">
        <f t="shared" si="25"/>
        <v>-20</v>
      </c>
      <c r="P50" s="147">
        <f t="shared" si="26"/>
        <v>-154.68</v>
      </c>
      <c r="Q50" s="148">
        <f t="shared" si="27"/>
        <v>-23</v>
      </c>
    </row>
    <row r="51" spans="1:17" ht="14.45" hidden="1" customHeight="1" outlineLevel="1" thickBot="1" x14ac:dyDescent="0.25">
      <c r="A51" s="442" t="s">
        <v>208</v>
      </c>
      <c r="B51" s="238">
        <v>0.58199999999999996</v>
      </c>
      <c r="C51" s="239">
        <v>0</v>
      </c>
      <c r="D51" s="239">
        <v>0</v>
      </c>
      <c r="E51" s="426" t="str">
        <f t="shared" si="28"/>
        <v/>
      </c>
      <c r="F51" s="240" t="str">
        <f t="shared" si="29"/>
        <v/>
      </c>
      <c r="G51" s="241">
        <v>2</v>
      </c>
      <c r="H51" s="239">
        <v>0</v>
      </c>
      <c r="I51" s="239">
        <v>0</v>
      </c>
      <c r="J51" s="426" t="str">
        <f t="shared" si="30"/>
        <v/>
      </c>
      <c r="K51" s="242" t="str">
        <f t="shared" si="31"/>
        <v/>
      </c>
      <c r="L51" s="155"/>
      <c r="M51" s="155"/>
      <c r="N51" s="245">
        <f t="shared" si="24"/>
        <v>0</v>
      </c>
      <c r="O51" s="246">
        <f t="shared" si="25"/>
        <v>0</v>
      </c>
      <c r="P51" s="245">
        <f t="shared" si="26"/>
        <v>-0.58199999999999996</v>
      </c>
      <c r="Q51" s="246">
        <f t="shared" si="27"/>
        <v>-2</v>
      </c>
    </row>
    <row r="52" spans="1:17" ht="14.45" customHeight="1" collapsed="1" thickBot="1" x14ac:dyDescent="0.25">
      <c r="A52" s="443" t="s">
        <v>3</v>
      </c>
      <c r="B52" s="410">
        <f>SUM(B44:B51)</f>
        <v>2263.7329999999997</v>
      </c>
      <c r="C52" s="411">
        <f>SUM(C44:C51)</f>
        <v>1832.3930000000003</v>
      </c>
      <c r="D52" s="411">
        <f>SUM(D44:D51)</f>
        <v>1866.3520000000001</v>
      </c>
      <c r="E52" s="423">
        <f>IF(OR(D52=0,B52=0),0,D52/B52)</f>
        <v>0.82445765467924015</v>
      </c>
      <c r="F52" s="412">
        <f>IF(OR(D52=0,C52=0),0,D52/C52)</f>
        <v>1.0185325964462864</v>
      </c>
      <c r="G52" s="413">
        <f>SUM(G44:G51)</f>
        <v>1973</v>
      </c>
      <c r="H52" s="411">
        <f>SUM(H44:H51)</f>
        <v>1901</v>
      </c>
      <c r="I52" s="411">
        <f>SUM(I44:I51)</f>
        <v>1830</v>
      </c>
      <c r="J52" s="423">
        <f>IF(OR(I52=0,G52=0),0,I52/G52)</f>
        <v>0.92752154080081095</v>
      </c>
      <c r="K52" s="414">
        <f>IF(OR(I52=0,H52=0),0,I52/H52)</f>
        <v>0.96265123619147819</v>
      </c>
      <c r="L52" s="155"/>
      <c r="M52" s="155"/>
      <c r="N52" s="415">
        <f t="shared" si="24"/>
        <v>33.958999999999833</v>
      </c>
      <c r="O52" s="416">
        <f t="shared" si="25"/>
        <v>-71</v>
      </c>
      <c r="P52" s="415">
        <f t="shared" si="26"/>
        <v>-397.38099999999963</v>
      </c>
      <c r="Q52" s="416">
        <f t="shared" si="27"/>
        <v>-143</v>
      </c>
    </row>
    <row r="53" spans="1:17" ht="14.45" customHeight="1" x14ac:dyDescent="0.2">
      <c r="A53" s="358"/>
      <c r="B53" s="358"/>
      <c r="C53" s="358"/>
      <c r="D53" s="358"/>
      <c r="E53" s="358"/>
      <c r="F53" s="359"/>
      <c r="G53" s="358"/>
      <c r="H53" s="358"/>
      <c r="I53" s="358"/>
      <c r="J53" s="358"/>
      <c r="K53" s="360"/>
      <c r="L53" s="358"/>
      <c r="M53" s="358"/>
      <c r="N53" s="358"/>
      <c r="O53" s="358"/>
    </row>
    <row r="54" spans="1:17" ht="14.45" customHeight="1" x14ac:dyDescent="0.2">
      <c r="A54" s="255" t="s">
        <v>256</v>
      </c>
      <c r="B54" s="358"/>
      <c r="C54" s="358"/>
      <c r="D54" s="358"/>
      <c r="E54" s="358"/>
      <c r="F54" s="359"/>
      <c r="G54" s="358"/>
      <c r="H54" s="358"/>
      <c r="I54" s="358"/>
      <c r="J54" s="358"/>
      <c r="K54" s="360"/>
      <c r="L54" s="358"/>
      <c r="M54" s="358"/>
      <c r="N54" s="358"/>
      <c r="O54" s="358"/>
    </row>
    <row r="55" spans="1:17" ht="14.45" customHeight="1" x14ac:dyDescent="0.2">
      <c r="A55" s="385" t="s">
        <v>302</v>
      </c>
    </row>
    <row r="56" spans="1:17" ht="14.45" customHeight="1" x14ac:dyDescent="0.2">
      <c r="A56" s="386" t="s">
        <v>303</v>
      </c>
    </row>
    <row r="57" spans="1:17" ht="14.45" customHeight="1" x14ac:dyDescent="0.2">
      <c r="A57" s="385" t="s">
        <v>304</v>
      </c>
    </row>
    <row r="58" spans="1:17" ht="14.45" customHeight="1" x14ac:dyDescent="0.2">
      <c r="A58" s="386" t="s">
        <v>305</v>
      </c>
    </row>
    <row r="59" spans="1:17" ht="14.45" customHeight="1" x14ac:dyDescent="0.2">
      <c r="A59" s="386" t="s">
        <v>263</v>
      </c>
    </row>
  </sheetData>
  <mergeCells count="26"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</mergeCells>
  <conditionalFormatting sqref="E18:F26">
    <cfRule type="cellIs" dxfId="20" priority="22" stopIfTrue="1" operator="lessThan">
      <formula>1</formula>
    </cfRule>
  </conditionalFormatting>
  <conditionalFormatting sqref="J18:K26">
    <cfRule type="cellIs" dxfId="19" priority="21" stopIfTrue="1" operator="lessThan">
      <formula>0.95</formula>
    </cfRule>
  </conditionalFormatting>
  <conditionalFormatting sqref="N5:O13 N18:O26 N31:O39 N44:O52">
    <cfRule type="cellIs" dxfId="18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7" priority="1" stopIfTrue="1" operator="lessThan">
      <formula>0</formula>
    </cfRule>
  </conditionalFormatting>
  <hyperlinks>
    <hyperlink ref="A2" location="Obsah!A1" display="Zpět na Obsah  KL 01  1.-4.měsíc" xr:uid="{3A3AAF05-3246-46AA-8B21-192493E16879}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J43 E4 J4 J17 J30" numberStoredAsText="1"/>
    <ignoredError sqref="B52:D52 G52:I52 B13:D13 G13:I13 B26:D26 G26:I26 B39:D39 G39:I39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ColWidth="8.85546875" defaultRowHeight="14.45" customHeight="1" x14ac:dyDescent="0.2"/>
  <cols>
    <col min="1" max="1" width="5.42578125" style="81" bestFit="1" customWidth="1"/>
    <col min="2" max="3" width="7.7109375" style="202" customWidth="1"/>
    <col min="4" max="5" width="7.7109375" style="81" customWidth="1"/>
    <col min="6" max="6" width="14.85546875" style="81" bestFit="1" customWidth="1"/>
    <col min="7" max="7" width="2" style="81" bestFit="1" customWidth="1"/>
    <col min="8" max="8" width="5.28515625" style="81" bestFit="1" customWidth="1"/>
    <col min="9" max="9" width="7.7109375" style="81" bestFit="1" customWidth="1"/>
    <col min="10" max="10" width="6.85546875" style="81" bestFit="1" customWidth="1"/>
    <col min="11" max="11" width="17.28515625" style="81" bestFit="1" customWidth="1"/>
    <col min="12" max="13" width="19.7109375" style="81" bestFit="1" customWidth="1"/>
    <col min="14" max="16384" width="8.85546875" style="81"/>
  </cols>
  <sheetData>
    <row r="1" spans="1:13" ht="18.600000000000001" customHeight="1" thickBot="1" x14ac:dyDescent="0.35">
      <c r="A1" s="543" t="s">
        <v>114</v>
      </c>
      <c r="B1" s="621"/>
      <c r="C1" s="621"/>
      <c r="D1" s="621"/>
      <c r="E1" s="621"/>
      <c r="F1" s="621"/>
      <c r="G1" s="621"/>
      <c r="H1" s="621"/>
      <c r="I1" s="621"/>
      <c r="J1" s="621"/>
      <c r="K1" s="621"/>
      <c r="L1" s="621"/>
      <c r="M1" s="621"/>
    </row>
    <row r="2" spans="1:13" ht="14.45" customHeight="1" x14ac:dyDescent="0.2">
      <c r="A2" s="371" t="s">
        <v>328</v>
      </c>
      <c r="B2" s="198"/>
      <c r="C2" s="198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5" customHeight="1" x14ac:dyDescent="0.2">
      <c r="A3" s="80"/>
      <c r="B3" s="363"/>
      <c r="C3" s="363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5" customHeight="1" x14ac:dyDescent="0.2">
      <c r="A4" s="80"/>
      <c r="B4" s="363"/>
      <c r="C4" s="363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5" customHeight="1" x14ac:dyDescent="0.2">
      <c r="A5" s="80"/>
      <c r="B5" s="363"/>
      <c r="C5" s="363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5" customHeight="1" x14ac:dyDescent="0.2">
      <c r="A6" s="80"/>
      <c r="B6" s="363"/>
      <c r="C6" s="363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5" customHeight="1" x14ac:dyDescent="0.2">
      <c r="A7" s="80"/>
      <c r="B7" s="363"/>
      <c r="C7" s="363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5" customHeight="1" x14ac:dyDescent="0.2">
      <c r="A8" s="80"/>
      <c r="B8" s="363"/>
      <c r="C8" s="363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5" customHeight="1" x14ac:dyDescent="0.2">
      <c r="A9" s="80"/>
      <c r="B9" s="363"/>
      <c r="C9" s="363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5" customHeight="1" x14ac:dyDescent="0.2">
      <c r="A10" s="80"/>
      <c r="B10" s="363"/>
      <c r="C10" s="363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5" customHeight="1" x14ac:dyDescent="0.2">
      <c r="A11" s="80"/>
      <c r="B11" s="363"/>
      <c r="C11" s="363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5" customHeight="1" x14ac:dyDescent="0.2">
      <c r="A12" s="80"/>
      <c r="B12" s="363"/>
      <c r="C12" s="363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5" customHeight="1" x14ac:dyDescent="0.2">
      <c r="A13" s="80"/>
      <c r="B13" s="363"/>
      <c r="C13" s="363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5" customHeight="1" x14ac:dyDescent="0.2">
      <c r="A14" s="80"/>
      <c r="B14" s="363"/>
      <c r="C14" s="363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5" customHeight="1" x14ac:dyDescent="0.2">
      <c r="A15" s="80"/>
      <c r="B15" s="363"/>
      <c r="C15" s="363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5" customHeight="1" x14ac:dyDescent="0.2">
      <c r="A16" s="80"/>
      <c r="B16" s="363"/>
      <c r="C16" s="363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5" customHeight="1" x14ac:dyDescent="0.2">
      <c r="A17" s="80"/>
      <c r="B17" s="363"/>
      <c r="C17" s="363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5" customHeight="1" x14ac:dyDescent="0.2">
      <c r="A18" s="80"/>
      <c r="B18" s="363"/>
      <c r="C18" s="363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5" customHeight="1" x14ac:dyDescent="0.2">
      <c r="A19" s="80"/>
      <c r="B19" s="363"/>
      <c r="C19" s="363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5" customHeight="1" x14ac:dyDescent="0.2">
      <c r="A20" s="80"/>
      <c r="B20" s="363"/>
      <c r="C20" s="363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5" customHeight="1" x14ac:dyDescent="0.2">
      <c r="A21" s="80"/>
      <c r="B21" s="363"/>
      <c r="C21" s="363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5" customHeight="1" x14ac:dyDescent="0.2">
      <c r="A22" s="80"/>
      <c r="B22" s="363"/>
      <c r="C22" s="363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5" customHeight="1" x14ac:dyDescent="0.2">
      <c r="A23" s="80"/>
      <c r="B23" s="363"/>
      <c r="C23" s="363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5" customHeight="1" x14ac:dyDescent="0.2">
      <c r="A24" s="80"/>
      <c r="B24" s="363"/>
      <c r="C24" s="363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5" customHeight="1" x14ac:dyDescent="0.2">
      <c r="A25" s="80"/>
      <c r="B25" s="363"/>
      <c r="C25" s="363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5" customHeight="1" x14ac:dyDescent="0.2">
      <c r="A26" s="80"/>
      <c r="B26" s="363"/>
      <c r="C26" s="363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5" customHeight="1" x14ac:dyDescent="0.2">
      <c r="A27" s="80"/>
      <c r="B27" s="363"/>
      <c r="C27" s="363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5" customHeight="1" x14ac:dyDescent="0.2">
      <c r="A28" s="80"/>
      <c r="B28" s="363"/>
      <c r="C28" s="363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5" customHeight="1" x14ac:dyDescent="0.2">
      <c r="A29" s="80"/>
      <c r="B29" s="363"/>
      <c r="C29" s="363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5" customHeight="1" thickBot="1" x14ac:dyDescent="0.25">
      <c r="A30" s="80"/>
      <c r="B30" s="363"/>
      <c r="C30" s="363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5" customHeight="1" x14ac:dyDescent="0.2">
      <c r="A31" s="175"/>
      <c r="B31" s="674" t="s">
        <v>82</v>
      </c>
      <c r="C31" s="675"/>
      <c r="D31" s="675"/>
      <c r="E31" s="676"/>
      <c r="F31" s="167" t="s">
        <v>82</v>
      </c>
      <c r="G31" s="83"/>
      <c r="H31" s="83"/>
      <c r="I31" s="80"/>
      <c r="J31" s="80"/>
      <c r="K31" s="80"/>
      <c r="L31" s="80"/>
      <c r="M31" s="80"/>
    </row>
    <row r="32" spans="1:13" ht="14.45" customHeight="1" thickBot="1" x14ac:dyDescent="0.25">
      <c r="A32" s="176" t="s">
        <v>67</v>
      </c>
      <c r="B32" s="168" t="s">
        <v>85</v>
      </c>
      <c r="C32" s="169" t="s">
        <v>86</v>
      </c>
      <c r="D32" s="169" t="s">
        <v>87</v>
      </c>
      <c r="E32" s="170" t="s">
        <v>2</v>
      </c>
      <c r="F32" s="171" t="s">
        <v>88</v>
      </c>
      <c r="G32" s="364"/>
      <c r="H32" s="364" t="s">
        <v>115</v>
      </c>
      <c r="I32" s="80"/>
      <c r="J32" s="80"/>
      <c r="K32" s="80"/>
      <c r="L32" s="80"/>
      <c r="M32" s="80"/>
    </row>
    <row r="33" spans="1:13" ht="14.45" customHeight="1" x14ac:dyDescent="0.2">
      <c r="A33" s="172" t="s">
        <v>102</v>
      </c>
      <c r="B33" s="199">
        <v>1208</v>
      </c>
      <c r="C33" s="199">
        <v>1086</v>
      </c>
      <c r="D33" s="84">
        <f>IF(C33="","",C33-B33)</f>
        <v>-122</v>
      </c>
      <c r="E33" s="85">
        <f>IF(C33="","",C33/B33)</f>
        <v>0.89900662251655628</v>
      </c>
      <c r="F33" s="86">
        <v>74</v>
      </c>
      <c r="G33" s="364">
        <v>0</v>
      </c>
      <c r="H33" s="365">
        <v>1</v>
      </c>
      <c r="I33" s="80"/>
      <c r="J33" s="80"/>
      <c r="K33" s="80"/>
      <c r="L33" s="80"/>
      <c r="M33" s="80"/>
    </row>
    <row r="34" spans="1:13" ht="14.45" customHeight="1" x14ac:dyDescent="0.2">
      <c r="A34" s="173" t="s">
        <v>103</v>
      </c>
      <c r="B34" s="200">
        <v>2559</v>
      </c>
      <c r="C34" s="200">
        <v>2356</v>
      </c>
      <c r="D34" s="87">
        <f t="shared" ref="D34:D45" si="0">IF(C34="","",C34-B34)</f>
        <v>-203</v>
      </c>
      <c r="E34" s="88">
        <f t="shared" ref="E34:E45" si="1">IF(C34="","",C34/B34)</f>
        <v>0.9206721375537319</v>
      </c>
      <c r="F34" s="89">
        <v>206</v>
      </c>
      <c r="G34" s="364">
        <v>1</v>
      </c>
      <c r="H34" s="365">
        <v>1</v>
      </c>
      <c r="I34" s="80"/>
      <c r="J34" s="80"/>
      <c r="K34" s="80"/>
      <c r="L34" s="80"/>
      <c r="M34" s="80"/>
    </row>
    <row r="35" spans="1:13" ht="14.45" customHeight="1" x14ac:dyDescent="0.2">
      <c r="A35" s="173" t="s">
        <v>104</v>
      </c>
      <c r="B35" s="200">
        <v>3872</v>
      </c>
      <c r="C35" s="200">
        <v>3530</v>
      </c>
      <c r="D35" s="87">
        <f t="shared" si="0"/>
        <v>-342</v>
      </c>
      <c r="E35" s="88">
        <f t="shared" si="1"/>
        <v>0.91167355371900827</v>
      </c>
      <c r="F35" s="89">
        <v>256</v>
      </c>
      <c r="G35" s="366"/>
      <c r="H35" s="366"/>
      <c r="I35" s="80"/>
      <c r="J35" s="80"/>
      <c r="K35" s="80"/>
      <c r="L35" s="80"/>
      <c r="M35" s="80"/>
    </row>
    <row r="36" spans="1:13" ht="14.45" customHeight="1" x14ac:dyDescent="0.2">
      <c r="A36" s="173" t="s">
        <v>105</v>
      </c>
      <c r="B36" s="200">
        <v>4963</v>
      </c>
      <c r="C36" s="200">
        <v>4542</v>
      </c>
      <c r="D36" s="87">
        <f t="shared" si="0"/>
        <v>-421</v>
      </c>
      <c r="E36" s="88">
        <f t="shared" si="1"/>
        <v>0.91517227483376995</v>
      </c>
      <c r="F36" s="89">
        <v>326</v>
      </c>
      <c r="G36" s="366"/>
      <c r="H36" s="366"/>
      <c r="I36" s="80"/>
      <c r="J36" s="80"/>
      <c r="K36" s="80"/>
      <c r="L36" s="80"/>
      <c r="M36" s="80"/>
    </row>
    <row r="37" spans="1:13" ht="14.45" customHeight="1" x14ac:dyDescent="0.2">
      <c r="A37" s="173" t="s">
        <v>106</v>
      </c>
      <c r="B37" s="200">
        <v>6283</v>
      </c>
      <c r="C37" s="200">
        <v>5653</v>
      </c>
      <c r="D37" s="87">
        <f t="shared" si="0"/>
        <v>-630</v>
      </c>
      <c r="E37" s="88">
        <f t="shared" si="1"/>
        <v>0.89972942861690275</v>
      </c>
      <c r="F37" s="89">
        <v>361</v>
      </c>
      <c r="G37" s="366"/>
      <c r="H37" s="366"/>
      <c r="I37" s="80"/>
      <c r="J37" s="80"/>
      <c r="K37" s="80"/>
      <c r="L37" s="80"/>
      <c r="M37" s="80"/>
    </row>
    <row r="38" spans="1:13" ht="14.45" customHeight="1" x14ac:dyDescent="0.2">
      <c r="A38" s="173" t="s">
        <v>107</v>
      </c>
      <c r="B38" s="200">
        <v>7860</v>
      </c>
      <c r="C38" s="200">
        <v>7097</v>
      </c>
      <c r="D38" s="87">
        <f t="shared" si="0"/>
        <v>-763</v>
      </c>
      <c r="E38" s="88">
        <f t="shared" si="1"/>
        <v>0.9029262086513995</v>
      </c>
      <c r="F38" s="89">
        <v>491</v>
      </c>
      <c r="G38" s="366"/>
      <c r="H38" s="366"/>
      <c r="I38" s="80"/>
      <c r="J38" s="80"/>
      <c r="K38" s="80"/>
      <c r="L38" s="80"/>
      <c r="M38" s="80"/>
    </row>
    <row r="39" spans="1:13" ht="14.45" customHeight="1" x14ac:dyDescent="0.2">
      <c r="A39" s="173" t="s">
        <v>108</v>
      </c>
      <c r="B39" s="200">
        <v>9690</v>
      </c>
      <c r="C39" s="200">
        <v>8793</v>
      </c>
      <c r="D39" s="87">
        <f t="shared" si="0"/>
        <v>-897</v>
      </c>
      <c r="E39" s="88">
        <f t="shared" si="1"/>
        <v>0.90743034055727556</v>
      </c>
      <c r="F39" s="89">
        <v>693</v>
      </c>
      <c r="G39" s="366"/>
      <c r="H39" s="366"/>
      <c r="I39" s="80"/>
      <c r="J39" s="80"/>
      <c r="K39" s="80"/>
      <c r="L39" s="80"/>
      <c r="M39" s="80"/>
    </row>
    <row r="40" spans="1:13" ht="14.45" customHeight="1" x14ac:dyDescent="0.2">
      <c r="A40" s="173" t="s">
        <v>109</v>
      </c>
      <c r="B40" s="200">
        <v>11041</v>
      </c>
      <c r="C40" s="200">
        <v>9966</v>
      </c>
      <c r="D40" s="87">
        <f t="shared" si="0"/>
        <v>-1075</v>
      </c>
      <c r="E40" s="88">
        <f t="shared" si="1"/>
        <v>0.90263563083054066</v>
      </c>
      <c r="F40" s="89">
        <v>754</v>
      </c>
      <c r="G40" s="366"/>
      <c r="H40" s="366"/>
      <c r="I40" s="80"/>
      <c r="J40" s="80"/>
      <c r="K40" s="80"/>
      <c r="L40" s="80"/>
      <c r="M40" s="80"/>
    </row>
    <row r="41" spans="1:13" ht="14.45" customHeight="1" x14ac:dyDescent="0.2">
      <c r="A41" s="173" t="s">
        <v>110</v>
      </c>
      <c r="B41" s="200">
        <v>12565</v>
      </c>
      <c r="C41" s="200">
        <v>11246</v>
      </c>
      <c r="D41" s="87">
        <f t="shared" si="0"/>
        <v>-1319</v>
      </c>
      <c r="E41" s="88">
        <f t="shared" si="1"/>
        <v>0.89502586549940311</v>
      </c>
      <c r="F41" s="89">
        <v>792</v>
      </c>
      <c r="G41" s="366"/>
      <c r="H41" s="366"/>
      <c r="I41" s="80"/>
      <c r="J41" s="80"/>
      <c r="K41" s="80"/>
      <c r="L41" s="80"/>
      <c r="M41" s="80"/>
    </row>
    <row r="42" spans="1:13" ht="14.45" customHeight="1" x14ac:dyDescent="0.2">
      <c r="A42" s="173" t="s">
        <v>111</v>
      </c>
      <c r="B42" s="200"/>
      <c r="C42" s="200"/>
      <c r="D42" s="87" t="str">
        <f t="shared" si="0"/>
        <v/>
      </c>
      <c r="E42" s="88" t="str">
        <f t="shared" si="1"/>
        <v/>
      </c>
      <c r="F42" s="89"/>
      <c r="G42" s="366"/>
      <c r="H42" s="366"/>
      <c r="I42" s="80"/>
      <c r="J42" s="80"/>
      <c r="K42" s="80"/>
      <c r="L42" s="80"/>
      <c r="M42" s="80"/>
    </row>
    <row r="43" spans="1:13" ht="14.45" customHeight="1" x14ac:dyDescent="0.2">
      <c r="A43" s="173" t="s">
        <v>112</v>
      </c>
      <c r="B43" s="200"/>
      <c r="C43" s="200"/>
      <c r="D43" s="87" t="str">
        <f t="shared" si="0"/>
        <v/>
      </c>
      <c r="E43" s="88" t="str">
        <f t="shared" si="1"/>
        <v/>
      </c>
      <c r="F43" s="89"/>
      <c r="G43" s="366"/>
      <c r="H43" s="366"/>
      <c r="I43" s="80"/>
      <c r="J43" s="80"/>
      <c r="K43" s="80"/>
      <c r="L43" s="80"/>
      <c r="M43" s="80"/>
    </row>
    <row r="44" spans="1:13" ht="14.45" customHeight="1" x14ac:dyDescent="0.2">
      <c r="A44" s="173" t="s">
        <v>113</v>
      </c>
      <c r="B44" s="200"/>
      <c r="C44" s="200"/>
      <c r="D44" s="87" t="str">
        <f t="shared" si="0"/>
        <v/>
      </c>
      <c r="E44" s="88" t="str">
        <f t="shared" si="1"/>
        <v/>
      </c>
      <c r="F44" s="89"/>
      <c r="G44" s="366"/>
      <c r="H44" s="366"/>
      <c r="I44" s="80"/>
      <c r="J44" s="80"/>
      <c r="K44" s="80"/>
      <c r="L44" s="80"/>
      <c r="M44" s="80"/>
    </row>
    <row r="45" spans="1:13" ht="14.45" customHeight="1" thickBot="1" x14ac:dyDescent="0.25">
      <c r="A45" s="174" t="s">
        <v>116</v>
      </c>
      <c r="B45" s="201"/>
      <c r="C45" s="201"/>
      <c r="D45" s="90" t="str">
        <f t="shared" si="0"/>
        <v/>
      </c>
      <c r="E45" s="91" t="str">
        <f t="shared" si="1"/>
        <v/>
      </c>
      <c r="F45" s="92"/>
      <c r="G45" s="366"/>
      <c r="H45" s="366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6" priority="2" operator="greaterThan">
      <formula>1</formula>
    </cfRule>
  </conditionalFormatting>
  <conditionalFormatting sqref="F33:F45">
    <cfRule type="cellIs" dxfId="15" priority="1" operator="greaterThan">
      <formula>0</formula>
    </cfRule>
  </conditionalFormatting>
  <hyperlinks>
    <hyperlink ref="A2" location="Obsah!A1" display="Zpět na Obsah  KL 01  1.-4.měsíc" xr:uid="{E37AED07-4E07-4657-9F1D-05DF822CFF61}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List24">
    <tabColor theme="0" tint="-0.249977111117893"/>
    <pageSetUpPr fitToPage="1"/>
  </sheetPr>
  <dimension ref="A1:Y49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ColWidth="8.85546875" defaultRowHeight="14.45" customHeight="1" outlineLevelCol="1" x14ac:dyDescent="0.2"/>
  <cols>
    <col min="1" max="1" width="6.140625" style="96" customWidth="1"/>
    <col min="2" max="2" width="6.5703125" style="213" hidden="1" customWidth="1" outlineLevel="1"/>
    <col min="3" max="3" width="5.85546875" style="213" hidden="1" customWidth="1" outlineLevel="1"/>
    <col min="4" max="4" width="7.7109375" style="213" hidden="1" customWidth="1" outlineLevel="1"/>
    <col min="5" max="5" width="6.5703125" style="99" customWidth="1" collapsed="1"/>
    <col min="6" max="6" width="5.85546875" style="99" customWidth="1"/>
    <col min="7" max="7" width="7.7109375" style="99" customWidth="1"/>
    <col min="8" max="8" width="6.5703125" style="99" customWidth="1"/>
    <col min="9" max="9" width="5.85546875" style="99" customWidth="1"/>
    <col min="10" max="10" width="7.7109375" style="99" customWidth="1"/>
    <col min="11" max="11" width="9.140625" style="99" customWidth="1"/>
    <col min="12" max="12" width="3.85546875" style="99" customWidth="1"/>
    <col min="13" max="13" width="4.28515625" style="99" customWidth="1"/>
    <col min="14" max="14" width="5.42578125" style="99" customWidth="1"/>
    <col min="15" max="15" width="4" style="99" customWidth="1"/>
    <col min="16" max="16" width="55.5703125" style="93" customWidth="1"/>
    <col min="17" max="17" width="7.7109375" style="97" hidden="1" customWidth="1" outlineLevel="1"/>
    <col min="18" max="18" width="5.85546875" style="97" hidden="1" customWidth="1" outlineLevel="1"/>
    <col min="19" max="19" width="7.7109375" style="97" customWidth="1" collapsed="1"/>
    <col min="20" max="20" width="6" style="97" customWidth="1"/>
    <col min="21" max="22" width="9.7109375" style="213" customWidth="1"/>
    <col min="23" max="23" width="7.7109375" style="213" customWidth="1"/>
    <col min="24" max="24" width="6.140625" style="100" customWidth="1"/>
    <col min="25" max="25" width="17.140625" style="98" bestFit="1" customWidth="1"/>
    <col min="26" max="16384" width="8.85546875" style="93"/>
  </cols>
  <sheetData>
    <row r="1" spans="1:25" s="312" customFormat="1" ht="18.600000000000001" customHeight="1" thickBot="1" x14ac:dyDescent="0.35">
      <c r="A1" s="598" t="s">
        <v>2689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  <c r="V1" s="513"/>
      <c r="W1" s="513"/>
      <c r="X1" s="513"/>
      <c r="Y1" s="513"/>
    </row>
    <row r="2" spans="1:25" ht="14.45" customHeight="1" thickBot="1" x14ac:dyDescent="0.25">
      <c r="A2" s="371" t="s">
        <v>328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7"/>
      <c r="Q2" s="367"/>
      <c r="R2" s="367"/>
      <c r="S2" s="367"/>
      <c r="T2" s="367"/>
      <c r="U2" s="368"/>
      <c r="V2" s="368"/>
      <c r="W2" s="368"/>
      <c r="X2" s="367"/>
      <c r="Y2" s="369"/>
    </row>
    <row r="3" spans="1:25" s="94" customFormat="1" ht="14.45" customHeight="1" x14ac:dyDescent="0.2">
      <c r="A3" s="685" t="s">
        <v>74</v>
      </c>
      <c r="B3" s="687">
        <v>2015</v>
      </c>
      <c r="C3" s="688"/>
      <c r="D3" s="689"/>
      <c r="E3" s="687">
        <v>2018</v>
      </c>
      <c r="F3" s="688"/>
      <c r="G3" s="689"/>
      <c r="H3" s="687">
        <v>2019</v>
      </c>
      <c r="I3" s="688"/>
      <c r="J3" s="689"/>
      <c r="K3" s="690" t="s">
        <v>75</v>
      </c>
      <c r="L3" s="679" t="s">
        <v>76</v>
      </c>
      <c r="M3" s="679" t="s">
        <v>77</v>
      </c>
      <c r="N3" s="679" t="s">
        <v>78</v>
      </c>
      <c r="O3" s="263" t="s">
        <v>79</v>
      </c>
      <c r="P3" s="681" t="s">
        <v>80</v>
      </c>
      <c r="Q3" s="683" t="s">
        <v>269</v>
      </c>
      <c r="R3" s="684"/>
      <c r="S3" s="683" t="s">
        <v>81</v>
      </c>
      <c r="T3" s="684"/>
      <c r="U3" s="677" t="s">
        <v>82</v>
      </c>
      <c r="V3" s="678"/>
      <c r="W3" s="678"/>
      <c r="X3" s="678"/>
      <c r="Y3" s="214" t="s">
        <v>82</v>
      </c>
    </row>
    <row r="4" spans="1:25" s="95" customFormat="1" ht="14.45" customHeight="1" thickBot="1" x14ac:dyDescent="0.3">
      <c r="A4" s="686"/>
      <c r="B4" s="448" t="s">
        <v>83</v>
      </c>
      <c r="C4" s="446" t="s">
        <v>71</v>
      </c>
      <c r="D4" s="449" t="s">
        <v>84</v>
      </c>
      <c r="E4" s="448" t="s">
        <v>83</v>
      </c>
      <c r="F4" s="446" t="s">
        <v>71</v>
      </c>
      <c r="G4" s="449" t="s">
        <v>84</v>
      </c>
      <c r="H4" s="448" t="s">
        <v>83</v>
      </c>
      <c r="I4" s="446" t="s">
        <v>71</v>
      </c>
      <c r="J4" s="449" t="s">
        <v>84</v>
      </c>
      <c r="K4" s="691"/>
      <c r="L4" s="680"/>
      <c r="M4" s="680"/>
      <c r="N4" s="680"/>
      <c r="O4" s="450"/>
      <c r="P4" s="682"/>
      <c r="Q4" s="451" t="s">
        <v>72</v>
      </c>
      <c r="R4" s="452" t="s">
        <v>71</v>
      </c>
      <c r="S4" s="451" t="s">
        <v>72</v>
      </c>
      <c r="T4" s="452" t="s">
        <v>71</v>
      </c>
      <c r="U4" s="453" t="s">
        <v>85</v>
      </c>
      <c r="V4" s="447" t="s">
        <v>86</v>
      </c>
      <c r="W4" s="447" t="s">
        <v>87</v>
      </c>
      <c r="X4" s="454" t="s">
        <v>2</v>
      </c>
      <c r="Y4" s="455" t="s">
        <v>88</v>
      </c>
    </row>
    <row r="5" spans="1:25" s="456" customFormat="1" ht="14.45" customHeight="1" x14ac:dyDescent="0.2">
      <c r="A5" s="945" t="s">
        <v>2611</v>
      </c>
      <c r="B5" s="946"/>
      <c r="C5" s="947"/>
      <c r="D5" s="948"/>
      <c r="E5" s="949"/>
      <c r="F5" s="950"/>
      <c r="G5" s="951"/>
      <c r="H5" s="952">
        <v>1</v>
      </c>
      <c r="I5" s="953">
        <v>16.55</v>
      </c>
      <c r="J5" s="954">
        <v>15</v>
      </c>
      <c r="K5" s="955">
        <v>13.87</v>
      </c>
      <c r="L5" s="956">
        <v>11</v>
      </c>
      <c r="M5" s="956">
        <v>72</v>
      </c>
      <c r="N5" s="957">
        <v>24</v>
      </c>
      <c r="O5" s="956" t="s">
        <v>2612</v>
      </c>
      <c r="P5" s="958" t="s">
        <v>2613</v>
      </c>
      <c r="Q5" s="959">
        <f>H5-B5</f>
        <v>1</v>
      </c>
      <c r="R5" s="975">
        <f>I5-C5</f>
        <v>16.55</v>
      </c>
      <c r="S5" s="959">
        <f>H5-E5</f>
        <v>1</v>
      </c>
      <c r="T5" s="975">
        <f>I5-F5</f>
        <v>16.55</v>
      </c>
      <c r="U5" s="985">
        <v>24</v>
      </c>
      <c r="V5" s="946">
        <v>15</v>
      </c>
      <c r="W5" s="946">
        <v>-9</v>
      </c>
      <c r="X5" s="986">
        <v>0.625</v>
      </c>
      <c r="Y5" s="987"/>
    </row>
    <row r="6" spans="1:25" ht="14.45" customHeight="1" x14ac:dyDescent="0.2">
      <c r="A6" s="943" t="s">
        <v>2614</v>
      </c>
      <c r="B6" s="924"/>
      <c r="C6" s="925"/>
      <c r="D6" s="926"/>
      <c r="E6" s="927"/>
      <c r="F6" s="907"/>
      <c r="G6" s="908"/>
      <c r="H6" s="909">
        <v>1</v>
      </c>
      <c r="I6" s="910">
        <v>7.09</v>
      </c>
      <c r="J6" s="911">
        <v>10</v>
      </c>
      <c r="K6" s="912">
        <v>7.09</v>
      </c>
      <c r="L6" s="913">
        <v>5</v>
      </c>
      <c r="M6" s="913">
        <v>45</v>
      </c>
      <c r="N6" s="914">
        <v>15</v>
      </c>
      <c r="O6" s="913" t="s">
        <v>2612</v>
      </c>
      <c r="P6" s="928" t="s">
        <v>2615</v>
      </c>
      <c r="Q6" s="915">
        <f t="shared" ref="Q6:R49" si="0">H6-B6</f>
        <v>1</v>
      </c>
      <c r="R6" s="976">
        <f t="shared" si="0"/>
        <v>7.09</v>
      </c>
      <c r="S6" s="915">
        <f t="shared" ref="S6:S49" si="1">H6-E6</f>
        <v>1</v>
      </c>
      <c r="T6" s="976">
        <f t="shared" ref="T6:T49" si="2">I6-F6</f>
        <v>7.09</v>
      </c>
      <c r="U6" s="983">
        <v>15</v>
      </c>
      <c r="V6" s="924">
        <v>10</v>
      </c>
      <c r="W6" s="924">
        <v>-5</v>
      </c>
      <c r="X6" s="981">
        <v>0.66666666666666663</v>
      </c>
      <c r="Y6" s="979"/>
    </row>
    <row r="7" spans="1:25" ht="14.45" customHeight="1" x14ac:dyDescent="0.2">
      <c r="A7" s="943" t="s">
        <v>2616</v>
      </c>
      <c r="B7" s="916">
        <v>1</v>
      </c>
      <c r="C7" s="917">
        <v>0.49</v>
      </c>
      <c r="D7" s="918">
        <v>2</v>
      </c>
      <c r="E7" s="927"/>
      <c r="F7" s="907"/>
      <c r="G7" s="908"/>
      <c r="H7" s="913"/>
      <c r="I7" s="907"/>
      <c r="J7" s="908"/>
      <c r="K7" s="912">
        <v>0.49</v>
      </c>
      <c r="L7" s="913">
        <v>1</v>
      </c>
      <c r="M7" s="913">
        <v>12</v>
      </c>
      <c r="N7" s="914">
        <v>4</v>
      </c>
      <c r="O7" s="913" t="s">
        <v>2612</v>
      </c>
      <c r="P7" s="928" t="s">
        <v>2617</v>
      </c>
      <c r="Q7" s="915">
        <f t="shared" si="0"/>
        <v>-1</v>
      </c>
      <c r="R7" s="976">
        <f t="shared" si="0"/>
        <v>-0.49</v>
      </c>
      <c r="S7" s="915">
        <f t="shared" si="1"/>
        <v>0</v>
      </c>
      <c r="T7" s="976">
        <f t="shared" si="2"/>
        <v>0</v>
      </c>
      <c r="U7" s="983" t="s">
        <v>572</v>
      </c>
      <c r="V7" s="924" t="s">
        <v>572</v>
      </c>
      <c r="W7" s="924" t="s">
        <v>572</v>
      </c>
      <c r="X7" s="981" t="s">
        <v>572</v>
      </c>
      <c r="Y7" s="979"/>
    </row>
    <row r="8" spans="1:25" ht="14.45" customHeight="1" x14ac:dyDescent="0.2">
      <c r="A8" s="944" t="s">
        <v>2618</v>
      </c>
      <c r="B8" s="930">
        <v>1</v>
      </c>
      <c r="C8" s="931">
        <v>0.65</v>
      </c>
      <c r="D8" s="919">
        <v>7</v>
      </c>
      <c r="E8" s="932"/>
      <c r="F8" s="933"/>
      <c r="G8" s="920"/>
      <c r="H8" s="934"/>
      <c r="I8" s="933"/>
      <c r="J8" s="920"/>
      <c r="K8" s="935">
        <v>0.65</v>
      </c>
      <c r="L8" s="934">
        <v>2</v>
      </c>
      <c r="M8" s="934">
        <v>18</v>
      </c>
      <c r="N8" s="936">
        <v>6</v>
      </c>
      <c r="O8" s="934" t="s">
        <v>2612</v>
      </c>
      <c r="P8" s="937" t="s">
        <v>2619</v>
      </c>
      <c r="Q8" s="938">
        <f t="shared" si="0"/>
        <v>-1</v>
      </c>
      <c r="R8" s="977">
        <f t="shared" si="0"/>
        <v>-0.65</v>
      </c>
      <c r="S8" s="938">
        <f t="shared" si="1"/>
        <v>0</v>
      </c>
      <c r="T8" s="977">
        <f t="shared" si="2"/>
        <v>0</v>
      </c>
      <c r="U8" s="984" t="s">
        <v>572</v>
      </c>
      <c r="V8" s="939" t="s">
        <v>572</v>
      </c>
      <c r="W8" s="939" t="s">
        <v>572</v>
      </c>
      <c r="X8" s="982" t="s">
        <v>572</v>
      </c>
      <c r="Y8" s="980"/>
    </row>
    <row r="9" spans="1:25" ht="14.45" customHeight="1" x14ac:dyDescent="0.2">
      <c r="A9" s="943" t="s">
        <v>2620</v>
      </c>
      <c r="B9" s="916">
        <v>1</v>
      </c>
      <c r="C9" s="917">
        <v>0.42</v>
      </c>
      <c r="D9" s="918">
        <v>5</v>
      </c>
      <c r="E9" s="927"/>
      <c r="F9" s="907"/>
      <c r="G9" s="908"/>
      <c r="H9" s="913"/>
      <c r="I9" s="907"/>
      <c r="J9" s="908"/>
      <c r="K9" s="912">
        <v>0.42</v>
      </c>
      <c r="L9" s="913">
        <v>2</v>
      </c>
      <c r="M9" s="913">
        <v>15</v>
      </c>
      <c r="N9" s="914">
        <v>5</v>
      </c>
      <c r="O9" s="913" t="s">
        <v>2612</v>
      </c>
      <c r="P9" s="928" t="s">
        <v>2621</v>
      </c>
      <c r="Q9" s="915">
        <f t="shared" si="0"/>
        <v>-1</v>
      </c>
      <c r="R9" s="976">
        <f t="shared" si="0"/>
        <v>-0.42</v>
      </c>
      <c r="S9" s="915">
        <f t="shared" si="1"/>
        <v>0</v>
      </c>
      <c r="T9" s="976">
        <f t="shared" si="2"/>
        <v>0</v>
      </c>
      <c r="U9" s="983" t="s">
        <v>572</v>
      </c>
      <c r="V9" s="924" t="s">
        <v>572</v>
      </c>
      <c r="W9" s="924" t="s">
        <v>572</v>
      </c>
      <c r="X9" s="981" t="s">
        <v>572</v>
      </c>
      <c r="Y9" s="979"/>
    </row>
    <row r="10" spans="1:25" ht="14.45" customHeight="1" x14ac:dyDescent="0.2">
      <c r="A10" s="943" t="s">
        <v>2622</v>
      </c>
      <c r="B10" s="924"/>
      <c r="C10" s="925"/>
      <c r="D10" s="926"/>
      <c r="E10" s="909">
        <v>1</v>
      </c>
      <c r="F10" s="910">
        <v>0.6</v>
      </c>
      <c r="G10" s="911">
        <v>7</v>
      </c>
      <c r="H10" s="913"/>
      <c r="I10" s="907"/>
      <c r="J10" s="908"/>
      <c r="K10" s="912">
        <v>0.53</v>
      </c>
      <c r="L10" s="913">
        <v>2</v>
      </c>
      <c r="M10" s="913">
        <v>21</v>
      </c>
      <c r="N10" s="914">
        <v>7</v>
      </c>
      <c r="O10" s="913" t="s">
        <v>2612</v>
      </c>
      <c r="P10" s="928" t="s">
        <v>2623</v>
      </c>
      <c r="Q10" s="915">
        <f t="shared" si="0"/>
        <v>0</v>
      </c>
      <c r="R10" s="976">
        <f t="shared" si="0"/>
        <v>0</v>
      </c>
      <c r="S10" s="915">
        <f t="shared" si="1"/>
        <v>-1</v>
      </c>
      <c r="T10" s="976">
        <f t="shared" si="2"/>
        <v>-0.6</v>
      </c>
      <c r="U10" s="983" t="s">
        <v>572</v>
      </c>
      <c r="V10" s="924" t="s">
        <v>572</v>
      </c>
      <c r="W10" s="924" t="s">
        <v>572</v>
      </c>
      <c r="X10" s="981" t="s">
        <v>572</v>
      </c>
      <c r="Y10" s="979"/>
    </row>
    <row r="11" spans="1:25" ht="14.45" customHeight="1" x14ac:dyDescent="0.2">
      <c r="A11" s="944" t="s">
        <v>2624</v>
      </c>
      <c r="B11" s="939">
        <v>1</v>
      </c>
      <c r="C11" s="940">
        <v>1.17</v>
      </c>
      <c r="D11" s="929">
        <v>13</v>
      </c>
      <c r="E11" s="941">
        <v>1</v>
      </c>
      <c r="F11" s="942">
        <v>0.95</v>
      </c>
      <c r="G11" s="921">
        <v>5</v>
      </c>
      <c r="H11" s="934"/>
      <c r="I11" s="933"/>
      <c r="J11" s="920"/>
      <c r="K11" s="935">
        <v>0.95</v>
      </c>
      <c r="L11" s="934">
        <v>3</v>
      </c>
      <c r="M11" s="934">
        <v>30</v>
      </c>
      <c r="N11" s="936">
        <v>10</v>
      </c>
      <c r="O11" s="934" t="s">
        <v>2612</v>
      </c>
      <c r="P11" s="937" t="s">
        <v>2625</v>
      </c>
      <c r="Q11" s="938">
        <f t="shared" si="0"/>
        <v>-1</v>
      </c>
      <c r="R11" s="977">
        <f t="shared" si="0"/>
        <v>-1.17</v>
      </c>
      <c r="S11" s="938">
        <f t="shared" si="1"/>
        <v>-1</v>
      </c>
      <c r="T11" s="977">
        <f t="shared" si="2"/>
        <v>-0.95</v>
      </c>
      <c r="U11" s="984" t="s">
        <v>572</v>
      </c>
      <c r="V11" s="939" t="s">
        <v>572</v>
      </c>
      <c r="W11" s="939" t="s">
        <v>572</v>
      </c>
      <c r="X11" s="982" t="s">
        <v>572</v>
      </c>
      <c r="Y11" s="980"/>
    </row>
    <row r="12" spans="1:25" ht="14.45" customHeight="1" x14ac:dyDescent="0.2">
      <c r="A12" s="943" t="s">
        <v>2626</v>
      </c>
      <c r="B12" s="924"/>
      <c r="C12" s="925"/>
      <c r="D12" s="926"/>
      <c r="E12" s="927"/>
      <c r="F12" s="907"/>
      <c r="G12" s="908"/>
      <c r="H12" s="909">
        <v>1</v>
      </c>
      <c r="I12" s="910">
        <v>0.32</v>
      </c>
      <c r="J12" s="911">
        <v>3</v>
      </c>
      <c r="K12" s="912">
        <v>0.32</v>
      </c>
      <c r="L12" s="913">
        <v>1</v>
      </c>
      <c r="M12" s="913">
        <v>12</v>
      </c>
      <c r="N12" s="914">
        <v>4</v>
      </c>
      <c r="O12" s="913" t="s">
        <v>2612</v>
      </c>
      <c r="P12" s="928" t="s">
        <v>2627</v>
      </c>
      <c r="Q12" s="915">
        <f t="shared" si="0"/>
        <v>1</v>
      </c>
      <c r="R12" s="976">
        <f t="shared" si="0"/>
        <v>0.32</v>
      </c>
      <c r="S12" s="915">
        <f t="shared" si="1"/>
        <v>1</v>
      </c>
      <c r="T12" s="976">
        <f t="shared" si="2"/>
        <v>0.32</v>
      </c>
      <c r="U12" s="983">
        <v>4</v>
      </c>
      <c r="V12" s="924">
        <v>3</v>
      </c>
      <c r="W12" s="924">
        <v>-1</v>
      </c>
      <c r="X12" s="981">
        <v>0.75</v>
      </c>
      <c r="Y12" s="979"/>
    </row>
    <row r="13" spans="1:25" ht="14.45" customHeight="1" x14ac:dyDescent="0.2">
      <c r="A13" s="943" t="s">
        <v>2628</v>
      </c>
      <c r="B13" s="924">
        <v>11</v>
      </c>
      <c r="C13" s="925">
        <v>1.94</v>
      </c>
      <c r="D13" s="926">
        <v>1.7</v>
      </c>
      <c r="E13" s="927">
        <v>7</v>
      </c>
      <c r="F13" s="907">
        <v>1.24</v>
      </c>
      <c r="G13" s="908">
        <v>2.1</v>
      </c>
      <c r="H13" s="909">
        <v>12</v>
      </c>
      <c r="I13" s="910">
        <v>2.12</v>
      </c>
      <c r="J13" s="922">
        <v>2.2999999999999998</v>
      </c>
      <c r="K13" s="912">
        <v>0.18</v>
      </c>
      <c r="L13" s="913">
        <v>1</v>
      </c>
      <c r="M13" s="913">
        <v>5</v>
      </c>
      <c r="N13" s="914">
        <v>2</v>
      </c>
      <c r="O13" s="913" t="s">
        <v>2612</v>
      </c>
      <c r="P13" s="928" t="s">
        <v>2629</v>
      </c>
      <c r="Q13" s="915">
        <f t="shared" si="0"/>
        <v>1</v>
      </c>
      <c r="R13" s="976">
        <f t="shared" si="0"/>
        <v>0.18000000000000016</v>
      </c>
      <c r="S13" s="915">
        <f t="shared" si="1"/>
        <v>5</v>
      </c>
      <c r="T13" s="976">
        <f t="shared" si="2"/>
        <v>0.88000000000000012</v>
      </c>
      <c r="U13" s="983">
        <v>24</v>
      </c>
      <c r="V13" s="924">
        <v>27.599999999999998</v>
      </c>
      <c r="W13" s="924">
        <v>3.5999999999999979</v>
      </c>
      <c r="X13" s="981">
        <v>1.1499999999999999</v>
      </c>
      <c r="Y13" s="979">
        <v>7</v>
      </c>
    </row>
    <row r="14" spans="1:25" ht="14.45" customHeight="1" x14ac:dyDescent="0.2">
      <c r="A14" s="944" t="s">
        <v>2630</v>
      </c>
      <c r="B14" s="939">
        <v>5</v>
      </c>
      <c r="C14" s="940">
        <v>1.43</v>
      </c>
      <c r="D14" s="929">
        <v>2.2000000000000002</v>
      </c>
      <c r="E14" s="932">
        <v>1</v>
      </c>
      <c r="F14" s="933">
        <v>0.28999999999999998</v>
      </c>
      <c r="G14" s="920">
        <v>3</v>
      </c>
      <c r="H14" s="941">
        <v>4</v>
      </c>
      <c r="I14" s="942">
        <v>1.1399999999999999</v>
      </c>
      <c r="J14" s="923">
        <v>2.8</v>
      </c>
      <c r="K14" s="935">
        <v>0.28999999999999998</v>
      </c>
      <c r="L14" s="934">
        <v>1</v>
      </c>
      <c r="M14" s="934">
        <v>5</v>
      </c>
      <c r="N14" s="936">
        <v>2</v>
      </c>
      <c r="O14" s="934" t="s">
        <v>2612</v>
      </c>
      <c r="P14" s="937" t="s">
        <v>2631</v>
      </c>
      <c r="Q14" s="938">
        <f t="shared" si="0"/>
        <v>-1</v>
      </c>
      <c r="R14" s="977">
        <f t="shared" si="0"/>
        <v>-0.29000000000000004</v>
      </c>
      <c r="S14" s="938">
        <f t="shared" si="1"/>
        <v>3</v>
      </c>
      <c r="T14" s="977">
        <f t="shared" si="2"/>
        <v>0.84999999999999987</v>
      </c>
      <c r="U14" s="984">
        <v>8</v>
      </c>
      <c r="V14" s="939">
        <v>11.2</v>
      </c>
      <c r="W14" s="939">
        <v>3.1999999999999993</v>
      </c>
      <c r="X14" s="982">
        <v>1.4</v>
      </c>
      <c r="Y14" s="980">
        <v>4</v>
      </c>
    </row>
    <row r="15" spans="1:25" ht="14.45" customHeight="1" x14ac:dyDescent="0.2">
      <c r="A15" s="944" t="s">
        <v>2632</v>
      </c>
      <c r="B15" s="939">
        <v>3</v>
      </c>
      <c r="C15" s="940">
        <v>1.62</v>
      </c>
      <c r="D15" s="929">
        <v>2</v>
      </c>
      <c r="E15" s="932">
        <v>5</v>
      </c>
      <c r="F15" s="933">
        <v>14.04</v>
      </c>
      <c r="G15" s="920">
        <v>2.4</v>
      </c>
      <c r="H15" s="941">
        <v>5</v>
      </c>
      <c r="I15" s="942">
        <v>2.44</v>
      </c>
      <c r="J15" s="921">
        <v>1.6</v>
      </c>
      <c r="K15" s="935">
        <v>0.49</v>
      </c>
      <c r="L15" s="934">
        <v>1</v>
      </c>
      <c r="M15" s="934">
        <v>5</v>
      </c>
      <c r="N15" s="936">
        <v>2</v>
      </c>
      <c r="O15" s="934" t="s">
        <v>2612</v>
      </c>
      <c r="P15" s="937" t="s">
        <v>2633</v>
      </c>
      <c r="Q15" s="938">
        <f t="shared" si="0"/>
        <v>2</v>
      </c>
      <c r="R15" s="977">
        <f t="shared" si="0"/>
        <v>0.81999999999999984</v>
      </c>
      <c r="S15" s="938">
        <f t="shared" si="1"/>
        <v>0</v>
      </c>
      <c r="T15" s="977">
        <f t="shared" si="2"/>
        <v>-11.6</v>
      </c>
      <c r="U15" s="984">
        <v>10</v>
      </c>
      <c r="V15" s="939">
        <v>8</v>
      </c>
      <c r="W15" s="939">
        <v>-2</v>
      </c>
      <c r="X15" s="982">
        <v>0.8</v>
      </c>
      <c r="Y15" s="980"/>
    </row>
    <row r="16" spans="1:25" ht="14.45" customHeight="1" x14ac:dyDescent="0.2">
      <c r="A16" s="943" t="s">
        <v>2634</v>
      </c>
      <c r="B16" s="924">
        <v>2</v>
      </c>
      <c r="C16" s="925">
        <v>100.16</v>
      </c>
      <c r="D16" s="926">
        <v>108</v>
      </c>
      <c r="E16" s="927"/>
      <c r="F16" s="907"/>
      <c r="G16" s="908"/>
      <c r="H16" s="909">
        <v>4</v>
      </c>
      <c r="I16" s="910">
        <v>200.32</v>
      </c>
      <c r="J16" s="922">
        <v>87.8</v>
      </c>
      <c r="K16" s="912">
        <v>50.08</v>
      </c>
      <c r="L16" s="913">
        <v>28</v>
      </c>
      <c r="M16" s="913">
        <v>252</v>
      </c>
      <c r="N16" s="914">
        <v>84</v>
      </c>
      <c r="O16" s="913" t="s">
        <v>2635</v>
      </c>
      <c r="P16" s="928" t="s">
        <v>2636</v>
      </c>
      <c r="Q16" s="915">
        <f t="shared" si="0"/>
        <v>2</v>
      </c>
      <c r="R16" s="976">
        <f t="shared" si="0"/>
        <v>100.16</v>
      </c>
      <c r="S16" s="915">
        <f t="shared" si="1"/>
        <v>4</v>
      </c>
      <c r="T16" s="976">
        <f t="shared" si="2"/>
        <v>200.32</v>
      </c>
      <c r="U16" s="983">
        <v>336</v>
      </c>
      <c r="V16" s="924">
        <v>351.2</v>
      </c>
      <c r="W16" s="924">
        <v>15.199999999999989</v>
      </c>
      <c r="X16" s="981">
        <v>1.0452380952380953</v>
      </c>
      <c r="Y16" s="979">
        <v>58</v>
      </c>
    </row>
    <row r="17" spans="1:25" ht="14.45" customHeight="1" x14ac:dyDescent="0.2">
      <c r="A17" s="943" t="s">
        <v>2637</v>
      </c>
      <c r="B17" s="916">
        <v>17</v>
      </c>
      <c r="C17" s="917">
        <v>437.82</v>
      </c>
      <c r="D17" s="918">
        <v>48.7</v>
      </c>
      <c r="E17" s="927">
        <v>10</v>
      </c>
      <c r="F17" s="907">
        <v>263.92</v>
      </c>
      <c r="G17" s="908">
        <v>56.7</v>
      </c>
      <c r="H17" s="913">
        <v>15</v>
      </c>
      <c r="I17" s="907">
        <v>436.64</v>
      </c>
      <c r="J17" s="922">
        <v>70.099999999999994</v>
      </c>
      <c r="K17" s="912">
        <v>30.04</v>
      </c>
      <c r="L17" s="913">
        <v>22</v>
      </c>
      <c r="M17" s="913">
        <v>198</v>
      </c>
      <c r="N17" s="914">
        <v>66</v>
      </c>
      <c r="O17" s="913" t="s">
        <v>2635</v>
      </c>
      <c r="P17" s="928" t="s">
        <v>2638</v>
      </c>
      <c r="Q17" s="915">
        <f t="shared" si="0"/>
        <v>-2</v>
      </c>
      <c r="R17" s="976">
        <f t="shared" si="0"/>
        <v>-1.1800000000000068</v>
      </c>
      <c r="S17" s="915">
        <f t="shared" si="1"/>
        <v>5</v>
      </c>
      <c r="T17" s="976">
        <f t="shared" si="2"/>
        <v>172.71999999999997</v>
      </c>
      <c r="U17" s="983">
        <v>990</v>
      </c>
      <c r="V17" s="924">
        <v>1051.5</v>
      </c>
      <c r="W17" s="924">
        <v>61.5</v>
      </c>
      <c r="X17" s="981">
        <v>1.062121212121212</v>
      </c>
      <c r="Y17" s="979">
        <v>198</v>
      </c>
    </row>
    <row r="18" spans="1:25" ht="14.45" customHeight="1" x14ac:dyDescent="0.2">
      <c r="A18" s="943" t="s">
        <v>2639</v>
      </c>
      <c r="B18" s="924"/>
      <c r="C18" s="925"/>
      <c r="D18" s="926"/>
      <c r="E18" s="927">
        <v>1</v>
      </c>
      <c r="F18" s="907">
        <v>33.799999999999997</v>
      </c>
      <c r="G18" s="908">
        <v>61</v>
      </c>
      <c r="H18" s="909">
        <v>1</v>
      </c>
      <c r="I18" s="910">
        <v>33.799999999999997</v>
      </c>
      <c r="J18" s="911">
        <v>60</v>
      </c>
      <c r="K18" s="912">
        <v>33.799999999999997</v>
      </c>
      <c r="L18" s="913">
        <v>23</v>
      </c>
      <c r="M18" s="913">
        <v>207</v>
      </c>
      <c r="N18" s="914">
        <v>69</v>
      </c>
      <c r="O18" s="913" t="s">
        <v>2635</v>
      </c>
      <c r="P18" s="928" t="s">
        <v>2640</v>
      </c>
      <c r="Q18" s="915">
        <f t="shared" si="0"/>
        <v>1</v>
      </c>
      <c r="R18" s="976">
        <f t="shared" si="0"/>
        <v>33.799999999999997</v>
      </c>
      <c r="S18" s="915">
        <f t="shared" si="1"/>
        <v>0</v>
      </c>
      <c r="T18" s="976">
        <f t="shared" si="2"/>
        <v>0</v>
      </c>
      <c r="U18" s="983">
        <v>69</v>
      </c>
      <c r="V18" s="924">
        <v>60</v>
      </c>
      <c r="W18" s="924">
        <v>-9</v>
      </c>
      <c r="X18" s="981">
        <v>0.86956521739130432</v>
      </c>
      <c r="Y18" s="979"/>
    </row>
    <row r="19" spans="1:25" ht="14.45" customHeight="1" x14ac:dyDescent="0.2">
      <c r="A19" s="943" t="s">
        <v>2641</v>
      </c>
      <c r="B19" s="916">
        <v>1</v>
      </c>
      <c r="C19" s="917">
        <v>7.19</v>
      </c>
      <c r="D19" s="918">
        <v>21</v>
      </c>
      <c r="E19" s="927"/>
      <c r="F19" s="907"/>
      <c r="G19" s="908"/>
      <c r="H19" s="913"/>
      <c r="I19" s="907"/>
      <c r="J19" s="908"/>
      <c r="K19" s="912">
        <v>7.19</v>
      </c>
      <c r="L19" s="913">
        <v>9</v>
      </c>
      <c r="M19" s="913">
        <v>81</v>
      </c>
      <c r="N19" s="914">
        <v>27</v>
      </c>
      <c r="O19" s="913" t="s">
        <v>2635</v>
      </c>
      <c r="P19" s="928" t="s">
        <v>2642</v>
      </c>
      <c r="Q19" s="915">
        <f t="shared" si="0"/>
        <v>-1</v>
      </c>
      <c r="R19" s="976">
        <f t="shared" si="0"/>
        <v>-7.19</v>
      </c>
      <c r="S19" s="915">
        <f t="shared" si="1"/>
        <v>0</v>
      </c>
      <c r="T19" s="976">
        <f t="shared" si="2"/>
        <v>0</v>
      </c>
      <c r="U19" s="983" t="s">
        <v>572</v>
      </c>
      <c r="V19" s="924" t="s">
        <v>572</v>
      </c>
      <c r="W19" s="924" t="s">
        <v>572</v>
      </c>
      <c r="X19" s="981" t="s">
        <v>572</v>
      </c>
      <c r="Y19" s="979"/>
    </row>
    <row r="20" spans="1:25" ht="14.45" customHeight="1" x14ac:dyDescent="0.2">
      <c r="A20" s="944" t="s">
        <v>2643</v>
      </c>
      <c r="B20" s="930">
        <v>5</v>
      </c>
      <c r="C20" s="931">
        <v>41.24</v>
      </c>
      <c r="D20" s="919">
        <v>18.600000000000001</v>
      </c>
      <c r="E20" s="932">
        <v>1</v>
      </c>
      <c r="F20" s="933">
        <v>8.43</v>
      </c>
      <c r="G20" s="920">
        <v>30</v>
      </c>
      <c r="H20" s="934">
        <v>2</v>
      </c>
      <c r="I20" s="933">
        <v>16.87</v>
      </c>
      <c r="J20" s="920">
        <v>13</v>
      </c>
      <c r="K20" s="935">
        <v>8.43</v>
      </c>
      <c r="L20" s="934">
        <v>9</v>
      </c>
      <c r="M20" s="934">
        <v>81</v>
      </c>
      <c r="N20" s="936">
        <v>27</v>
      </c>
      <c r="O20" s="934" t="s">
        <v>2635</v>
      </c>
      <c r="P20" s="937" t="s">
        <v>2642</v>
      </c>
      <c r="Q20" s="938">
        <f t="shared" si="0"/>
        <v>-3</v>
      </c>
      <c r="R20" s="977">
        <f t="shared" si="0"/>
        <v>-24.37</v>
      </c>
      <c r="S20" s="938">
        <f t="shared" si="1"/>
        <v>1</v>
      </c>
      <c r="T20" s="977">
        <f t="shared" si="2"/>
        <v>8.4400000000000013</v>
      </c>
      <c r="U20" s="984">
        <v>54</v>
      </c>
      <c r="V20" s="939">
        <v>26</v>
      </c>
      <c r="W20" s="939">
        <v>-28</v>
      </c>
      <c r="X20" s="982">
        <v>0.48148148148148145</v>
      </c>
      <c r="Y20" s="980"/>
    </row>
    <row r="21" spans="1:25" ht="14.45" customHeight="1" x14ac:dyDescent="0.2">
      <c r="A21" s="944" t="s">
        <v>1402</v>
      </c>
      <c r="B21" s="930">
        <v>28</v>
      </c>
      <c r="C21" s="931">
        <v>422.11</v>
      </c>
      <c r="D21" s="919">
        <v>35.4</v>
      </c>
      <c r="E21" s="932">
        <v>24</v>
      </c>
      <c r="F21" s="933">
        <v>363.19</v>
      </c>
      <c r="G21" s="920">
        <v>47.9</v>
      </c>
      <c r="H21" s="934">
        <v>14</v>
      </c>
      <c r="I21" s="933">
        <v>211.25</v>
      </c>
      <c r="J21" s="920">
        <v>38.200000000000003</v>
      </c>
      <c r="K21" s="935">
        <v>15.04</v>
      </c>
      <c r="L21" s="934">
        <v>14</v>
      </c>
      <c r="M21" s="934">
        <v>123</v>
      </c>
      <c r="N21" s="936">
        <v>41</v>
      </c>
      <c r="O21" s="934" t="s">
        <v>2635</v>
      </c>
      <c r="P21" s="937" t="s">
        <v>2642</v>
      </c>
      <c r="Q21" s="938">
        <f t="shared" si="0"/>
        <v>-14</v>
      </c>
      <c r="R21" s="977">
        <f t="shared" si="0"/>
        <v>-210.86</v>
      </c>
      <c r="S21" s="938">
        <f t="shared" si="1"/>
        <v>-10</v>
      </c>
      <c r="T21" s="977">
        <f t="shared" si="2"/>
        <v>-151.94</v>
      </c>
      <c r="U21" s="984">
        <v>574</v>
      </c>
      <c r="V21" s="939">
        <v>534.80000000000007</v>
      </c>
      <c r="W21" s="939">
        <v>-39.199999999999932</v>
      </c>
      <c r="X21" s="982">
        <v>0.93170731707317089</v>
      </c>
      <c r="Y21" s="980">
        <v>36</v>
      </c>
    </row>
    <row r="22" spans="1:25" ht="14.45" customHeight="1" x14ac:dyDescent="0.2">
      <c r="A22" s="943" t="s">
        <v>2644</v>
      </c>
      <c r="B22" s="924"/>
      <c r="C22" s="925"/>
      <c r="D22" s="926"/>
      <c r="E22" s="927"/>
      <c r="F22" s="907"/>
      <c r="G22" s="908"/>
      <c r="H22" s="909">
        <v>1</v>
      </c>
      <c r="I22" s="910">
        <v>16.670000000000002</v>
      </c>
      <c r="J22" s="911">
        <v>17</v>
      </c>
      <c r="K22" s="912">
        <v>16.670000000000002</v>
      </c>
      <c r="L22" s="913">
        <v>14</v>
      </c>
      <c r="M22" s="913">
        <v>126</v>
      </c>
      <c r="N22" s="914">
        <v>42</v>
      </c>
      <c r="O22" s="913" t="s">
        <v>2635</v>
      </c>
      <c r="P22" s="928" t="s">
        <v>2645</v>
      </c>
      <c r="Q22" s="915">
        <f t="shared" si="0"/>
        <v>1</v>
      </c>
      <c r="R22" s="976">
        <f t="shared" si="0"/>
        <v>16.670000000000002</v>
      </c>
      <c r="S22" s="915">
        <f t="shared" si="1"/>
        <v>1</v>
      </c>
      <c r="T22" s="976">
        <f t="shared" si="2"/>
        <v>16.670000000000002</v>
      </c>
      <c r="U22" s="983">
        <v>42</v>
      </c>
      <c r="V22" s="924">
        <v>17</v>
      </c>
      <c r="W22" s="924">
        <v>-25</v>
      </c>
      <c r="X22" s="981">
        <v>0.40476190476190477</v>
      </c>
      <c r="Y22" s="979"/>
    </row>
    <row r="23" spans="1:25" ht="14.45" customHeight="1" x14ac:dyDescent="0.2">
      <c r="A23" s="944" t="s">
        <v>2646</v>
      </c>
      <c r="B23" s="939"/>
      <c r="C23" s="940"/>
      <c r="D23" s="929"/>
      <c r="E23" s="932">
        <v>1</v>
      </c>
      <c r="F23" s="933">
        <v>16.670000000000002</v>
      </c>
      <c r="G23" s="920">
        <v>37</v>
      </c>
      <c r="H23" s="941"/>
      <c r="I23" s="942"/>
      <c r="J23" s="921"/>
      <c r="K23" s="935">
        <v>16.670000000000002</v>
      </c>
      <c r="L23" s="934">
        <v>14</v>
      </c>
      <c r="M23" s="934">
        <v>126</v>
      </c>
      <c r="N23" s="936">
        <v>42</v>
      </c>
      <c r="O23" s="934" t="s">
        <v>2635</v>
      </c>
      <c r="P23" s="937" t="s">
        <v>2645</v>
      </c>
      <c r="Q23" s="938">
        <f t="shared" si="0"/>
        <v>0</v>
      </c>
      <c r="R23" s="977">
        <f t="shared" si="0"/>
        <v>0</v>
      </c>
      <c r="S23" s="938">
        <f t="shared" si="1"/>
        <v>-1</v>
      </c>
      <c r="T23" s="977">
        <f t="shared" si="2"/>
        <v>-16.670000000000002</v>
      </c>
      <c r="U23" s="984" t="s">
        <v>572</v>
      </c>
      <c r="V23" s="939" t="s">
        <v>572</v>
      </c>
      <c r="W23" s="939" t="s">
        <v>572</v>
      </c>
      <c r="X23" s="982" t="s">
        <v>572</v>
      </c>
      <c r="Y23" s="980"/>
    </row>
    <row r="24" spans="1:25" ht="14.45" customHeight="1" x14ac:dyDescent="0.2">
      <c r="A24" s="943" t="s">
        <v>2647</v>
      </c>
      <c r="B24" s="916">
        <v>15</v>
      </c>
      <c r="C24" s="917">
        <v>45.33</v>
      </c>
      <c r="D24" s="918">
        <v>11</v>
      </c>
      <c r="E24" s="927">
        <v>9</v>
      </c>
      <c r="F24" s="907">
        <v>26.95</v>
      </c>
      <c r="G24" s="908">
        <v>14.1</v>
      </c>
      <c r="H24" s="913">
        <v>6</v>
      </c>
      <c r="I24" s="907">
        <v>18.38</v>
      </c>
      <c r="J24" s="908">
        <v>11.2</v>
      </c>
      <c r="K24" s="912">
        <v>3.06</v>
      </c>
      <c r="L24" s="913">
        <v>5</v>
      </c>
      <c r="M24" s="913">
        <v>48</v>
      </c>
      <c r="N24" s="914">
        <v>16</v>
      </c>
      <c r="O24" s="913" t="s">
        <v>2635</v>
      </c>
      <c r="P24" s="928" t="s">
        <v>2648</v>
      </c>
      <c r="Q24" s="915">
        <f t="shared" si="0"/>
        <v>-9</v>
      </c>
      <c r="R24" s="976">
        <f t="shared" si="0"/>
        <v>-26.95</v>
      </c>
      <c r="S24" s="915">
        <f t="shared" si="1"/>
        <v>-3</v>
      </c>
      <c r="T24" s="976">
        <f t="shared" si="2"/>
        <v>-8.57</v>
      </c>
      <c r="U24" s="983">
        <v>96</v>
      </c>
      <c r="V24" s="924">
        <v>67.199999999999989</v>
      </c>
      <c r="W24" s="924">
        <v>-28.800000000000011</v>
      </c>
      <c r="X24" s="981">
        <v>0.69999999999999984</v>
      </c>
      <c r="Y24" s="979"/>
    </row>
    <row r="25" spans="1:25" ht="14.45" customHeight="1" x14ac:dyDescent="0.2">
      <c r="A25" s="944" t="s">
        <v>2649</v>
      </c>
      <c r="B25" s="930">
        <v>20</v>
      </c>
      <c r="C25" s="931">
        <v>87.61</v>
      </c>
      <c r="D25" s="919">
        <v>16.5</v>
      </c>
      <c r="E25" s="932">
        <v>21</v>
      </c>
      <c r="F25" s="933">
        <v>92.05</v>
      </c>
      <c r="G25" s="920">
        <v>14.1</v>
      </c>
      <c r="H25" s="934">
        <v>22</v>
      </c>
      <c r="I25" s="933">
        <v>97.77</v>
      </c>
      <c r="J25" s="920">
        <v>15.5</v>
      </c>
      <c r="K25" s="935">
        <v>4.4400000000000004</v>
      </c>
      <c r="L25" s="934">
        <v>7</v>
      </c>
      <c r="M25" s="934">
        <v>60</v>
      </c>
      <c r="N25" s="936">
        <v>20</v>
      </c>
      <c r="O25" s="934" t="s">
        <v>2635</v>
      </c>
      <c r="P25" s="937" t="s">
        <v>2648</v>
      </c>
      <c r="Q25" s="938">
        <f t="shared" si="0"/>
        <v>2</v>
      </c>
      <c r="R25" s="977">
        <f t="shared" si="0"/>
        <v>10.159999999999997</v>
      </c>
      <c r="S25" s="938">
        <f t="shared" si="1"/>
        <v>1</v>
      </c>
      <c r="T25" s="977">
        <f t="shared" si="2"/>
        <v>5.7199999999999989</v>
      </c>
      <c r="U25" s="984">
        <v>440</v>
      </c>
      <c r="V25" s="939">
        <v>341</v>
      </c>
      <c r="W25" s="939">
        <v>-99</v>
      </c>
      <c r="X25" s="982">
        <v>0.77500000000000002</v>
      </c>
      <c r="Y25" s="980">
        <v>28</v>
      </c>
    </row>
    <row r="26" spans="1:25" ht="14.45" customHeight="1" x14ac:dyDescent="0.2">
      <c r="A26" s="944" t="s">
        <v>2650</v>
      </c>
      <c r="B26" s="930">
        <v>24</v>
      </c>
      <c r="C26" s="931">
        <v>189.15</v>
      </c>
      <c r="D26" s="919">
        <v>29.3</v>
      </c>
      <c r="E26" s="932">
        <v>21</v>
      </c>
      <c r="F26" s="933">
        <v>162.81</v>
      </c>
      <c r="G26" s="920">
        <v>24.7</v>
      </c>
      <c r="H26" s="934">
        <v>15</v>
      </c>
      <c r="I26" s="933">
        <v>115.9</v>
      </c>
      <c r="J26" s="923">
        <v>28.6</v>
      </c>
      <c r="K26" s="935">
        <v>7.64</v>
      </c>
      <c r="L26" s="934">
        <v>9</v>
      </c>
      <c r="M26" s="934">
        <v>81</v>
      </c>
      <c r="N26" s="936">
        <v>27</v>
      </c>
      <c r="O26" s="934" t="s">
        <v>2635</v>
      </c>
      <c r="P26" s="937" t="s">
        <v>2648</v>
      </c>
      <c r="Q26" s="938">
        <f t="shared" si="0"/>
        <v>-9</v>
      </c>
      <c r="R26" s="977">
        <f t="shared" si="0"/>
        <v>-73.25</v>
      </c>
      <c r="S26" s="938">
        <f t="shared" si="1"/>
        <v>-6</v>
      </c>
      <c r="T26" s="977">
        <f t="shared" si="2"/>
        <v>-46.91</v>
      </c>
      <c r="U26" s="984">
        <v>405</v>
      </c>
      <c r="V26" s="939">
        <v>429</v>
      </c>
      <c r="W26" s="939">
        <v>24</v>
      </c>
      <c r="X26" s="982">
        <v>1.0592592592592593</v>
      </c>
      <c r="Y26" s="980">
        <v>88</v>
      </c>
    </row>
    <row r="27" spans="1:25" ht="14.45" customHeight="1" x14ac:dyDescent="0.2">
      <c r="A27" s="943" t="s">
        <v>2651</v>
      </c>
      <c r="B27" s="924"/>
      <c r="C27" s="925"/>
      <c r="D27" s="926"/>
      <c r="E27" s="909">
        <v>1</v>
      </c>
      <c r="F27" s="910">
        <v>51.23</v>
      </c>
      <c r="G27" s="911">
        <v>118</v>
      </c>
      <c r="H27" s="913"/>
      <c r="I27" s="907"/>
      <c r="J27" s="908"/>
      <c r="K27" s="912">
        <v>13.54</v>
      </c>
      <c r="L27" s="913">
        <v>5</v>
      </c>
      <c r="M27" s="913">
        <v>45</v>
      </c>
      <c r="N27" s="914">
        <v>15</v>
      </c>
      <c r="O27" s="913" t="s">
        <v>2635</v>
      </c>
      <c r="P27" s="928" t="s">
        <v>2652</v>
      </c>
      <c r="Q27" s="915">
        <f t="shared" si="0"/>
        <v>0</v>
      </c>
      <c r="R27" s="976">
        <f t="shared" si="0"/>
        <v>0</v>
      </c>
      <c r="S27" s="915">
        <f t="shared" si="1"/>
        <v>-1</v>
      </c>
      <c r="T27" s="976">
        <f t="shared" si="2"/>
        <v>-51.23</v>
      </c>
      <c r="U27" s="983" t="s">
        <v>572</v>
      </c>
      <c r="V27" s="924" t="s">
        <v>572</v>
      </c>
      <c r="W27" s="924" t="s">
        <v>572</v>
      </c>
      <c r="X27" s="981" t="s">
        <v>572</v>
      </c>
      <c r="Y27" s="979"/>
    </row>
    <row r="28" spans="1:25" ht="14.45" customHeight="1" x14ac:dyDescent="0.2">
      <c r="A28" s="944" t="s">
        <v>2653</v>
      </c>
      <c r="B28" s="939"/>
      <c r="C28" s="940"/>
      <c r="D28" s="929"/>
      <c r="E28" s="941">
        <v>2</v>
      </c>
      <c r="F28" s="942">
        <v>33.299999999999997</v>
      </c>
      <c r="G28" s="921">
        <v>57.5</v>
      </c>
      <c r="H28" s="934"/>
      <c r="I28" s="933"/>
      <c r="J28" s="920"/>
      <c r="K28" s="935">
        <v>15.64</v>
      </c>
      <c r="L28" s="934">
        <v>16</v>
      </c>
      <c r="M28" s="934">
        <v>141</v>
      </c>
      <c r="N28" s="936">
        <v>47</v>
      </c>
      <c r="O28" s="934" t="s">
        <v>2635</v>
      </c>
      <c r="P28" s="937" t="s">
        <v>2652</v>
      </c>
      <c r="Q28" s="938">
        <f t="shared" si="0"/>
        <v>0</v>
      </c>
      <c r="R28" s="977">
        <f t="shared" si="0"/>
        <v>0</v>
      </c>
      <c r="S28" s="938">
        <f t="shared" si="1"/>
        <v>-2</v>
      </c>
      <c r="T28" s="977">
        <f t="shared" si="2"/>
        <v>-33.299999999999997</v>
      </c>
      <c r="U28" s="984" t="s">
        <v>572</v>
      </c>
      <c r="V28" s="939" t="s">
        <v>572</v>
      </c>
      <c r="W28" s="939" t="s">
        <v>572</v>
      </c>
      <c r="X28" s="982" t="s">
        <v>572</v>
      </c>
      <c r="Y28" s="980"/>
    </row>
    <row r="29" spans="1:25" ht="14.45" customHeight="1" x14ac:dyDescent="0.2">
      <c r="A29" s="943" t="s">
        <v>2654</v>
      </c>
      <c r="B29" s="916">
        <v>40</v>
      </c>
      <c r="C29" s="917">
        <v>23.14</v>
      </c>
      <c r="D29" s="918">
        <v>5.8</v>
      </c>
      <c r="E29" s="927">
        <v>25</v>
      </c>
      <c r="F29" s="907">
        <v>14.46</v>
      </c>
      <c r="G29" s="908">
        <v>4.7</v>
      </c>
      <c r="H29" s="913">
        <v>22</v>
      </c>
      <c r="I29" s="907">
        <v>12.73</v>
      </c>
      <c r="J29" s="908">
        <v>5.7</v>
      </c>
      <c r="K29" s="912">
        <v>0.57999999999999996</v>
      </c>
      <c r="L29" s="913">
        <v>2</v>
      </c>
      <c r="M29" s="913">
        <v>21</v>
      </c>
      <c r="N29" s="914">
        <v>7</v>
      </c>
      <c r="O29" s="913" t="s">
        <v>2635</v>
      </c>
      <c r="P29" s="928" t="s">
        <v>2655</v>
      </c>
      <c r="Q29" s="915">
        <f t="shared" si="0"/>
        <v>-18</v>
      </c>
      <c r="R29" s="976">
        <f t="shared" si="0"/>
        <v>-10.41</v>
      </c>
      <c r="S29" s="915">
        <f t="shared" si="1"/>
        <v>-3</v>
      </c>
      <c r="T29" s="976">
        <f t="shared" si="2"/>
        <v>-1.7300000000000004</v>
      </c>
      <c r="U29" s="983">
        <v>154</v>
      </c>
      <c r="V29" s="924">
        <v>125.4</v>
      </c>
      <c r="W29" s="924">
        <v>-28.599999999999994</v>
      </c>
      <c r="X29" s="981">
        <v>0.81428571428571428</v>
      </c>
      <c r="Y29" s="979">
        <v>5</v>
      </c>
    </row>
    <row r="30" spans="1:25" ht="14.45" customHeight="1" x14ac:dyDescent="0.2">
      <c r="A30" s="944" t="s">
        <v>2656</v>
      </c>
      <c r="B30" s="930">
        <v>45</v>
      </c>
      <c r="C30" s="931">
        <v>69.290000000000006</v>
      </c>
      <c r="D30" s="919">
        <v>12.3</v>
      </c>
      <c r="E30" s="932">
        <v>33</v>
      </c>
      <c r="F30" s="933">
        <v>50.4</v>
      </c>
      <c r="G30" s="920">
        <v>9</v>
      </c>
      <c r="H30" s="934">
        <v>24</v>
      </c>
      <c r="I30" s="933">
        <v>36.630000000000003</v>
      </c>
      <c r="J30" s="920">
        <v>11</v>
      </c>
      <c r="K30" s="935">
        <v>1.52</v>
      </c>
      <c r="L30" s="934">
        <v>4</v>
      </c>
      <c r="M30" s="934">
        <v>33</v>
      </c>
      <c r="N30" s="936">
        <v>11</v>
      </c>
      <c r="O30" s="934" t="s">
        <v>2635</v>
      </c>
      <c r="P30" s="937" t="s">
        <v>2655</v>
      </c>
      <c r="Q30" s="938">
        <f t="shared" si="0"/>
        <v>-21</v>
      </c>
      <c r="R30" s="977">
        <f t="shared" si="0"/>
        <v>-32.660000000000004</v>
      </c>
      <c r="S30" s="938">
        <f t="shared" si="1"/>
        <v>-9</v>
      </c>
      <c r="T30" s="977">
        <f t="shared" si="2"/>
        <v>-13.769999999999996</v>
      </c>
      <c r="U30" s="984">
        <v>264</v>
      </c>
      <c r="V30" s="939">
        <v>264</v>
      </c>
      <c r="W30" s="939">
        <v>0</v>
      </c>
      <c r="X30" s="982">
        <v>1</v>
      </c>
      <c r="Y30" s="980">
        <v>48</v>
      </c>
    </row>
    <row r="31" spans="1:25" ht="14.45" customHeight="1" x14ac:dyDescent="0.2">
      <c r="A31" s="944" t="s">
        <v>2657</v>
      </c>
      <c r="B31" s="930">
        <v>17</v>
      </c>
      <c r="C31" s="931">
        <v>68.52</v>
      </c>
      <c r="D31" s="919">
        <v>21.2</v>
      </c>
      <c r="E31" s="932">
        <v>12</v>
      </c>
      <c r="F31" s="933">
        <v>45.77</v>
      </c>
      <c r="G31" s="920">
        <v>15.7</v>
      </c>
      <c r="H31" s="934">
        <v>6</v>
      </c>
      <c r="I31" s="933">
        <v>22.67</v>
      </c>
      <c r="J31" s="920">
        <v>14</v>
      </c>
      <c r="K31" s="935">
        <v>3.78</v>
      </c>
      <c r="L31" s="934">
        <v>6</v>
      </c>
      <c r="M31" s="934">
        <v>51</v>
      </c>
      <c r="N31" s="936">
        <v>17</v>
      </c>
      <c r="O31" s="934" t="s">
        <v>2635</v>
      </c>
      <c r="P31" s="937" t="s">
        <v>2655</v>
      </c>
      <c r="Q31" s="938">
        <f t="shared" si="0"/>
        <v>-11</v>
      </c>
      <c r="R31" s="977">
        <f t="shared" si="0"/>
        <v>-45.849999999999994</v>
      </c>
      <c r="S31" s="938">
        <f t="shared" si="1"/>
        <v>-6</v>
      </c>
      <c r="T31" s="977">
        <f t="shared" si="2"/>
        <v>-23.1</v>
      </c>
      <c r="U31" s="984">
        <v>102</v>
      </c>
      <c r="V31" s="939">
        <v>84</v>
      </c>
      <c r="W31" s="939">
        <v>-18</v>
      </c>
      <c r="X31" s="982">
        <v>0.82352941176470584</v>
      </c>
      <c r="Y31" s="980">
        <v>3</v>
      </c>
    </row>
    <row r="32" spans="1:25" ht="14.45" customHeight="1" x14ac:dyDescent="0.2">
      <c r="A32" s="943" t="s">
        <v>2658</v>
      </c>
      <c r="B32" s="916"/>
      <c r="C32" s="917"/>
      <c r="D32" s="918"/>
      <c r="E32" s="927"/>
      <c r="F32" s="907"/>
      <c r="G32" s="908"/>
      <c r="H32" s="913">
        <v>1</v>
      </c>
      <c r="I32" s="907">
        <v>3.93</v>
      </c>
      <c r="J32" s="922">
        <v>12</v>
      </c>
      <c r="K32" s="912">
        <v>3.93</v>
      </c>
      <c r="L32" s="913">
        <v>3</v>
      </c>
      <c r="M32" s="913">
        <v>30</v>
      </c>
      <c r="N32" s="914">
        <v>10</v>
      </c>
      <c r="O32" s="913" t="s">
        <v>2635</v>
      </c>
      <c r="P32" s="928" t="s">
        <v>2659</v>
      </c>
      <c r="Q32" s="915">
        <f t="shared" si="0"/>
        <v>1</v>
      </c>
      <c r="R32" s="976">
        <f t="shared" si="0"/>
        <v>3.93</v>
      </c>
      <c r="S32" s="915">
        <f t="shared" si="1"/>
        <v>1</v>
      </c>
      <c r="T32" s="976">
        <f t="shared" si="2"/>
        <v>3.93</v>
      </c>
      <c r="U32" s="983">
        <v>10</v>
      </c>
      <c r="V32" s="924">
        <v>12</v>
      </c>
      <c r="W32" s="924">
        <v>2</v>
      </c>
      <c r="X32" s="981">
        <v>1.2</v>
      </c>
      <c r="Y32" s="979">
        <v>2</v>
      </c>
    </row>
    <row r="33" spans="1:25" ht="14.45" customHeight="1" x14ac:dyDescent="0.2">
      <c r="A33" s="944" t="s">
        <v>2660</v>
      </c>
      <c r="B33" s="930">
        <v>3</v>
      </c>
      <c r="C33" s="931">
        <v>26.21</v>
      </c>
      <c r="D33" s="919">
        <v>43.7</v>
      </c>
      <c r="E33" s="932"/>
      <c r="F33" s="933"/>
      <c r="G33" s="920"/>
      <c r="H33" s="934"/>
      <c r="I33" s="933"/>
      <c r="J33" s="920"/>
      <c r="K33" s="935">
        <v>5.24</v>
      </c>
      <c r="L33" s="934">
        <v>5</v>
      </c>
      <c r="M33" s="934">
        <v>45</v>
      </c>
      <c r="N33" s="936">
        <v>15</v>
      </c>
      <c r="O33" s="934" t="s">
        <v>2635</v>
      </c>
      <c r="P33" s="937" t="s">
        <v>2661</v>
      </c>
      <c r="Q33" s="938">
        <f t="shared" si="0"/>
        <v>-3</v>
      </c>
      <c r="R33" s="977">
        <f t="shared" si="0"/>
        <v>-26.21</v>
      </c>
      <c r="S33" s="938">
        <f t="shared" si="1"/>
        <v>0</v>
      </c>
      <c r="T33" s="977">
        <f t="shared" si="2"/>
        <v>0</v>
      </c>
      <c r="U33" s="984" t="s">
        <v>572</v>
      </c>
      <c r="V33" s="939" t="s">
        <v>572</v>
      </c>
      <c r="W33" s="939" t="s">
        <v>572</v>
      </c>
      <c r="X33" s="982" t="s">
        <v>572</v>
      </c>
      <c r="Y33" s="980"/>
    </row>
    <row r="34" spans="1:25" ht="14.45" customHeight="1" x14ac:dyDescent="0.2">
      <c r="A34" s="944" t="s">
        <v>2662</v>
      </c>
      <c r="B34" s="930">
        <v>2</v>
      </c>
      <c r="C34" s="931">
        <v>29.28</v>
      </c>
      <c r="D34" s="919">
        <v>40.5</v>
      </c>
      <c r="E34" s="932">
        <v>1</v>
      </c>
      <c r="F34" s="933">
        <v>10.59</v>
      </c>
      <c r="G34" s="920">
        <v>8</v>
      </c>
      <c r="H34" s="934"/>
      <c r="I34" s="933"/>
      <c r="J34" s="920"/>
      <c r="K34" s="935">
        <v>14.22</v>
      </c>
      <c r="L34" s="934">
        <v>11</v>
      </c>
      <c r="M34" s="934">
        <v>99</v>
      </c>
      <c r="N34" s="936">
        <v>33</v>
      </c>
      <c r="O34" s="934" t="s">
        <v>2635</v>
      </c>
      <c r="P34" s="937" t="s">
        <v>2663</v>
      </c>
      <c r="Q34" s="938">
        <f t="shared" si="0"/>
        <v>-2</v>
      </c>
      <c r="R34" s="977">
        <f t="shared" si="0"/>
        <v>-29.28</v>
      </c>
      <c r="S34" s="938">
        <f t="shared" si="1"/>
        <v>-1</v>
      </c>
      <c r="T34" s="977">
        <f t="shared" si="2"/>
        <v>-10.59</v>
      </c>
      <c r="U34" s="984" t="s">
        <v>572</v>
      </c>
      <c r="V34" s="939" t="s">
        <v>572</v>
      </c>
      <c r="W34" s="939" t="s">
        <v>572</v>
      </c>
      <c r="X34" s="982" t="s">
        <v>572</v>
      </c>
      <c r="Y34" s="980"/>
    </row>
    <row r="35" spans="1:25" ht="14.45" customHeight="1" x14ac:dyDescent="0.2">
      <c r="A35" s="943" t="s">
        <v>2664</v>
      </c>
      <c r="B35" s="924">
        <v>13</v>
      </c>
      <c r="C35" s="925">
        <v>5.21</v>
      </c>
      <c r="D35" s="926">
        <v>5.5</v>
      </c>
      <c r="E35" s="927">
        <v>7</v>
      </c>
      <c r="F35" s="907">
        <v>2.75</v>
      </c>
      <c r="G35" s="908">
        <v>6.3</v>
      </c>
      <c r="H35" s="909">
        <v>13</v>
      </c>
      <c r="I35" s="910">
        <v>5.04</v>
      </c>
      <c r="J35" s="922">
        <v>5.6</v>
      </c>
      <c r="K35" s="912">
        <v>0.39</v>
      </c>
      <c r="L35" s="913">
        <v>2</v>
      </c>
      <c r="M35" s="913">
        <v>15</v>
      </c>
      <c r="N35" s="914">
        <v>5</v>
      </c>
      <c r="O35" s="913" t="s">
        <v>2635</v>
      </c>
      <c r="P35" s="928" t="s">
        <v>2665</v>
      </c>
      <c r="Q35" s="915">
        <f t="shared" si="0"/>
        <v>0</v>
      </c>
      <c r="R35" s="976">
        <f t="shared" si="0"/>
        <v>-0.16999999999999993</v>
      </c>
      <c r="S35" s="915">
        <f t="shared" si="1"/>
        <v>6</v>
      </c>
      <c r="T35" s="976">
        <f t="shared" si="2"/>
        <v>2.29</v>
      </c>
      <c r="U35" s="983">
        <v>65</v>
      </c>
      <c r="V35" s="924">
        <v>72.8</v>
      </c>
      <c r="W35" s="924">
        <v>7.7999999999999972</v>
      </c>
      <c r="X35" s="981">
        <v>1.1199999999999999</v>
      </c>
      <c r="Y35" s="979">
        <v>11</v>
      </c>
    </row>
    <row r="36" spans="1:25" ht="14.45" customHeight="1" x14ac:dyDescent="0.2">
      <c r="A36" s="944" t="s">
        <v>2666</v>
      </c>
      <c r="B36" s="939">
        <v>6</v>
      </c>
      <c r="C36" s="940">
        <v>5.84</v>
      </c>
      <c r="D36" s="929">
        <v>10</v>
      </c>
      <c r="E36" s="932">
        <v>7</v>
      </c>
      <c r="F36" s="933">
        <v>5.89</v>
      </c>
      <c r="G36" s="920">
        <v>8.4</v>
      </c>
      <c r="H36" s="941">
        <v>9</v>
      </c>
      <c r="I36" s="942">
        <v>7.58</v>
      </c>
      <c r="J36" s="921">
        <v>6.1</v>
      </c>
      <c r="K36" s="935">
        <v>0.84</v>
      </c>
      <c r="L36" s="934">
        <v>2</v>
      </c>
      <c r="M36" s="934">
        <v>21</v>
      </c>
      <c r="N36" s="936">
        <v>7</v>
      </c>
      <c r="O36" s="934" t="s">
        <v>2635</v>
      </c>
      <c r="P36" s="937" t="s">
        <v>2665</v>
      </c>
      <c r="Q36" s="938">
        <f t="shared" si="0"/>
        <v>3</v>
      </c>
      <c r="R36" s="977">
        <f t="shared" si="0"/>
        <v>1.7400000000000002</v>
      </c>
      <c r="S36" s="938">
        <f t="shared" si="1"/>
        <v>2</v>
      </c>
      <c r="T36" s="977">
        <f t="shared" si="2"/>
        <v>1.6900000000000004</v>
      </c>
      <c r="U36" s="984">
        <v>63</v>
      </c>
      <c r="V36" s="939">
        <v>54.9</v>
      </c>
      <c r="W36" s="939">
        <v>-8.1000000000000014</v>
      </c>
      <c r="X36" s="982">
        <v>0.87142857142857144</v>
      </c>
      <c r="Y36" s="980">
        <v>10</v>
      </c>
    </row>
    <row r="37" spans="1:25" ht="14.45" customHeight="1" x14ac:dyDescent="0.2">
      <c r="A37" s="944" t="s">
        <v>2667</v>
      </c>
      <c r="B37" s="939">
        <v>2</v>
      </c>
      <c r="C37" s="940">
        <v>6.94</v>
      </c>
      <c r="D37" s="929">
        <v>13</v>
      </c>
      <c r="E37" s="932">
        <v>2</v>
      </c>
      <c r="F37" s="933">
        <v>6.94</v>
      </c>
      <c r="G37" s="920">
        <v>24.5</v>
      </c>
      <c r="H37" s="941">
        <v>2</v>
      </c>
      <c r="I37" s="942">
        <v>6.94</v>
      </c>
      <c r="J37" s="921">
        <v>12.5</v>
      </c>
      <c r="K37" s="935">
        <v>3.47</v>
      </c>
      <c r="L37" s="934">
        <v>5</v>
      </c>
      <c r="M37" s="934">
        <v>42</v>
      </c>
      <c r="N37" s="936">
        <v>14</v>
      </c>
      <c r="O37" s="934" t="s">
        <v>2635</v>
      </c>
      <c r="P37" s="937" t="s">
        <v>2665</v>
      </c>
      <c r="Q37" s="938">
        <f t="shared" si="0"/>
        <v>0</v>
      </c>
      <c r="R37" s="977">
        <f t="shared" si="0"/>
        <v>0</v>
      </c>
      <c r="S37" s="938">
        <f t="shared" si="1"/>
        <v>0</v>
      </c>
      <c r="T37" s="977">
        <f t="shared" si="2"/>
        <v>0</v>
      </c>
      <c r="U37" s="984">
        <v>28</v>
      </c>
      <c r="V37" s="939">
        <v>25</v>
      </c>
      <c r="W37" s="939">
        <v>-3</v>
      </c>
      <c r="X37" s="982">
        <v>0.8928571428571429</v>
      </c>
      <c r="Y37" s="980"/>
    </row>
    <row r="38" spans="1:25" ht="14.45" customHeight="1" x14ac:dyDescent="0.2">
      <c r="A38" s="943" t="s">
        <v>2668</v>
      </c>
      <c r="B38" s="916">
        <v>19</v>
      </c>
      <c r="C38" s="917">
        <v>139.19</v>
      </c>
      <c r="D38" s="918">
        <v>13.8</v>
      </c>
      <c r="E38" s="927">
        <v>9</v>
      </c>
      <c r="F38" s="907">
        <v>67.069999999999993</v>
      </c>
      <c r="G38" s="908">
        <v>11.7</v>
      </c>
      <c r="H38" s="913">
        <v>11</v>
      </c>
      <c r="I38" s="907">
        <v>82.34</v>
      </c>
      <c r="J38" s="922">
        <v>12.7</v>
      </c>
      <c r="K38" s="912">
        <v>7.45</v>
      </c>
      <c r="L38" s="913">
        <v>4</v>
      </c>
      <c r="M38" s="913">
        <v>36</v>
      </c>
      <c r="N38" s="914">
        <v>12</v>
      </c>
      <c r="O38" s="913" t="s">
        <v>2635</v>
      </c>
      <c r="P38" s="928" t="s">
        <v>2669</v>
      </c>
      <c r="Q38" s="915">
        <f t="shared" si="0"/>
        <v>-8</v>
      </c>
      <c r="R38" s="976">
        <f t="shared" si="0"/>
        <v>-56.849999999999994</v>
      </c>
      <c r="S38" s="915">
        <f t="shared" si="1"/>
        <v>2</v>
      </c>
      <c r="T38" s="976">
        <f t="shared" si="2"/>
        <v>15.27000000000001</v>
      </c>
      <c r="U38" s="983">
        <v>132</v>
      </c>
      <c r="V38" s="924">
        <v>139.69999999999999</v>
      </c>
      <c r="W38" s="924">
        <v>7.6999999999999886</v>
      </c>
      <c r="X38" s="981">
        <v>1.0583333333333333</v>
      </c>
      <c r="Y38" s="979">
        <v>33</v>
      </c>
    </row>
    <row r="39" spans="1:25" ht="14.45" customHeight="1" x14ac:dyDescent="0.2">
      <c r="A39" s="943" t="s">
        <v>2670</v>
      </c>
      <c r="B39" s="924">
        <v>1</v>
      </c>
      <c r="C39" s="925">
        <v>13.28</v>
      </c>
      <c r="D39" s="926">
        <v>12</v>
      </c>
      <c r="E39" s="927"/>
      <c r="F39" s="907"/>
      <c r="G39" s="908"/>
      <c r="H39" s="909">
        <v>1</v>
      </c>
      <c r="I39" s="910">
        <v>18.399999999999999</v>
      </c>
      <c r="J39" s="911">
        <v>12</v>
      </c>
      <c r="K39" s="912">
        <v>3.26</v>
      </c>
      <c r="L39" s="913">
        <v>5</v>
      </c>
      <c r="M39" s="913">
        <v>42</v>
      </c>
      <c r="N39" s="914">
        <v>14</v>
      </c>
      <c r="O39" s="913" t="s">
        <v>2635</v>
      </c>
      <c r="P39" s="928" t="s">
        <v>2671</v>
      </c>
      <c r="Q39" s="915">
        <f t="shared" si="0"/>
        <v>0</v>
      </c>
      <c r="R39" s="976">
        <f t="shared" si="0"/>
        <v>5.1199999999999992</v>
      </c>
      <c r="S39" s="915">
        <f t="shared" si="1"/>
        <v>1</v>
      </c>
      <c r="T39" s="976">
        <f t="shared" si="2"/>
        <v>18.399999999999999</v>
      </c>
      <c r="U39" s="983">
        <v>14</v>
      </c>
      <c r="V39" s="924">
        <v>12</v>
      </c>
      <c r="W39" s="924">
        <v>-2</v>
      </c>
      <c r="X39" s="981">
        <v>0.8571428571428571</v>
      </c>
      <c r="Y39" s="979"/>
    </row>
    <row r="40" spans="1:25" ht="14.45" customHeight="1" x14ac:dyDescent="0.2">
      <c r="A40" s="943" t="s">
        <v>2672</v>
      </c>
      <c r="B40" s="924">
        <v>2</v>
      </c>
      <c r="C40" s="925">
        <v>1.82</v>
      </c>
      <c r="D40" s="926">
        <v>9.5</v>
      </c>
      <c r="E40" s="909"/>
      <c r="F40" s="910"/>
      <c r="G40" s="911"/>
      <c r="H40" s="913">
        <v>2</v>
      </c>
      <c r="I40" s="907">
        <v>1.82</v>
      </c>
      <c r="J40" s="908">
        <v>8</v>
      </c>
      <c r="K40" s="912">
        <v>0.91</v>
      </c>
      <c r="L40" s="913">
        <v>3</v>
      </c>
      <c r="M40" s="913">
        <v>27</v>
      </c>
      <c r="N40" s="914">
        <v>9</v>
      </c>
      <c r="O40" s="913" t="s">
        <v>2635</v>
      </c>
      <c r="P40" s="928" t="s">
        <v>2673</v>
      </c>
      <c r="Q40" s="915">
        <f t="shared" si="0"/>
        <v>0</v>
      </c>
      <c r="R40" s="976">
        <f t="shared" si="0"/>
        <v>0</v>
      </c>
      <c r="S40" s="915">
        <f t="shared" si="1"/>
        <v>2</v>
      </c>
      <c r="T40" s="976">
        <f t="shared" si="2"/>
        <v>1.82</v>
      </c>
      <c r="U40" s="983">
        <v>18</v>
      </c>
      <c r="V40" s="924">
        <v>16</v>
      </c>
      <c r="W40" s="924">
        <v>-2</v>
      </c>
      <c r="X40" s="981">
        <v>0.88888888888888884</v>
      </c>
      <c r="Y40" s="979"/>
    </row>
    <row r="41" spans="1:25" ht="14.45" customHeight="1" x14ac:dyDescent="0.2">
      <c r="A41" s="944" t="s">
        <v>2674</v>
      </c>
      <c r="B41" s="939">
        <v>22</v>
      </c>
      <c r="C41" s="940">
        <v>21.04</v>
      </c>
      <c r="D41" s="929">
        <v>9.6</v>
      </c>
      <c r="E41" s="941">
        <v>17</v>
      </c>
      <c r="F41" s="942">
        <v>16.22</v>
      </c>
      <c r="G41" s="921">
        <v>9.5</v>
      </c>
      <c r="H41" s="934">
        <v>12</v>
      </c>
      <c r="I41" s="933">
        <v>11.45</v>
      </c>
      <c r="J41" s="920">
        <v>7.8</v>
      </c>
      <c r="K41" s="935">
        <v>0.95</v>
      </c>
      <c r="L41" s="934">
        <v>3</v>
      </c>
      <c r="M41" s="934">
        <v>27</v>
      </c>
      <c r="N41" s="936">
        <v>9</v>
      </c>
      <c r="O41" s="934" t="s">
        <v>2635</v>
      </c>
      <c r="P41" s="937" t="s">
        <v>2673</v>
      </c>
      <c r="Q41" s="938">
        <f t="shared" si="0"/>
        <v>-10</v>
      </c>
      <c r="R41" s="977">
        <f t="shared" si="0"/>
        <v>-9.59</v>
      </c>
      <c r="S41" s="938">
        <f t="shared" si="1"/>
        <v>-5</v>
      </c>
      <c r="T41" s="977">
        <f t="shared" si="2"/>
        <v>-4.7699999999999996</v>
      </c>
      <c r="U41" s="984">
        <v>108</v>
      </c>
      <c r="V41" s="939">
        <v>93.6</v>
      </c>
      <c r="W41" s="939">
        <v>-14.400000000000006</v>
      </c>
      <c r="X41" s="982">
        <v>0.86666666666666659</v>
      </c>
      <c r="Y41" s="980">
        <v>1</v>
      </c>
    </row>
    <row r="42" spans="1:25" ht="14.45" customHeight="1" x14ac:dyDescent="0.2">
      <c r="A42" s="944" t="s">
        <v>2675</v>
      </c>
      <c r="B42" s="939">
        <v>5</v>
      </c>
      <c r="C42" s="940">
        <v>14.77</v>
      </c>
      <c r="D42" s="929">
        <v>10.6</v>
      </c>
      <c r="E42" s="941">
        <v>16</v>
      </c>
      <c r="F42" s="942">
        <v>46.9</v>
      </c>
      <c r="G42" s="921">
        <v>12.3</v>
      </c>
      <c r="H42" s="934">
        <v>3</v>
      </c>
      <c r="I42" s="933">
        <v>8.7899999999999991</v>
      </c>
      <c r="J42" s="920">
        <v>9.6999999999999993</v>
      </c>
      <c r="K42" s="935">
        <v>2.93</v>
      </c>
      <c r="L42" s="934">
        <v>4</v>
      </c>
      <c r="M42" s="934">
        <v>33</v>
      </c>
      <c r="N42" s="936">
        <v>11</v>
      </c>
      <c r="O42" s="934" t="s">
        <v>2635</v>
      </c>
      <c r="P42" s="937" t="s">
        <v>2673</v>
      </c>
      <c r="Q42" s="938">
        <f t="shared" si="0"/>
        <v>-2</v>
      </c>
      <c r="R42" s="977">
        <f t="shared" si="0"/>
        <v>-5.98</v>
      </c>
      <c r="S42" s="938">
        <f t="shared" si="1"/>
        <v>-13</v>
      </c>
      <c r="T42" s="977">
        <f t="shared" si="2"/>
        <v>-38.11</v>
      </c>
      <c r="U42" s="984">
        <v>33</v>
      </c>
      <c r="V42" s="939">
        <v>29.099999999999998</v>
      </c>
      <c r="W42" s="939">
        <v>-3.9000000000000021</v>
      </c>
      <c r="X42" s="982">
        <v>0.88181818181818172</v>
      </c>
      <c r="Y42" s="980">
        <v>1</v>
      </c>
    </row>
    <row r="43" spans="1:25" ht="14.45" customHeight="1" x14ac:dyDescent="0.2">
      <c r="A43" s="943" t="s">
        <v>2676</v>
      </c>
      <c r="B43" s="916">
        <v>1517</v>
      </c>
      <c r="C43" s="917">
        <v>441.94</v>
      </c>
      <c r="D43" s="918">
        <v>4.5</v>
      </c>
      <c r="E43" s="927">
        <v>1450</v>
      </c>
      <c r="F43" s="907">
        <v>421.47</v>
      </c>
      <c r="G43" s="908">
        <v>4.4000000000000004</v>
      </c>
      <c r="H43" s="913">
        <v>1422</v>
      </c>
      <c r="I43" s="907">
        <v>413.36</v>
      </c>
      <c r="J43" s="908">
        <v>4.3</v>
      </c>
      <c r="K43" s="912">
        <v>0.28999999999999998</v>
      </c>
      <c r="L43" s="913">
        <v>2</v>
      </c>
      <c r="M43" s="913">
        <v>15</v>
      </c>
      <c r="N43" s="914">
        <v>5</v>
      </c>
      <c r="O43" s="913" t="s">
        <v>2635</v>
      </c>
      <c r="P43" s="928" t="s">
        <v>2677</v>
      </c>
      <c r="Q43" s="915">
        <f t="shared" si="0"/>
        <v>-95</v>
      </c>
      <c r="R43" s="976">
        <f t="shared" si="0"/>
        <v>-28.579999999999984</v>
      </c>
      <c r="S43" s="915">
        <f t="shared" si="1"/>
        <v>-28</v>
      </c>
      <c r="T43" s="976">
        <f t="shared" si="2"/>
        <v>-8.1100000000000136</v>
      </c>
      <c r="U43" s="983">
        <v>7110</v>
      </c>
      <c r="V43" s="924">
        <v>6114.5999999999995</v>
      </c>
      <c r="W43" s="924">
        <v>-995.40000000000055</v>
      </c>
      <c r="X43" s="981">
        <v>0.85999999999999988</v>
      </c>
      <c r="Y43" s="979">
        <v>163</v>
      </c>
    </row>
    <row r="44" spans="1:25" ht="14.45" customHeight="1" x14ac:dyDescent="0.2">
      <c r="A44" s="944" t="s">
        <v>2678</v>
      </c>
      <c r="B44" s="930">
        <v>149</v>
      </c>
      <c r="C44" s="931">
        <v>56.08</v>
      </c>
      <c r="D44" s="919">
        <v>6</v>
      </c>
      <c r="E44" s="932">
        <v>215</v>
      </c>
      <c r="F44" s="933">
        <v>81.05</v>
      </c>
      <c r="G44" s="920">
        <v>5.7</v>
      </c>
      <c r="H44" s="934">
        <v>204</v>
      </c>
      <c r="I44" s="933">
        <v>76.78</v>
      </c>
      <c r="J44" s="920">
        <v>5.2</v>
      </c>
      <c r="K44" s="935">
        <v>0.38</v>
      </c>
      <c r="L44" s="934">
        <v>2</v>
      </c>
      <c r="M44" s="934">
        <v>18</v>
      </c>
      <c r="N44" s="936">
        <v>6</v>
      </c>
      <c r="O44" s="934" t="s">
        <v>2635</v>
      </c>
      <c r="P44" s="937" t="s">
        <v>2679</v>
      </c>
      <c r="Q44" s="938">
        <f t="shared" si="0"/>
        <v>55</v>
      </c>
      <c r="R44" s="977">
        <f t="shared" si="0"/>
        <v>20.700000000000003</v>
      </c>
      <c r="S44" s="938">
        <f t="shared" si="1"/>
        <v>-11</v>
      </c>
      <c r="T44" s="977">
        <f t="shared" si="2"/>
        <v>-4.269999999999996</v>
      </c>
      <c r="U44" s="984">
        <v>1224</v>
      </c>
      <c r="V44" s="939">
        <v>1060.8</v>
      </c>
      <c r="W44" s="939">
        <v>-163.20000000000005</v>
      </c>
      <c r="X44" s="982">
        <v>0.86666666666666659</v>
      </c>
      <c r="Y44" s="980">
        <v>62</v>
      </c>
    </row>
    <row r="45" spans="1:25" ht="14.45" customHeight="1" x14ac:dyDescent="0.2">
      <c r="A45" s="944" t="s">
        <v>2680</v>
      </c>
      <c r="B45" s="930">
        <v>18</v>
      </c>
      <c r="C45" s="931">
        <v>11.07</v>
      </c>
      <c r="D45" s="919">
        <v>7.3</v>
      </c>
      <c r="E45" s="932">
        <v>16</v>
      </c>
      <c r="F45" s="933">
        <v>11.02</v>
      </c>
      <c r="G45" s="920">
        <v>8.6999999999999993</v>
      </c>
      <c r="H45" s="934">
        <v>18</v>
      </c>
      <c r="I45" s="933">
        <v>10.78</v>
      </c>
      <c r="J45" s="920">
        <v>5.9</v>
      </c>
      <c r="K45" s="935">
        <v>0.59</v>
      </c>
      <c r="L45" s="934">
        <v>2</v>
      </c>
      <c r="M45" s="934">
        <v>18</v>
      </c>
      <c r="N45" s="936">
        <v>6</v>
      </c>
      <c r="O45" s="934" t="s">
        <v>2635</v>
      </c>
      <c r="P45" s="937" t="s">
        <v>2679</v>
      </c>
      <c r="Q45" s="938">
        <f t="shared" si="0"/>
        <v>0</v>
      </c>
      <c r="R45" s="977">
        <f t="shared" si="0"/>
        <v>-0.29000000000000092</v>
      </c>
      <c r="S45" s="938">
        <f t="shared" si="1"/>
        <v>2</v>
      </c>
      <c r="T45" s="977">
        <f t="shared" si="2"/>
        <v>-0.24000000000000021</v>
      </c>
      <c r="U45" s="984">
        <v>108</v>
      </c>
      <c r="V45" s="939">
        <v>106.2</v>
      </c>
      <c r="W45" s="939">
        <v>-1.7999999999999972</v>
      </c>
      <c r="X45" s="982">
        <v>0.98333333333333339</v>
      </c>
      <c r="Y45" s="980">
        <v>13</v>
      </c>
    </row>
    <row r="46" spans="1:25" ht="14.45" customHeight="1" x14ac:dyDescent="0.2">
      <c r="A46" s="943" t="s">
        <v>2681</v>
      </c>
      <c r="B46" s="924"/>
      <c r="C46" s="925"/>
      <c r="D46" s="926"/>
      <c r="E46" s="909">
        <v>1</v>
      </c>
      <c r="F46" s="910">
        <v>0.56000000000000005</v>
      </c>
      <c r="G46" s="911">
        <v>2</v>
      </c>
      <c r="H46" s="913"/>
      <c r="I46" s="907"/>
      <c r="J46" s="908"/>
      <c r="K46" s="912">
        <v>0.56000000000000005</v>
      </c>
      <c r="L46" s="913">
        <v>2</v>
      </c>
      <c r="M46" s="913">
        <v>15</v>
      </c>
      <c r="N46" s="914">
        <v>5</v>
      </c>
      <c r="O46" s="913" t="s">
        <v>2612</v>
      </c>
      <c r="P46" s="928" t="s">
        <v>2682</v>
      </c>
      <c r="Q46" s="915">
        <f t="shared" si="0"/>
        <v>0</v>
      </c>
      <c r="R46" s="976">
        <f t="shared" si="0"/>
        <v>0</v>
      </c>
      <c r="S46" s="915">
        <f t="shared" si="1"/>
        <v>-1</v>
      </c>
      <c r="T46" s="976">
        <f t="shared" si="2"/>
        <v>-0.56000000000000005</v>
      </c>
      <c r="U46" s="983" t="s">
        <v>572</v>
      </c>
      <c r="V46" s="924" t="s">
        <v>572</v>
      </c>
      <c r="W46" s="924" t="s">
        <v>572</v>
      </c>
      <c r="X46" s="981" t="s">
        <v>572</v>
      </c>
      <c r="Y46" s="979"/>
    </row>
    <row r="47" spans="1:25" ht="14.45" customHeight="1" x14ac:dyDescent="0.2">
      <c r="A47" s="943" t="s">
        <v>2683</v>
      </c>
      <c r="B47" s="916">
        <v>20</v>
      </c>
      <c r="C47" s="917">
        <v>5.38</v>
      </c>
      <c r="D47" s="918">
        <v>2.9</v>
      </c>
      <c r="E47" s="927">
        <v>14</v>
      </c>
      <c r="F47" s="907">
        <v>3.6</v>
      </c>
      <c r="G47" s="908">
        <v>2.6</v>
      </c>
      <c r="H47" s="913">
        <v>12</v>
      </c>
      <c r="I47" s="907">
        <v>3.38</v>
      </c>
      <c r="J47" s="922">
        <v>3.9</v>
      </c>
      <c r="K47" s="912">
        <v>0.26</v>
      </c>
      <c r="L47" s="913">
        <v>1</v>
      </c>
      <c r="M47" s="913">
        <v>9</v>
      </c>
      <c r="N47" s="914">
        <v>3</v>
      </c>
      <c r="O47" s="913" t="s">
        <v>2612</v>
      </c>
      <c r="P47" s="928" t="s">
        <v>2684</v>
      </c>
      <c r="Q47" s="915">
        <f t="shared" si="0"/>
        <v>-8</v>
      </c>
      <c r="R47" s="976">
        <f t="shared" si="0"/>
        <v>-2</v>
      </c>
      <c r="S47" s="915">
        <f t="shared" si="1"/>
        <v>-2</v>
      </c>
      <c r="T47" s="976">
        <f t="shared" si="2"/>
        <v>-0.2200000000000002</v>
      </c>
      <c r="U47" s="983">
        <v>36</v>
      </c>
      <c r="V47" s="924">
        <v>46.8</v>
      </c>
      <c r="W47" s="924">
        <v>10.799999999999997</v>
      </c>
      <c r="X47" s="981">
        <v>1.2999999999999998</v>
      </c>
      <c r="Y47" s="979">
        <v>19</v>
      </c>
    </row>
    <row r="48" spans="1:25" ht="14.45" customHeight="1" x14ac:dyDescent="0.2">
      <c r="A48" s="943" t="s">
        <v>2685</v>
      </c>
      <c r="B48" s="924">
        <v>1</v>
      </c>
      <c r="C48" s="925">
        <v>0.11</v>
      </c>
      <c r="D48" s="926">
        <v>4</v>
      </c>
      <c r="E48" s="909">
        <v>1</v>
      </c>
      <c r="F48" s="910">
        <v>0.11</v>
      </c>
      <c r="G48" s="911">
        <v>6</v>
      </c>
      <c r="H48" s="913"/>
      <c r="I48" s="907"/>
      <c r="J48" s="908"/>
      <c r="K48" s="912">
        <v>0.11</v>
      </c>
      <c r="L48" s="913">
        <v>2</v>
      </c>
      <c r="M48" s="913">
        <v>15</v>
      </c>
      <c r="N48" s="914">
        <v>5</v>
      </c>
      <c r="O48" s="913" t="s">
        <v>2612</v>
      </c>
      <c r="P48" s="928" t="s">
        <v>2686</v>
      </c>
      <c r="Q48" s="915">
        <f t="shared" si="0"/>
        <v>-1</v>
      </c>
      <c r="R48" s="976">
        <f t="shared" si="0"/>
        <v>-0.11</v>
      </c>
      <c r="S48" s="915">
        <f t="shared" si="1"/>
        <v>-1</v>
      </c>
      <c r="T48" s="976">
        <f t="shared" si="2"/>
        <v>-0.11</v>
      </c>
      <c r="U48" s="983" t="s">
        <v>572</v>
      </c>
      <c r="V48" s="924" t="s">
        <v>572</v>
      </c>
      <c r="W48" s="924" t="s">
        <v>572</v>
      </c>
      <c r="X48" s="981" t="s">
        <v>572</v>
      </c>
      <c r="Y48" s="979"/>
    </row>
    <row r="49" spans="1:25" ht="14.45" customHeight="1" thickBot="1" x14ac:dyDescent="0.25">
      <c r="A49" s="960" t="s">
        <v>2687</v>
      </c>
      <c r="B49" s="961">
        <v>1</v>
      </c>
      <c r="C49" s="962">
        <v>0.11</v>
      </c>
      <c r="D49" s="963">
        <v>4</v>
      </c>
      <c r="E49" s="964"/>
      <c r="F49" s="965"/>
      <c r="G49" s="966"/>
      <c r="H49" s="967">
        <v>1</v>
      </c>
      <c r="I49" s="968">
        <v>0.11</v>
      </c>
      <c r="J49" s="969">
        <v>7</v>
      </c>
      <c r="K49" s="970">
        <v>0.11</v>
      </c>
      <c r="L49" s="971">
        <v>2</v>
      </c>
      <c r="M49" s="971">
        <v>15</v>
      </c>
      <c r="N49" s="972">
        <v>5</v>
      </c>
      <c r="O49" s="971" t="s">
        <v>2612</v>
      </c>
      <c r="P49" s="973" t="s">
        <v>2688</v>
      </c>
      <c r="Q49" s="974">
        <f t="shared" si="0"/>
        <v>0</v>
      </c>
      <c r="R49" s="978">
        <f t="shared" si="0"/>
        <v>0</v>
      </c>
      <c r="S49" s="974">
        <f t="shared" si="1"/>
        <v>1</v>
      </c>
      <c r="T49" s="978">
        <f t="shared" si="2"/>
        <v>0.11</v>
      </c>
      <c r="U49" s="988">
        <v>5</v>
      </c>
      <c r="V49" s="961">
        <v>7</v>
      </c>
      <c r="W49" s="961">
        <v>2</v>
      </c>
      <c r="X49" s="989">
        <v>1.4</v>
      </c>
      <c r="Y49" s="990">
        <v>2</v>
      </c>
    </row>
  </sheetData>
  <autoFilter ref="A4:Y4" xr:uid="{00000000-0009-0000-0000-00002C000000}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50:Q1048576">
    <cfRule type="cellIs" dxfId="14" priority="11" stopIfTrue="1" operator="lessThan">
      <formula>0</formula>
    </cfRule>
  </conditionalFormatting>
  <conditionalFormatting sqref="W50:W1048576">
    <cfRule type="cellIs" dxfId="13" priority="10" stopIfTrue="1" operator="greaterThan">
      <formula>0</formula>
    </cfRule>
  </conditionalFormatting>
  <conditionalFormatting sqref="X50:X1048576">
    <cfRule type="cellIs" dxfId="12" priority="9" stopIfTrue="1" operator="greaterThan">
      <formula>1</formula>
    </cfRule>
  </conditionalFormatting>
  <conditionalFormatting sqref="X50:X1048576">
    <cfRule type="cellIs" dxfId="11" priority="6" stopIfTrue="1" operator="greaterThan">
      <formula>1</formula>
    </cfRule>
  </conditionalFormatting>
  <conditionalFormatting sqref="W50:W1048576">
    <cfRule type="cellIs" dxfId="10" priority="7" stopIfTrue="1" operator="greaterThan">
      <formula>0</formula>
    </cfRule>
  </conditionalFormatting>
  <conditionalFormatting sqref="Q50:Q1048576">
    <cfRule type="cellIs" dxfId="9" priority="8" stopIfTrue="1" operator="lessThan">
      <formula>0</formula>
    </cfRule>
  </conditionalFormatting>
  <conditionalFormatting sqref="T5:T1048576">
    <cfRule type="cellIs" dxfId="8" priority="5" operator="lessThan">
      <formula>0</formula>
    </cfRule>
  </conditionalFormatting>
  <conditionalFormatting sqref="Q5:Q49">
    <cfRule type="cellIs" dxfId="7" priority="4" stopIfTrue="1" operator="lessThan">
      <formula>0</formula>
    </cfRule>
  </conditionalFormatting>
  <conditionalFormatting sqref="X5:X49">
    <cfRule type="cellIs" dxfId="6" priority="2" stopIfTrue="1" operator="greaterThan">
      <formula>1</formula>
    </cfRule>
  </conditionalFormatting>
  <conditionalFormatting sqref="W5:W49">
    <cfRule type="cellIs" dxfId="5" priority="3" stopIfTrue="1" operator="greaterThan">
      <formula>0</formula>
    </cfRule>
  </conditionalFormatting>
  <conditionalFormatting sqref="S5:S49">
    <cfRule type="cellIs" dxfId="4" priority="1" stopIfTrue="1" operator="lessThan">
      <formula>0</formula>
    </cfRule>
  </conditionalFormatting>
  <hyperlinks>
    <hyperlink ref="A2" location="Obsah!A1" display="Zpět na Obsah  KL 01  1.-4.měsíc" xr:uid="{AF45FF06-6706-49B2-BD1C-3FE9CF78F045}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247" bestFit="1" customWidth="1"/>
    <col min="2" max="2" width="9.5703125" style="247" hidden="1" customWidth="1" outlineLevel="1"/>
    <col min="3" max="3" width="9.5703125" style="247" customWidth="1" collapsed="1"/>
    <col min="4" max="4" width="2.28515625" style="247" customWidth="1"/>
    <col min="5" max="8" width="9.5703125" style="247" customWidth="1"/>
    <col min="9" max="10" width="9.7109375" style="247" hidden="1" customWidth="1" outlineLevel="1"/>
    <col min="11" max="11" width="8.85546875" style="247" collapsed="1"/>
    <col min="12" max="16384" width="8.85546875" style="247"/>
  </cols>
  <sheetData>
    <row r="1" spans="1:10" ht="18.600000000000001" customHeight="1" thickBot="1" x14ac:dyDescent="0.35">
      <c r="A1" s="523" t="s">
        <v>174</v>
      </c>
      <c r="B1" s="523"/>
      <c r="C1" s="523"/>
      <c r="D1" s="523"/>
      <c r="E1" s="523"/>
      <c r="F1" s="523"/>
      <c r="G1" s="523"/>
      <c r="H1" s="523"/>
      <c r="I1" s="523"/>
      <c r="J1" s="523"/>
    </row>
    <row r="2" spans="1:10" ht="14.45" customHeight="1" thickBot="1" x14ac:dyDescent="0.25">
      <c r="A2" s="371" t="s">
        <v>328</v>
      </c>
      <c r="B2" s="220"/>
      <c r="C2" s="220"/>
      <c r="D2" s="220"/>
      <c r="E2" s="220"/>
      <c r="F2" s="220"/>
    </row>
    <row r="3" spans="1:10" ht="14.45" customHeight="1" x14ac:dyDescent="0.2">
      <c r="A3" s="514"/>
      <c r="B3" s="216">
        <v>2015</v>
      </c>
      <c r="C3" s="44">
        <v>2018</v>
      </c>
      <c r="D3" s="11"/>
      <c r="E3" s="518">
        <v>2019</v>
      </c>
      <c r="F3" s="519"/>
      <c r="G3" s="519"/>
      <c r="H3" s="520"/>
      <c r="I3" s="521">
        <v>2017</v>
      </c>
      <c r="J3" s="522"/>
    </row>
    <row r="4" spans="1:10" ht="14.45" customHeight="1" thickBot="1" x14ac:dyDescent="0.25">
      <c r="A4" s="515"/>
      <c r="B4" s="516" t="s">
        <v>93</v>
      </c>
      <c r="C4" s="517"/>
      <c r="D4" s="11"/>
      <c r="E4" s="237" t="s">
        <v>93</v>
      </c>
      <c r="F4" s="218" t="s">
        <v>94</v>
      </c>
      <c r="G4" s="218" t="s">
        <v>68</v>
      </c>
      <c r="H4" s="219" t="s">
        <v>95</v>
      </c>
      <c r="I4" s="433" t="s">
        <v>264</v>
      </c>
      <c r="J4" s="434" t="s">
        <v>265</v>
      </c>
    </row>
    <row r="5" spans="1:10" ht="14.45" customHeight="1" x14ac:dyDescent="0.2">
      <c r="A5" s="221" t="str">
        <f>HYPERLINK("#'Léky Žádanky'!A1","Léky (Kč)")</f>
        <v>Léky (Kč)</v>
      </c>
      <c r="B5" s="31">
        <v>3838.5531200000005</v>
      </c>
      <c r="C5" s="33">
        <v>4147.1090399999994</v>
      </c>
      <c r="D5" s="12"/>
      <c r="E5" s="226">
        <v>2911.7318900000009</v>
      </c>
      <c r="F5" s="32">
        <v>5273.0067255859376</v>
      </c>
      <c r="G5" s="225">
        <f>E5-F5</f>
        <v>-2361.2748355859367</v>
      </c>
      <c r="H5" s="231">
        <f>IF(F5&lt;0.00000001,"",E5/F5)</f>
        <v>0.55219574742272848</v>
      </c>
    </row>
    <row r="6" spans="1:10" ht="14.45" customHeight="1" x14ac:dyDescent="0.2">
      <c r="A6" s="221" t="str">
        <f>HYPERLINK("#'Materiál Žádanky'!A1","Materiál - SZM (Kč)")</f>
        <v>Materiál - SZM (Kč)</v>
      </c>
      <c r="B6" s="14">
        <v>3346.5817600000005</v>
      </c>
      <c r="C6" s="35">
        <v>3070.0745799999986</v>
      </c>
      <c r="D6" s="12"/>
      <c r="E6" s="227">
        <v>3021.9784099999997</v>
      </c>
      <c r="F6" s="34">
        <v>3337.900068069458</v>
      </c>
      <c r="G6" s="228">
        <f>E6-F6</f>
        <v>-315.92165806945832</v>
      </c>
      <c r="H6" s="232">
        <f>IF(F6&lt;0.00000001,"",E6/F6)</f>
        <v>0.90535317066811472</v>
      </c>
    </row>
    <row r="7" spans="1:10" ht="14.45" customHeight="1" x14ac:dyDescent="0.2">
      <c r="A7" s="221" t="str">
        <f>HYPERLINK("#'Osobní náklady'!A1","Osobní náklady (Kč) *")</f>
        <v>Osobní náklady (Kč) *</v>
      </c>
      <c r="B7" s="14">
        <v>40025.357819999997</v>
      </c>
      <c r="C7" s="35">
        <v>45347.105729999996</v>
      </c>
      <c r="D7" s="12"/>
      <c r="E7" s="227">
        <v>50829.104769999998</v>
      </c>
      <c r="F7" s="34">
        <v>49074.3553392334</v>
      </c>
      <c r="G7" s="228">
        <f>E7-F7</f>
        <v>1754.7494307665984</v>
      </c>
      <c r="H7" s="232">
        <f>IF(F7&lt;0.00000001,"",E7/F7)</f>
        <v>1.0357569532729802</v>
      </c>
    </row>
    <row r="8" spans="1:10" ht="14.45" customHeight="1" thickBot="1" x14ac:dyDescent="0.25">
      <c r="A8" s="1" t="s">
        <v>96</v>
      </c>
      <c r="B8" s="15">
        <v>7357.4065999999984</v>
      </c>
      <c r="C8" s="37">
        <v>8587.0486000000146</v>
      </c>
      <c r="D8" s="12"/>
      <c r="E8" s="229">
        <v>10333.383610000003</v>
      </c>
      <c r="F8" s="36">
        <v>9343.2979210815356</v>
      </c>
      <c r="G8" s="230">
        <f>E8-F8</f>
        <v>990.08568891846699</v>
      </c>
      <c r="H8" s="233">
        <f>IF(F8&lt;0.00000001,"",E8/F8)</f>
        <v>1.1059674750052131</v>
      </c>
    </row>
    <row r="9" spans="1:10" ht="14.45" customHeight="1" thickBot="1" x14ac:dyDescent="0.25">
      <c r="A9" s="2" t="s">
        <v>97</v>
      </c>
      <c r="B9" s="3">
        <v>54567.899300000005</v>
      </c>
      <c r="C9" s="39">
        <v>61151.337950000008</v>
      </c>
      <c r="D9" s="12"/>
      <c r="E9" s="3">
        <v>67096.198680000001</v>
      </c>
      <c r="F9" s="38">
        <v>67028.56005397033</v>
      </c>
      <c r="G9" s="38">
        <f>E9-F9</f>
        <v>67.638626029671286</v>
      </c>
      <c r="H9" s="234">
        <f>IF(F9&lt;0.00000001,"",E9/F9)</f>
        <v>1.0010091015825973</v>
      </c>
    </row>
    <row r="10" spans="1:10" ht="14.45" customHeight="1" thickBot="1" x14ac:dyDescent="0.25">
      <c r="A10" s="16"/>
      <c r="B10" s="16"/>
      <c r="C10" s="217"/>
      <c r="D10" s="12"/>
      <c r="E10" s="16"/>
      <c r="F10" s="17"/>
    </row>
    <row r="11" spans="1:10" ht="14.45" customHeight="1" x14ac:dyDescent="0.2">
      <c r="A11" s="250" t="str">
        <f>HYPERLINK("#'ZV Vykáz.-A'!A1","Ambulance *")</f>
        <v>Ambulance *</v>
      </c>
      <c r="B11" s="13">
        <f>IF(ISERROR(VLOOKUP("Celkem:",'ZV Vykáz.-A'!A:H,2,0)),0,VLOOKUP("Celkem:",'ZV Vykáz.-A'!A:H,2,0)/1000)</f>
        <v>282.31700000000001</v>
      </c>
      <c r="C11" s="33">
        <f>IF(ISERROR(VLOOKUP("Celkem:",'ZV Vykáz.-A'!A:H,5,0)),0,VLOOKUP("Celkem:",'ZV Vykáz.-A'!A:H,5,0)/1000)</f>
        <v>335.34100000000001</v>
      </c>
      <c r="D11" s="12"/>
      <c r="E11" s="226">
        <f>IF(ISERROR(VLOOKUP("Celkem:",'ZV Vykáz.-A'!A:H,8,0)),0,VLOOKUP("Celkem:",'ZV Vykáz.-A'!A:H,8,0)/1000)</f>
        <v>344.46600000000001</v>
      </c>
      <c r="F11" s="32">
        <f>C11</f>
        <v>335.34100000000001</v>
      </c>
      <c r="G11" s="225">
        <f>E11-F11</f>
        <v>9.125</v>
      </c>
      <c r="H11" s="231">
        <f>IF(F11&lt;0.00000001,"",E11/F11)</f>
        <v>1.0272111074995303</v>
      </c>
      <c r="I11" s="225">
        <f>E11-B11</f>
        <v>62.149000000000001</v>
      </c>
      <c r="J11" s="231">
        <f>IF(B11&lt;0.00000001,"",E11/B11)</f>
        <v>1.2201390635349625</v>
      </c>
    </row>
    <row r="12" spans="1:10" ht="14.45" customHeight="1" thickBot="1" x14ac:dyDescent="0.25">
      <c r="A12" s="251" t="str">
        <f>HYPERLINK("#CaseMix!A1","Hospitalizace *")</f>
        <v>Hospitalizace *</v>
      </c>
      <c r="B12" s="15">
        <f>IF(ISERROR(VLOOKUP("Celkem",CaseMix!A:D,2,0)),0,VLOOKUP("Celkem",CaseMix!A:D,2,0)*30)</f>
        <v>68311.8</v>
      </c>
      <c r="C12" s="37">
        <f>IF(ISERROR(VLOOKUP("Celkem",CaseMix!A:D,3,0)),0,VLOOKUP("Celkem",CaseMix!A:D,3,0)*30)</f>
        <v>55613.13</v>
      </c>
      <c r="D12" s="12"/>
      <c r="E12" s="229">
        <f>IF(ISERROR(VLOOKUP("Celkem",CaseMix!A:D,4,0)),0,VLOOKUP("Celkem",CaseMix!A:D,4,0)*30)</f>
        <v>56985.509999999995</v>
      </c>
      <c r="F12" s="36">
        <f>C12</f>
        <v>55613.13</v>
      </c>
      <c r="G12" s="230">
        <f>E12-F12</f>
        <v>1372.3799999999974</v>
      </c>
      <c r="H12" s="233">
        <f>IF(F12&lt;0.00000001,"",E12/F12)</f>
        <v>1.0246772659621928</v>
      </c>
      <c r="I12" s="230">
        <f>E12-B12</f>
        <v>-11326.290000000008</v>
      </c>
      <c r="J12" s="233">
        <f>IF(B12&lt;0.00000001,"",E12/B12)</f>
        <v>0.83419716652174281</v>
      </c>
    </row>
    <row r="13" spans="1:10" ht="14.45" customHeight="1" thickBot="1" x14ac:dyDescent="0.25">
      <c r="A13" s="4" t="s">
        <v>100</v>
      </c>
      <c r="B13" s="9">
        <f>SUM(B11:B12)</f>
        <v>68594.116999999998</v>
      </c>
      <c r="C13" s="41">
        <f>SUM(C11:C12)</f>
        <v>55948.470999999998</v>
      </c>
      <c r="D13" s="12"/>
      <c r="E13" s="9">
        <f>SUM(E11:E12)</f>
        <v>57329.975999999995</v>
      </c>
      <c r="F13" s="40">
        <f>SUM(F11:F12)</f>
        <v>55948.470999999998</v>
      </c>
      <c r="G13" s="40">
        <f>E13-F13</f>
        <v>1381.5049999999974</v>
      </c>
      <c r="H13" s="235">
        <f>IF(F13&lt;0.00000001,"",E13/F13)</f>
        <v>1.0246924531682018</v>
      </c>
      <c r="I13" s="40">
        <f>SUM(I11:I12)</f>
        <v>-11264.141000000009</v>
      </c>
      <c r="J13" s="235">
        <f>IF(B13&lt;0.00000001,"",E13/B13)</f>
        <v>0.83578561117712169</v>
      </c>
    </row>
    <row r="14" spans="1:10" ht="14.45" customHeight="1" thickBot="1" x14ac:dyDescent="0.25">
      <c r="A14" s="16"/>
      <c r="B14" s="16"/>
      <c r="C14" s="217"/>
      <c r="D14" s="12"/>
      <c r="E14" s="16"/>
      <c r="F14" s="17"/>
    </row>
    <row r="15" spans="1:10" ht="14.45" customHeight="1" thickBot="1" x14ac:dyDescent="0.25">
      <c r="A15" s="252" t="str">
        <f>HYPERLINK("#'HI Graf'!A1","Hospodářský index (Výnosy / Náklady) *")</f>
        <v>Hospodářský index (Výnosy / Náklady) *</v>
      </c>
      <c r="B15" s="10">
        <f>IF(B9=0,"",B13/B9)</f>
        <v>1.2570415551987355</v>
      </c>
      <c r="C15" s="43">
        <f>IF(C9=0,"",C13/C9)</f>
        <v>0.91491818291442617</v>
      </c>
      <c r="D15" s="12"/>
      <c r="E15" s="10">
        <f>IF(E9=0,"",E13/E9)</f>
        <v>0.85444447119012246</v>
      </c>
      <c r="F15" s="42">
        <f>IF(F9=0,"",F13/F9)</f>
        <v>0.83469600055485571</v>
      </c>
      <c r="G15" s="42">
        <f>IF(ISERROR(F15-E15),"",E15-F15)</f>
        <v>1.9748470635266746E-2</v>
      </c>
      <c r="H15" s="236">
        <f>IF(ISERROR(F15-E15),"",IF(F15&lt;0.00000001,"",E15/F15))</f>
        <v>1.0236594767701523</v>
      </c>
    </row>
    <row r="17" spans="1:8" ht="14.45" customHeight="1" x14ac:dyDescent="0.2">
      <c r="A17" s="222" t="s">
        <v>201</v>
      </c>
    </row>
    <row r="18" spans="1:8" ht="14.45" customHeight="1" x14ac:dyDescent="0.25">
      <c r="A18" s="374" t="s">
        <v>232</v>
      </c>
      <c r="B18" s="375"/>
      <c r="C18" s="375"/>
      <c r="D18" s="375"/>
      <c r="E18" s="375"/>
      <c r="F18" s="375"/>
      <c r="G18" s="375"/>
      <c r="H18" s="375"/>
    </row>
    <row r="19" spans="1:8" ht="15" x14ac:dyDescent="0.25">
      <c r="A19" s="373" t="s">
        <v>231</v>
      </c>
      <c r="B19" s="375"/>
      <c r="C19" s="375"/>
      <c r="D19" s="375"/>
      <c r="E19" s="375"/>
      <c r="F19" s="375"/>
      <c r="G19" s="375"/>
      <c r="H19" s="375"/>
    </row>
    <row r="20" spans="1:8" ht="14.45" customHeight="1" x14ac:dyDescent="0.2">
      <c r="A20" s="223" t="s">
        <v>252</v>
      </c>
    </row>
    <row r="21" spans="1:8" ht="14.45" customHeight="1" x14ac:dyDescent="0.2">
      <c r="A21" s="223" t="s">
        <v>202</v>
      </c>
    </row>
    <row r="22" spans="1:8" ht="14.45" customHeight="1" x14ac:dyDescent="0.2">
      <c r="A22" s="224" t="s">
        <v>307</v>
      </c>
    </row>
    <row r="23" spans="1:8" ht="14.45" customHeight="1" x14ac:dyDescent="0.2">
      <c r="A23" s="224" t="s">
        <v>203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1" priority="8" operator="greaterThan">
      <formula>0</formula>
    </cfRule>
  </conditionalFormatting>
  <conditionalFormatting sqref="G11:G13 G15">
    <cfRule type="cellIs" dxfId="80" priority="7" operator="lessThan">
      <formula>0</formula>
    </cfRule>
  </conditionalFormatting>
  <conditionalFormatting sqref="H5:H9">
    <cfRule type="cellIs" dxfId="79" priority="6" operator="greaterThan">
      <formula>1</formula>
    </cfRule>
  </conditionalFormatting>
  <conditionalFormatting sqref="H11:H13 H15">
    <cfRule type="cellIs" dxfId="78" priority="5" operator="lessThan">
      <formula>1</formula>
    </cfRule>
  </conditionalFormatting>
  <conditionalFormatting sqref="I11:I13">
    <cfRule type="cellIs" dxfId="77" priority="4" operator="lessThan">
      <formula>0</formula>
    </cfRule>
  </conditionalFormatting>
  <conditionalFormatting sqref="J11:J13">
    <cfRule type="cellIs" dxfId="76" priority="3" operator="lessThan">
      <formula>1</formula>
    </cfRule>
  </conditionalFormatting>
  <hyperlinks>
    <hyperlink ref="A2" location="Obsah!A1" display="Zpět na Obsah  KL 01  1.-4.měsíc" xr:uid="{B8362AB8-38AF-401B-AD7A-AB2C9A2850E9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List4">
    <tabColor theme="0" tint="-0.249977111117893"/>
    <outlinePr summaryRight="0"/>
    <pageSetUpPr fitToPage="1"/>
  </sheetPr>
  <dimension ref="A1:M13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ColWidth="8.85546875" defaultRowHeight="14.45" customHeight="1" outlineLevelCol="1" x14ac:dyDescent="0.2"/>
  <cols>
    <col min="1" max="1" width="43.28515625" style="247" customWidth="1" collapsed="1"/>
    <col min="2" max="2" width="7.7109375" style="215" hidden="1" customWidth="1" outlineLevel="1"/>
    <col min="3" max="3" width="7.28515625" style="247" hidden="1" customWidth="1"/>
    <col min="4" max="4" width="7.7109375" style="215" customWidth="1"/>
    <col min="5" max="5" width="7.28515625" style="247" hidden="1" customWidth="1"/>
    <col min="6" max="6" width="7.7109375" style="215" customWidth="1"/>
    <col min="7" max="7" width="7.7109375" style="332" customWidth="1" collapsed="1"/>
    <col min="8" max="8" width="7.7109375" style="215" hidden="1" customWidth="1" outlineLevel="1"/>
    <col min="9" max="9" width="7.28515625" style="247" hidden="1" customWidth="1"/>
    <col min="10" max="10" width="7.7109375" style="215" customWidth="1"/>
    <col min="11" max="11" width="7.28515625" style="247" hidden="1" customWidth="1"/>
    <col min="12" max="12" width="7.7109375" style="215" customWidth="1"/>
    <col min="13" max="13" width="7.7109375" style="332" customWidth="1"/>
    <col min="14" max="16384" width="8.85546875" style="247"/>
  </cols>
  <sheetData>
    <row r="1" spans="1:13" ht="18.600000000000001" customHeight="1" thickBot="1" x14ac:dyDescent="0.35">
      <c r="A1" s="524" t="s">
        <v>157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</row>
    <row r="2" spans="1:13" ht="14.45" customHeight="1" thickBot="1" x14ac:dyDescent="0.25">
      <c r="A2" s="371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</row>
    <row r="3" spans="1:13" ht="14.45" customHeight="1" thickBot="1" x14ac:dyDescent="0.25">
      <c r="A3" s="342" t="s">
        <v>158</v>
      </c>
      <c r="B3" s="343">
        <f>SUBTOTAL(9,B6:B1048576)</f>
        <v>5233873</v>
      </c>
      <c r="C3" s="344">
        <f t="shared" ref="C3:L3" si="0">SUBTOTAL(9,C6:C1048576)</f>
        <v>9.2505516880939958</v>
      </c>
      <c r="D3" s="344">
        <f t="shared" si="0"/>
        <v>5146026</v>
      </c>
      <c r="E3" s="344">
        <f t="shared" si="0"/>
        <v>8</v>
      </c>
      <c r="F3" s="344">
        <f t="shared" si="0"/>
        <v>4819947</v>
      </c>
      <c r="G3" s="347">
        <f>IF(D3&lt;&gt;0,F3/D3,"")</f>
        <v>0.93663479352805445</v>
      </c>
      <c r="H3" s="343">
        <f t="shared" si="0"/>
        <v>4930.3399999999992</v>
      </c>
      <c r="I3" s="344">
        <f t="shared" si="0"/>
        <v>8.3457763719772565E-2</v>
      </c>
      <c r="J3" s="344">
        <f t="shared" si="0"/>
        <v>59075.869999999988</v>
      </c>
      <c r="K3" s="344">
        <f t="shared" si="0"/>
        <v>1</v>
      </c>
      <c r="L3" s="344">
        <f t="shared" si="0"/>
        <v>1602.01</v>
      </c>
      <c r="M3" s="345">
        <f>IF(J3&lt;&gt;0,L3/J3,"")</f>
        <v>2.7117840160458075E-2</v>
      </c>
    </row>
    <row r="4" spans="1:13" ht="14.45" customHeight="1" x14ac:dyDescent="0.2">
      <c r="A4" s="692" t="s">
        <v>117</v>
      </c>
      <c r="B4" s="624" t="s">
        <v>122</v>
      </c>
      <c r="C4" s="625"/>
      <c r="D4" s="625"/>
      <c r="E4" s="625"/>
      <c r="F4" s="625"/>
      <c r="G4" s="627"/>
      <c r="H4" s="624" t="s">
        <v>123</v>
      </c>
      <c r="I4" s="625"/>
      <c r="J4" s="625"/>
      <c r="K4" s="625"/>
      <c r="L4" s="625"/>
      <c r="M4" s="627"/>
    </row>
    <row r="5" spans="1:13" s="330" customFormat="1" ht="14.45" customHeight="1" thickBot="1" x14ac:dyDescent="0.25">
      <c r="A5" s="991"/>
      <c r="B5" s="992">
        <v>2015</v>
      </c>
      <c r="C5" s="993"/>
      <c r="D5" s="993">
        <v>2018</v>
      </c>
      <c r="E5" s="993"/>
      <c r="F5" s="993">
        <v>2019</v>
      </c>
      <c r="G5" s="901" t="s">
        <v>2</v>
      </c>
      <c r="H5" s="992">
        <v>2015</v>
      </c>
      <c r="I5" s="993"/>
      <c r="J5" s="993">
        <v>2018</v>
      </c>
      <c r="K5" s="993"/>
      <c r="L5" s="993">
        <v>2019</v>
      </c>
      <c r="M5" s="901" t="s">
        <v>2</v>
      </c>
    </row>
    <row r="6" spans="1:13" ht="14.45" customHeight="1" x14ac:dyDescent="0.2">
      <c r="A6" s="856" t="s">
        <v>2690</v>
      </c>
      <c r="B6" s="883">
        <v>38460</v>
      </c>
      <c r="C6" s="825">
        <v>0.19590664126570156</v>
      </c>
      <c r="D6" s="883">
        <v>196318</v>
      </c>
      <c r="E6" s="825">
        <v>1</v>
      </c>
      <c r="F6" s="883">
        <v>134873</v>
      </c>
      <c r="G6" s="830">
        <v>0.68701290762945832</v>
      </c>
      <c r="H6" s="883"/>
      <c r="I6" s="825"/>
      <c r="J6" s="883"/>
      <c r="K6" s="825"/>
      <c r="L6" s="883"/>
      <c r="M6" s="231"/>
    </row>
    <row r="7" spans="1:13" ht="14.45" customHeight="1" x14ac:dyDescent="0.2">
      <c r="A7" s="857" t="s">
        <v>2691</v>
      </c>
      <c r="B7" s="885">
        <v>507132</v>
      </c>
      <c r="C7" s="832">
        <v>1.357903107905116</v>
      </c>
      <c r="D7" s="885">
        <v>373467</v>
      </c>
      <c r="E7" s="832">
        <v>1</v>
      </c>
      <c r="F7" s="885">
        <v>437219</v>
      </c>
      <c r="G7" s="837">
        <v>1.1707031678836417</v>
      </c>
      <c r="H7" s="885"/>
      <c r="I7" s="832"/>
      <c r="J7" s="885"/>
      <c r="K7" s="832"/>
      <c r="L7" s="885"/>
      <c r="M7" s="838"/>
    </row>
    <row r="8" spans="1:13" ht="14.45" customHeight="1" x14ac:dyDescent="0.2">
      <c r="A8" s="857" t="s">
        <v>2692</v>
      </c>
      <c r="B8" s="885">
        <v>2810529</v>
      </c>
      <c r="C8" s="832">
        <v>1.0613992651665611</v>
      </c>
      <c r="D8" s="885">
        <v>2647947</v>
      </c>
      <c r="E8" s="832">
        <v>1</v>
      </c>
      <c r="F8" s="885">
        <v>2381965</v>
      </c>
      <c r="G8" s="837">
        <v>0.89955161489259416</v>
      </c>
      <c r="H8" s="885"/>
      <c r="I8" s="832"/>
      <c r="J8" s="885"/>
      <c r="K8" s="832"/>
      <c r="L8" s="885"/>
      <c r="M8" s="838"/>
    </row>
    <row r="9" spans="1:13" ht="14.45" customHeight="1" x14ac:dyDescent="0.2">
      <c r="A9" s="857" t="s">
        <v>2693</v>
      </c>
      <c r="B9" s="885">
        <v>307040</v>
      </c>
      <c r="C9" s="832">
        <v>1.0150451751964533</v>
      </c>
      <c r="D9" s="885">
        <v>302489</v>
      </c>
      <c r="E9" s="832">
        <v>1</v>
      </c>
      <c r="F9" s="885">
        <v>272305</v>
      </c>
      <c r="G9" s="837">
        <v>0.90021455325648203</v>
      </c>
      <c r="H9" s="885">
        <v>4930.3399999999992</v>
      </c>
      <c r="I9" s="832">
        <v>8.3457763719772565E-2</v>
      </c>
      <c r="J9" s="885">
        <v>59075.869999999988</v>
      </c>
      <c r="K9" s="832">
        <v>1</v>
      </c>
      <c r="L9" s="885">
        <v>1602.01</v>
      </c>
      <c r="M9" s="838">
        <v>2.7117840160458075E-2</v>
      </c>
    </row>
    <row r="10" spans="1:13" ht="14.45" customHeight="1" x14ac:dyDescent="0.2">
      <c r="A10" s="857" t="s">
        <v>2694</v>
      </c>
      <c r="B10" s="885">
        <v>919661</v>
      </c>
      <c r="C10" s="832">
        <v>0.96334281667951593</v>
      </c>
      <c r="D10" s="885">
        <v>954656</v>
      </c>
      <c r="E10" s="832">
        <v>1</v>
      </c>
      <c r="F10" s="885">
        <v>844178</v>
      </c>
      <c r="G10" s="837">
        <v>0.88427454496698288</v>
      </c>
      <c r="H10" s="885"/>
      <c r="I10" s="832"/>
      <c r="J10" s="885"/>
      <c r="K10" s="832"/>
      <c r="L10" s="885"/>
      <c r="M10" s="838"/>
    </row>
    <row r="11" spans="1:13" ht="14.45" customHeight="1" x14ac:dyDescent="0.2">
      <c r="A11" s="857" t="s">
        <v>2695</v>
      </c>
      <c r="B11" s="885">
        <v>72533</v>
      </c>
      <c r="C11" s="832">
        <v>1.8733663928921949</v>
      </c>
      <c r="D11" s="885">
        <v>38718</v>
      </c>
      <c r="E11" s="832">
        <v>1</v>
      </c>
      <c r="F11" s="885">
        <v>11834</v>
      </c>
      <c r="G11" s="837">
        <v>0.3056459527868175</v>
      </c>
      <c r="H11" s="885"/>
      <c r="I11" s="832"/>
      <c r="J11" s="885"/>
      <c r="K11" s="832"/>
      <c r="L11" s="885"/>
      <c r="M11" s="838"/>
    </row>
    <row r="12" spans="1:13" ht="14.45" customHeight="1" x14ac:dyDescent="0.2">
      <c r="A12" s="857" t="s">
        <v>2696</v>
      </c>
      <c r="B12" s="885">
        <v>492640</v>
      </c>
      <c r="C12" s="832">
        <v>0.83738876943082241</v>
      </c>
      <c r="D12" s="885">
        <v>588305</v>
      </c>
      <c r="E12" s="832">
        <v>1</v>
      </c>
      <c r="F12" s="885">
        <v>687469</v>
      </c>
      <c r="G12" s="837">
        <v>1.1685588257791453</v>
      </c>
      <c r="H12" s="885"/>
      <c r="I12" s="832"/>
      <c r="J12" s="885"/>
      <c r="K12" s="832"/>
      <c r="L12" s="885"/>
      <c r="M12" s="838"/>
    </row>
    <row r="13" spans="1:13" ht="14.45" customHeight="1" thickBot="1" x14ac:dyDescent="0.25">
      <c r="A13" s="889" t="s">
        <v>2697</v>
      </c>
      <c r="B13" s="887">
        <v>85878</v>
      </c>
      <c r="C13" s="840">
        <v>1.9461995195576305</v>
      </c>
      <c r="D13" s="887">
        <v>44126</v>
      </c>
      <c r="E13" s="840">
        <v>1</v>
      </c>
      <c r="F13" s="887">
        <v>50104</v>
      </c>
      <c r="G13" s="845">
        <v>1.1354756832706341</v>
      </c>
      <c r="H13" s="887"/>
      <c r="I13" s="840"/>
      <c r="J13" s="887"/>
      <c r="K13" s="840"/>
      <c r="L13" s="887"/>
      <c r="M13" s="846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 xr:uid="{CE7BD822-AF24-4565-BFAA-490F4B0B5C1F}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List1">
    <tabColor theme="0" tint="-0.249977111117893"/>
    <outlinePr summaryRight="0"/>
    <pageSetUpPr fitToPage="1"/>
  </sheetPr>
  <dimension ref="A1:Q315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ColWidth="8.85546875" defaultRowHeight="14.45" customHeight="1" outlineLevelCol="1" x14ac:dyDescent="0.2"/>
  <cols>
    <col min="1" max="1" width="3" style="247" bestFit="1" customWidth="1"/>
    <col min="2" max="2" width="8.7109375" style="247" bestFit="1" customWidth="1"/>
    <col min="3" max="3" width="2.140625" style="247" bestFit="1" customWidth="1"/>
    <col min="4" max="4" width="8" style="247" bestFit="1" customWidth="1"/>
    <col min="5" max="5" width="52.85546875" style="247" bestFit="1" customWidth="1" collapsed="1"/>
    <col min="6" max="7" width="11.140625" style="329" hidden="1" customWidth="1" outlineLevel="1"/>
    <col min="8" max="9" width="9.28515625" style="329" hidden="1" customWidth="1"/>
    <col min="10" max="11" width="11.140625" style="329" customWidth="1"/>
    <col min="12" max="13" width="9.28515625" style="329" hidden="1" customWidth="1"/>
    <col min="14" max="15" width="11.140625" style="329" customWidth="1"/>
    <col min="16" max="16" width="11.140625" style="332" customWidth="1"/>
    <col min="17" max="17" width="11.140625" style="329" customWidth="1"/>
    <col min="18" max="16384" width="8.85546875" style="247"/>
  </cols>
  <sheetData>
    <row r="1" spans="1:17" ht="18.600000000000001" customHeight="1" thickBot="1" x14ac:dyDescent="0.35">
      <c r="A1" s="524" t="s">
        <v>3311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ht="14.45" customHeight="1" thickBot="1" x14ac:dyDescent="0.25">
      <c r="A2" s="371" t="s">
        <v>328</v>
      </c>
      <c r="B2" s="220"/>
      <c r="C2" s="220"/>
      <c r="D2" s="220"/>
      <c r="E2" s="220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49"/>
      <c r="Q2" s="352"/>
    </row>
    <row r="3" spans="1:17" ht="14.45" customHeight="1" thickBot="1" x14ac:dyDescent="0.25">
      <c r="E3" s="112" t="s">
        <v>158</v>
      </c>
      <c r="F3" s="207">
        <f t="shared" ref="F3:O3" si="0">SUBTOTAL(9,F6:F1048576)</f>
        <v>36630.699999999997</v>
      </c>
      <c r="G3" s="211">
        <f t="shared" si="0"/>
        <v>5238803.34</v>
      </c>
      <c r="H3" s="212"/>
      <c r="I3" s="212"/>
      <c r="J3" s="207">
        <f t="shared" si="0"/>
        <v>34236.509999999995</v>
      </c>
      <c r="K3" s="211">
        <f t="shared" si="0"/>
        <v>5205101.87</v>
      </c>
      <c r="L3" s="212"/>
      <c r="M3" s="212"/>
      <c r="N3" s="207">
        <f t="shared" si="0"/>
        <v>31842.29</v>
      </c>
      <c r="O3" s="211">
        <f t="shared" si="0"/>
        <v>4821549.01</v>
      </c>
      <c r="P3" s="177">
        <f>IF(K3=0,"",O3/K3)</f>
        <v>0.9263121319083808</v>
      </c>
      <c r="Q3" s="209">
        <f>IF(N3=0,"",O3/N3)</f>
        <v>151.41966893712731</v>
      </c>
    </row>
    <row r="4" spans="1:17" ht="14.45" customHeight="1" x14ac:dyDescent="0.2">
      <c r="A4" s="632" t="s">
        <v>73</v>
      </c>
      <c r="B4" s="630" t="s">
        <v>118</v>
      </c>
      <c r="C4" s="632" t="s">
        <v>119</v>
      </c>
      <c r="D4" s="641" t="s">
        <v>89</v>
      </c>
      <c r="E4" s="633" t="s">
        <v>11</v>
      </c>
      <c r="F4" s="639">
        <v>2015</v>
      </c>
      <c r="G4" s="640"/>
      <c r="H4" s="210"/>
      <c r="I4" s="210"/>
      <c r="J4" s="639">
        <v>2018</v>
      </c>
      <c r="K4" s="640"/>
      <c r="L4" s="210"/>
      <c r="M4" s="210"/>
      <c r="N4" s="639">
        <v>2019</v>
      </c>
      <c r="O4" s="640"/>
      <c r="P4" s="642" t="s">
        <v>2</v>
      </c>
      <c r="Q4" s="631" t="s">
        <v>121</v>
      </c>
    </row>
    <row r="5" spans="1:17" ht="14.45" customHeight="1" thickBot="1" x14ac:dyDescent="0.25">
      <c r="A5" s="892"/>
      <c r="B5" s="890"/>
      <c r="C5" s="892"/>
      <c r="D5" s="902"/>
      <c r="E5" s="894"/>
      <c r="F5" s="903" t="s">
        <v>90</v>
      </c>
      <c r="G5" s="904" t="s">
        <v>14</v>
      </c>
      <c r="H5" s="905"/>
      <c r="I5" s="905"/>
      <c r="J5" s="903" t="s">
        <v>90</v>
      </c>
      <c r="K5" s="904" t="s">
        <v>14</v>
      </c>
      <c r="L5" s="905"/>
      <c r="M5" s="905"/>
      <c r="N5" s="903" t="s">
        <v>90</v>
      </c>
      <c r="O5" s="904" t="s">
        <v>14</v>
      </c>
      <c r="P5" s="906"/>
      <c r="Q5" s="899"/>
    </row>
    <row r="6" spans="1:17" ht="14.45" customHeight="1" x14ac:dyDescent="0.2">
      <c r="A6" s="824" t="s">
        <v>2698</v>
      </c>
      <c r="B6" s="825" t="s">
        <v>2699</v>
      </c>
      <c r="C6" s="825" t="s">
        <v>847</v>
      </c>
      <c r="D6" s="825" t="s">
        <v>2700</v>
      </c>
      <c r="E6" s="825" t="s">
        <v>2701</v>
      </c>
      <c r="F6" s="225">
        <v>12</v>
      </c>
      <c r="G6" s="225">
        <v>3780</v>
      </c>
      <c r="H6" s="225">
        <v>0.39506688963210701</v>
      </c>
      <c r="I6" s="225">
        <v>315</v>
      </c>
      <c r="J6" s="225">
        <v>32</v>
      </c>
      <c r="K6" s="225">
        <v>9568</v>
      </c>
      <c r="L6" s="225">
        <v>1</v>
      </c>
      <c r="M6" s="225">
        <v>299</v>
      </c>
      <c r="N6" s="225">
        <v>14</v>
      </c>
      <c r="O6" s="225">
        <v>4228</v>
      </c>
      <c r="P6" s="830">
        <v>0.44188963210702342</v>
      </c>
      <c r="Q6" s="848">
        <v>302</v>
      </c>
    </row>
    <row r="7" spans="1:17" ht="14.45" customHeight="1" x14ac:dyDescent="0.2">
      <c r="A7" s="831" t="s">
        <v>2698</v>
      </c>
      <c r="B7" s="832" t="s">
        <v>2699</v>
      </c>
      <c r="C7" s="832" t="s">
        <v>847</v>
      </c>
      <c r="D7" s="832" t="s">
        <v>2702</v>
      </c>
      <c r="E7" s="832" t="s">
        <v>2703</v>
      </c>
      <c r="F7" s="849"/>
      <c r="G7" s="849"/>
      <c r="H7" s="849"/>
      <c r="I7" s="849"/>
      <c r="J7" s="849">
        <v>3</v>
      </c>
      <c r="K7" s="849">
        <v>31401</v>
      </c>
      <c r="L7" s="849">
        <v>1</v>
      </c>
      <c r="M7" s="849">
        <v>10467</v>
      </c>
      <c r="N7" s="849"/>
      <c r="O7" s="849"/>
      <c r="P7" s="837"/>
      <c r="Q7" s="850"/>
    </row>
    <row r="8" spans="1:17" ht="14.45" customHeight="1" x14ac:dyDescent="0.2">
      <c r="A8" s="831" t="s">
        <v>2698</v>
      </c>
      <c r="B8" s="832" t="s">
        <v>2699</v>
      </c>
      <c r="C8" s="832" t="s">
        <v>847</v>
      </c>
      <c r="D8" s="832" t="s">
        <v>2704</v>
      </c>
      <c r="E8" s="832" t="s">
        <v>2705</v>
      </c>
      <c r="F8" s="849">
        <v>5</v>
      </c>
      <c r="G8" s="849">
        <v>34680</v>
      </c>
      <c r="H8" s="849">
        <v>0.57424824480063585</v>
      </c>
      <c r="I8" s="849">
        <v>6936</v>
      </c>
      <c r="J8" s="849">
        <v>8</v>
      </c>
      <c r="K8" s="849">
        <v>60392</v>
      </c>
      <c r="L8" s="849">
        <v>1</v>
      </c>
      <c r="M8" s="849">
        <v>7549</v>
      </c>
      <c r="N8" s="849">
        <v>3</v>
      </c>
      <c r="O8" s="849">
        <v>22782</v>
      </c>
      <c r="P8" s="837">
        <v>0.3772353954166115</v>
      </c>
      <c r="Q8" s="850">
        <v>7594</v>
      </c>
    </row>
    <row r="9" spans="1:17" ht="14.45" customHeight="1" x14ac:dyDescent="0.2">
      <c r="A9" s="831" t="s">
        <v>2698</v>
      </c>
      <c r="B9" s="832" t="s">
        <v>2699</v>
      </c>
      <c r="C9" s="832" t="s">
        <v>847</v>
      </c>
      <c r="D9" s="832" t="s">
        <v>2706</v>
      </c>
      <c r="E9" s="832" t="s">
        <v>2707</v>
      </c>
      <c r="F9" s="849"/>
      <c r="G9" s="849"/>
      <c r="H9" s="849"/>
      <c r="I9" s="849"/>
      <c r="J9" s="849">
        <v>10</v>
      </c>
      <c r="K9" s="849">
        <v>11067</v>
      </c>
      <c r="L9" s="849">
        <v>1</v>
      </c>
      <c r="M9" s="849">
        <v>1106.7</v>
      </c>
      <c r="N9" s="849">
        <v>7</v>
      </c>
      <c r="O9" s="849">
        <v>7770</v>
      </c>
      <c r="P9" s="837">
        <v>0.70208728652751418</v>
      </c>
      <c r="Q9" s="850">
        <v>1110</v>
      </c>
    </row>
    <row r="10" spans="1:17" ht="14.45" customHeight="1" x14ac:dyDescent="0.2">
      <c r="A10" s="831" t="s">
        <v>2698</v>
      </c>
      <c r="B10" s="832" t="s">
        <v>2699</v>
      </c>
      <c r="C10" s="832" t="s">
        <v>847</v>
      </c>
      <c r="D10" s="832" t="s">
        <v>2708</v>
      </c>
      <c r="E10" s="832" t="s">
        <v>2709</v>
      </c>
      <c r="F10" s="849"/>
      <c r="G10" s="849"/>
      <c r="H10" s="849"/>
      <c r="I10" s="849"/>
      <c r="J10" s="849">
        <v>2</v>
      </c>
      <c r="K10" s="849">
        <v>14860</v>
      </c>
      <c r="L10" s="849">
        <v>1</v>
      </c>
      <c r="M10" s="849">
        <v>7430</v>
      </c>
      <c r="N10" s="849">
        <v>5</v>
      </c>
      <c r="O10" s="849">
        <v>37235</v>
      </c>
      <c r="P10" s="837">
        <v>2.5057200538358009</v>
      </c>
      <c r="Q10" s="850">
        <v>7447</v>
      </c>
    </row>
    <row r="11" spans="1:17" ht="14.45" customHeight="1" x14ac:dyDescent="0.2">
      <c r="A11" s="831" t="s">
        <v>2698</v>
      </c>
      <c r="B11" s="832" t="s">
        <v>2699</v>
      </c>
      <c r="C11" s="832" t="s">
        <v>847</v>
      </c>
      <c r="D11" s="832" t="s">
        <v>2710</v>
      </c>
      <c r="E11" s="832" t="s">
        <v>2711</v>
      </c>
      <c r="F11" s="849"/>
      <c r="G11" s="849"/>
      <c r="H11" s="849"/>
      <c r="I11" s="849"/>
      <c r="J11" s="849">
        <v>18</v>
      </c>
      <c r="K11" s="849">
        <v>69030</v>
      </c>
      <c r="L11" s="849">
        <v>1</v>
      </c>
      <c r="M11" s="849">
        <v>3835</v>
      </c>
      <c r="N11" s="849">
        <v>7</v>
      </c>
      <c r="O11" s="849">
        <v>26873</v>
      </c>
      <c r="P11" s="837">
        <v>0.38929450963349266</v>
      </c>
      <c r="Q11" s="850">
        <v>3839</v>
      </c>
    </row>
    <row r="12" spans="1:17" ht="14.45" customHeight="1" x14ac:dyDescent="0.2">
      <c r="A12" s="831" t="s">
        <v>2698</v>
      </c>
      <c r="B12" s="832" t="s">
        <v>2699</v>
      </c>
      <c r="C12" s="832" t="s">
        <v>847</v>
      </c>
      <c r="D12" s="832" t="s">
        <v>2712</v>
      </c>
      <c r="E12" s="832" t="s">
        <v>2713</v>
      </c>
      <c r="F12" s="849"/>
      <c r="G12" s="849"/>
      <c r="H12" s="849"/>
      <c r="I12" s="849"/>
      <c r="J12" s="849"/>
      <c r="K12" s="849"/>
      <c r="L12" s="849"/>
      <c r="M12" s="849"/>
      <c r="N12" s="849">
        <v>15</v>
      </c>
      <c r="O12" s="849">
        <v>35985</v>
      </c>
      <c r="P12" s="837"/>
      <c r="Q12" s="850">
        <v>2399</v>
      </c>
    </row>
    <row r="13" spans="1:17" ht="14.45" customHeight="1" x14ac:dyDescent="0.2">
      <c r="A13" s="831" t="s">
        <v>2698</v>
      </c>
      <c r="B13" s="832" t="s">
        <v>2699</v>
      </c>
      <c r="C13" s="832" t="s">
        <v>847</v>
      </c>
      <c r="D13" s="832" t="s">
        <v>2714</v>
      </c>
      <c r="E13" s="832" t="s">
        <v>2715</v>
      </c>
      <c r="F13" s="849"/>
      <c r="G13" s="849"/>
      <c r="H13" s="849"/>
      <c r="I13" s="849"/>
      <c r="J13" s="849">
        <v>0</v>
      </c>
      <c r="K13" s="849">
        <v>0</v>
      </c>
      <c r="L13" s="849"/>
      <c r="M13" s="849"/>
      <c r="N13" s="849"/>
      <c r="O13" s="849"/>
      <c r="P13" s="837"/>
      <c r="Q13" s="850"/>
    </row>
    <row r="14" spans="1:17" ht="14.45" customHeight="1" x14ac:dyDescent="0.2">
      <c r="A14" s="831" t="s">
        <v>2698</v>
      </c>
      <c r="B14" s="832" t="s">
        <v>2699</v>
      </c>
      <c r="C14" s="832" t="s">
        <v>847</v>
      </c>
      <c r="D14" s="832" t="s">
        <v>2716</v>
      </c>
      <c r="E14" s="832" t="s">
        <v>2717</v>
      </c>
      <c r="F14" s="849"/>
      <c r="G14" s="849"/>
      <c r="H14" s="849"/>
      <c r="I14" s="849"/>
      <c r="J14" s="849">
        <v>1</v>
      </c>
      <c r="K14" s="849">
        <v>0</v>
      </c>
      <c r="L14" s="849"/>
      <c r="M14" s="849">
        <v>0</v>
      </c>
      <c r="N14" s="849"/>
      <c r="O14" s="849"/>
      <c r="P14" s="837"/>
      <c r="Q14" s="850"/>
    </row>
    <row r="15" spans="1:17" ht="14.45" customHeight="1" x14ac:dyDescent="0.2">
      <c r="A15" s="831" t="s">
        <v>2718</v>
      </c>
      <c r="B15" s="832" t="s">
        <v>2719</v>
      </c>
      <c r="C15" s="832" t="s">
        <v>847</v>
      </c>
      <c r="D15" s="832" t="s">
        <v>2720</v>
      </c>
      <c r="E15" s="832" t="s">
        <v>2721</v>
      </c>
      <c r="F15" s="849">
        <v>11</v>
      </c>
      <c r="G15" s="849">
        <v>3894</v>
      </c>
      <c r="H15" s="849"/>
      <c r="I15" s="849">
        <v>354</v>
      </c>
      <c r="J15" s="849"/>
      <c r="K15" s="849"/>
      <c r="L15" s="849"/>
      <c r="M15" s="849"/>
      <c r="N15" s="849">
        <v>18</v>
      </c>
      <c r="O15" s="849">
        <v>6390</v>
      </c>
      <c r="P15" s="837"/>
      <c r="Q15" s="850">
        <v>355</v>
      </c>
    </row>
    <row r="16" spans="1:17" ht="14.45" customHeight="1" x14ac:dyDescent="0.2">
      <c r="A16" s="831" t="s">
        <v>2718</v>
      </c>
      <c r="B16" s="832" t="s">
        <v>2719</v>
      </c>
      <c r="C16" s="832" t="s">
        <v>847</v>
      </c>
      <c r="D16" s="832" t="s">
        <v>2722</v>
      </c>
      <c r="E16" s="832" t="s">
        <v>2723</v>
      </c>
      <c r="F16" s="849">
        <v>1796</v>
      </c>
      <c r="G16" s="849">
        <v>116740</v>
      </c>
      <c r="H16" s="849">
        <v>1.1432208784213878</v>
      </c>
      <c r="I16" s="849">
        <v>65</v>
      </c>
      <c r="J16" s="849">
        <v>1571</v>
      </c>
      <c r="K16" s="849">
        <v>102115</v>
      </c>
      <c r="L16" s="849">
        <v>1</v>
      </c>
      <c r="M16" s="849">
        <v>65</v>
      </c>
      <c r="N16" s="849">
        <v>1247</v>
      </c>
      <c r="O16" s="849">
        <v>81055</v>
      </c>
      <c r="P16" s="837">
        <v>0.79376193507320181</v>
      </c>
      <c r="Q16" s="850">
        <v>65</v>
      </c>
    </row>
    <row r="17" spans="1:17" ht="14.45" customHeight="1" x14ac:dyDescent="0.2">
      <c r="A17" s="831" t="s">
        <v>2718</v>
      </c>
      <c r="B17" s="832" t="s">
        <v>2719</v>
      </c>
      <c r="C17" s="832" t="s">
        <v>847</v>
      </c>
      <c r="D17" s="832" t="s">
        <v>2724</v>
      </c>
      <c r="E17" s="832" t="s">
        <v>2725</v>
      </c>
      <c r="F17" s="849">
        <v>3</v>
      </c>
      <c r="G17" s="849">
        <v>1776</v>
      </c>
      <c r="H17" s="849">
        <v>1.4987341772151899</v>
      </c>
      <c r="I17" s="849">
        <v>592</v>
      </c>
      <c r="J17" s="849">
        <v>2</v>
      </c>
      <c r="K17" s="849">
        <v>1185</v>
      </c>
      <c r="L17" s="849">
        <v>1</v>
      </c>
      <c r="M17" s="849">
        <v>592.5</v>
      </c>
      <c r="N17" s="849"/>
      <c r="O17" s="849"/>
      <c r="P17" s="837"/>
      <c r="Q17" s="850"/>
    </row>
    <row r="18" spans="1:17" ht="14.45" customHeight="1" x14ac:dyDescent="0.2">
      <c r="A18" s="831" t="s">
        <v>2718</v>
      </c>
      <c r="B18" s="832" t="s">
        <v>2719</v>
      </c>
      <c r="C18" s="832" t="s">
        <v>847</v>
      </c>
      <c r="D18" s="832" t="s">
        <v>2726</v>
      </c>
      <c r="E18" s="832" t="s">
        <v>2727</v>
      </c>
      <c r="F18" s="849">
        <v>3</v>
      </c>
      <c r="G18" s="849">
        <v>1851</v>
      </c>
      <c r="H18" s="849"/>
      <c r="I18" s="849">
        <v>617</v>
      </c>
      <c r="J18" s="849"/>
      <c r="K18" s="849"/>
      <c r="L18" s="849"/>
      <c r="M18" s="849"/>
      <c r="N18" s="849"/>
      <c r="O18" s="849"/>
      <c r="P18" s="837"/>
      <c r="Q18" s="850"/>
    </row>
    <row r="19" spans="1:17" ht="14.45" customHeight="1" x14ac:dyDescent="0.2">
      <c r="A19" s="831" t="s">
        <v>2718</v>
      </c>
      <c r="B19" s="832" t="s">
        <v>2719</v>
      </c>
      <c r="C19" s="832" t="s">
        <v>847</v>
      </c>
      <c r="D19" s="832" t="s">
        <v>2728</v>
      </c>
      <c r="E19" s="832" t="s">
        <v>2729</v>
      </c>
      <c r="F19" s="849">
        <v>30</v>
      </c>
      <c r="G19" s="849">
        <v>720</v>
      </c>
      <c r="H19" s="849">
        <v>0.78602620087336239</v>
      </c>
      <c r="I19" s="849">
        <v>24</v>
      </c>
      <c r="J19" s="849">
        <v>38</v>
      </c>
      <c r="K19" s="849">
        <v>916</v>
      </c>
      <c r="L19" s="849">
        <v>1</v>
      </c>
      <c r="M19" s="849">
        <v>24.105263157894736</v>
      </c>
      <c r="N19" s="849">
        <v>41</v>
      </c>
      <c r="O19" s="849">
        <v>1066</v>
      </c>
      <c r="P19" s="837">
        <v>1.1637554585152838</v>
      </c>
      <c r="Q19" s="850">
        <v>26</v>
      </c>
    </row>
    <row r="20" spans="1:17" ht="14.45" customHeight="1" x14ac:dyDescent="0.2">
      <c r="A20" s="831" t="s">
        <v>2718</v>
      </c>
      <c r="B20" s="832" t="s">
        <v>2719</v>
      </c>
      <c r="C20" s="832" t="s">
        <v>847</v>
      </c>
      <c r="D20" s="832" t="s">
        <v>2730</v>
      </c>
      <c r="E20" s="832" t="s">
        <v>2731</v>
      </c>
      <c r="F20" s="849">
        <v>11</v>
      </c>
      <c r="G20" s="849">
        <v>605</v>
      </c>
      <c r="H20" s="849">
        <v>1.5714285714285714</v>
      </c>
      <c r="I20" s="849">
        <v>55</v>
      </c>
      <c r="J20" s="849">
        <v>7</v>
      </c>
      <c r="K20" s="849">
        <v>385</v>
      </c>
      <c r="L20" s="849">
        <v>1</v>
      </c>
      <c r="M20" s="849">
        <v>55</v>
      </c>
      <c r="N20" s="849">
        <v>10</v>
      </c>
      <c r="O20" s="849">
        <v>550</v>
      </c>
      <c r="P20" s="837">
        <v>1.4285714285714286</v>
      </c>
      <c r="Q20" s="850">
        <v>55</v>
      </c>
    </row>
    <row r="21" spans="1:17" ht="14.45" customHeight="1" x14ac:dyDescent="0.2">
      <c r="A21" s="831" t="s">
        <v>2718</v>
      </c>
      <c r="B21" s="832" t="s">
        <v>2719</v>
      </c>
      <c r="C21" s="832" t="s">
        <v>847</v>
      </c>
      <c r="D21" s="832" t="s">
        <v>2732</v>
      </c>
      <c r="E21" s="832" t="s">
        <v>2733</v>
      </c>
      <c r="F21" s="849">
        <v>136</v>
      </c>
      <c r="G21" s="849">
        <v>10472</v>
      </c>
      <c r="H21" s="849">
        <v>1.5620525059665871</v>
      </c>
      <c r="I21" s="849">
        <v>77</v>
      </c>
      <c r="J21" s="849">
        <v>87</v>
      </c>
      <c r="K21" s="849">
        <v>6704</v>
      </c>
      <c r="L21" s="849">
        <v>1</v>
      </c>
      <c r="M21" s="849">
        <v>77.05747126436782</v>
      </c>
      <c r="N21" s="849">
        <v>109</v>
      </c>
      <c r="O21" s="849">
        <v>8502</v>
      </c>
      <c r="P21" s="837">
        <v>1.2681980906921242</v>
      </c>
      <c r="Q21" s="850">
        <v>78</v>
      </c>
    </row>
    <row r="22" spans="1:17" ht="14.45" customHeight="1" x14ac:dyDescent="0.2">
      <c r="A22" s="831" t="s">
        <v>2718</v>
      </c>
      <c r="B22" s="832" t="s">
        <v>2719</v>
      </c>
      <c r="C22" s="832" t="s">
        <v>847</v>
      </c>
      <c r="D22" s="832" t="s">
        <v>2734</v>
      </c>
      <c r="E22" s="832" t="s">
        <v>2735</v>
      </c>
      <c r="F22" s="849">
        <v>598</v>
      </c>
      <c r="G22" s="849">
        <v>14352</v>
      </c>
      <c r="H22" s="849">
        <v>1.1544401544401544</v>
      </c>
      <c r="I22" s="849">
        <v>24</v>
      </c>
      <c r="J22" s="849">
        <v>518</v>
      </c>
      <c r="K22" s="849">
        <v>12432</v>
      </c>
      <c r="L22" s="849">
        <v>1</v>
      </c>
      <c r="M22" s="849">
        <v>24</v>
      </c>
      <c r="N22" s="849">
        <v>347</v>
      </c>
      <c r="O22" s="849">
        <v>8328</v>
      </c>
      <c r="P22" s="837">
        <v>0.66988416988416988</v>
      </c>
      <c r="Q22" s="850">
        <v>24</v>
      </c>
    </row>
    <row r="23" spans="1:17" ht="14.45" customHeight="1" x14ac:dyDescent="0.2">
      <c r="A23" s="831" t="s">
        <v>2718</v>
      </c>
      <c r="B23" s="832" t="s">
        <v>2719</v>
      </c>
      <c r="C23" s="832" t="s">
        <v>847</v>
      </c>
      <c r="D23" s="832" t="s">
        <v>2736</v>
      </c>
      <c r="E23" s="832" t="s">
        <v>2737</v>
      </c>
      <c r="F23" s="849">
        <v>2</v>
      </c>
      <c r="G23" s="849">
        <v>200</v>
      </c>
      <c r="H23" s="849">
        <v>0.99009900990099009</v>
      </c>
      <c r="I23" s="849">
        <v>100</v>
      </c>
      <c r="J23" s="849">
        <v>2</v>
      </c>
      <c r="K23" s="849">
        <v>202</v>
      </c>
      <c r="L23" s="849">
        <v>1</v>
      </c>
      <c r="M23" s="849">
        <v>101</v>
      </c>
      <c r="N23" s="849"/>
      <c r="O23" s="849"/>
      <c r="P23" s="837"/>
      <c r="Q23" s="850"/>
    </row>
    <row r="24" spans="1:17" ht="14.45" customHeight="1" x14ac:dyDescent="0.2">
      <c r="A24" s="831" t="s">
        <v>2718</v>
      </c>
      <c r="B24" s="832" t="s">
        <v>2719</v>
      </c>
      <c r="C24" s="832" t="s">
        <v>847</v>
      </c>
      <c r="D24" s="832" t="s">
        <v>2738</v>
      </c>
      <c r="E24" s="832" t="s">
        <v>2739</v>
      </c>
      <c r="F24" s="849"/>
      <c r="G24" s="849"/>
      <c r="H24" s="849"/>
      <c r="I24" s="849"/>
      <c r="J24" s="849">
        <v>1</v>
      </c>
      <c r="K24" s="849">
        <v>631</v>
      </c>
      <c r="L24" s="849">
        <v>1</v>
      </c>
      <c r="M24" s="849">
        <v>631</v>
      </c>
      <c r="N24" s="849"/>
      <c r="O24" s="849"/>
      <c r="P24" s="837"/>
      <c r="Q24" s="850"/>
    </row>
    <row r="25" spans="1:17" ht="14.45" customHeight="1" x14ac:dyDescent="0.2">
      <c r="A25" s="831" t="s">
        <v>2718</v>
      </c>
      <c r="B25" s="832" t="s">
        <v>2719</v>
      </c>
      <c r="C25" s="832" t="s">
        <v>847</v>
      </c>
      <c r="D25" s="832" t="s">
        <v>2740</v>
      </c>
      <c r="E25" s="832" t="s">
        <v>2741</v>
      </c>
      <c r="F25" s="849">
        <v>185</v>
      </c>
      <c r="G25" s="849">
        <v>12210</v>
      </c>
      <c r="H25" s="849">
        <v>0.79059829059829057</v>
      </c>
      <c r="I25" s="849">
        <v>66</v>
      </c>
      <c r="J25" s="849">
        <v>234</v>
      </c>
      <c r="K25" s="849">
        <v>15444</v>
      </c>
      <c r="L25" s="849">
        <v>1</v>
      </c>
      <c r="M25" s="849">
        <v>66</v>
      </c>
      <c r="N25" s="849">
        <v>297</v>
      </c>
      <c r="O25" s="849">
        <v>19602</v>
      </c>
      <c r="P25" s="837">
        <v>1.2692307692307692</v>
      </c>
      <c r="Q25" s="850">
        <v>66</v>
      </c>
    </row>
    <row r="26" spans="1:17" ht="14.45" customHeight="1" x14ac:dyDescent="0.2">
      <c r="A26" s="831" t="s">
        <v>2718</v>
      </c>
      <c r="B26" s="832" t="s">
        <v>2719</v>
      </c>
      <c r="C26" s="832" t="s">
        <v>847</v>
      </c>
      <c r="D26" s="832" t="s">
        <v>2742</v>
      </c>
      <c r="E26" s="832" t="s">
        <v>2743</v>
      </c>
      <c r="F26" s="849">
        <v>810</v>
      </c>
      <c r="G26" s="849">
        <v>283500</v>
      </c>
      <c r="H26" s="849">
        <v>1.4647377938517179</v>
      </c>
      <c r="I26" s="849">
        <v>350</v>
      </c>
      <c r="J26" s="849">
        <v>553</v>
      </c>
      <c r="K26" s="849">
        <v>193550</v>
      </c>
      <c r="L26" s="849">
        <v>1</v>
      </c>
      <c r="M26" s="849">
        <v>350</v>
      </c>
      <c r="N26" s="849">
        <v>759</v>
      </c>
      <c r="O26" s="849">
        <v>266409</v>
      </c>
      <c r="P26" s="837">
        <v>1.3764350297080858</v>
      </c>
      <c r="Q26" s="850">
        <v>351</v>
      </c>
    </row>
    <row r="27" spans="1:17" ht="14.45" customHeight="1" x14ac:dyDescent="0.2">
      <c r="A27" s="831" t="s">
        <v>2718</v>
      </c>
      <c r="B27" s="832" t="s">
        <v>2719</v>
      </c>
      <c r="C27" s="832" t="s">
        <v>847</v>
      </c>
      <c r="D27" s="832" t="s">
        <v>2744</v>
      </c>
      <c r="E27" s="832" t="s">
        <v>2745</v>
      </c>
      <c r="F27" s="849">
        <v>532</v>
      </c>
      <c r="G27" s="849">
        <v>13300</v>
      </c>
      <c r="H27" s="849">
        <v>1.1875</v>
      </c>
      <c r="I27" s="849">
        <v>25</v>
      </c>
      <c r="J27" s="849">
        <v>448</v>
      </c>
      <c r="K27" s="849">
        <v>11200</v>
      </c>
      <c r="L27" s="849">
        <v>1</v>
      </c>
      <c r="M27" s="849">
        <v>25</v>
      </c>
      <c r="N27" s="849">
        <v>291</v>
      </c>
      <c r="O27" s="849">
        <v>7275</v>
      </c>
      <c r="P27" s="837">
        <v>0.6495535714285714</v>
      </c>
      <c r="Q27" s="850">
        <v>25</v>
      </c>
    </row>
    <row r="28" spans="1:17" ht="14.45" customHeight="1" x14ac:dyDescent="0.2">
      <c r="A28" s="831" t="s">
        <v>2718</v>
      </c>
      <c r="B28" s="832" t="s">
        <v>2719</v>
      </c>
      <c r="C28" s="832" t="s">
        <v>847</v>
      </c>
      <c r="D28" s="832" t="s">
        <v>2746</v>
      </c>
      <c r="E28" s="832" t="s">
        <v>2747</v>
      </c>
      <c r="F28" s="849">
        <v>3</v>
      </c>
      <c r="G28" s="849">
        <v>2226</v>
      </c>
      <c r="H28" s="849"/>
      <c r="I28" s="849">
        <v>742</v>
      </c>
      <c r="J28" s="849"/>
      <c r="K28" s="849"/>
      <c r="L28" s="849"/>
      <c r="M28" s="849"/>
      <c r="N28" s="849"/>
      <c r="O28" s="849"/>
      <c r="P28" s="837"/>
      <c r="Q28" s="850"/>
    </row>
    <row r="29" spans="1:17" ht="14.45" customHeight="1" x14ac:dyDescent="0.2">
      <c r="A29" s="831" t="s">
        <v>2718</v>
      </c>
      <c r="B29" s="832" t="s">
        <v>2719</v>
      </c>
      <c r="C29" s="832" t="s">
        <v>847</v>
      </c>
      <c r="D29" s="832" t="s">
        <v>2748</v>
      </c>
      <c r="E29" s="832" t="s">
        <v>2749</v>
      </c>
      <c r="F29" s="849">
        <v>41</v>
      </c>
      <c r="G29" s="849">
        <v>7421</v>
      </c>
      <c r="H29" s="849">
        <v>2.2777777777777777</v>
      </c>
      <c r="I29" s="849">
        <v>181</v>
      </c>
      <c r="J29" s="849">
        <v>18</v>
      </c>
      <c r="K29" s="849">
        <v>3258</v>
      </c>
      <c r="L29" s="849">
        <v>1</v>
      </c>
      <c r="M29" s="849">
        <v>181</v>
      </c>
      <c r="N29" s="849">
        <v>66</v>
      </c>
      <c r="O29" s="849">
        <v>11946</v>
      </c>
      <c r="P29" s="837">
        <v>3.6666666666666665</v>
      </c>
      <c r="Q29" s="850">
        <v>181</v>
      </c>
    </row>
    <row r="30" spans="1:17" ht="14.45" customHeight="1" x14ac:dyDescent="0.2">
      <c r="A30" s="831" t="s">
        <v>2718</v>
      </c>
      <c r="B30" s="832" t="s">
        <v>2719</v>
      </c>
      <c r="C30" s="832" t="s">
        <v>847</v>
      </c>
      <c r="D30" s="832" t="s">
        <v>2750</v>
      </c>
      <c r="E30" s="832" t="s">
        <v>2751</v>
      </c>
      <c r="F30" s="849"/>
      <c r="G30" s="849"/>
      <c r="H30" s="849"/>
      <c r="I30" s="849"/>
      <c r="J30" s="849"/>
      <c r="K30" s="849"/>
      <c r="L30" s="849"/>
      <c r="M30" s="849"/>
      <c r="N30" s="849">
        <v>5</v>
      </c>
      <c r="O30" s="849">
        <v>130</v>
      </c>
      <c r="P30" s="837"/>
      <c r="Q30" s="850">
        <v>26</v>
      </c>
    </row>
    <row r="31" spans="1:17" ht="14.45" customHeight="1" x14ac:dyDescent="0.2">
      <c r="A31" s="831" t="s">
        <v>2718</v>
      </c>
      <c r="B31" s="832" t="s">
        <v>2719</v>
      </c>
      <c r="C31" s="832" t="s">
        <v>847</v>
      </c>
      <c r="D31" s="832" t="s">
        <v>2752</v>
      </c>
      <c r="E31" s="832" t="s">
        <v>2753</v>
      </c>
      <c r="F31" s="849"/>
      <c r="G31" s="849"/>
      <c r="H31" s="849"/>
      <c r="I31" s="849"/>
      <c r="J31" s="849"/>
      <c r="K31" s="849"/>
      <c r="L31" s="849"/>
      <c r="M31" s="849"/>
      <c r="N31" s="849">
        <v>3</v>
      </c>
      <c r="O31" s="849">
        <v>252</v>
      </c>
      <c r="P31" s="837"/>
      <c r="Q31" s="850">
        <v>84</v>
      </c>
    </row>
    <row r="32" spans="1:17" ht="14.45" customHeight="1" x14ac:dyDescent="0.2">
      <c r="A32" s="831" t="s">
        <v>2718</v>
      </c>
      <c r="B32" s="832" t="s">
        <v>2719</v>
      </c>
      <c r="C32" s="832" t="s">
        <v>847</v>
      </c>
      <c r="D32" s="832" t="s">
        <v>2754</v>
      </c>
      <c r="E32" s="832" t="s">
        <v>2755</v>
      </c>
      <c r="F32" s="849">
        <v>37</v>
      </c>
      <c r="G32" s="849">
        <v>9398</v>
      </c>
      <c r="H32" s="849">
        <v>1.3703703703703705</v>
      </c>
      <c r="I32" s="849">
        <v>254</v>
      </c>
      <c r="J32" s="849">
        <v>27</v>
      </c>
      <c r="K32" s="849">
        <v>6858</v>
      </c>
      <c r="L32" s="849">
        <v>1</v>
      </c>
      <c r="M32" s="849">
        <v>254</v>
      </c>
      <c r="N32" s="849">
        <v>27</v>
      </c>
      <c r="O32" s="849">
        <v>6858</v>
      </c>
      <c r="P32" s="837">
        <v>1</v>
      </c>
      <c r="Q32" s="850">
        <v>254</v>
      </c>
    </row>
    <row r="33" spans="1:17" ht="14.45" customHeight="1" x14ac:dyDescent="0.2">
      <c r="A33" s="831" t="s">
        <v>2718</v>
      </c>
      <c r="B33" s="832" t="s">
        <v>2719</v>
      </c>
      <c r="C33" s="832" t="s">
        <v>847</v>
      </c>
      <c r="D33" s="832" t="s">
        <v>2756</v>
      </c>
      <c r="E33" s="832" t="s">
        <v>2757</v>
      </c>
      <c r="F33" s="849">
        <v>3</v>
      </c>
      <c r="G33" s="849">
        <v>804</v>
      </c>
      <c r="H33" s="849"/>
      <c r="I33" s="849">
        <v>268</v>
      </c>
      <c r="J33" s="849"/>
      <c r="K33" s="849"/>
      <c r="L33" s="849"/>
      <c r="M33" s="849"/>
      <c r="N33" s="849"/>
      <c r="O33" s="849"/>
      <c r="P33" s="837"/>
      <c r="Q33" s="850"/>
    </row>
    <row r="34" spans="1:17" ht="14.45" customHeight="1" x14ac:dyDescent="0.2">
      <c r="A34" s="831" t="s">
        <v>2718</v>
      </c>
      <c r="B34" s="832" t="s">
        <v>2719</v>
      </c>
      <c r="C34" s="832" t="s">
        <v>847</v>
      </c>
      <c r="D34" s="832" t="s">
        <v>2758</v>
      </c>
      <c r="E34" s="832" t="s">
        <v>2759</v>
      </c>
      <c r="F34" s="849"/>
      <c r="G34" s="849"/>
      <c r="H34" s="849"/>
      <c r="I34" s="849"/>
      <c r="J34" s="849">
        <v>1</v>
      </c>
      <c r="K34" s="849">
        <v>12</v>
      </c>
      <c r="L34" s="849">
        <v>1</v>
      </c>
      <c r="M34" s="849">
        <v>12</v>
      </c>
      <c r="N34" s="849"/>
      <c r="O34" s="849"/>
      <c r="P34" s="837"/>
      <c r="Q34" s="850"/>
    </row>
    <row r="35" spans="1:17" ht="14.45" customHeight="1" x14ac:dyDescent="0.2">
      <c r="A35" s="831" t="s">
        <v>2718</v>
      </c>
      <c r="B35" s="832" t="s">
        <v>2719</v>
      </c>
      <c r="C35" s="832" t="s">
        <v>847</v>
      </c>
      <c r="D35" s="832" t="s">
        <v>2760</v>
      </c>
      <c r="E35" s="832" t="s">
        <v>2761</v>
      </c>
      <c r="F35" s="849">
        <v>28</v>
      </c>
      <c r="G35" s="849">
        <v>6076</v>
      </c>
      <c r="H35" s="849">
        <v>1.1200000000000001</v>
      </c>
      <c r="I35" s="849">
        <v>217</v>
      </c>
      <c r="J35" s="849">
        <v>25</v>
      </c>
      <c r="K35" s="849">
        <v>5425</v>
      </c>
      <c r="L35" s="849">
        <v>1</v>
      </c>
      <c r="M35" s="849">
        <v>217</v>
      </c>
      <c r="N35" s="849">
        <v>35</v>
      </c>
      <c r="O35" s="849">
        <v>7595</v>
      </c>
      <c r="P35" s="837">
        <v>1.4</v>
      </c>
      <c r="Q35" s="850">
        <v>217</v>
      </c>
    </row>
    <row r="36" spans="1:17" ht="14.45" customHeight="1" x14ac:dyDescent="0.2">
      <c r="A36" s="831" t="s">
        <v>2718</v>
      </c>
      <c r="B36" s="832" t="s">
        <v>2719</v>
      </c>
      <c r="C36" s="832" t="s">
        <v>847</v>
      </c>
      <c r="D36" s="832" t="s">
        <v>2762</v>
      </c>
      <c r="E36" s="832" t="s">
        <v>2763</v>
      </c>
      <c r="F36" s="849">
        <v>2</v>
      </c>
      <c r="G36" s="849">
        <v>74</v>
      </c>
      <c r="H36" s="849"/>
      <c r="I36" s="849">
        <v>37</v>
      </c>
      <c r="J36" s="849"/>
      <c r="K36" s="849"/>
      <c r="L36" s="849"/>
      <c r="M36" s="849"/>
      <c r="N36" s="849">
        <v>3</v>
      </c>
      <c r="O36" s="849">
        <v>111</v>
      </c>
      <c r="P36" s="837"/>
      <c r="Q36" s="850">
        <v>37</v>
      </c>
    </row>
    <row r="37" spans="1:17" ht="14.45" customHeight="1" x14ac:dyDescent="0.2">
      <c r="A37" s="831" t="s">
        <v>2718</v>
      </c>
      <c r="B37" s="832" t="s">
        <v>2719</v>
      </c>
      <c r="C37" s="832" t="s">
        <v>847</v>
      </c>
      <c r="D37" s="832" t="s">
        <v>2764</v>
      </c>
      <c r="E37" s="832" t="s">
        <v>2765</v>
      </c>
      <c r="F37" s="849">
        <v>3</v>
      </c>
      <c r="G37" s="849">
        <v>1776</v>
      </c>
      <c r="H37" s="849"/>
      <c r="I37" s="849">
        <v>592</v>
      </c>
      <c r="J37" s="849"/>
      <c r="K37" s="849"/>
      <c r="L37" s="849"/>
      <c r="M37" s="849"/>
      <c r="N37" s="849"/>
      <c r="O37" s="849"/>
      <c r="P37" s="837"/>
      <c r="Q37" s="850"/>
    </row>
    <row r="38" spans="1:17" ht="14.45" customHeight="1" x14ac:dyDescent="0.2">
      <c r="A38" s="831" t="s">
        <v>2718</v>
      </c>
      <c r="B38" s="832" t="s">
        <v>2719</v>
      </c>
      <c r="C38" s="832" t="s">
        <v>847</v>
      </c>
      <c r="D38" s="832" t="s">
        <v>2766</v>
      </c>
      <c r="E38" s="832" t="s">
        <v>2767</v>
      </c>
      <c r="F38" s="849">
        <v>277</v>
      </c>
      <c r="G38" s="849">
        <v>13850</v>
      </c>
      <c r="H38" s="849">
        <v>1.1399176954732511</v>
      </c>
      <c r="I38" s="849">
        <v>50</v>
      </c>
      <c r="J38" s="849">
        <v>243</v>
      </c>
      <c r="K38" s="849">
        <v>12150</v>
      </c>
      <c r="L38" s="849">
        <v>1</v>
      </c>
      <c r="M38" s="849">
        <v>50</v>
      </c>
      <c r="N38" s="849">
        <v>223</v>
      </c>
      <c r="O38" s="849">
        <v>11150</v>
      </c>
      <c r="P38" s="837">
        <v>0.91769547325102885</v>
      </c>
      <c r="Q38" s="850">
        <v>50</v>
      </c>
    </row>
    <row r="39" spans="1:17" ht="14.45" customHeight="1" x14ac:dyDescent="0.2">
      <c r="A39" s="831" t="s">
        <v>2718</v>
      </c>
      <c r="B39" s="832" t="s">
        <v>2719</v>
      </c>
      <c r="C39" s="832" t="s">
        <v>847</v>
      </c>
      <c r="D39" s="832" t="s">
        <v>2768</v>
      </c>
      <c r="E39" s="832" t="s">
        <v>2769</v>
      </c>
      <c r="F39" s="849">
        <v>3</v>
      </c>
      <c r="G39" s="849">
        <v>1641</v>
      </c>
      <c r="H39" s="849"/>
      <c r="I39" s="849">
        <v>547</v>
      </c>
      <c r="J39" s="849"/>
      <c r="K39" s="849"/>
      <c r="L39" s="849"/>
      <c r="M39" s="849"/>
      <c r="N39" s="849"/>
      <c r="O39" s="849"/>
      <c r="P39" s="837"/>
      <c r="Q39" s="850"/>
    </row>
    <row r="40" spans="1:17" ht="14.45" customHeight="1" x14ac:dyDescent="0.2">
      <c r="A40" s="831" t="s">
        <v>2718</v>
      </c>
      <c r="B40" s="832" t="s">
        <v>2719</v>
      </c>
      <c r="C40" s="832" t="s">
        <v>847</v>
      </c>
      <c r="D40" s="832" t="s">
        <v>2770</v>
      </c>
      <c r="E40" s="832" t="s">
        <v>2771</v>
      </c>
      <c r="F40" s="849">
        <v>3</v>
      </c>
      <c r="G40" s="849">
        <v>2208</v>
      </c>
      <c r="H40" s="849"/>
      <c r="I40" s="849">
        <v>736</v>
      </c>
      <c r="J40" s="849"/>
      <c r="K40" s="849"/>
      <c r="L40" s="849"/>
      <c r="M40" s="849"/>
      <c r="N40" s="849"/>
      <c r="O40" s="849"/>
      <c r="P40" s="837"/>
      <c r="Q40" s="850"/>
    </row>
    <row r="41" spans="1:17" ht="14.45" customHeight="1" x14ac:dyDescent="0.2">
      <c r="A41" s="831" t="s">
        <v>2718</v>
      </c>
      <c r="B41" s="832" t="s">
        <v>2719</v>
      </c>
      <c r="C41" s="832" t="s">
        <v>847</v>
      </c>
      <c r="D41" s="832" t="s">
        <v>2772</v>
      </c>
      <c r="E41" s="832" t="s">
        <v>2773</v>
      </c>
      <c r="F41" s="849">
        <v>3</v>
      </c>
      <c r="G41" s="849">
        <v>1038</v>
      </c>
      <c r="H41" s="849"/>
      <c r="I41" s="849">
        <v>346</v>
      </c>
      <c r="J41" s="849"/>
      <c r="K41" s="849"/>
      <c r="L41" s="849"/>
      <c r="M41" s="849"/>
      <c r="N41" s="849"/>
      <c r="O41" s="849"/>
      <c r="P41" s="837"/>
      <c r="Q41" s="850"/>
    </row>
    <row r="42" spans="1:17" ht="14.45" customHeight="1" x14ac:dyDescent="0.2">
      <c r="A42" s="831" t="s">
        <v>2718</v>
      </c>
      <c r="B42" s="832" t="s">
        <v>2719</v>
      </c>
      <c r="C42" s="832" t="s">
        <v>847</v>
      </c>
      <c r="D42" s="832" t="s">
        <v>2774</v>
      </c>
      <c r="E42" s="832" t="s">
        <v>2775</v>
      </c>
      <c r="F42" s="849">
        <v>1</v>
      </c>
      <c r="G42" s="849">
        <v>410</v>
      </c>
      <c r="H42" s="849">
        <v>1</v>
      </c>
      <c r="I42" s="849">
        <v>410</v>
      </c>
      <c r="J42" s="849">
        <v>1</v>
      </c>
      <c r="K42" s="849">
        <v>410</v>
      </c>
      <c r="L42" s="849">
        <v>1</v>
      </c>
      <c r="M42" s="849">
        <v>410</v>
      </c>
      <c r="N42" s="849"/>
      <c r="O42" s="849"/>
      <c r="P42" s="837"/>
      <c r="Q42" s="850"/>
    </row>
    <row r="43" spans="1:17" ht="14.45" customHeight="1" x14ac:dyDescent="0.2">
      <c r="A43" s="831" t="s">
        <v>2718</v>
      </c>
      <c r="B43" s="832" t="s">
        <v>2719</v>
      </c>
      <c r="C43" s="832" t="s">
        <v>847</v>
      </c>
      <c r="D43" s="832" t="s">
        <v>2776</v>
      </c>
      <c r="E43" s="832" t="s">
        <v>2777</v>
      </c>
      <c r="F43" s="849">
        <v>1</v>
      </c>
      <c r="G43" s="849">
        <v>590</v>
      </c>
      <c r="H43" s="849">
        <v>1</v>
      </c>
      <c r="I43" s="849">
        <v>590</v>
      </c>
      <c r="J43" s="849">
        <v>1</v>
      </c>
      <c r="K43" s="849">
        <v>590</v>
      </c>
      <c r="L43" s="849">
        <v>1</v>
      </c>
      <c r="M43" s="849">
        <v>590</v>
      </c>
      <c r="N43" s="849"/>
      <c r="O43" s="849"/>
      <c r="P43" s="837"/>
      <c r="Q43" s="850"/>
    </row>
    <row r="44" spans="1:17" ht="14.45" customHeight="1" x14ac:dyDescent="0.2">
      <c r="A44" s="831" t="s">
        <v>2778</v>
      </c>
      <c r="B44" s="832" t="s">
        <v>2779</v>
      </c>
      <c r="C44" s="832" t="s">
        <v>847</v>
      </c>
      <c r="D44" s="832" t="s">
        <v>2780</v>
      </c>
      <c r="E44" s="832" t="s">
        <v>2781</v>
      </c>
      <c r="F44" s="849">
        <v>98</v>
      </c>
      <c r="G44" s="849">
        <v>2646</v>
      </c>
      <c r="H44" s="849">
        <v>1.0839819746005734</v>
      </c>
      <c r="I44" s="849">
        <v>27</v>
      </c>
      <c r="J44" s="849">
        <v>90</v>
      </c>
      <c r="K44" s="849">
        <v>2441</v>
      </c>
      <c r="L44" s="849">
        <v>1</v>
      </c>
      <c r="M44" s="849">
        <v>27.122222222222224</v>
      </c>
      <c r="N44" s="849">
        <v>66</v>
      </c>
      <c r="O44" s="849">
        <v>1848</v>
      </c>
      <c r="P44" s="837">
        <v>0.75706677591151172</v>
      </c>
      <c r="Q44" s="850">
        <v>28</v>
      </c>
    </row>
    <row r="45" spans="1:17" ht="14.45" customHeight="1" x14ac:dyDescent="0.2">
      <c r="A45" s="831" t="s">
        <v>2778</v>
      </c>
      <c r="B45" s="832" t="s">
        <v>2779</v>
      </c>
      <c r="C45" s="832" t="s">
        <v>847</v>
      </c>
      <c r="D45" s="832" t="s">
        <v>2782</v>
      </c>
      <c r="E45" s="832" t="s">
        <v>2783</v>
      </c>
      <c r="F45" s="849">
        <v>1</v>
      </c>
      <c r="G45" s="849">
        <v>54</v>
      </c>
      <c r="H45" s="849">
        <v>1</v>
      </c>
      <c r="I45" s="849">
        <v>54</v>
      </c>
      <c r="J45" s="849">
        <v>1</v>
      </c>
      <c r="K45" s="849">
        <v>54</v>
      </c>
      <c r="L45" s="849">
        <v>1</v>
      </c>
      <c r="M45" s="849">
        <v>54</v>
      </c>
      <c r="N45" s="849">
        <v>1</v>
      </c>
      <c r="O45" s="849">
        <v>54</v>
      </c>
      <c r="P45" s="837">
        <v>1</v>
      </c>
      <c r="Q45" s="850">
        <v>54</v>
      </c>
    </row>
    <row r="46" spans="1:17" ht="14.45" customHeight="1" x14ac:dyDescent="0.2">
      <c r="A46" s="831" t="s">
        <v>2778</v>
      </c>
      <c r="B46" s="832" t="s">
        <v>2779</v>
      </c>
      <c r="C46" s="832" t="s">
        <v>847</v>
      </c>
      <c r="D46" s="832" t="s">
        <v>2784</v>
      </c>
      <c r="E46" s="832" t="s">
        <v>2785</v>
      </c>
      <c r="F46" s="849">
        <v>72</v>
      </c>
      <c r="G46" s="849">
        <v>1728</v>
      </c>
      <c r="H46" s="849">
        <v>1</v>
      </c>
      <c r="I46" s="849">
        <v>24</v>
      </c>
      <c r="J46" s="849">
        <v>72</v>
      </c>
      <c r="K46" s="849">
        <v>1728</v>
      </c>
      <c r="L46" s="849">
        <v>1</v>
      </c>
      <c r="M46" s="849">
        <v>24</v>
      </c>
      <c r="N46" s="849">
        <v>68</v>
      </c>
      <c r="O46" s="849">
        <v>1632</v>
      </c>
      <c r="P46" s="837">
        <v>0.94444444444444442</v>
      </c>
      <c r="Q46" s="850">
        <v>24</v>
      </c>
    </row>
    <row r="47" spans="1:17" ht="14.45" customHeight="1" x14ac:dyDescent="0.2">
      <c r="A47" s="831" t="s">
        <v>2778</v>
      </c>
      <c r="B47" s="832" t="s">
        <v>2779</v>
      </c>
      <c r="C47" s="832" t="s">
        <v>847</v>
      </c>
      <c r="D47" s="832" t="s">
        <v>2786</v>
      </c>
      <c r="E47" s="832" t="s">
        <v>2787</v>
      </c>
      <c r="F47" s="849">
        <v>141</v>
      </c>
      <c r="G47" s="849">
        <v>3807</v>
      </c>
      <c r="H47" s="849">
        <v>1.2589285714285714</v>
      </c>
      <c r="I47" s="849">
        <v>27</v>
      </c>
      <c r="J47" s="849">
        <v>112</v>
      </c>
      <c r="K47" s="849">
        <v>3024</v>
      </c>
      <c r="L47" s="849">
        <v>1</v>
      </c>
      <c r="M47" s="849">
        <v>27</v>
      </c>
      <c r="N47" s="849">
        <v>117</v>
      </c>
      <c r="O47" s="849">
        <v>3159</v>
      </c>
      <c r="P47" s="837">
        <v>1.0446428571428572</v>
      </c>
      <c r="Q47" s="850">
        <v>27</v>
      </c>
    </row>
    <row r="48" spans="1:17" ht="14.45" customHeight="1" x14ac:dyDescent="0.2">
      <c r="A48" s="831" t="s">
        <v>2778</v>
      </c>
      <c r="B48" s="832" t="s">
        <v>2779</v>
      </c>
      <c r="C48" s="832" t="s">
        <v>847</v>
      </c>
      <c r="D48" s="832" t="s">
        <v>2788</v>
      </c>
      <c r="E48" s="832" t="s">
        <v>2789</v>
      </c>
      <c r="F48" s="849">
        <v>16</v>
      </c>
      <c r="G48" s="849">
        <v>432</v>
      </c>
      <c r="H48" s="849">
        <v>1</v>
      </c>
      <c r="I48" s="849">
        <v>27</v>
      </c>
      <c r="J48" s="849">
        <v>16</v>
      </c>
      <c r="K48" s="849">
        <v>432</v>
      </c>
      <c r="L48" s="849">
        <v>1</v>
      </c>
      <c r="M48" s="849">
        <v>27</v>
      </c>
      <c r="N48" s="849">
        <v>20</v>
      </c>
      <c r="O48" s="849">
        <v>540</v>
      </c>
      <c r="P48" s="837">
        <v>1.25</v>
      </c>
      <c r="Q48" s="850">
        <v>27</v>
      </c>
    </row>
    <row r="49" spans="1:17" ht="14.45" customHeight="1" x14ac:dyDescent="0.2">
      <c r="A49" s="831" t="s">
        <v>2778</v>
      </c>
      <c r="B49" s="832" t="s">
        <v>2779</v>
      </c>
      <c r="C49" s="832" t="s">
        <v>847</v>
      </c>
      <c r="D49" s="832" t="s">
        <v>2790</v>
      </c>
      <c r="E49" s="832" t="s">
        <v>2791</v>
      </c>
      <c r="F49" s="849">
        <v>2053</v>
      </c>
      <c r="G49" s="849">
        <v>45166</v>
      </c>
      <c r="H49" s="849">
        <v>1.1228619729514717</v>
      </c>
      <c r="I49" s="849">
        <v>22</v>
      </c>
      <c r="J49" s="849">
        <v>1821</v>
      </c>
      <c r="K49" s="849">
        <v>40224</v>
      </c>
      <c r="L49" s="849">
        <v>1</v>
      </c>
      <c r="M49" s="849">
        <v>22.088962108731465</v>
      </c>
      <c r="N49" s="849">
        <v>1604</v>
      </c>
      <c r="O49" s="849">
        <v>36892</v>
      </c>
      <c r="P49" s="837">
        <v>0.91716388225934764</v>
      </c>
      <c r="Q49" s="850">
        <v>23</v>
      </c>
    </row>
    <row r="50" spans="1:17" ht="14.45" customHeight="1" x14ac:dyDescent="0.2">
      <c r="A50" s="831" t="s">
        <v>2778</v>
      </c>
      <c r="B50" s="832" t="s">
        <v>2779</v>
      </c>
      <c r="C50" s="832" t="s">
        <v>847</v>
      </c>
      <c r="D50" s="832" t="s">
        <v>2792</v>
      </c>
      <c r="E50" s="832" t="s">
        <v>2793</v>
      </c>
      <c r="F50" s="849">
        <v>2</v>
      </c>
      <c r="G50" s="849">
        <v>136</v>
      </c>
      <c r="H50" s="849"/>
      <c r="I50" s="849">
        <v>68</v>
      </c>
      <c r="J50" s="849"/>
      <c r="K50" s="849"/>
      <c r="L50" s="849"/>
      <c r="M50" s="849"/>
      <c r="N50" s="849"/>
      <c r="O50" s="849"/>
      <c r="P50" s="837"/>
      <c r="Q50" s="850"/>
    </row>
    <row r="51" spans="1:17" ht="14.45" customHeight="1" x14ac:dyDescent="0.2">
      <c r="A51" s="831" t="s">
        <v>2778</v>
      </c>
      <c r="B51" s="832" t="s">
        <v>2779</v>
      </c>
      <c r="C51" s="832" t="s">
        <v>847</v>
      </c>
      <c r="D51" s="832" t="s">
        <v>2794</v>
      </c>
      <c r="E51" s="832" t="s">
        <v>2795</v>
      </c>
      <c r="F51" s="849">
        <v>3883</v>
      </c>
      <c r="G51" s="849">
        <v>240746</v>
      </c>
      <c r="H51" s="849">
        <v>1.0801112656467315</v>
      </c>
      <c r="I51" s="849">
        <v>62</v>
      </c>
      <c r="J51" s="849">
        <v>3595</v>
      </c>
      <c r="K51" s="849">
        <v>222890</v>
      </c>
      <c r="L51" s="849">
        <v>1</v>
      </c>
      <c r="M51" s="849">
        <v>62</v>
      </c>
      <c r="N51" s="849">
        <v>3177</v>
      </c>
      <c r="O51" s="849">
        <v>196974</v>
      </c>
      <c r="P51" s="837">
        <v>0.88372739916550769</v>
      </c>
      <c r="Q51" s="850">
        <v>62</v>
      </c>
    </row>
    <row r="52" spans="1:17" ht="14.45" customHeight="1" x14ac:dyDescent="0.2">
      <c r="A52" s="831" t="s">
        <v>2778</v>
      </c>
      <c r="B52" s="832" t="s">
        <v>2779</v>
      </c>
      <c r="C52" s="832" t="s">
        <v>847</v>
      </c>
      <c r="D52" s="832" t="s">
        <v>2796</v>
      </c>
      <c r="E52" s="832" t="s">
        <v>2797</v>
      </c>
      <c r="F52" s="849">
        <v>1</v>
      </c>
      <c r="G52" s="849">
        <v>162</v>
      </c>
      <c r="H52" s="849"/>
      <c r="I52" s="849">
        <v>162</v>
      </c>
      <c r="J52" s="849"/>
      <c r="K52" s="849"/>
      <c r="L52" s="849"/>
      <c r="M52" s="849"/>
      <c r="N52" s="849"/>
      <c r="O52" s="849"/>
      <c r="P52" s="837"/>
      <c r="Q52" s="850"/>
    </row>
    <row r="53" spans="1:17" ht="14.45" customHeight="1" x14ac:dyDescent="0.2">
      <c r="A53" s="831" t="s">
        <v>2778</v>
      </c>
      <c r="B53" s="832" t="s">
        <v>2779</v>
      </c>
      <c r="C53" s="832" t="s">
        <v>847</v>
      </c>
      <c r="D53" s="832" t="s">
        <v>2798</v>
      </c>
      <c r="E53" s="832" t="s">
        <v>2799</v>
      </c>
      <c r="F53" s="849"/>
      <c r="G53" s="849"/>
      <c r="H53" s="849"/>
      <c r="I53" s="849"/>
      <c r="J53" s="849">
        <v>14</v>
      </c>
      <c r="K53" s="849">
        <v>1148</v>
      </c>
      <c r="L53" s="849">
        <v>1</v>
      </c>
      <c r="M53" s="849">
        <v>82</v>
      </c>
      <c r="N53" s="849"/>
      <c r="O53" s="849"/>
      <c r="P53" s="837"/>
      <c r="Q53" s="850"/>
    </row>
    <row r="54" spans="1:17" ht="14.45" customHeight="1" x14ac:dyDescent="0.2">
      <c r="A54" s="831" t="s">
        <v>2778</v>
      </c>
      <c r="B54" s="832" t="s">
        <v>2779</v>
      </c>
      <c r="C54" s="832" t="s">
        <v>847</v>
      </c>
      <c r="D54" s="832" t="s">
        <v>2800</v>
      </c>
      <c r="E54" s="832" t="s">
        <v>2801</v>
      </c>
      <c r="F54" s="849">
        <v>32</v>
      </c>
      <c r="G54" s="849">
        <v>31616</v>
      </c>
      <c r="H54" s="849">
        <v>0.7441860465116279</v>
      </c>
      <c r="I54" s="849">
        <v>988</v>
      </c>
      <c r="J54" s="849">
        <v>43</v>
      </c>
      <c r="K54" s="849">
        <v>42484</v>
      </c>
      <c r="L54" s="849">
        <v>1</v>
      </c>
      <c r="M54" s="849">
        <v>988</v>
      </c>
      <c r="N54" s="849">
        <v>19</v>
      </c>
      <c r="O54" s="849">
        <v>18772</v>
      </c>
      <c r="P54" s="837">
        <v>0.44186046511627908</v>
      </c>
      <c r="Q54" s="850">
        <v>988</v>
      </c>
    </row>
    <row r="55" spans="1:17" ht="14.45" customHeight="1" x14ac:dyDescent="0.2">
      <c r="A55" s="831" t="s">
        <v>2778</v>
      </c>
      <c r="B55" s="832" t="s">
        <v>2779</v>
      </c>
      <c r="C55" s="832" t="s">
        <v>847</v>
      </c>
      <c r="D55" s="832" t="s">
        <v>2802</v>
      </c>
      <c r="E55" s="832" t="s">
        <v>2803</v>
      </c>
      <c r="F55" s="849">
        <v>1302</v>
      </c>
      <c r="G55" s="849">
        <v>39060</v>
      </c>
      <c r="H55" s="849">
        <v>1.0950378469301933</v>
      </c>
      <c r="I55" s="849">
        <v>30</v>
      </c>
      <c r="J55" s="849">
        <v>1189</v>
      </c>
      <c r="K55" s="849">
        <v>35670</v>
      </c>
      <c r="L55" s="849">
        <v>1</v>
      </c>
      <c r="M55" s="849">
        <v>30</v>
      </c>
      <c r="N55" s="849">
        <v>803</v>
      </c>
      <c r="O55" s="849">
        <v>24090</v>
      </c>
      <c r="P55" s="837">
        <v>0.67535744322960467</v>
      </c>
      <c r="Q55" s="850">
        <v>30</v>
      </c>
    </row>
    <row r="56" spans="1:17" ht="14.45" customHeight="1" x14ac:dyDescent="0.2">
      <c r="A56" s="831" t="s">
        <v>2778</v>
      </c>
      <c r="B56" s="832" t="s">
        <v>2779</v>
      </c>
      <c r="C56" s="832" t="s">
        <v>847</v>
      </c>
      <c r="D56" s="832" t="s">
        <v>2804</v>
      </c>
      <c r="E56" s="832" t="s">
        <v>2805</v>
      </c>
      <c r="F56" s="849">
        <v>1</v>
      </c>
      <c r="G56" s="849">
        <v>1784</v>
      </c>
      <c r="H56" s="849"/>
      <c r="I56" s="849">
        <v>1784</v>
      </c>
      <c r="J56" s="849"/>
      <c r="K56" s="849"/>
      <c r="L56" s="849"/>
      <c r="M56" s="849"/>
      <c r="N56" s="849">
        <v>3</v>
      </c>
      <c r="O56" s="849">
        <v>5382</v>
      </c>
      <c r="P56" s="837"/>
      <c r="Q56" s="850">
        <v>1794</v>
      </c>
    </row>
    <row r="57" spans="1:17" ht="14.45" customHeight="1" x14ac:dyDescent="0.2">
      <c r="A57" s="831" t="s">
        <v>2778</v>
      </c>
      <c r="B57" s="832" t="s">
        <v>2779</v>
      </c>
      <c r="C57" s="832" t="s">
        <v>847</v>
      </c>
      <c r="D57" s="832" t="s">
        <v>2806</v>
      </c>
      <c r="E57" s="832" t="s">
        <v>2807</v>
      </c>
      <c r="F57" s="849">
        <v>3</v>
      </c>
      <c r="G57" s="849">
        <v>246</v>
      </c>
      <c r="H57" s="849">
        <v>0.42857142857142855</v>
      </c>
      <c r="I57" s="849">
        <v>82</v>
      </c>
      <c r="J57" s="849">
        <v>7</v>
      </c>
      <c r="K57" s="849">
        <v>574</v>
      </c>
      <c r="L57" s="849">
        <v>1</v>
      </c>
      <c r="M57" s="849">
        <v>82</v>
      </c>
      <c r="N57" s="849">
        <v>3</v>
      </c>
      <c r="O57" s="849">
        <v>246</v>
      </c>
      <c r="P57" s="837">
        <v>0.42857142857142855</v>
      </c>
      <c r="Q57" s="850">
        <v>82</v>
      </c>
    </row>
    <row r="58" spans="1:17" ht="14.45" customHeight="1" x14ac:dyDescent="0.2">
      <c r="A58" s="831" t="s">
        <v>2778</v>
      </c>
      <c r="B58" s="832" t="s">
        <v>2779</v>
      </c>
      <c r="C58" s="832" t="s">
        <v>847</v>
      </c>
      <c r="D58" s="832" t="s">
        <v>2808</v>
      </c>
      <c r="E58" s="832" t="s">
        <v>2809</v>
      </c>
      <c r="F58" s="849">
        <v>4</v>
      </c>
      <c r="G58" s="849">
        <v>1056</v>
      </c>
      <c r="H58" s="849">
        <v>1.3333333333333333</v>
      </c>
      <c r="I58" s="849">
        <v>264</v>
      </c>
      <c r="J58" s="849">
        <v>3</v>
      </c>
      <c r="K58" s="849">
        <v>792</v>
      </c>
      <c r="L58" s="849">
        <v>1</v>
      </c>
      <c r="M58" s="849">
        <v>264</v>
      </c>
      <c r="N58" s="849">
        <v>1</v>
      </c>
      <c r="O58" s="849">
        <v>266</v>
      </c>
      <c r="P58" s="837">
        <v>0.33585858585858586</v>
      </c>
      <c r="Q58" s="850">
        <v>266</v>
      </c>
    </row>
    <row r="59" spans="1:17" ht="14.45" customHeight="1" x14ac:dyDescent="0.2">
      <c r="A59" s="831" t="s">
        <v>2778</v>
      </c>
      <c r="B59" s="832" t="s">
        <v>2779</v>
      </c>
      <c r="C59" s="832" t="s">
        <v>847</v>
      </c>
      <c r="D59" s="832" t="s">
        <v>2810</v>
      </c>
      <c r="E59" s="832" t="s">
        <v>2811</v>
      </c>
      <c r="F59" s="849">
        <v>3</v>
      </c>
      <c r="G59" s="849">
        <v>798</v>
      </c>
      <c r="H59" s="849">
        <v>1</v>
      </c>
      <c r="I59" s="849">
        <v>266</v>
      </c>
      <c r="J59" s="849">
        <v>3</v>
      </c>
      <c r="K59" s="849">
        <v>798</v>
      </c>
      <c r="L59" s="849">
        <v>1</v>
      </c>
      <c r="M59" s="849">
        <v>266</v>
      </c>
      <c r="N59" s="849">
        <v>3</v>
      </c>
      <c r="O59" s="849">
        <v>798</v>
      </c>
      <c r="P59" s="837">
        <v>1</v>
      </c>
      <c r="Q59" s="850">
        <v>266</v>
      </c>
    </row>
    <row r="60" spans="1:17" ht="14.45" customHeight="1" x14ac:dyDescent="0.2">
      <c r="A60" s="831" t="s">
        <v>2778</v>
      </c>
      <c r="B60" s="832" t="s">
        <v>2779</v>
      </c>
      <c r="C60" s="832" t="s">
        <v>847</v>
      </c>
      <c r="D60" s="832" t="s">
        <v>2812</v>
      </c>
      <c r="E60" s="832" t="s">
        <v>2813</v>
      </c>
      <c r="F60" s="849">
        <v>4</v>
      </c>
      <c r="G60" s="849">
        <v>920</v>
      </c>
      <c r="H60" s="849">
        <v>1.3333333333333333</v>
      </c>
      <c r="I60" s="849">
        <v>230</v>
      </c>
      <c r="J60" s="849">
        <v>3</v>
      </c>
      <c r="K60" s="849">
        <v>690</v>
      </c>
      <c r="L60" s="849">
        <v>1</v>
      </c>
      <c r="M60" s="849">
        <v>230</v>
      </c>
      <c r="N60" s="849">
        <v>3</v>
      </c>
      <c r="O60" s="849">
        <v>693</v>
      </c>
      <c r="P60" s="837">
        <v>1.0043478260869565</v>
      </c>
      <c r="Q60" s="850">
        <v>231</v>
      </c>
    </row>
    <row r="61" spans="1:17" ht="14.45" customHeight="1" x14ac:dyDescent="0.2">
      <c r="A61" s="831" t="s">
        <v>2778</v>
      </c>
      <c r="B61" s="832" t="s">
        <v>2779</v>
      </c>
      <c r="C61" s="832" t="s">
        <v>847</v>
      </c>
      <c r="D61" s="832" t="s">
        <v>2814</v>
      </c>
      <c r="E61" s="832" t="s">
        <v>2815</v>
      </c>
      <c r="F61" s="849"/>
      <c r="G61" s="849"/>
      <c r="H61" s="849"/>
      <c r="I61" s="849"/>
      <c r="J61" s="849">
        <v>2</v>
      </c>
      <c r="K61" s="849">
        <v>126</v>
      </c>
      <c r="L61" s="849">
        <v>1</v>
      </c>
      <c r="M61" s="849">
        <v>63</v>
      </c>
      <c r="N61" s="849">
        <v>1</v>
      </c>
      <c r="O61" s="849">
        <v>64</v>
      </c>
      <c r="P61" s="837">
        <v>0.50793650793650791</v>
      </c>
      <c r="Q61" s="850">
        <v>64</v>
      </c>
    </row>
    <row r="62" spans="1:17" ht="14.45" customHeight="1" x14ac:dyDescent="0.2">
      <c r="A62" s="831" t="s">
        <v>2778</v>
      </c>
      <c r="B62" s="832" t="s">
        <v>2779</v>
      </c>
      <c r="C62" s="832" t="s">
        <v>847</v>
      </c>
      <c r="D62" s="832" t="s">
        <v>2816</v>
      </c>
      <c r="E62" s="832" t="s">
        <v>2817</v>
      </c>
      <c r="F62" s="849">
        <v>240</v>
      </c>
      <c r="G62" s="849">
        <v>4080</v>
      </c>
      <c r="H62" s="849">
        <v>0.80536912751677847</v>
      </c>
      <c r="I62" s="849">
        <v>17</v>
      </c>
      <c r="J62" s="849">
        <v>298</v>
      </c>
      <c r="K62" s="849">
        <v>5066</v>
      </c>
      <c r="L62" s="849">
        <v>1</v>
      </c>
      <c r="M62" s="849">
        <v>17</v>
      </c>
      <c r="N62" s="849">
        <v>309</v>
      </c>
      <c r="O62" s="849">
        <v>5253</v>
      </c>
      <c r="P62" s="837">
        <v>1.0369127516778522</v>
      </c>
      <c r="Q62" s="850">
        <v>17</v>
      </c>
    </row>
    <row r="63" spans="1:17" ht="14.45" customHeight="1" x14ac:dyDescent="0.2">
      <c r="A63" s="831" t="s">
        <v>2778</v>
      </c>
      <c r="B63" s="832" t="s">
        <v>2779</v>
      </c>
      <c r="C63" s="832" t="s">
        <v>847</v>
      </c>
      <c r="D63" s="832" t="s">
        <v>2818</v>
      </c>
      <c r="E63" s="832" t="s">
        <v>2819</v>
      </c>
      <c r="F63" s="849">
        <v>1</v>
      </c>
      <c r="G63" s="849">
        <v>483</v>
      </c>
      <c r="H63" s="849"/>
      <c r="I63" s="849">
        <v>483</v>
      </c>
      <c r="J63" s="849"/>
      <c r="K63" s="849"/>
      <c r="L63" s="849"/>
      <c r="M63" s="849"/>
      <c r="N63" s="849"/>
      <c r="O63" s="849"/>
      <c r="P63" s="837"/>
      <c r="Q63" s="850"/>
    </row>
    <row r="64" spans="1:17" ht="14.45" customHeight="1" x14ac:dyDescent="0.2">
      <c r="A64" s="831" t="s">
        <v>2778</v>
      </c>
      <c r="B64" s="832" t="s">
        <v>2779</v>
      </c>
      <c r="C64" s="832" t="s">
        <v>847</v>
      </c>
      <c r="D64" s="832" t="s">
        <v>2820</v>
      </c>
      <c r="E64" s="832" t="s">
        <v>2821</v>
      </c>
      <c r="F64" s="849">
        <v>3</v>
      </c>
      <c r="G64" s="849">
        <v>141</v>
      </c>
      <c r="H64" s="849"/>
      <c r="I64" s="849">
        <v>47</v>
      </c>
      <c r="J64" s="849"/>
      <c r="K64" s="849"/>
      <c r="L64" s="849"/>
      <c r="M64" s="849"/>
      <c r="N64" s="849">
        <v>1</v>
      </c>
      <c r="O64" s="849">
        <v>47</v>
      </c>
      <c r="P64" s="837"/>
      <c r="Q64" s="850">
        <v>47</v>
      </c>
    </row>
    <row r="65" spans="1:17" ht="14.45" customHeight="1" x14ac:dyDescent="0.2">
      <c r="A65" s="831" t="s">
        <v>2778</v>
      </c>
      <c r="B65" s="832" t="s">
        <v>2779</v>
      </c>
      <c r="C65" s="832" t="s">
        <v>847</v>
      </c>
      <c r="D65" s="832" t="s">
        <v>2822</v>
      </c>
      <c r="E65" s="832" t="s">
        <v>2823</v>
      </c>
      <c r="F65" s="849">
        <v>7</v>
      </c>
      <c r="G65" s="849">
        <v>371</v>
      </c>
      <c r="H65" s="849">
        <v>1.4</v>
      </c>
      <c r="I65" s="849">
        <v>53</v>
      </c>
      <c r="J65" s="849">
        <v>5</v>
      </c>
      <c r="K65" s="849">
        <v>265</v>
      </c>
      <c r="L65" s="849">
        <v>1</v>
      </c>
      <c r="M65" s="849">
        <v>53</v>
      </c>
      <c r="N65" s="849">
        <v>4</v>
      </c>
      <c r="O65" s="849">
        <v>212</v>
      </c>
      <c r="P65" s="837">
        <v>0.8</v>
      </c>
      <c r="Q65" s="850">
        <v>53</v>
      </c>
    </row>
    <row r="66" spans="1:17" ht="14.45" customHeight="1" x14ac:dyDescent="0.2">
      <c r="A66" s="831" t="s">
        <v>2778</v>
      </c>
      <c r="B66" s="832" t="s">
        <v>2779</v>
      </c>
      <c r="C66" s="832" t="s">
        <v>847</v>
      </c>
      <c r="D66" s="832" t="s">
        <v>2824</v>
      </c>
      <c r="E66" s="832" t="s">
        <v>2825</v>
      </c>
      <c r="F66" s="849"/>
      <c r="G66" s="849"/>
      <c r="H66" s="849"/>
      <c r="I66" s="849"/>
      <c r="J66" s="849">
        <v>4</v>
      </c>
      <c r="K66" s="849">
        <v>240</v>
      </c>
      <c r="L66" s="849">
        <v>1</v>
      </c>
      <c r="M66" s="849">
        <v>60</v>
      </c>
      <c r="N66" s="849">
        <v>1</v>
      </c>
      <c r="O66" s="849">
        <v>61</v>
      </c>
      <c r="P66" s="837">
        <v>0.25416666666666665</v>
      </c>
      <c r="Q66" s="850">
        <v>61</v>
      </c>
    </row>
    <row r="67" spans="1:17" ht="14.45" customHeight="1" x14ac:dyDescent="0.2">
      <c r="A67" s="831" t="s">
        <v>2778</v>
      </c>
      <c r="B67" s="832" t="s">
        <v>2779</v>
      </c>
      <c r="C67" s="832" t="s">
        <v>847</v>
      </c>
      <c r="D67" s="832" t="s">
        <v>2826</v>
      </c>
      <c r="E67" s="832" t="s">
        <v>2827</v>
      </c>
      <c r="F67" s="849"/>
      <c r="G67" s="849"/>
      <c r="H67" s="849"/>
      <c r="I67" s="849"/>
      <c r="J67" s="849">
        <v>1</v>
      </c>
      <c r="K67" s="849">
        <v>31</v>
      </c>
      <c r="L67" s="849">
        <v>1</v>
      </c>
      <c r="M67" s="849">
        <v>31</v>
      </c>
      <c r="N67" s="849"/>
      <c r="O67" s="849"/>
      <c r="P67" s="837"/>
      <c r="Q67" s="850"/>
    </row>
    <row r="68" spans="1:17" ht="14.45" customHeight="1" x14ac:dyDescent="0.2">
      <c r="A68" s="831" t="s">
        <v>2778</v>
      </c>
      <c r="B68" s="832" t="s">
        <v>2779</v>
      </c>
      <c r="C68" s="832" t="s">
        <v>847</v>
      </c>
      <c r="D68" s="832" t="s">
        <v>2828</v>
      </c>
      <c r="E68" s="832" t="s">
        <v>2829</v>
      </c>
      <c r="F68" s="849">
        <v>6</v>
      </c>
      <c r="G68" s="849">
        <v>114</v>
      </c>
      <c r="H68" s="849">
        <v>3</v>
      </c>
      <c r="I68" s="849">
        <v>19</v>
      </c>
      <c r="J68" s="849">
        <v>2</v>
      </c>
      <c r="K68" s="849">
        <v>38</v>
      </c>
      <c r="L68" s="849">
        <v>1</v>
      </c>
      <c r="M68" s="849">
        <v>19</v>
      </c>
      <c r="N68" s="849"/>
      <c r="O68" s="849"/>
      <c r="P68" s="837"/>
      <c r="Q68" s="850"/>
    </row>
    <row r="69" spans="1:17" ht="14.45" customHeight="1" x14ac:dyDescent="0.2">
      <c r="A69" s="831" t="s">
        <v>2778</v>
      </c>
      <c r="B69" s="832" t="s">
        <v>2779</v>
      </c>
      <c r="C69" s="832" t="s">
        <v>847</v>
      </c>
      <c r="D69" s="832" t="s">
        <v>2830</v>
      </c>
      <c r="E69" s="832" t="s">
        <v>2831</v>
      </c>
      <c r="F69" s="849">
        <v>9</v>
      </c>
      <c r="G69" s="849">
        <v>972</v>
      </c>
      <c r="H69" s="849">
        <v>0.9</v>
      </c>
      <c r="I69" s="849">
        <v>108</v>
      </c>
      <c r="J69" s="849">
        <v>10</v>
      </c>
      <c r="K69" s="849">
        <v>1080</v>
      </c>
      <c r="L69" s="849">
        <v>1</v>
      </c>
      <c r="M69" s="849">
        <v>108</v>
      </c>
      <c r="N69" s="849">
        <v>6</v>
      </c>
      <c r="O69" s="849">
        <v>654</v>
      </c>
      <c r="P69" s="837">
        <v>0.60555555555555551</v>
      </c>
      <c r="Q69" s="850">
        <v>109</v>
      </c>
    </row>
    <row r="70" spans="1:17" ht="14.45" customHeight="1" x14ac:dyDescent="0.2">
      <c r="A70" s="831" t="s">
        <v>2778</v>
      </c>
      <c r="B70" s="832" t="s">
        <v>2779</v>
      </c>
      <c r="C70" s="832" t="s">
        <v>847</v>
      </c>
      <c r="D70" s="832" t="s">
        <v>2832</v>
      </c>
      <c r="E70" s="832" t="s">
        <v>2833</v>
      </c>
      <c r="F70" s="849">
        <v>2</v>
      </c>
      <c r="G70" s="849">
        <v>2926</v>
      </c>
      <c r="H70" s="849">
        <v>0.99863481228668938</v>
      </c>
      <c r="I70" s="849">
        <v>1463</v>
      </c>
      <c r="J70" s="849">
        <v>2</v>
      </c>
      <c r="K70" s="849">
        <v>2930</v>
      </c>
      <c r="L70" s="849">
        <v>1</v>
      </c>
      <c r="M70" s="849">
        <v>1465</v>
      </c>
      <c r="N70" s="849">
        <v>1</v>
      </c>
      <c r="O70" s="849">
        <v>1470</v>
      </c>
      <c r="P70" s="837">
        <v>0.50170648464163825</v>
      </c>
      <c r="Q70" s="850">
        <v>1470</v>
      </c>
    </row>
    <row r="71" spans="1:17" ht="14.45" customHeight="1" x14ac:dyDescent="0.2">
      <c r="A71" s="831" t="s">
        <v>2778</v>
      </c>
      <c r="B71" s="832" t="s">
        <v>2779</v>
      </c>
      <c r="C71" s="832" t="s">
        <v>847</v>
      </c>
      <c r="D71" s="832" t="s">
        <v>2834</v>
      </c>
      <c r="E71" s="832" t="s">
        <v>2835</v>
      </c>
      <c r="F71" s="849">
        <v>4</v>
      </c>
      <c r="G71" s="849">
        <v>1568</v>
      </c>
      <c r="H71" s="849">
        <v>4</v>
      </c>
      <c r="I71" s="849">
        <v>392</v>
      </c>
      <c r="J71" s="849">
        <v>1</v>
      </c>
      <c r="K71" s="849">
        <v>392</v>
      </c>
      <c r="L71" s="849">
        <v>1</v>
      </c>
      <c r="M71" s="849">
        <v>392</v>
      </c>
      <c r="N71" s="849">
        <v>1</v>
      </c>
      <c r="O71" s="849">
        <v>392</v>
      </c>
      <c r="P71" s="837">
        <v>1</v>
      </c>
      <c r="Q71" s="850">
        <v>392</v>
      </c>
    </row>
    <row r="72" spans="1:17" ht="14.45" customHeight="1" x14ac:dyDescent="0.2">
      <c r="A72" s="831" t="s">
        <v>2778</v>
      </c>
      <c r="B72" s="832" t="s">
        <v>2779</v>
      </c>
      <c r="C72" s="832" t="s">
        <v>847</v>
      </c>
      <c r="D72" s="832" t="s">
        <v>2836</v>
      </c>
      <c r="E72" s="832" t="s">
        <v>2837</v>
      </c>
      <c r="F72" s="849">
        <v>16</v>
      </c>
      <c r="G72" s="849">
        <v>7424</v>
      </c>
      <c r="H72" s="849">
        <v>0.64</v>
      </c>
      <c r="I72" s="849">
        <v>464</v>
      </c>
      <c r="J72" s="849">
        <v>25</v>
      </c>
      <c r="K72" s="849">
        <v>11600</v>
      </c>
      <c r="L72" s="849">
        <v>1</v>
      </c>
      <c r="M72" s="849">
        <v>464</v>
      </c>
      <c r="N72" s="849">
        <v>19</v>
      </c>
      <c r="O72" s="849">
        <v>8816</v>
      </c>
      <c r="P72" s="837">
        <v>0.76</v>
      </c>
      <c r="Q72" s="850">
        <v>464</v>
      </c>
    </row>
    <row r="73" spans="1:17" ht="14.45" customHeight="1" x14ac:dyDescent="0.2">
      <c r="A73" s="831" t="s">
        <v>2778</v>
      </c>
      <c r="B73" s="832" t="s">
        <v>2779</v>
      </c>
      <c r="C73" s="832" t="s">
        <v>847</v>
      </c>
      <c r="D73" s="832" t="s">
        <v>2838</v>
      </c>
      <c r="E73" s="832" t="s">
        <v>2839</v>
      </c>
      <c r="F73" s="849">
        <v>4</v>
      </c>
      <c r="G73" s="849">
        <v>1252</v>
      </c>
      <c r="H73" s="849">
        <v>4</v>
      </c>
      <c r="I73" s="849">
        <v>313</v>
      </c>
      <c r="J73" s="849">
        <v>1</v>
      </c>
      <c r="K73" s="849">
        <v>313</v>
      </c>
      <c r="L73" s="849">
        <v>1</v>
      </c>
      <c r="M73" s="849">
        <v>313</v>
      </c>
      <c r="N73" s="849"/>
      <c r="O73" s="849"/>
      <c r="P73" s="837"/>
      <c r="Q73" s="850"/>
    </row>
    <row r="74" spans="1:17" ht="14.45" customHeight="1" x14ac:dyDescent="0.2">
      <c r="A74" s="831" t="s">
        <v>2778</v>
      </c>
      <c r="B74" s="832" t="s">
        <v>2779</v>
      </c>
      <c r="C74" s="832" t="s">
        <v>847</v>
      </c>
      <c r="D74" s="832" t="s">
        <v>2840</v>
      </c>
      <c r="E74" s="832" t="s">
        <v>2841</v>
      </c>
      <c r="F74" s="849">
        <v>33</v>
      </c>
      <c r="G74" s="849">
        <v>28149</v>
      </c>
      <c r="H74" s="849">
        <v>0.55000000000000004</v>
      </c>
      <c r="I74" s="849">
        <v>853</v>
      </c>
      <c r="J74" s="849">
        <v>60</v>
      </c>
      <c r="K74" s="849">
        <v>51180</v>
      </c>
      <c r="L74" s="849">
        <v>1</v>
      </c>
      <c r="M74" s="849">
        <v>853</v>
      </c>
      <c r="N74" s="849">
        <v>46</v>
      </c>
      <c r="O74" s="849">
        <v>39284</v>
      </c>
      <c r="P74" s="837">
        <v>0.76756545525595932</v>
      </c>
      <c r="Q74" s="850">
        <v>854</v>
      </c>
    </row>
    <row r="75" spans="1:17" ht="14.45" customHeight="1" x14ac:dyDescent="0.2">
      <c r="A75" s="831" t="s">
        <v>2778</v>
      </c>
      <c r="B75" s="832" t="s">
        <v>2779</v>
      </c>
      <c r="C75" s="832" t="s">
        <v>847</v>
      </c>
      <c r="D75" s="832" t="s">
        <v>2842</v>
      </c>
      <c r="E75" s="832" t="s">
        <v>2843</v>
      </c>
      <c r="F75" s="849">
        <v>2127</v>
      </c>
      <c r="G75" s="849">
        <v>397749</v>
      </c>
      <c r="H75" s="849">
        <v>0.95082700044702728</v>
      </c>
      <c r="I75" s="849">
        <v>187</v>
      </c>
      <c r="J75" s="849">
        <v>2237</v>
      </c>
      <c r="K75" s="849">
        <v>418319</v>
      </c>
      <c r="L75" s="849">
        <v>1</v>
      </c>
      <c r="M75" s="849">
        <v>187</v>
      </c>
      <c r="N75" s="849">
        <v>2195</v>
      </c>
      <c r="O75" s="849">
        <v>412660</v>
      </c>
      <c r="P75" s="837">
        <v>0.98647204645258757</v>
      </c>
      <c r="Q75" s="850">
        <v>188</v>
      </c>
    </row>
    <row r="76" spans="1:17" ht="14.45" customHeight="1" x14ac:dyDescent="0.2">
      <c r="A76" s="831" t="s">
        <v>2778</v>
      </c>
      <c r="B76" s="832" t="s">
        <v>2779</v>
      </c>
      <c r="C76" s="832" t="s">
        <v>847</v>
      </c>
      <c r="D76" s="832" t="s">
        <v>2844</v>
      </c>
      <c r="E76" s="832" t="s">
        <v>2845</v>
      </c>
      <c r="F76" s="849">
        <v>1</v>
      </c>
      <c r="G76" s="849">
        <v>167</v>
      </c>
      <c r="H76" s="849"/>
      <c r="I76" s="849">
        <v>167</v>
      </c>
      <c r="J76" s="849"/>
      <c r="K76" s="849"/>
      <c r="L76" s="849"/>
      <c r="M76" s="849"/>
      <c r="N76" s="849"/>
      <c r="O76" s="849"/>
      <c r="P76" s="837"/>
      <c r="Q76" s="850"/>
    </row>
    <row r="77" spans="1:17" ht="14.45" customHeight="1" x14ac:dyDescent="0.2">
      <c r="A77" s="831" t="s">
        <v>2778</v>
      </c>
      <c r="B77" s="832" t="s">
        <v>2779</v>
      </c>
      <c r="C77" s="832" t="s">
        <v>847</v>
      </c>
      <c r="D77" s="832" t="s">
        <v>2846</v>
      </c>
      <c r="E77" s="832" t="s">
        <v>2847</v>
      </c>
      <c r="F77" s="849">
        <v>2</v>
      </c>
      <c r="G77" s="849">
        <v>2444</v>
      </c>
      <c r="H77" s="849">
        <v>0.49959116925592806</v>
      </c>
      <c r="I77" s="849">
        <v>1222</v>
      </c>
      <c r="J77" s="849">
        <v>4</v>
      </c>
      <c r="K77" s="849">
        <v>4892</v>
      </c>
      <c r="L77" s="849">
        <v>1</v>
      </c>
      <c r="M77" s="849">
        <v>1223</v>
      </c>
      <c r="N77" s="849">
        <v>3</v>
      </c>
      <c r="O77" s="849">
        <v>3681</v>
      </c>
      <c r="P77" s="837">
        <v>0.75245298446443176</v>
      </c>
      <c r="Q77" s="850">
        <v>1227</v>
      </c>
    </row>
    <row r="78" spans="1:17" ht="14.45" customHeight="1" x14ac:dyDescent="0.2">
      <c r="A78" s="831" t="s">
        <v>2778</v>
      </c>
      <c r="B78" s="832" t="s">
        <v>2779</v>
      </c>
      <c r="C78" s="832" t="s">
        <v>847</v>
      </c>
      <c r="D78" s="832" t="s">
        <v>2848</v>
      </c>
      <c r="E78" s="832" t="s">
        <v>2849</v>
      </c>
      <c r="F78" s="849">
        <v>556</v>
      </c>
      <c r="G78" s="849">
        <v>438128</v>
      </c>
      <c r="H78" s="849">
        <v>1.0756147379998429</v>
      </c>
      <c r="I78" s="849">
        <v>788</v>
      </c>
      <c r="J78" s="849">
        <v>517</v>
      </c>
      <c r="K78" s="849">
        <v>407328</v>
      </c>
      <c r="L78" s="849">
        <v>1</v>
      </c>
      <c r="M78" s="849">
        <v>787.86847195357836</v>
      </c>
      <c r="N78" s="849">
        <v>281</v>
      </c>
      <c r="O78" s="849">
        <v>221709</v>
      </c>
      <c r="P78" s="837">
        <v>0.54430090737685599</v>
      </c>
      <c r="Q78" s="850">
        <v>789</v>
      </c>
    </row>
    <row r="79" spans="1:17" ht="14.45" customHeight="1" x14ac:dyDescent="0.2">
      <c r="A79" s="831" t="s">
        <v>2778</v>
      </c>
      <c r="B79" s="832" t="s">
        <v>2779</v>
      </c>
      <c r="C79" s="832" t="s">
        <v>847</v>
      </c>
      <c r="D79" s="832" t="s">
        <v>2850</v>
      </c>
      <c r="E79" s="832" t="s">
        <v>2851</v>
      </c>
      <c r="F79" s="849">
        <v>11</v>
      </c>
      <c r="G79" s="849">
        <v>2079</v>
      </c>
      <c r="H79" s="849">
        <v>0.91666666666666663</v>
      </c>
      <c r="I79" s="849">
        <v>189</v>
      </c>
      <c r="J79" s="849">
        <v>12</v>
      </c>
      <c r="K79" s="849">
        <v>2268</v>
      </c>
      <c r="L79" s="849">
        <v>1</v>
      </c>
      <c r="M79" s="849">
        <v>189</v>
      </c>
      <c r="N79" s="849">
        <v>7</v>
      </c>
      <c r="O79" s="849">
        <v>1330</v>
      </c>
      <c r="P79" s="837">
        <v>0.5864197530864198</v>
      </c>
      <c r="Q79" s="850">
        <v>190</v>
      </c>
    </row>
    <row r="80" spans="1:17" ht="14.45" customHeight="1" x14ac:dyDescent="0.2">
      <c r="A80" s="831" t="s">
        <v>2778</v>
      </c>
      <c r="B80" s="832" t="s">
        <v>2779</v>
      </c>
      <c r="C80" s="832" t="s">
        <v>847</v>
      </c>
      <c r="D80" s="832" t="s">
        <v>2852</v>
      </c>
      <c r="E80" s="832" t="s">
        <v>1345</v>
      </c>
      <c r="F80" s="849">
        <v>1</v>
      </c>
      <c r="G80" s="849">
        <v>179</v>
      </c>
      <c r="H80" s="849"/>
      <c r="I80" s="849">
        <v>179</v>
      </c>
      <c r="J80" s="849"/>
      <c r="K80" s="849"/>
      <c r="L80" s="849"/>
      <c r="M80" s="849"/>
      <c r="N80" s="849"/>
      <c r="O80" s="849"/>
      <c r="P80" s="837"/>
      <c r="Q80" s="850"/>
    </row>
    <row r="81" spans="1:17" ht="14.45" customHeight="1" x14ac:dyDescent="0.2">
      <c r="A81" s="831" t="s">
        <v>2778</v>
      </c>
      <c r="B81" s="832" t="s">
        <v>2779</v>
      </c>
      <c r="C81" s="832" t="s">
        <v>847</v>
      </c>
      <c r="D81" s="832" t="s">
        <v>2853</v>
      </c>
      <c r="E81" s="832" t="s">
        <v>2854</v>
      </c>
      <c r="F81" s="849">
        <v>154</v>
      </c>
      <c r="G81" s="849">
        <v>35266</v>
      </c>
      <c r="H81" s="849">
        <v>0.90646446472175812</v>
      </c>
      <c r="I81" s="849">
        <v>229</v>
      </c>
      <c r="J81" s="849">
        <v>170</v>
      </c>
      <c r="K81" s="849">
        <v>38905</v>
      </c>
      <c r="L81" s="849">
        <v>1</v>
      </c>
      <c r="M81" s="849">
        <v>228.85294117647058</v>
      </c>
      <c r="N81" s="849">
        <v>189</v>
      </c>
      <c r="O81" s="849">
        <v>43281</v>
      </c>
      <c r="P81" s="837">
        <v>1.112479115794885</v>
      </c>
      <c r="Q81" s="850">
        <v>229</v>
      </c>
    </row>
    <row r="82" spans="1:17" ht="14.45" customHeight="1" x14ac:dyDescent="0.2">
      <c r="A82" s="831" t="s">
        <v>2778</v>
      </c>
      <c r="B82" s="832" t="s">
        <v>2779</v>
      </c>
      <c r="C82" s="832" t="s">
        <v>847</v>
      </c>
      <c r="D82" s="832" t="s">
        <v>2855</v>
      </c>
      <c r="E82" s="832" t="s">
        <v>2856</v>
      </c>
      <c r="F82" s="849">
        <v>2</v>
      </c>
      <c r="G82" s="849">
        <v>318</v>
      </c>
      <c r="H82" s="849">
        <v>0.25</v>
      </c>
      <c r="I82" s="849">
        <v>159</v>
      </c>
      <c r="J82" s="849">
        <v>8</v>
      </c>
      <c r="K82" s="849">
        <v>1272</v>
      </c>
      <c r="L82" s="849">
        <v>1</v>
      </c>
      <c r="M82" s="849">
        <v>159</v>
      </c>
      <c r="N82" s="849">
        <v>6</v>
      </c>
      <c r="O82" s="849">
        <v>960</v>
      </c>
      <c r="P82" s="837">
        <v>0.75471698113207553</v>
      </c>
      <c r="Q82" s="850">
        <v>160</v>
      </c>
    </row>
    <row r="83" spans="1:17" ht="14.45" customHeight="1" x14ac:dyDescent="0.2">
      <c r="A83" s="831" t="s">
        <v>2778</v>
      </c>
      <c r="B83" s="832" t="s">
        <v>2779</v>
      </c>
      <c r="C83" s="832" t="s">
        <v>847</v>
      </c>
      <c r="D83" s="832" t="s">
        <v>2857</v>
      </c>
      <c r="E83" s="832" t="s">
        <v>2858</v>
      </c>
      <c r="F83" s="849"/>
      <c r="G83" s="849"/>
      <c r="H83" s="849"/>
      <c r="I83" s="849"/>
      <c r="J83" s="849">
        <v>2</v>
      </c>
      <c r="K83" s="849">
        <v>924</v>
      </c>
      <c r="L83" s="849">
        <v>1</v>
      </c>
      <c r="M83" s="849">
        <v>462</v>
      </c>
      <c r="N83" s="849"/>
      <c r="O83" s="849"/>
      <c r="P83" s="837"/>
      <c r="Q83" s="850"/>
    </row>
    <row r="84" spans="1:17" ht="14.45" customHeight="1" x14ac:dyDescent="0.2">
      <c r="A84" s="831" t="s">
        <v>2778</v>
      </c>
      <c r="B84" s="832" t="s">
        <v>2779</v>
      </c>
      <c r="C84" s="832" t="s">
        <v>847</v>
      </c>
      <c r="D84" s="832" t="s">
        <v>2859</v>
      </c>
      <c r="E84" s="832" t="s">
        <v>2860</v>
      </c>
      <c r="F84" s="849">
        <v>6</v>
      </c>
      <c r="G84" s="849">
        <v>3372</v>
      </c>
      <c r="H84" s="849">
        <v>2</v>
      </c>
      <c r="I84" s="849">
        <v>562</v>
      </c>
      <c r="J84" s="849">
        <v>3</v>
      </c>
      <c r="K84" s="849">
        <v>1686</v>
      </c>
      <c r="L84" s="849">
        <v>1</v>
      </c>
      <c r="M84" s="849">
        <v>562</v>
      </c>
      <c r="N84" s="849">
        <v>1</v>
      </c>
      <c r="O84" s="849">
        <v>563</v>
      </c>
      <c r="P84" s="837">
        <v>0.33392645314353497</v>
      </c>
      <c r="Q84" s="850">
        <v>563</v>
      </c>
    </row>
    <row r="85" spans="1:17" ht="14.45" customHeight="1" x14ac:dyDescent="0.2">
      <c r="A85" s="831" t="s">
        <v>2778</v>
      </c>
      <c r="B85" s="832" t="s">
        <v>2779</v>
      </c>
      <c r="C85" s="832" t="s">
        <v>847</v>
      </c>
      <c r="D85" s="832" t="s">
        <v>2861</v>
      </c>
      <c r="E85" s="832" t="s">
        <v>2862</v>
      </c>
      <c r="F85" s="849">
        <v>2</v>
      </c>
      <c r="G85" s="849">
        <v>402</v>
      </c>
      <c r="H85" s="849">
        <v>0.4</v>
      </c>
      <c r="I85" s="849">
        <v>201</v>
      </c>
      <c r="J85" s="849">
        <v>5</v>
      </c>
      <c r="K85" s="849">
        <v>1005</v>
      </c>
      <c r="L85" s="849">
        <v>1</v>
      </c>
      <c r="M85" s="849">
        <v>201</v>
      </c>
      <c r="N85" s="849">
        <v>2</v>
      </c>
      <c r="O85" s="849">
        <v>404</v>
      </c>
      <c r="P85" s="837">
        <v>0.40199004975124381</v>
      </c>
      <c r="Q85" s="850">
        <v>202</v>
      </c>
    </row>
    <row r="86" spans="1:17" ht="14.45" customHeight="1" x14ac:dyDescent="0.2">
      <c r="A86" s="831" t="s">
        <v>2778</v>
      </c>
      <c r="B86" s="832" t="s">
        <v>2779</v>
      </c>
      <c r="C86" s="832" t="s">
        <v>847</v>
      </c>
      <c r="D86" s="832" t="s">
        <v>2863</v>
      </c>
      <c r="E86" s="832" t="s">
        <v>2864</v>
      </c>
      <c r="F86" s="849"/>
      <c r="G86" s="849"/>
      <c r="H86" s="849"/>
      <c r="I86" s="849"/>
      <c r="J86" s="849"/>
      <c r="K86" s="849"/>
      <c r="L86" s="849"/>
      <c r="M86" s="849"/>
      <c r="N86" s="849">
        <v>1</v>
      </c>
      <c r="O86" s="849">
        <v>134</v>
      </c>
      <c r="P86" s="837"/>
      <c r="Q86" s="850">
        <v>134</v>
      </c>
    </row>
    <row r="87" spans="1:17" ht="14.45" customHeight="1" x14ac:dyDescent="0.2">
      <c r="A87" s="831" t="s">
        <v>2778</v>
      </c>
      <c r="B87" s="832" t="s">
        <v>2779</v>
      </c>
      <c r="C87" s="832" t="s">
        <v>847</v>
      </c>
      <c r="D87" s="832" t="s">
        <v>2865</v>
      </c>
      <c r="E87" s="832" t="s">
        <v>2866</v>
      </c>
      <c r="F87" s="849">
        <v>5</v>
      </c>
      <c r="G87" s="849">
        <v>895</v>
      </c>
      <c r="H87" s="849">
        <v>2.5</v>
      </c>
      <c r="I87" s="849">
        <v>179</v>
      </c>
      <c r="J87" s="849">
        <v>2</v>
      </c>
      <c r="K87" s="849">
        <v>358</v>
      </c>
      <c r="L87" s="849">
        <v>1</v>
      </c>
      <c r="M87" s="849">
        <v>179</v>
      </c>
      <c r="N87" s="849"/>
      <c r="O87" s="849"/>
      <c r="P87" s="837"/>
      <c r="Q87" s="850"/>
    </row>
    <row r="88" spans="1:17" ht="14.45" customHeight="1" x14ac:dyDescent="0.2">
      <c r="A88" s="831" t="s">
        <v>2778</v>
      </c>
      <c r="B88" s="832" t="s">
        <v>2779</v>
      </c>
      <c r="C88" s="832" t="s">
        <v>847</v>
      </c>
      <c r="D88" s="832" t="s">
        <v>2867</v>
      </c>
      <c r="E88" s="832" t="s">
        <v>2868</v>
      </c>
      <c r="F88" s="849">
        <v>1</v>
      </c>
      <c r="G88" s="849">
        <v>414</v>
      </c>
      <c r="H88" s="849"/>
      <c r="I88" s="849">
        <v>414</v>
      </c>
      <c r="J88" s="849"/>
      <c r="K88" s="849"/>
      <c r="L88" s="849"/>
      <c r="M88" s="849"/>
      <c r="N88" s="849"/>
      <c r="O88" s="849"/>
      <c r="P88" s="837"/>
      <c r="Q88" s="850"/>
    </row>
    <row r="89" spans="1:17" ht="14.45" customHeight="1" x14ac:dyDescent="0.2">
      <c r="A89" s="831" t="s">
        <v>2778</v>
      </c>
      <c r="B89" s="832" t="s">
        <v>2779</v>
      </c>
      <c r="C89" s="832" t="s">
        <v>847</v>
      </c>
      <c r="D89" s="832" t="s">
        <v>2869</v>
      </c>
      <c r="E89" s="832" t="s">
        <v>2870</v>
      </c>
      <c r="F89" s="849">
        <v>1</v>
      </c>
      <c r="G89" s="849">
        <v>941</v>
      </c>
      <c r="H89" s="849"/>
      <c r="I89" s="849">
        <v>941</v>
      </c>
      <c r="J89" s="849"/>
      <c r="K89" s="849"/>
      <c r="L89" s="849"/>
      <c r="M89" s="849"/>
      <c r="N89" s="849"/>
      <c r="O89" s="849"/>
      <c r="P89" s="837"/>
      <c r="Q89" s="850"/>
    </row>
    <row r="90" spans="1:17" ht="14.45" customHeight="1" x14ac:dyDescent="0.2">
      <c r="A90" s="831" t="s">
        <v>2778</v>
      </c>
      <c r="B90" s="832" t="s">
        <v>2779</v>
      </c>
      <c r="C90" s="832" t="s">
        <v>847</v>
      </c>
      <c r="D90" s="832" t="s">
        <v>2871</v>
      </c>
      <c r="E90" s="832" t="s">
        <v>2872</v>
      </c>
      <c r="F90" s="849">
        <v>1</v>
      </c>
      <c r="G90" s="849">
        <v>575</v>
      </c>
      <c r="H90" s="849"/>
      <c r="I90" s="849">
        <v>575</v>
      </c>
      <c r="J90" s="849"/>
      <c r="K90" s="849"/>
      <c r="L90" s="849"/>
      <c r="M90" s="849"/>
      <c r="N90" s="849"/>
      <c r="O90" s="849"/>
      <c r="P90" s="837"/>
      <c r="Q90" s="850"/>
    </row>
    <row r="91" spans="1:17" ht="14.45" customHeight="1" x14ac:dyDescent="0.2">
      <c r="A91" s="831" t="s">
        <v>2778</v>
      </c>
      <c r="B91" s="832" t="s">
        <v>2779</v>
      </c>
      <c r="C91" s="832" t="s">
        <v>847</v>
      </c>
      <c r="D91" s="832" t="s">
        <v>2873</v>
      </c>
      <c r="E91" s="832" t="s">
        <v>2874</v>
      </c>
      <c r="F91" s="849"/>
      <c r="G91" s="849"/>
      <c r="H91" s="849"/>
      <c r="I91" s="849"/>
      <c r="J91" s="849">
        <v>2</v>
      </c>
      <c r="K91" s="849">
        <v>622</v>
      </c>
      <c r="L91" s="849">
        <v>1</v>
      </c>
      <c r="M91" s="849">
        <v>311</v>
      </c>
      <c r="N91" s="849"/>
      <c r="O91" s="849"/>
      <c r="P91" s="837"/>
      <c r="Q91" s="850"/>
    </row>
    <row r="92" spans="1:17" ht="14.45" customHeight="1" x14ac:dyDescent="0.2">
      <c r="A92" s="831" t="s">
        <v>2778</v>
      </c>
      <c r="B92" s="832" t="s">
        <v>2779</v>
      </c>
      <c r="C92" s="832" t="s">
        <v>847</v>
      </c>
      <c r="D92" s="832" t="s">
        <v>2875</v>
      </c>
      <c r="E92" s="832" t="s">
        <v>2876</v>
      </c>
      <c r="F92" s="849">
        <v>1</v>
      </c>
      <c r="G92" s="849">
        <v>89</v>
      </c>
      <c r="H92" s="849">
        <v>0.16666666666666666</v>
      </c>
      <c r="I92" s="849">
        <v>89</v>
      </c>
      <c r="J92" s="849">
        <v>6</v>
      </c>
      <c r="K92" s="849">
        <v>534</v>
      </c>
      <c r="L92" s="849">
        <v>1</v>
      </c>
      <c r="M92" s="849">
        <v>89</v>
      </c>
      <c r="N92" s="849">
        <v>1</v>
      </c>
      <c r="O92" s="849">
        <v>89</v>
      </c>
      <c r="P92" s="837">
        <v>0.16666666666666666</v>
      </c>
      <c r="Q92" s="850">
        <v>89</v>
      </c>
    </row>
    <row r="93" spans="1:17" ht="14.45" customHeight="1" x14ac:dyDescent="0.2">
      <c r="A93" s="831" t="s">
        <v>2778</v>
      </c>
      <c r="B93" s="832" t="s">
        <v>2779</v>
      </c>
      <c r="C93" s="832" t="s">
        <v>847</v>
      </c>
      <c r="D93" s="832" t="s">
        <v>2877</v>
      </c>
      <c r="E93" s="832" t="s">
        <v>2878</v>
      </c>
      <c r="F93" s="849">
        <v>2298</v>
      </c>
      <c r="G93" s="849">
        <v>68940</v>
      </c>
      <c r="H93" s="849">
        <v>1.0890995260663507</v>
      </c>
      <c r="I93" s="849">
        <v>30</v>
      </c>
      <c r="J93" s="849">
        <v>2110</v>
      </c>
      <c r="K93" s="849">
        <v>63300</v>
      </c>
      <c r="L93" s="849">
        <v>1</v>
      </c>
      <c r="M93" s="849">
        <v>30</v>
      </c>
      <c r="N93" s="849">
        <v>1784</v>
      </c>
      <c r="O93" s="849">
        <v>53520</v>
      </c>
      <c r="P93" s="837">
        <v>0.84549763033175351</v>
      </c>
      <c r="Q93" s="850">
        <v>30</v>
      </c>
    </row>
    <row r="94" spans="1:17" ht="14.45" customHeight="1" x14ac:dyDescent="0.2">
      <c r="A94" s="831" t="s">
        <v>2778</v>
      </c>
      <c r="B94" s="832" t="s">
        <v>2779</v>
      </c>
      <c r="C94" s="832" t="s">
        <v>847</v>
      </c>
      <c r="D94" s="832" t="s">
        <v>2879</v>
      </c>
      <c r="E94" s="832" t="s">
        <v>2880</v>
      </c>
      <c r="F94" s="849"/>
      <c r="G94" s="849"/>
      <c r="H94" s="849"/>
      <c r="I94" s="849"/>
      <c r="J94" s="849">
        <v>2</v>
      </c>
      <c r="K94" s="849">
        <v>100</v>
      </c>
      <c r="L94" s="849">
        <v>1</v>
      </c>
      <c r="M94" s="849">
        <v>50</v>
      </c>
      <c r="N94" s="849">
        <v>1</v>
      </c>
      <c r="O94" s="849">
        <v>50</v>
      </c>
      <c r="P94" s="837">
        <v>0.5</v>
      </c>
      <c r="Q94" s="850">
        <v>50</v>
      </c>
    </row>
    <row r="95" spans="1:17" ht="14.45" customHeight="1" x14ac:dyDescent="0.2">
      <c r="A95" s="831" t="s">
        <v>2778</v>
      </c>
      <c r="B95" s="832" t="s">
        <v>2779</v>
      </c>
      <c r="C95" s="832" t="s">
        <v>847</v>
      </c>
      <c r="D95" s="832" t="s">
        <v>2881</v>
      </c>
      <c r="E95" s="832" t="s">
        <v>2882</v>
      </c>
      <c r="F95" s="849">
        <v>81</v>
      </c>
      <c r="G95" s="849">
        <v>972</v>
      </c>
      <c r="H95" s="849">
        <v>0.60223048327137552</v>
      </c>
      <c r="I95" s="849">
        <v>12</v>
      </c>
      <c r="J95" s="849">
        <v>134</v>
      </c>
      <c r="K95" s="849">
        <v>1614</v>
      </c>
      <c r="L95" s="849">
        <v>1</v>
      </c>
      <c r="M95" s="849">
        <v>12.044776119402986</v>
      </c>
      <c r="N95" s="849">
        <v>135</v>
      </c>
      <c r="O95" s="849">
        <v>1755</v>
      </c>
      <c r="P95" s="837">
        <v>1.0873605947955389</v>
      </c>
      <c r="Q95" s="850">
        <v>13</v>
      </c>
    </row>
    <row r="96" spans="1:17" ht="14.45" customHeight="1" x14ac:dyDescent="0.2">
      <c r="A96" s="831" t="s">
        <v>2778</v>
      </c>
      <c r="B96" s="832" t="s">
        <v>2779</v>
      </c>
      <c r="C96" s="832" t="s">
        <v>847</v>
      </c>
      <c r="D96" s="832" t="s">
        <v>2883</v>
      </c>
      <c r="E96" s="832" t="s">
        <v>2884</v>
      </c>
      <c r="F96" s="849">
        <v>6</v>
      </c>
      <c r="G96" s="849">
        <v>1098</v>
      </c>
      <c r="H96" s="849">
        <v>0.6</v>
      </c>
      <c r="I96" s="849">
        <v>183</v>
      </c>
      <c r="J96" s="849">
        <v>10</v>
      </c>
      <c r="K96" s="849">
        <v>1830</v>
      </c>
      <c r="L96" s="849">
        <v>1</v>
      </c>
      <c r="M96" s="849">
        <v>183</v>
      </c>
      <c r="N96" s="849">
        <v>11</v>
      </c>
      <c r="O96" s="849">
        <v>2024</v>
      </c>
      <c r="P96" s="837">
        <v>1.1060109289617486</v>
      </c>
      <c r="Q96" s="850">
        <v>184</v>
      </c>
    </row>
    <row r="97" spans="1:17" ht="14.45" customHeight="1" x14ac:dyDescent="0.2">
      <c r="A97" s="831" t="s">
        <v>2778</v>
      </c>
      <c r="B97" s="832" t="s">
        <v>2779</v>
      </c>
      <c r="C97" s="832" t="s">
        <v>847</v>
      </c>
      <c r="D97" s="832" t="s">
        <v>2885</v>
      </c>
      <c r="E97" s="832" t="s">
        <v>2886</v>
      </c>
      <c r="F97" s="849">
        <v>1</v>
      </c>
      <c r="G97" s="849">
        <v>73</v>
      </c>
      <c r="H97" s="849">
        <v>4.1666666666666664E-2</v>
      </c>
      <c r="I97" s="849">
        <v>73</v>
      </c>
      <c r="J97" s="849">
        <v>24</v>
      </c>
      <c r="K97" s="849">
        <v>1752</v>
      </c>
      <c r="L97" s="849">
        <v>1</v>
      </c>
      <c r="M97" s="849">
        <v>73</v>
      </c>
      <c r="N97" s="849"/>
      <c r="O97" s="849"/>
      <c r="P97" s="837"/>
      <c r="Q97" s="850"/>
    </row>
    <row r="98" spans="1:17" ht="14.45" customHeight="1" x14ac:dyDescent="0.2">
      <c r="A98" s="831" t="s">
        <v>2778</v>
      </c>
      <c r="B98" s="832" t="s">
        <v>2779</v>
      </c>
      <c r="C98" s="832" t="s">
        <v>847</v>
      </c>
      <c r="D98" s="832" t="s">
        <v>2887</v>
      </c>
      <c r="E98" s="832" t="s">
        <v>2888</v>
      </c>
      <c r="F98" s="849">
        <v>1</v>
      </c>
      <c r="G98" s="849">
        <v>184</v>
      </c>
      <c r="H98" s="849">
        <v>0.33333333333333331</v>
      </c>
      <c r="I98" s="849">
        <v>184</v>
      </c>
      <c r="J98" s="849">
        <v>3</v>
      </c>
      <c r="K98" s="849">
        <v>552</v>
      </c>
      <c r="L98" s="849">
        <v>1</v>
      </c>
      <c r="M98" s="849">
        <v>184</v>
      </c>
      <c r="N98" s="849"/>
      <c r="O98" s="849"/>
      <c r="P98" s="837"/>
      <c r="Q98" s="850"/>
    </row>
    <row r="99" spans="1:17" ht="14.45" customHeight="1" x14ac:dyDescent="0.2">
      <c r="A99" s="831" t="s">
        <v>2778</v>
      </c>
      <c r="B99" s="832" t="s">
        <v>2779</v>
      </c>
      <c r="C99" s="832" t="s">
        <v>847</v>
      </c>
      <c r="D99" s="832" t="s">
        <v>2889</v>
      </c>
      <c r="E99" s="832" t="s">
        <v>2890</v>
      </c>
      <c r="F99" s="849">
        <v>1212</v>
      </c>
      <c r="G99" s="849">
        <v>180588</v>
      </c>
      <c r="H99" s="849">
        <v>1.2095808383233533</v>
      </c>
      <c r="I99" s="849">
        <v>149</v>
      </c>
      <c r="J99" s="849">
        <v>1002</v>
      </c>
      <c r="K99" s="849">
        <v>149298</v>
      </c>
      <c r="L99" s="849">
        <v>1</v>
      </c>
      <c r="M99" s="849">
        <v>149</v>
      </c>
      <c r="N99" s="849">
        <v>828</v>
      </c>
      <c r="O99" s="849">
        <v>124200</v>
      </c>
      <c r="P99" s="837">
        <v>0.83189326045894785</v>
      </c>
      <c r="Q99" s="850">
        <v>150</v>
      </c>
    </row>
    <row r="100" spans="1:17" ht="14.45" customHeight="1" x14ac:dyDescent="0.2">
      <c r="A100" s="831" t="s">
        <v>2778</v>
      </c>
      <c r="B100" s="832" t="s">
        <v>2779</v>
      </c>
      <c r="C100" s="832" t="s">
        <v>847</v>
      </c>
      <c r="D100" s="832" t="s">
        <v>2891</v>
      </c>
      <c r="E100" s="832" t="s">
        <v>2892</v>
      </c>
      <c r="F100" s="849">
        <v>2218</v>
      </c>
      <c r="G100" s="849">
        <v>66540</v>
      </c>
      <c r="H100" s="849">
        <v>1.0904621435594888</v>
      </c>
      <c r="I100" s="849">
        <v>30</v>
      </c>
      <c r="J100" s="849">
        <v>2034</v>
      </c>
      <c r="K100" s="849">
        <v>61020</v>
      </c>
      <c r="L100" s="849">
        <v>1</v>
      </c>
      <c r="M100" s="849">
        <v>30</v>
      </c>
      <c r="N100" s="849">
        <v>1751</v>
      </c>
      <c r="O100" s="849">
        <v>52530</v>
      </c>
      <c r="P100" s="837">
        <v>0.86086529006882995</v>
      </c>
      <c r="Q100" s="850">
        <v>30</v>
      </c>
    </row>
    <row r="101" spans="1:17" ht="14.45" customHeight="1" x14ac:dyDescent="0.2">
      <c r="A101" s="831" t="s">
        <v>2778</v>
      </c>
      <c r="B101" s="832" t="s">
        <v>2779</v>
      </c>
      <c r="C101" s="832" t="s">
        <v>847</v>
      </c>
      <c r="D101" s="832" t="s">
        <v>2893</v>
      </c>
      <c r="E101" s="832" t="s">
        <v>2894</v>
      </c>
      <c r="F101" s="849">
        <v>10</v>
      </c>
      <c r="G101" s="849">
        <v>310</v>
      </c>
      <c r="H101" s="849">
        <v>1</v>
      </c>
      <c r="I101" s="849">
        <v>31</v>
      </c>
      <c r="J101" s="849">
        <v>10</v>
      </c>
      <c r="K101" s="849">
        <v>310</v>
      </c>
      <c r="L101" s="849">
        <v>1</v>
      </c>
      <c r="M101" s="849">
        <v>31</v>
      </c>
      <c r="N101" s="849">
        <v>12</v>
      </c>
      <c r="O101" s="849">
        <v>372</v>
      </c>
      <c r="P101" s="837">
        <v>1.2</v>
      </c>
      <c r="Q101" s="850">
        <v>31</v>
      </c>
    </row>
    <row r="102" spans="1:17" ht="14.45" customHeight="1" x14ac:dyDescent="0.2">
      <c r="A102" s="831" t="s">
        <v>2778</v>
      </c>
      <c r="B102" s="832" t="s">
        <v>2779</v>
      </c>
      <c r="C102" s="832" t="s">
        <v>847</v>
      </c>
      <c r="D102" s="832" t="s">
        <v>2895</v>
      </c>
      <c r="E102" s="832" t="s">
        <v>2896</v>
      </c>
      <c r="F102" s="849">
        <v>97</v>
      </c>
      <c r="G102" s="849">
        <v>2619</v>
      </c>
      <c r="H102" s="849">
        <v>1.0496993987975951</v>
      </c>
      <c r="I102" s="849">
        <v>27</v>
      </c>
      <c r="J102" s="849">
        <v>92</v>
      </c>
      <c r="K102" s="849">
        <v>2495</v>
      </c>
      <c r="L102" s="849">
        <v>1</v>
      </c>
      <c r="M102" s="849">
        <v>27.119565217391305</v>
      </c>
      <c r="N102" s="849">
        <v>66</v>
      </c>
      <c r="O102" s="849">
        <v>1848</v>
      </c>
      <c r="P102" s="837">
        <v>0.74068136272545093</v>
      </c>
      <c r="Q102" s="850">
        <v>28</v>
      </c>
    </row>
    <row r="103" spans="1:17" ht="14.45" customHeight="1" x14ac:dyDescent="0.2">
      <c r="A103" s="831" t="s">
        <v>2778</v>
      </c>
      <c r="B103" s="832" t="s">
        <v>2779</v>
      </c>
      <c r="C103" s="832" t="s">
        <v>847</v>
      </c>
      <c r="D103" s="832" t="s">
        <v>2897</v>
      </c>
      <c r="E103" s="832" t="s">
        <v>2898</v>
      </c>
      <c r="F103" s="849">
        <v>1</v>
      </c>
      <c r="G103" s="849">
        <v>163</v>
      </c>
      <c r="H103" s="849">
        <v>0.5</v>
      </c>
      <c r="I103" s="849">
        <v>163</v>
      </c>
      <c r="J103" s="849">
        <v>2</v>
      </c>
      <c r="K103" s="849">
        <v>326</v>
      </c>
      <c r="L103" s="849">
        <v>1</v>
      </c>
      <c r="M103" s="849">
        <v>163</v>
      </c>
      <c r="N103" s="849">
        <v>2</v>
      </c>
      <c r="O103" s="849">
        <v>326</v>
      </c>
      <c r="P103" s="837">
        <v>1</v>
      </c>
      <c r="Q103" s="850">
        <v>163</v>
      </c>
    </row>
    <row r="104" spans="1:17" ht="14.45" customHeight="1" x14ac:dyDescent="0.2">
      <c r="A104" s="831" t="s">
        <v>2778</v>
      </c>
      <c r="B104" s="832" t="s">
        <v>2779</v>
      </c>
      <c r="C104" s="832" t="s">
        <v>847</v>
      </c>
      <c r="D104" s="832" t="s">
        <v>2899</v>
      </c>
      <c r="E104" s="832" t="s">
        <v>2900</v>
      </c>
      <c r="F104" s="849">
        <v>8</v>
      </c>
      <c r="G104" s="849">
        <v>176</v>
      </c>
      <c r="H104" s="849">
        <v>0.3188405797101449</v>
      </c>
      <c r="I104" s="849">
        <v>22</v>
      </c>
      <c r="J104" s="849">
        <v>25</v>
      </c>
      <c r="K104" s="849">
        <v>552</v>
      </c>
      <c r="L104" s="849">
        <v>1</v>
      </c>
      <c r="M104" s="849">
        <v>22.08</v>
      </c>
      <c r="N104" s="849">
        <v>18</v>
      </c>
      <c r="O104" s="849">
        <v>414</v>
      </c>
      <c r="P104" s="837">
        <v>0.75</v>
      </c>
      <c r="Q104" s="850">
        <v>23</v>
      </c>
    </row>
    <row r="105" spans="1:17" ht="14.45" customHeight="1" x14ac:dyDescent="0.2">
      <c r="A105" s="831" t="s">
        <v>2778</v>
      </c>
      <c r="B105" s="832" t="s">
        <v>2779</v>
      </c>
      <c r="C105" s="832" t="s">
        <v>847</v>
      </c>
      <c r="D105" s="832" t="s">
        <v>2901</v>
      </c>
      <c r="E105" s="832" t="s">
        <v>2902</v>
      </c>
      <c r="F105" s="849">
        <v>17</v>
      </c>
      <c r="G105" s="849">
        <v>14790</v>
      </c>
      <c r="H105" s="849">
        <v>1.0599111365916583</v>
      </c>
      <c r="I105" s="849">
        <v>870</v>
      </c>
      <c r="J105" s="849">
        <v>16</v>
      </c>
      <c r="K105" s="849">
        <v>13954</v>
      </c>
      <c r="L105" s="849">
        <v>1</v>
      </c>
      <c r="M105" s="849">
        <v>872.125</v>
      </c>
      <c r="N105" s="849">
        <v>31</v>
      </c>
      <c r="O105" s="849">
        <v>27218</v>
      </c>
      <c r="P105" s="837">
        <v>1.9505518131001862</v>
      </c>
      <c r="Q105" s="850">
        <v>878</v>
      </c>
    </row>
    <row r="106" spans="1:17" ht="14.45" customHeight="1" x14ac:dyDescent="0.2">
      <c r="A106" s="831" t="s">
        <v>2778</v>
      </c>
      <c r="B106" s="832" t="s">
        <v>2779</v>
      </c>
      <c r="C106" s="832" t="s">
        <v>847</v>
      </c>
      <c r="D106" s="832" t="s">
        <v>2903</v>
      </c>
      <c r="E106" s="832" t="s">
        <v>2904</v>
      </c>
      <c r="F106" s="849">
        <v>109</v>
      </c>
      <c r="G106" s="849">
        <v>2725</v>
      </c>
      <c r="H106" s="849">
        <v>0.97810480976310121</v>
      </c>
      <c r="I106" s="849">
        <v>25</v>
      </c>
      <c r="J106" s="849">
        <v>111</v>
      </c>
      <c r="K106" s="849">
        <v>2786</v>
      </c>
      <c r="L106" s="849">
        <v>1</v>
      </c>
      <c r="M106" s="849">
        <v>25.099099099099099</v>
      </c>
      <c r="N106" s="849">
        <v>119</v>
      </c>
      <c r="O106" s="849">
        <v>3094</v>
      </c>
      <c r="P106" s="837">
        <v>1.1105527638190955</v>
      </c>
      <c r="Q106" s="850">
        <v>26</v>
      </c>
    </row>
    <row r="107" spans="1:17" ht="14.45" customHeight="1" x14ac:dyDescent="0.2">
      <c r="A107" s="831" t="s">
        <v>2778</v>
      </c>
      <c r="B107" s="832" t="s">
        <v>2779</v>
      </c>
      <c r="C107" s="832" t="s">
        <v>847</v>
      </c>
      <c r="D107" s="832" t="s">
        <v>2905</v>
      </c>
      <c r="E107" s="832" t="s">
        <v>2906</v>
      </c>
      <c r="F107" s="849">
        <v>28</v>
      </c>
      <c r="G107" s="849">
        <v>924</v>
      </c>
      <c r="H107" s="849">
        <v>1</v>
      </c>
      <c r="I107" s="849">
        <v>33</v>
      </c>
      <c r="J107" s="849">
        <v>28</v>
      </c>
      <c r="K107" s="849">
        <v>924</v>
      </c>
      <c r="L107" s="849">
        <v>1</v>
      </c>
      <c r="M107" s="849">
        <v>33</v>
      </c>
      <c r="N107" s="849">
        <v>24</v>
      </c>
      <c r="O107" s="849">
        <v>792</v>
      </c>
      <c r="P107" s="837">
        <v>0.8571428571428571</v>
      </c>
      <c r="Q107" s="850">
        <v>33</v>
      </c>
    </row>
    <row r="108" spans="1:17" ht="14.45" customHeight="1" x14ac:dyDescent="0.2">
      <c r="A108" s="831" t="s">
        <v>2778</v>
      </c>
      <c r="B108" s="832" t="s">
        <v>2779</v>
      </c>
      <c r="C108" s="832" t="s">
        <v>847</v>
      </c>
      <c r="D108" s="832" t="s">
        <v>2907</v>
      </c>
      <c r="E108" s="832" t="s">
        <v>2908</v>
      </c>
      <c r="F108" s="849">
        <v>10</v>
      </c>
      <c r="G108" s="849">
        <v>300</v>
      </c>
      <c r="H108" s="849">
        <v>0.52631578947368418</v>
      </c>
      <c r="I108" s="849">
        <v>30</v>
      </c>
      <c r="J108" s="849">
        <v>19</v>
      </c>
      <c r="K108" s="849">
        <v>570</v>
      </c>
      <c r="L108" s="849">
        <v>1</v>
      </c>
      <c r="M108" s="849">
        <v>30</v>
      </c>
      <c r="N108" s="849">
        <v>13</v>
      </c>
      <c r="O108" s="849">
        <v>390</v>
      </c>
      <c r="P108" s="837">
        <v>0.68421052631578949</v>
      </c>
      <c r="Q108" s="850">
        <v>30</v>
      </c>
    </row>
    <row r="109" spans="1:17" ht="14.45" customHeight="1" x14ac:dyDescent="0.2">
      <c r="A109" s="831" t="s">
        <v>2778</v>
      </c>
      <c r="B109" s="832" t="s">
        <v>2779</v>
      </c>
      <c r="C109" s="832" t="s">
        <v>847</v>
      </c>
      <c r="D109" s="832" t="s">
        <v>2909</v>
      </c>
      <c r="E109" s="832" t="s">
        <v>2910</v>
      </c>
      <c r="F109" s="849">
        <v>1</v>
      </c>
      <c r="G109" s="849">
        <v>205</v>
      </c>
      <c r="H109" s="849">
        <v>0.33333333333333331</v>
      </c>
      <c r="I109" s="849">
        <v>205</v>
      </c>
      <c r="J109" s="849">
        <v>3</v>
      </c>
      <c r="K109" s="849">
        <v>615</v>
      </c>
      <c r="L109" s="849">
        <v>1</v>
      </c>
      <c r="M109" s="849">
        <v>205</v>
      </c>
      <c r="N109" s="849">
        <v>1</v>
      </c>
      <c r="O109" s="849">
        <v>204</v>
      </c>
      <c r="P109" s="837">
        <v>0.33170731707317075</v>
      </c>
      <c r="Q109" s="850">
        <v>204</v>
      </c>
    </row>
    <row r="110" spans="1:17" ht="14.45" customHeight="1" x14ac:dyDescent="0.2">
      <c r="A110" s="831" t="s">
        <v>2778</v>
      </c>
      <c r="B110" s="832" t="s">
        <v>2779</v>
      </c>
      <c r="C110" s="832" t="s">
        <v>847</v>
      </c>
      <c r="D110" s="832" t="s">
        <v>2911</v>
      </c>
      <c r="E110" s="832" t="s">
        <v>2912</v>
      </c>
      <c r="F110" s="849">
        <v>55</v>
      </c>
      <c r="G110" s="849">
        <v>1430</v>
      </c>
      <c r="H110" s="849">
        <v>1.5277777777777777</v>
      </c>
      <c r="I110" s="849">
        <v>26</v>
      </c>
      <c r="J110" s="849">
        <v>36</v>
      </c>
      <c r="K110" s="849">
        <v>936</v>
      </c>
      <c r="L110" s="849">
        <v>1</v>
      </c>
      <c r="M110" s="849">
        <v>26</v>
      </c>
      <c r="N110" s="849">
        <v>31</v>
      </c>
      <c r="O110" s="849">
        <v>806</v>
      </c>
      <c r="P110" s="837">
        <v>0.86111111111111116</v>
      </c>
      <c r="Q110" s="850">
        <v>26</v>
      </c>
    </row>
    <row r="111" spans="1:17" ht="14.45" customHeight="1" x14ac:dyDescent="0.2">
      <c r="A111" s="831" t="s">
        <v>2778</v>
      </c>
      <c r="B111" s="832" t="s">
        <v>2779</v>
      </c>
      <c r="C111" s="832" t="s">
        <v>847</v>
      </c>
      <c r="D111" s="832" t="s">
        <v>2913</v>
      </c>
      <c r="E111" s="832" t="s">
        <v>2914</v>
      </c>
      <c r="F111" s="849">
        <v>1</v>
      </c>
      <c r="G111" s="849">
        <v>84</v>
      </c>
      <c r="H111" s="849">
        <v>1</v>
      </c>
      <c r="I111" s="849">
        <v>84</v>
      </c>
      <c r="J111" s="849">
        <v>1</v>
      </c>
      <c r="K111" s="849">
        <v>84</v>
      </c>
      <c r="L111" s="849">
        <v>1</v>
      </c>
      <c r="M111" s="849">
        <v>84</v>
      </c>
      <c r="N111" s="849">
        <v>1</v>
      </c>
      <c r="O111" s="849">
        <v>84</v>
      </c>
      <c r="P111" s="837">
        <v>1</v>
      </c>
      <c r="Q111" s="850">
        <v>84</v>
      </c>
    </row>
    <row r="112" spans="1:17" ht="14.45" customHeight="1" x14ac:dyDescent="0.2">
      <c r="A112" s="831" t="s">
        <v>2778</v>
      </c>
      <c r="B112" s="832" t="s">
        <v>2779</v>
      </c>
      <c r="C112" s="832" t="s">
        <v>847</v>
      </c>
      <c r="D112" s="832" t="s">
        <v>2915</v>
      </c>
      <c r="E112" s="832" t="s">
        <v>2916</v>
      </c>
      <c r="F112" s="849">
        <v>6</v>
      </c>
      <c r="G112" s="849">
        <v>1056</v>
      </c>
      <c r="H112" s="849">
        <v>0.66666666666666663</v>
      </c>
      <c r="I112" s="849">
        <v>176</v>
      </c>
      <c r="J112" s="849">
        <v>9</v>
      </c>
      <c r="K112" s="849">
        <v>1584</v>
      </c>
      <c r="L112" s="849">
        <v>1</v>
      </c>
      <c r="M112" s="849">
        <v>176</v>
      </c>
      <c r="N112" s="849">
        <v>12</v>
      </c>
      <c r="O112" s="849">
        <v>2124</v>
      </c>
      <c r="P112" s="837">
        <v>1.3409090909090908</v>
      </c>
      <c r="Q112" s="850">
        <v>177</v>
      </c>
    </row>
    <row r="113" spans="1:17" ht="14.45" customHeight="1" x14ac:dyDescent="0.2">
      <c r="A113" s="831" t="s">
        <v>2778</v>
      </c>
      <c r="B113" s="832" t="s">
        <v>2779</v>
      </c>
      <c r="C113" s="832" t="s">
        <v>847</v>
      </c>
      <c r="D113" s="832" t="s">
        <v>2917</v>
      </c>
      <c r="E113" s="832" t="s">
        <v>2918</v>
      </c>
      <c r="F113" s="849">
        <v>1</v>
      </c>
      <c r="G113" s="849">
        <v>253</v>
      </c>
      <c r="H113" s="849">
        <v>0.2</v>
      </c>
      <c r="I113" s="849">
        <v>253</v>
      </c>
      <c r="J113" s="849">
        <v>5</v>
      </c>
      <c r="K113" s="849">
        <v>1265</v>
      </c>
      <c r="L113" s="849">
        <v>1</v>
      </c>
      <c r="M113" s="849">
        <v>253</v>
      </c>
      <c r="N113" s="849"/>
      <c r="O113" s="849"/>
      <c r="P113" s="837"/>
      <c r="Q113" s="850"/>
    </row>
    <row r="114" spans="1:17" ht="14.45" customHeight="1" x14ac:dyDescent="0.2">
      <c r="A114" s="831" t="s">
        <v>2778</v>
      </c>
      <c r="B114" s="832" t="s">
        <v>2779</v>
      </c>
      <c r="C114" s="832" t="s">
        <v>847</v>
      </c>
      <c r="D114" s="832" t="s">
        <v>2919</v>
      </c>
      <c r="E114" s="832" t="s">
        <v>2920</v>
      </c>
      <c r="F114" s="849">
        <v>183</v>
      </c>
      <c r="G114" s="849">
        <v>2745</v>
      </c>
      <c r="H114" s="849">
        <v>1.1836998706338939</v>
      </c>
      <c r="I114" s="849">
        <v>15</v>
      </c>
      <c r="J114" s="849">
        <v>154</v>
      </c>
      <c r="K114" s="849">
        <v>2319</v>
      </c>
      <c r="L114" s="849">
        <v>1</v>
      </c>
      <c r="M114" s="849">
        <v>15.058441558441558</v>
      </c>
      <c r="N114" s="849">
        <v>163</v>
      </c>
      <c r="O114" s="849">
        <v>2608</v>
      </c>
      <c r="P114" s="837">
        <v>1.1246226821905994</v>
      </c>
      <c r="Q114" s="850">
        <v>16</v>
      </c>
    </row>
    <row r="115" spans="1:17" ht="14.45" customHeight="1" x14ac:dyDescent="0.2">
      <c r="A115" s="831" t="s">
        <v>2778</v>
      </c>
      <c r="B115" s="832" t="s">
        <v>2779</v>
      </c>
      <c r="C115" s="832" t="s">
        <v>847</v>
      </c>
      <c r="D115" s="832" t="s">
        <v>2921</v>
      </c>
      <c r="E115" s="832" t="s">
        <v>2922</v>
      </c>
      <c r="F115" s="849">
        <v>91</v>
      </c>
      <c r="G115" s="849">
        <v>2093</v>
      </c>
      <c r="H115" s="849">
        <v>1.0340909090909092</v>
      </c>
      <c r="I115" s="849">
        <v>23</v>
      </c>
      <c r="J115" s="849">
        <v>88</v>
      </c>
      <c r="K115" s="849">
        <v>2024</v>
      </c>
      <c r="L115" s="849">
        <v>1</v>
      </c>
      <c r="M115" s="849">
        <v>23</v>
      </c>
      <c r="N115" s="849">
        <v>83</v>
      </c>
      <c r="O115" s="849">
        <v>1909</v>
      </c>
      <c r="P115" s="837">
        <v>0.94318181818181823</v>
      </c>
      <c r="Q115" s="850">
        <v>23</v>
      </c>
    </row>
    <row r="116" spans="1:17" ht="14.45" customHeight="1" x14ac:dyDescent="0.2">
      <c r="A116" s="831" t="s">
        <v>2778</v>
      </c>
      <c r="B116" s="832" t="s">
        <v>2779</v>
      </c>
      <c r="C116" s="832" t="s">
        <v>847</v>
      </c>
      <c r="D116" s="832" t="s">
        <v>2923</v>
      </c>
      <c r="E116" s="832" t="s">
        <v>2924</v>
      </c>
      <c r="F116" s="849">
        <v>1</v>
      </c>
      <c r="G116" s="849">
        <v>252</v>
      </c>
      <c r="H116" s="849">
        <v>0.33333333333333331</v>
      </c>
      <c r="I116" s="849">
        <v>252</v>
      </c>
      <c r="J116" s="849">
        <v>3</v>
      </c>
      <c r="K116" s="849">
        <v>756</v>
      </c>
      <c r="L116" s="849">
        <v>1</v>
      </c>
      <c r="M116" s="849">
        <v>252</v>
      </c>
      <c r="N116" s="849"/>
      <c r="O116" s="849"/>
      <c r="P116" s="837"/>
      <c r="Q116" s="850"/>
    </row>
    <row r="117" spans="1:17" ht="14.45" customHeight="1" x14ac:dyDescent="0.2">
      <c r="A117" s="831" t="s">
        <v>2778</v>
      </c>
      <c r="B117" s="832" t="s">
        <v>2779</v>
      </c>
      <c r="C117" s="832" t="s">
        <v>847</v>
      </c>
      <c r="D117" s="832" t="s">
        <v>2925</v>
      </c>
      <c r="E117" s="832" t="s">
        <v>2926</v>
      </c>
      <c r="F117" s="849">
        <v>1</v>
      </c>
      <c r="G117" s="849">
        <v>37</v>
      </c>
      <c r="H117" s="849">
        <v>1</v>
      </c>
      <c r="I117" s="849">
        <v>37</v>
      </c>
      <c r="J117" s="849">
        <v>1</v>
      </c>
      <c r="K117" s="849">
        <v>37</v>
      </c>
      <c r="L117" s="849">
        <v>1</v>
      </c>
      <c r="M117" s="849">
        <v>37</v>
      </c>
      <c r="N117" s="849"/>
      <c r="O117" s="849"/>
      <c r="P117" s="837"/>
      <c r="Q117" s="850"/>
    </row>
    <row r="118" spans="1:17" ht="14.45" customHeight="1" x14ac:dyDescent="0.2">
      <c r="A118" s="831" t="s">
        <v>2778</v>
      </c>
      <c r="B118" s="832" t="s">
        <v>2779</v>
      </c>
      <c r="C118" s="832" t="s">
        <v>847</v>
      </c>
      <c r="D118" s="832" t="s">
        <v>2927</v>
      </c>
      <c r="E118" s="832" t="s">
        <v>2928</v>
      </c>
      <c r="F118" s="849">
        <v>2183</v>
      </c>
      <c r="G118" s="849">
        <v>50209</v>
      </c>
      <c r="H118" s="849">
        <v>1.095333667837431</v>
      </c>
      <c r="I118" s="849">
        <v>23</v>
      </c>
      <c r="J118" s="849">
        <v>1993</v>
      </c>
      <c r="K118" s="849">
        <v>45839</v>
      </c>
      <c r="L118" s="849">
        <v>1</v>
      </c>
      <c r="M118" s="849">
        <v>23</v>
      </c>
      <c r="N118" s="849">
        <v>1664</v>
      </c>
      <c r="O118" s="849">
        <v>38272</v>
      </c>
      <c r="P118" s="837">
        <v>0.83492222779729053</v>
      </c>
      <c r="Q118" s="850">
        <v>23</v>
      </c>
    </row>
    <row r="119" spans="1:17" ht="14.45" customHeight="1" x14ac:dyDescent="0.2">
      <c r="A119" s="831" t="s">
        <v>2778</v>
      </c>
      <c r="B119" s="832" t="s">
        <v>2779</v>
      </c>
      <c r="C119" s="832" t="s">
        <v>847</v>
      </c>
      <c r="D119" s="832" t="s">
        <v>2929</v>
      </c>
      <c r="E119" s="832" t="s">
        <v>2930</v>
      </c>
      <c r="F119" s="849">
        <v>3</v>
      </c>
      <c r="G119" s="849">
        <v>1200</v>
      </c>
      <c r="H119" s="849">
        <v>2.9925187032418954</v>
      </c>
      <c r="I119" s="849">
        <v>400</v>
      </c>
      <c r="J119" s="849">
        <v>1</v>
      </c>
      <c r="K119" s="849">
        <v>401</v>
      </c>
      <c r="L119" s="849">
        <v>1</v>
      </c>
      <c r="M119" s="849">
        <v>401</v>
      </c>
      <c r="N119" s="849"/>
      <c r="O119" s="849"/>
      <c r="P119" s="837"/>
      <c r="Q119" s="850"/>
    </row>
    <row r="120" spans="1:17" ht="14.45" customHeight="1" x14ac:dyDescent="0.2">
      <c r="A120" s="831" t="s">
        <v>2778</v>
      </c>
      <c r="B120" s="832" t="s">
        <v>2779</v>
      </c>
      <c r="C120" s="832" t="s">
        <v>847</v>
      </c>
      <c r="D120" s="832" t="s">
        <v>2931</v>
      </c>
      <c r="E120" s="832" t="s">
        <v>2932</v>
      </c>
      <c r="F120" s="849">
        <v>3</v>
      </c>
      <c r="G120" s="849">
        <v>513</v>
      </c>
      <c r="H120" s="849"/>
      <c r="I120" s="849">
        <v>171</v>
      </c>
      <c r="J120" s="849"/>
      <c r="K120" s="849"/>
      <c r="L120" s="849"/>
      <c r="M120" s="849"/>
      <c r="N120" s="849"/>
      <c r="O120" s="849"/>
      <c r="P120" s="837"/>
      <c r="Q120" s="850"/>
    </row>
    <row r="121" spans="1:17" ht="14.45" customHeight="1" x14ac:dyDescent="0.2">
      <c r="A121" s="831" t="s">
        <v>2778</v>
      </c>
      <c r="B121" s="832" t="s">
        <v>2779</v>
      </c>
      <c r="C121" s="832" t="s">
        <v>847</v>
      </c>
      <c r="D121" s="832" t="s">
        <v>2933</v>
      </c>
      <c r="E121" s="832" t="s">
        <v>2934</v>
      </c>
      <c r="F121" s="849">
        <v>2</v>
      </c>
      <c r="G121" s="849">
        <v>662</v>
      </c>
      <c r="H121" s="849"/>
      <c r="I121" s="849">
        <v>331</v>
      </c>
      <c r="J121" s="849"/>
      <c r="K121" s="849"/>
      <c r="L121" s="849"/>
      <c r="M121" s="849"/>
      <c r="N121" s="849"/>
      <c r="O121" s="849"/>
      <c r="P121" s="837"/>
      <c r="Q121" s="850"/>
    </row>
    <row r="122" spans="1:17" ht="14.45" customHeight="1" x14ac:dyDescent="0.2">
      <c r="A122" s="831" t="s">
        <v>2778</v>
      </c>
      <c r="B122" s="832" t="s">
        <v>2779</v>
      </c>
      <c r="C122" s="832" t="s">
        <v>847</v>
      </c>
      <c r="D122" s="832" t="s">
        <v>2935</v>
      </c>
      <c r="E122" s="832" t="s">
        <v>2936</v>
      </c>
      <c r="F122" s="849">
        <v>28</v>
      </c>
      <c r="G122" s="849">
        <v>7756</v>
      </c>
      <c r="H122" s="849">
        <v>0.58333333333333337</v>
      </c>
      <c r="I122" s="849">
        <v>277</v>
      </c>
      <c r="J122" s="849">
        <v>48</v>
      </c>
      <c r="K122" s="849">
        <v>13296</v>
      </c>
      <c r="L122" s="849">
        <v>1</v>
      </c>
      <c r="M122" s="849">
        <v>277</v>
      </c>
      <c r="N122" s="849">
        <v>52</v>
      </c>
      <c r="O122" s="849">
        <v>14404</v>
      </c>
      <c r="P122" s="837">
        <v>1.0833333333333333</v>
      </c>
      <c r="Q122" s="850">
        <v>277</v>
      </c>
    </row>
    <row r="123" spans="1:17" ht="14.45" customHeight="1" x14ac:dyDescent="0.2">
      <c r="A123" s="831" t="s">
        <v>2778</v>
      </c>
      <c r="B123" s="832" t="s">
        <v>2779</v>
      </c>
      <c r="C123" s="832" t="s">
        <v>847</v>
      </c>
      <c r="D123" s="832" t="s">
        <v>2937</v>
      </c>
      <c r="E123" s="832" t="s">
        <v>2938</v>
      </c>
      <c r="F123" s="849">
        <v>74</v>
      </c>
      <c r="G123" s="849">
        <v>2146</v>
      </c>
      <c r="H123" s="849">
        <v>1</v>
      </c>
      <c r="I123" s="849">
        <v>29</v>
      </c>
      <c r="J123" s="849">
        <v>74</v>
      </c>
      <c r="K123" s="849">
        <v>2146</v>
      </c>
      <c r="L123" s="849">
        <v>1</v>
      </c>
      <c r="M123" s="849">
        <v>29</v>
      </c>
      <c r="N123" s="849">
        <v>74</v>
      </c>
      <c r="O123" s="849">
        <v>2146</v>
      </c>
      <c r="P123" s="837">
        <v>1</v>
      </c>
      <c r="Q123" s="850">
        <v>29</v>
      </c>
    </row>
    <row r="124" spans="1:17" ht="14.45" customHeight="1" x14ac:dyDescent="0.2">
      <c r="A124" s="831" t="s">
        <v>2778</v>
      </c>
      <c r="B124" s="832" t="s">
        <v>2779</v>
      </c>
      <c r="C124" s="832" t="s">
        <v>847</v>
      </c>
      <c r="D124" s="832" t="s">
        <v>2939</v>
      </c>
      <c r="E124" s="832" t="s">
        <v>2940</v>
      </c>
      <c r="F124" s="849">
        <v>1</v>
      </c>
      <c r="G124" s="849">
        <v>178</v>
      </c>
      <c r="H124" s="849">
        <v>1</v>
      </c>
      <c r="I124" s="849">
        <v>178</v>
      </c>
      <c r="J124" s="849">
        <v>1</v>
      </c>
      <c r="K124" s="849">
        <v>178</v>
      </c>
      <c r="L124" s="849">
        <v>1</v>
      </c>
      <c r="M124" s="849">
        <v>178</v>
      </c>
      <c r="N124" s="849"/>
      <c r="O124" s="849"/>
      <c r="P124" s="837"/>
      <c r="Q124" s="850"/>
    </row>
    <row r="125" spans="1:17" ht="14.45" customHeight="1" x14ac:dyDescent="0.2">
      <c r="A125" s="831" t="s">
        <v>2778</v>
      </c>
      <c r="B125" s="832" t="s">
        <v>2779</v>
      </c>
      <c r="C125" s="832" t="s">
        <v>847</v>
      </c>
      <c r="D125" s="832" t="s">
        <v>2941</v>
      </c>
      <c r="E125" s="832" t="s">
        <v>2942</v>
      </c>
      <c r="F125" s="849">
        <v>2</v>
      </c>
      <c r="G125" s="849">
        <v>398</v>
      </c>
      <c r="H125" s="849">
        <v>2</v>
      </c>
      <c r="I125" s="849">
        <v>199</v>
      </c>
      <c r="J125" s="849">
        <v>1</v>
      </c>
      <c r="K125" s="849">
        <v>199</v>
      </c>
      <c r="L125" s="849">
        <v>1</v>
      </c>
      <c r="M125" s="849">
        <v>199</v>
      </c>
      <c r="N125" s="849">
        <v>2</v>
      </c>
      <c r="O125" s="849">
        <v>400</v>
      </c>
      <c r="P125" s="837">
        <v>2.0100502512562812</v>
      </c>
      <c r="Q125" s="850">
        <v>200</v>
      </c>
    </row>
    <row r="126" spans="1:17" ht="14.45" customHeight="1" x14ac:dyDescent="0.2">
      <c r="A126" s="831" t="s">
        <v>2778</v>
      </c>
      <c r="B126" s="832" t="s">
        <v>2779</v>
      </c>
      <c r="C126" s="832" t="s">
        <v>847</v>
      </c>
      <c r="D126" s="832" t="s">
        <v>2943</v>
      </c>
      <c r="E126" s="832" t="s">
        <v>2944</v>
      </c>
      <c r="F126" s="849">
        <v>52</v>
      </c>
      <c r="G126" s="849">
        <v>780</v>
      </c>
      <c r="H126" s="849">
        <v>0.82539682539682535</v>
      </c>
      <c r="I126" s="849">
        <v>15</v>
      </c>
      <c r="J126" s="849">
        <v>62</v>
      </c>
      <c r="K126" s="849">
        <v>945</v>
      </c>
      <c r="L126" s="849">
        <v>1</v>
      </c>
      <c r="M126" s="849">
        <v>15.241935483870968</v>
      </c>
      <c r="N126" s="849">
        <v>32</v>
      </c>
      <c r="O126" s="849">
        <v>512</v>
      </c>
      <c r="P126" s="837">
        <v>0.54179894179894184</v>
      </c>
      <c r="Q126" s="850">
        <v>16</v>
      </c>
    </row>
    <row r="127" spans="1:17" ht="14.45" customHeight="1" x14ac:dyDescent="0.2">
      <c r="A127" s="831" t="s">
        <v>2778</v>
      </c>
      <c r="B127" s="832" t="s">
        <v>2779</v>
      </c>
      <c r="C127" s="832" t="s">
        <v>847</v>
      </c>
      <c r="D127" s="832" t="s">
        <v>2945</v>
      </c>
      <c r="E127" s="832" t="s">
        <v>2946</v>
      </c>
      <c r="F127" s="849">
        <v>224</v>
      </c>
      <c r="G127" s="849">
        <v>4256</v>
      </c>
      <c r="H127" s="849">
        <v>0.83336596827883302</v>
      </c>
      <c r="I127" s="849">
        <v>19</v>
      </c>
      <c r="J127" s="849">
        <v>267</v>
      </c>
      <c r="K127" s="849">
        <v>5107</v>
      </c>
      <c r="L127" s="849">
        <v>1</v>
      </c>
      <c r="M127" s="849">
        <v>19.127340823970037</v>
      </c>
      <c r="N127" s="849">
        <v>260</v>
      </c>
      <c r="O127" s="849">
        <v>5200</v>
      </c>
      <c r="P127" s="837">
        <v>1.0182102995887996</v>
      </c>
      <c r="Q127" s="850">
        <v>20</v>
      </c>
    </row>
    <row r="128" spans="1:17" ht="14.45" customHeight="1" x14ac:dyDescent="0.2">
      <c r="A128" s="831" t="s">
        <v>2778</v>
      </c>
      <c r="B128" s="832" t="s">
        <v>2779</v>
      </c>
      <c r="C128" s="832" t="s">
        <v>847</v>
      </c>
      <c r="D128" s="832" t="s">
        <v>2947</v>
      </c>
      <c r="E128" s="832" t="s">
        <v>2948</v>
      </c>
      <c r="F128" s="849">
        <v>171</v>
      </c>
      <c r="G128" s="849">
        <v>3420</v>
      </c>
      <c r="H128" s="849">
        <v>1.0822784810126582</v>
      </c>
      <c r="I128" s="849">
        <v>20</v>
      </c>
      <c r="J128" s="849">
        <v>158</v>
      </c>
      <c r="K128" s="849">
        <v>3160</v>
      </c>
      <c r="L128" s="849">
        <v>1</v>
      </c>
      <c r="M128" s="849">
        <v>20</v>
      </c>
      <c r="N128" s="849">
        <v>117</v>
      </c>
      <c r="O128" s="849">
        <v>2340</v>
      </c>
      <c r="P128" s="837">
        <v>0.740506329113924</v>
      </c>
      <c r="Q128" s="850">
        <v>20</v>
      </c>
    </row>
    <row r="129" spans="1:17" ht="14.45" customHeight="1" x14ac:dyDescent="0.2">
      <c r="A129" s="831" t="s">
        <v>2778</v>
      </c>
      <c r="B129" s="832" t="s">
        <v>2779</v>
      </c>
      <c r="C129" s="832" t="s">
        <v>847</v>
      </c>
      <c r="D129" s="832" t="s">
        <v>2949</v>
      </c>
      <c r="E129" s="832" t="s">
        <v>2950</v>
      </c>
      <c r="F129" s="849">
        <v>2</v>
      </c>
      <c r="G129" s="849">
        <v>372</v>
      </c>
      <c r="H129" s="849"/>
      <c r="I129" s="849">
        <v>186</v>
      </c>
      <c r="J129" s="849"/>
      <c r="K129" s="849"/>
      <c r="L129" s="849"/>
      <c r="M129" s="849"/>
      <c r="N129" s="849">
        <v>1</v>
      </c>
      <c r="O129" s="849">
        <v>187</v>
      </c>
      <c r="P129" s="837"/>
      <c r="Q129" s="850">
        <v>187</v>
      </c>
    </row>
    <row r="130" spans="1:17" ht="14.45" customHeight="1" x14ac:dyDescent="0.2">
      <c r="A130" s="831" t="s">
        <v>2778</v>
      </c>
      <c r="B130" s="832" t="s">
        <v>2779</v>
      </c>
      <c r="C130" s="832" t="s">
        <v>847</v>
      </c>
      <c r="D130" s="832" t="s">
        <v>2951</v>
      </c>
      <c r="E130" s="832" t="s">
        <v>2952</v>
      </c>
      <c r="F130" s="849">
        <v>1</v>
      </c>
      <c r="G130" s="849">
        <v>188</v>
      </c>
      <c r="H130" s="849"/>
      <c r="I130" s="849">
        <v>188</v>
      </c>
      <c r="J130" s="849"/>
      <c r="K130" s="849"/>
      <c r="L130" s="849"/>
      <c r="M130" s="849"/>
      <c r="N130" s="849"/>
      <c r="O130" s="849"/>
      <c r="P130" s="837"/>
      <c r="Q130" s="850"/>
    </row>
    <row r="131" spans="1:17" ht="14.45" customHeight="1" x14ac:dyDescent="0.2">
      <c r="A131" s="831" t="s">
        <v>2778</v>
      </c>
      <c r="B131" s="832" t="s">
        <v>2779</v>
      </c>
      <c r="C131" s="832" t="s">
        <v>847</v>
      </c>
      <c r="D131" s="832" t="s">
        <v>2953</v>
      </c>
      <c r="E131" s="832" t="s">
        <v>2954</v>
      </c>
      <c r="F131" s="849">
        <v>135</v>
      </c>
      <c r="G131" s="849">
        <v>36180</v>
      </c>
      <c r="H131" s="849">
        <v>1.0227272727272727</v>
      </c>
      <c r="I131" s="849">
        <v>268</v>
      </c>
      <c r="J131" s="849">
        <v>132</v>
      </c>
      <c r="K131" s="849">
        <v>35376</v>
      </c>
      <c r="L131" s="849">
        <v>1</v>
      </c>
      <c r="M131" s="849">
        <v>268</v>
      </c>
      <c r="N131" s="849">
        <v>101</v>
      </c>
      <c r="O131" s="849">
        <v>27169</v>
      </c>
      <c r="P131" s="837">
        <v>0.76800655811849838</v>
      </c>
      <c r="Q131" s="850">
        <v>269</v>
      </c>
    </row>
    <row r="132" spans="1:17" ht="14.45" customHeight="1" x14ac:dyDescent="0.2">
      <c r="A132" s="831" t="s">
        <v>2778</v>
      </c>
      <c r="B132" s="832" t="s">
        <v>2779</v>
      </c>
      <c r="C132" s="832" t="s">
        <v>847</v>
      </c>
      <c r="D132" s="832" t="s">
        <v>2955</v>
      </c>
      <c r="E132" s="832" t="s">
        <v>2956</v>
      </c>
      <c r="F132" s="849">
        <v>1</v>
      </c>
      <c r="G132" s="849">
        <v>163</v>
      </c>
      <c r="H132" s="849">
        <v>0.5</v>
      </c>
      <c r="I132" s="849">
        <v>163</v>
      </c>
      <c r="J132" s="849">
        <v>2</v>
      </c>
      <c r="K132" s="849">
        <v>326</v>
      </c>
      <c r="L132" s="849">
        <v>1</v>
      </c>
      <c r="M132" s="849">
        <v>163</v>
      </c>
      <c r="N132" s="849">
        <v>2</v>
      </c>
      <c r="O132" s="849">
        <v>326</v>
      </c>
      <c r="P132" s="837">
        <v>1</v>
      </c>
      <c r="Q132" s="850">
        <v>163</v>
      </c>
    </row>
    <row r="133" spans="1:17" ht="14.45" customHeight="1" x14ac:dyDescent="0.2">
      <c r="A133" s="831" t="s">
        <v>2778</v>
      </c>
      <c r="B133" s="832" t="s">
        <v>2779</v>
      </c>
      <c r="C133" s="832" t="s">
        <v>847</v>
      </c>
      <c r="D133" s="832" t="s">
        <v>2957</v>
      </c>
      <c r="E133" s="832" t="s">
        <v>2958</v>
      </c>
      <c r="F133" s="849">
        <v>5</v>
      </c>
      <c r="G133" s="849">
        <v>420</v>
      </c>
      <c r="H133" s="849">
        <v>2.5</v>
      </c>
      <c r="I133" s="849">
        <v>84</v>
      </c>
      <c r="J133" s="849">
        <v>2</v>
      </c>
      <c r="K133" s="849">
        <v>168</v>
      </c>
      <c r="L133" s="849">
        <v>1</v>
      </c>
      <c r="M133" s="849">
        <v>84</v>
      </c>
      <c r="N133" s="849">
        <v>1</v>
      </c>
      <c r="O133" s="849">
        <v>84</v>
      </c>
      <c r="P133" s="837">
        <v>0.5</v>
      </c>
      <c r="Q133" s="850">
        <v>84</v>
      </c>
    </row>
    <row r="134" spans="1:17" ht="14.45" customHeight="1" x14ac:dyDescent="0.2">
      <c r="A134" s="831" t="s">
        <v>2778</v>
      </c>
      <c r="B134" s="832" t="s">
        <v>2779</v>
      </c>
      <c r="C134" s="832" t="s">
        <v>847</v>
      </c>
      <c r="D134" s="832" t="s">
        <v>2959</v>
      </c>
      <c r="E134" s="832" t="s">
        <v>2960</v>
      </c>
      <c r="F134" s="849">
        <v>14</v>
      </c>
      <c r="G134" s="849">
        <v>9142</v>
      </c>
      <c r="H134" s="849">
        <v>2.7957186544342507</v>
      </c>
      <c r="I134" s="849">
        <v>653</v>
      </c>
      <c r="J134" s="849">
        <v>5</v>
      </c>
      <c r="K134" s="849">
        <v>3270</v>
      </c>
      <c r="L134" s="849">
        <v>1</v>
      </c>
      <c r="M134" s="849">
        <v>654</v>
      </c>
      <c r="N134" s="849">
        <v>5</v>
      </c>
      <c r="O134" s="849">
        <v>3275</v>
      </c>
      <c r="P134" s="837">
        <v>1.0015290519877675</v>
      </c>
      <c r="Q134" s="850">
        <v>655</v>
      </c>
    </row>
    <row r="135" spans="1:17" ht="14.45" customHeight="1" x14ac:dyDescent="0.2">
      <c r="A135" s="831" t="s">
        <v>2778</v>
      </c>
      <c r="B135" s="832" t="s">
        <v>2779</v>
      </c>
      <c r="C135" s="832" t="s">
        <v>847</v>
      </c>
      <c r="D135" s="832" t="s">
        <v>2961</v>
      </c>
      <c r="E135" s="832" t="s">
        <v>2962</v>
      </c>
      <c r="F135" s="849">
        <v>5</v>
      </c>
      <c r="G135" s="849">
        <v>390</v>
      </c>
      <c r="H135" s="849">
        <v>1.6595744680851063</v>
      </c>
      <c r="I135" s="849">
        <v>78</v>
      </c>
      <c r="J135" s="849">
        <v>3</v>
      </c>
      <c r="K135" s="849">
        <v>235</v>
      </c>
      <c r="L135" s="849">
        <v>1</v>
      </c>
      <c r="M135" s="849">
        <v>78.333333333333329</v>
      </c>
      <c r="N135" s="849"/>
      <c r="O135" s="849"/>
      <c r="P135" s="837"/>
      <c r="Q135" s="850"/>
    </row>
    <row r="136" spans="1:17" ht="14.45" customHeight="1" x14ac:dyDescent="0.2">
      <c r="A136" s="831" t="s">
        <v>2778</v>
      </c>
      <c r="B136" s="832" t="s">
        <v>2779</v>
      </c>
      <c r="C136" s="832" t="s">
        <v>847</v>
      </c>
      <c r="D136" s="832" t="s">
        <v>2963</v>
      </c>
      <c r="E136" s="832" t="s">
        <v>2964</v>
      </c>
      <c r="F136" s="849">
        <v>12</v>
      </c>
      <c r="G136" s="849">
        <v>252</v>
      </c>
      <c r="H136" s="849">
        <v>0.99604743083003955</v>
      </c>
      <c r="I136" s="849">
        <v>21</v>
      </c>
      <c r="J136" s="849">
        <v>12</v>
      </c>
      <c r="K136" s="849">
        <v>253</v>
      </c>
      <c r="L136" s="849">
        <v>1</v>
      </c>
      <c r="M136" s="849">
        <v>21.083333333333332</v>
      </c>
      <c r="N136" s="849">
        <v>19</v>
      </c>
      <c r="O136" s="849">
        <v>418</v>
      </c>
      <c r="P136" s="837">
        <v>1.6521739130434783</v>
      </c>
      <c r="Q136" s="850">
        <v>22</v>
      </c>
    </row>
    <row r="137" spans="1:17" ht="14.45" customHeight="1" x14ac:dyDescent="0.2">
      <c r="A137" s="831" t="s">
        <v>2778</v>
      </c>
      <c r="B137" s="832" t="s">
        <v>2779</v>
      </c>
      <c r="C137" s="832" t="s">
        <v>847</v>
      </c>
      <c r="D137" s="832" t="s">
        <v>2965</v>
      </c>
      <c r="E137" s="832" t="s">
        <v>2966</v>
      </c>
      <c r="F137" s="849">
        <v>11</v>
      </c>
      <c r="G137" s="849">
        <v>12023</v>
      </c>
      <c r="H137" s="849">
        <v>1.8333333333333333</v>
      </c>
      <c r="I137" s="849">
        <v>1093</v>
      </c>
      <c r="J137" s="849">
        <v>6</v>
      </c>
      <c r="K137" s="849">
        <v>6558</v>
      </c>
      <c r="L137" s="849">
        <v>1</v>
      </c>
      <c r="M137" s="849">
        <v>1093</v>
      </c>
      <c r="N137" s="849">
        <v>7</v>
      </c>
      <c r="O137" s="849">
        <v>7658</v>
      </c>
      <c r="P137" s="837">
        <v>1.1677340652638</v>
      </c>
      <c r="Q137" s="850">
        <v>1094</v>
      </c>
    </row>
    <row r="138" spans="1:17" ht="14.45" customHeight="1" x14ac:dyDescent="0.2">
      <c r="A138" s="831" t="s">
        <v>2778</v>
      </c>
      <c r="B138" s="832" t="s">
        <v>2779</v>
      </c>
      <c r="C138" s="832" t="s">
        <v>847</v>
      </c>
      <c r="D138" s="832" t="s">
        <v>2967</v>
      </c>
      <c r="E138" s="832" t="s">
        <v>2968</v>
      </c>
      <c r="F138" s="849">
        <v>4</v>
      </c>
      <c r="G138" s="849">
        <v>88</v>
      </c>
      <c r="H138" s="849">
        <v>0.8</v>
      </c>
      <c r="I138" s="849">
        <v>22</v>
      </c>
      <c r="J138" s="849">
        <v>5</v>
      </c>
      <c r="K138" s="849">
        <v>110</v>
      </c>
      <c r="L138" s="849">
        <v>1</v>
      </c>
      <c r="M138" s="849">
        <v>22</v>
      </c>
      <c r="N138" s="849">
        <v>10</v>
      </c>
      <c r="O138" s="849">
        <v>220</v>
      </c>
      <c r="P138" s="837">
        <v>2</v>
      </c>
      <c r="Q138" s="850">
        <v>22</v>
      </c>
    </row>
    <row r="139" spans="1:17" ht="14.45" customHeight="1" x14ac:dyDescent="0.2">
      <c r="A139" s="831" t="s">
        <v>2778</v>
      </c>
      <c r="B139" s="832" t="s">
        <v>2779</v>
      </c>
      <c r="C139" s="832" t="s">
        <v>847</v>
      </c>
      <c r="D139" s="832" t="s">
        <v>2969</v>
      </c>
      <c r="E139" s="832" t="s">
        <v>2970</v>
      </c>
      <c r="F139" s="849">
        <v>5</v>
      </c>
      <c r="G139" s="849">
        <v>2845</v>
      </c>
      <c r="H139" s="849">
        <v>0.5</v>
      </c>
      <c r="I139" s="849">
        <v>569</v>
      </c>
      <c r="J139" s="849">
        <v>10</v>
      </c>
      <c r="K139" s="849">
        <v>5690</v>
      </c>
      <c r="L139" s="849">
        <v>1</v>
      </c>
      <c r="M139" s="849">
        <v>569</v>
      </c>
      <c r="N139" s="849">
        <v>9</v>
      </c>
      <c r="O139" s="849">
        <v>5139</v>
      </c>
      <c r="P139" s="837">
        <v>0.90316344463971876</v>
      </c>
      <c r="Q139" s="850">
        <v>571</v>
      </c>
    </row>
    <row r="140" spans="1:17" ht="14.45" customHeight="1" x14ac:dyDescent="0.2">
      <c r="A140" s="831" t="s">
        <v>2778</v>
      </c>
      <c r="B140" s="832" t="s">
        <v>2779</v>
      </c>
      <c r="C140" s="832" t="s">
        <v>847</v>
      </c>
      <c r="D140" s="832" t="s">
        <v>2971</v>
      </c>
      <c r="E140" s="832" t="s">
        <v>2972</v>
      </c>
      <c r="F140" s="849">
        <v>1</v>
      </c>
      <c r="G140" s="849">
        <v>172</v>
      </c>
      <c r="H140" s="849">
        <v>0.5</v>
      </c>
      <c r="I140" s="849">
        <v>172</v>
      </c>
      <c r="J140" s="849">
        <v>2</v>
      </c>
      <c r="K140" s="849">
        <v>344</v>
      </c>
      <c r="L140" s="849">
        <v>1</v>
      </c>
      <c r="M140" s="849">
        <v>172</v>
      </c>
      <c r="N140" s="849"/>
      <c r="O140" s="849"/>
      <c r="P140" s="837"/>
      <c r="Q140" s="850"/>
    </row>
    <row r="141" spans="1:17" ht="14.45" customHeight="1" x14ac:dyDescent="0.2">
      <c r="A141" s="831" t="s">
        <v>2778</v>
      </c>
      <c r="B141" s="832" t="s">
        <v>2779</v>
      </c>
      <c r="C141" s="832" t="s">
        <v>847</v>
      </c>
      <c r="D141" s="832" t="s">
        <v>2973</v>
      </c>
      <c r="E141" s="832" t="s">
        <v>2974</v>
      </c>
      <c r="F141" s="849">
        <v>7</v>
      </c>
      <c r="G141" s="849">
        <v>3465</v>
      </c>
      <c r="H141" s="849"/>
      <c r="I141" s="849">
        <v>495</v>
      </c>
      <c r="J141" s="849"/>
      <c r="K141" s="849"/>
      <c r="L141" s="849"/>
      <c r="M141" s="849"/>
      <c r="N141" s="849"/>
      <c r="O141" s="849"/>
      <c r="P141" s="837"/>
      <c r="Q141" s="850"/>
    </row>
    <row r="142" spans="1:17" ht="14.45" customHeight="1" x14ac:dyDescent="0.2">
      <c r="A142" s="831" t="s">
        <v>2778</v>
      </c>
      <c r="B142" s="832" t="s">
        <v>2779</v>
      </c>
      <c r="C142" s="832" t="s">
        <v>847</v>
      </c>
      <c r="D142" s="832" t="s">
        <v>2975</v>
      </c>
      <c r="E142" s="832" t="s">
        <v>2976</v>
      </c>
      <c r="F142" s="849">
        <v>44</v>
      </c>
      <c r="G142" s="849">
        <v>25476</v>
      </c>
      <c r="H142" s="849"/>
      <c r="I142" s="849">
        <v>579</v>
      </c>
      <c r="J142" s="849"/>
      <c r="K142" s="849"/>
      <c r="L142" s="849"/>
      <c r="M142" s="849"/>
      <c r="N142" s="849"/>
      <c r="O142" s="849"/>
      <c r="P142" s="837"/>
      <c r="Q142" s="850"/>
    </row>
    <row r="143" spans="1:17" ht="14.45" customHeight="1" x14ac:dyDescent="0.2">
      <c r="A143" s="831" t="s">
        <v>2778</v>
      </c>
      <c r="B143" s="832" t="s">
        <v>2779</v>
      </c>
      <c r="C143" s="832" t="s">
        <v>847</v>
      </c>
      <c r="D143" s="832" t="s">
        <v>2977</v>
      </c>
      <c r="E143" s="832" t="s">
        <v>2978</v>
      </c>
      <c r="F143" s="849">
        <v>2</v>
      </c>
      <c r="G143" s="849">
        <v>384</v>
      </c>
      <c r="H143" s="849">
        <v>0.25</v>
      </c>
      <c r="I143" s="849">
        <v>192</v>
      </c>
      <c r="J143" s="849">
        <v>8</v>
      </c>
      <c r="K143" s="849">
        <v>1536</v>
      </c>
      <c r="L143" s="849">
        <v>1</v>
      </c>
      <c r="M143" s="849">
        <v>192</v>
      </c>
      <c r="N143" s="849">
        <v>8</v>
      </c>
      <c r="O143" s="849">
        <v>1536</v>
      </c>
      <c r="P143" s="837">
        <v>1</v>
      </c>
      <c r="Q143" s="850">
        <v>192</v>
      </c>
    </row>
    <row r="144" spans="1:17" ht="14.45" customHeight="1" x14ac:dyDescent="0.2">
      <c r="A144" s="831" t="s">
        <v>2778</v>
      </c>
      <c r="B144" s="832" t="s">
        <v>2779</v>
      </c>
      <c r="C144" s="832" t="s">
        <v>847</v>
      </c>
      <c r="D144" s="832" t="s">
        <v>2979</v>
      </c>
      <c r="E144" s="832" t="s">
        <v>2980</v>
      </c>
      <c r="F144" s="849">
        <v>1</v>
      </c>
      <c r="G144" s="849">
        <v>1689</v>
      </c>
      <c r="H144" s="849">
        <v>0.16646954464813721</v>
      </c>
      <c r="I144" s="849">
        <v>1689</v>
      </c>
      <c r="J144" s="849">
        <v>6</v>
      </c>
      <c r="K144" s="849">
        <v>10146</v>
      </c>
      <c r="L144" s="849">
        <v>1</v>
      </c>
      <c r="M144" s="849">
        <v>1691</v>
      </c>
      <c r="N144" s="849">
        <v>5</v>
      </c>
      <c r="O144" s="849">
        <v>8490</v>
      </c>
      <c r="P144" s="837">
        <v>0.83678296865759905</v>
      </c>
      <c r="Q144" s="850">
        <v>1698</v>
      </c>
    </row>
    <row r="145" spans="1:17" ht="14.45" customHeight="1" x14ac:dyDescent="0.2">
      <c r="A145" s="831" t="s">
        <v>2778</v>
      </c>
      <c r="B145" s="832" t="s">
        <v>2779</v>
      </c>
      <c r="C145" s="832" t="s">
        <v>847</v>
      </c>
      <c r="D145" s="832" t="s">
        <v>2981</v>
      </c>
      <c r="E145" s="832" t="s">
        <v>2982</v>
      </c>
      <c r="F145" s="849">
        <v>68</v>
      </c>
      <c r="G145" s="849">
        <v>8636</v>
      </c>
      <c r="H145" s="849">
        <v>0.61818181818181817</v>
      </c>
      <c r="I145" s="849">
        <v>127</v>
      </c>
      <c r="J145" s="849">
        <v>110</v>
      </c>
      <c r="K145" s="849">
        <v>13970</v>
      </c>
      <c r="L145" s="849">
        <v>1</v>
      </c>
      <c r="M145" s="849">
        <v>127</v>
      </c>
      <c r="N145" s="849">
        <v>101</v>
      </c>
      <c r="O145" s="849">
        <v>12827</v>
      </c>
      <c r="P145" s="837">
        <v>0.91818181818181821</v>
      </c>
      <c r="Q145" s="850">
        <v>127</v>
      </c>
    </row>
    <row r="146" spans="1:17" ht="14.45" customHeight="1" x14ac:dyDescent="0.2">
      <c r="A146" s="831" t="s">
        <v>2778</v>
      </c>
      <c r="B146" s="832" t="s">
        <v>2779</v>
      </c>
      <c r="C146" s="832" t="s">
        <v>847</v>
      </c>
      <c r="D146" s="832" t="s">
        <v>2983</v>
      </c>
      <c r="E146" s="832" t="s">
        <v>2984</v>
      </c>
      <c r="F146" s="849"/>
      <c r="G146" s="849"/>
      <c r="H146" s="849"/>
      <c r="I146" s="849"/>
      <c r="J146" s="849"/>
      <c r="K146" s="849"/>
      <c r="L146" s="849"/>
      <c r="M146" s="849"/>
      <c r="N146" s="849">
        <v>2</v>
      </c>
      <c r="O146" s="849">
        <v>620</v>
      </c>
      <c r="P146" s="837"/>
      <c r="Q146" s="850">
        <v>310</v>
      </c>
    </row>
    <row r="147" spans="1:17" ht="14.45" customHeight="1" x14ac:dyDescent="0.2">
      <c r="A147" s="831" t="s">
        <v>2778</v>
      </c>
      <c r="B147" s="832" t="s">
        <v>2779</v>
      </c>
      <c r="C147" s="832" t="s">
        <v>847</v>
      </c>
      <c r="D147" s="832" t="s">
        <v>2985</v>
      </c>
      <c r="E147" s="832" t="s">
        <v>2986</v>
      </c>
      <c r="F147" s="849">
        <v>20</v>
      </c>
      <c r="G147" s="849">
        <v>460</v>
      </c>
      <c r="H147" s="849">
        <v>1.4285714285714286</v>
      </c>
      <c r="I147" s="849">
        <v>23</v>
      </c>
      <c r="J147" s="849">
        <v>14</v>
      </c>
      <c r="K147" s="849">
        <v>322</v>
      </c>
      <c r="L147" s="849">
        <v>1</v>
      </c>
      <c r="M147" s="849">
        <v>23</v>
      </c>
      <c r="N147" s="849">
        <v>15</v>
      </c>
      <c r="O147" s="849">
        <v>345</v>
      </c>
      <c r="P147" s="837">
        <v>1.0714285714285714</v>
      </c>
      <c r="Q147" s="850">
        <v>23</v>
      </c>
    </row>
    <row r="148" spans="1:17" ht="14.45" customHeight="1" x14ac:dyDescent="0.2">
      <c r="A148" s="831" t="s">
        <v>2778</v>
      </c>
      <c r="B148" s="832" t="s">
        <v>2779</v>
      </c>
      <c r="C148" s="832" t="s">
        <v>847</v>
      </c>
      <c r="D148" s="832" t="s">
        <v>2987</v>
      </c>
      <c r="E148" s="832" t="s">
        <v>2988</v>
      </c>
      <c r="F148" s="849">
        <v>1</v>
      </c>
      <c r="G148" s="849">
        <v>651</v>
      </c>
      <c r="H148" s="849"/>
      <c r="I148" s="849">
        <v>651</v>
      </c>
      <c r="J148" s="849"/>
      <c r="K148" s="849"/>
      <c r="L148" s="849"/>
      <c r="M148" s="849"/>
      <c r="N148" s="849"/>
      <c r="O148" s="849"/>
      <c r="P148" s="837"/>
      <c r="Q148" s="850"/>
    </row>
    <row r="149" spans="1:17" ht="14.45" customHeight="1" x14ac:dyDescent="0.2">
      <c r="A149" s="831" t="s">
        <v>2778</v>
      </c>
      <c r="B149" s="832" t="s">
        <v>2779</v>
      </c>
      <c r="C149" s="832" t="s">
        <v>847</v>
      </c>
      <c r="D149" s="832" t="s">
        <v>2989</v>
      </c>
      <c r="E149" s="832" t="s">
        <v>2990</v>
      </c>
      <c r="F149" s="849"/>
      <c r="G149" s="849"/>
      <c r="H149" s="849"/>
      <c r="I149" s="849"/>
      <c r="J149" s="849">
        <v>1</v>
      </c>
      <c r="K149" s="849">
        <v>444</v>
      </c>
      <c r="L149" s="849">
        <v>1</v>
      </c>
      <c r="M149" s="849">
        <v>444</v>
      </c>
      <c r="N149" s="849"/>
      <c r="O149" s="849"/>
      <c r="P149" s="837"/>
      <c r="Q149" s="850"/>
    </row>
    <row r="150" spans="1:17" ht="14.45" customHeight="1" x14ac:dyDescent="0.2">
      <c r="A150" s="831" t="s">
        <v>2778</v>
      </c>
      <c r="B150" s="832" t="s">
        <v>2779</v>
      </c>
      <c r="C150" s="832" t="s">
        <v>847</v>
      </c>
      <c r="D150" s="832" t="s">
        <v>2991</v>
      </c>
      <c r="E150" s="832" t="s">
        <v>2992</v>
      </c>
      <c r="F150" s="849">
        <v>1</v>
      </c>
      <c r="G150" s="849">
        <v>294</v>
      </c>
      <c r="H150" s="849"/>
      <c r="I150" s="849">
        <v>294</v>
      </c>
      <c r="J150" s="849"/>
      <c r="K150" s="849"/>
      <c r="L150" s="849"/>
      <c r="M150" s="849"/>
      <c r="N150" s="849"/>
      <c r="O150" s="849"/>
      <c r="P150" s="837"/>
      <c r="Q150" s="850"/>
    </row>
    <row r="151" spans="1:17" ht="14.45" customHeight="1" x14ac:dyDescent="0.2">
      <c r="A151" s="831" t="s">
        <v>2778</v>
      </c>
      <c r="B151" s="832" t="s">
        <v>2779</v>
      </c>
      <c r="C151" s="832" t="s">
        <v>847</v>
      </c>
      <c r="D151" s="832" t="s">
        <v>2993</v>
      </c>
      <c r="E151" s="832" t="s">
        <v>2994</v>
      </c>
      <c r="F151" s="849">
        <v>3</v>
      </c>
      <c r="G151" s="849">
        <v>1122</v>
      </c>
      <c r="H151" s="849"/>
      <c r="I151" s="849">
        <v>374</v>
      </c>
      <c r="J151" s="849"/>
      <c r="K151" s="849"/>
      <c r="L151" s="849"/>
      <c r="M151" s="849"/>
      <c r="N151" s="849"/>
      <c r="O151" s="849"/>
      <c r="P151" s="837"/>
      <c r="Q151" s="850"/>
    </row>
    <row r="152" spans="1:17" ht="14.45" customHeight="1" x14ac:dyDescent="0.2">
      <c r="A152" s="831" t="s">
        <v>2778</v>
      </c>
      <c r="B152" s="832" t="s">
        <v>2779</v>
      </c>
      <c r="C152" s="832" t="s">
        <v>847</v>
      </c>
      <c r="D152" s="832" t="s">
        <v>2995</v>
      </c>
      <c r="E152" s="832" t="s">
        <v>2996</v>
      </c>
      <c r="F152" s="849">
        <v>34</v>
      </c>
      <c r="G152" s="849">
        <v>1530</v>
      </c>
      <c r="H152" s="849">
        <v>1.0625</v>
      </c>
      <c r="I152" s="849">
        <v>45</v>
      </c>
      <c r="J152" s="849">
        <v>32</v>
      </c>
      <c r="K152" s="849">
        <v>1440</v>
      </c>
      <c r="L152" s="849">
        <v>1</v>
      </c>
      <c r="M152" s="849">
        <v>45</v>
      </c>
      <c r="N152" s="849">
        <v>25</v>
      </c>
      <c r="O152" s="849">
        <v>1125</v>
      </c>
      <c r="P152" s="837">
        <v>0.78125</v>
      </c>
      <c r="Q152" s="850">
        <v>45</v>
      </c>
    </row>
    <row r="153" spans="1:17" ht="14.45" customHeight="1" x14ac:dyDescent="0.2">
      <c r="A153" s="831" t="s">
        <v>2778</v>
      </c>
      <c r="B153" s="832" t="s">
        <v>2779</v>
      </c>
      <c r="C153" s="832" t="s">
        <v>847</v>
      </c>
      <c r="D153" s="832" t="s">
        <v>2997</v>
      </c>
      <c r="E153" s="832" t="s">
        <v>2843</v>
      </c>
      <c r="F153" s="849">
        <v>6</v>
      </c>
      <c r="G153" s="849">
        <v>1122</v>
      </c>
      <c r="H153" s="849">
        <v>1.2</v>
      </c>
      <c r="I153" s="849">
        <v>187</v>
      </c>
      <c r="J153" s="849">
        <v>5</v>
      </c>
      <c r="K153" s="849">
        <v>935</v>
      </c>
      <c r="L153" s="849">
        <v>1</v>
      </c>
      <c r="M153" s="849">
        <v>187</v>
      </c>
      <c r="N153" s="849">
        <v>3</v>
      </c>
      <c r="O153" s="849">
        <v>564</v>
      </c>
      <c r="P153" s="837">
        <v>0.60320855614973257</v>
      </c>
      <c r="Q153" s="850">
        <v>188</v>
      </c>
    </row>
    <row r="154" spans="1:17" ht="14.45" customHeight="1" x14ac:dyDescent="0.2">
      <c r="A154" s="831" t="s">
        <v>2778</v>
      </c>
      <c r="B154" s="832" t="s">
        <v>2779</v>
      </c>
      <c r="C154" s="832" t="s">
        <v>847</v>
      </c>
      <c r="D154" s="832" t="s">
        <v>2998</v>
      </c>
      <c r="E154" s="832" t="s">
        <v>2999</v>
      </c>
      <c r="F154" s="849">
        <v>1</v>
      </c>
      <c r="G154" s="849">
        <v>146</v>
      </c>
      <c r="H154" s="849">
        <v>0.5</v>
      </c>
      <c r="I154" s="849">
        <v>146</v>
      </c>
      <c r="J154" s="849">
        <v>2</v>
      </c>
      <c r="K154" s="849">
        <v>292</v>
      </c>
      <c r="L154" s="849">
        <v>1</v>
      </c>
      <c r="M154" s="849">
        <v>146</v>
      </c>
      <c r="N154" s="849">
        <v>2</v>
      </c>
      <c r="O154" s="849">
        <v>292</v>
      </c>
      <c r="P154" s="837">
        <v>1</v>
      </c>
      <c r="Q154" s="850">
        <v>146</v>
      </c>
    </row>
    <row r="155" spans="1:17" ht="14.45" customHeight="1" x14ac:dyDescent="0.2">
      <c r="A155" s="831" t="s">
        <v>2778</v>
      </c>
      <c r="B155" s="832" t="s">
        <v>2779</v>
      </c>
      <c r="C155" s="832" t="s">
        <v>847</v>
      </c>
      <c r="D155" s="832" t="s">
        <v>3000</v>
      </c>
      <c r="E155" s="832" t="s">
        <v>3001</v>
      </c>
      <c r="F155" s="849"/>
      <c r="G155" s="849"/>
      <c r="H155" s="849"/>
      <c r="I155" s="849"/>
      <c r="J155" s="849">
        <v>14</v>
      </c>
      <c r="K155" s="849">
        <v>644</v>
      </c>
      <c r="L155" s="849">
        <v>1</v>
      </c>
      <c r="M155" s="849">
        <v>46</v>
      </c>
      <c r="N155" s="849"/>
      <c r="O155" s="849"/>
      <c r="P155" s="837"/>
      <c r="Q155" s="850"/>
    </row>
    <row r="156" spans="1:17" ht="14.45" customHeight="1" x14ac:dyDescent="0.2">
      <c r="A156" s="831" t="s">
        <v>2778</v>
      </c>
      <c r="B156" s="832" t="s">
        <v>2779</v>
      </c>
      <c r="C156" s="832" t="s">
        <v>847</v>
      </c>
      <c r="D156" s="832" t="s">
        <v>3002</v>
      </c>
      <c r="E156" s="832" t="s">
        <v>3003</v>
      </c>
      <c r="F156" s="849">
        <v>3</v>
      </c>
      <c r="G156" s="849">
        <v>885</v>
      </c>
      <c r="H156" s="849">
        <v>0.74746621621621623</v>
      </c>
      <c r="I156" s="849">
        <v>295</v>
      </c>
      <c r="J156" s="849">
        <v>4</v>
      </c>
      <c r="K156" s="849">
        <v>1184</v>
      </c>
      <c r="L156" s="849">
        <v>1</v>
      </c>
      <c r="M156" s="849">
        <v>296</v>
      </c>
      <c r="N156" s="849">
        <v>4</v>
      </c>
      <c r="O156" s="849">
        <v>1184</v>
      </c>
      <c r="P156" s="837">
        <v>1</v>
      </c>
      <c r="Q156" s="850">
        <v>296</v>
      </c>
    </row>
    <row r="157" spans="1:17" ht="14.45" customHeight="1" x14ac:dyDescent="0.2">
      <c r="A157" s="831" t="s">
        <v>2778</v>
      </c>
      <c r="B157" s="832" t="s">
        <v>2779</v>
      </c>
      <c r="C157" s="832" t="s">
        <v>847</v>
      </c>
      <c r="D157" s="832" t="s">
        <v>3004</v>
      </c>
      <c r="E157" s="832" t="s">
        <v>3005</v>
      </c>
      <c r="F157" s="849">
        <v>2</v>
      </c>
      <c r="G157" s="849">
        <v>62</v>
      </c>
      <c r="H157" s="849">
        <v>0.66666666666666663</v>
      </c>
      <c r="I157" s="849">
        <v>31</v>
      </c>
      <c r="J157" s="849">
        <v>3</v>
      </c>
      <c r="K157" s="849">
        <v>93</v>
      </c>
      <c r="L157" s="849">
        <v>1</v>
      </c>
      <c r="M157" s="849">
        <v>31</v>
      </c>
      <c r="N157" s="849">
        <v>2</v>
      </c>
      <c r="O157" s="849">
        <v>62</v>
      </c>
      <c r="P157" s="837">
        <v>0.66666666666666663</v>
      </c>
      <c r="Q157" s="850">
        <v>31</v>
      </c>
    </row>
    <row r="158" spans="1:17" ht="14.45" customHeight="1" x14ac:dyDescent="0.2">
      <c r="A158" s="831" t="s">
        <v>2778</v>
      </c>
      <c r="B158" s="832" t="s">
        <v>2779</v>
      </c>
      <c r="C158" s="832" t="s">
        <v>847</v>
      </c>
      <c r="D158" s="832" t="s">
        <v>3006</v>
      </c>
      <c r="E158" s="832" t="s">
        <v>3007</v>
      </c>
      <c r="F158" s="849">
        <v>1</v>
      </c>
      <c r="G158" s="849">
        <v>560</v>
      </c>
      <c r="H158" s="849">
        <v>0.49910873440285203</v>
      </c>
      <c r="I158" s="849">
        <v>560</v>
      </c>
      <c r="J158" s="849">
        <v>2</v>
      </c>
      <c r="K158" s="849">
        <v>1122</v>
      </c>
      <c r="L158" s="849">
        <v>1</v>
      </c>
      <c r="M158" s="849">
        <v>561</v>
      </c>
      <c r="N158" s="849"/>
      <c r="O158" s="849"/>
      <c r="P158" s="837"/>
      <c r="Q158" s="850"/>
    </row>
    <row r="159" spans="1:17" ht="14.45" customHeight="1" x14ac:dyDescent="0.2">
      <c r="A159" s="831" t="s">
        <v>2778</v>
      </c>
      <c r="B159" s="832" t="s">
        <v>2779</v>
      </c>
      <c r="C159" s="832" t="s">
        <v>847</v>
      </c>
      <c r="D159" s="832" t="s">
        <v>3008</v>
      </c>
      <c r="E159" s="832" t="s">
        <v>3009</v>
      </c>
      <c r="F159" s="849">
        <v>5</v>
      </c>
      <c r="G159" s="849">
        <v>920</v>
      </c>
      <c r="H159" s="849">
        <v>0.7142857142857143</v>
      </c>
      <c r="I159" s="849">
        <v>184</v>
      </c>
      <c r="J159" s="849">
        <v>7</v>
      </c>
      <c r="K159" s="849">
        <v>1288</v>
      </c>
      <c r="L159" s="849">
        <v>1</v>
      </c>
      <c r="M159" s="849">
        <v>184</v>
      </c>
      <c r="N159" s="849">
        <v>2</v>
      </c>
      <c r="O159" s="849">
        <v>370</v>
      </c>
      <c r="P159" s="837">
        <v>0.28726708074534163</v>
      </c>
      <c r="Q159" s="850">
        <v>185</v>
      </c>
    </row>
    <row r="160" spans="1:17" ht="14.45" customHeight="1" x14ac:dyDescent="0.2">
      <c r="A160" s="831" t="s">
        <v>2778</v>
      </c>
      <c r="B160" s="832" t="s">
        <v>2779</v>
      </c>
      <c r="C160" s="832" t="s">
        <v>847</v>
      </c>
      <c r="D160" s="832" t="s">
        <v>3010</v>
      </c>
      <c r="E160" s="832" t="s">
        <v>3011</v>
      </c>
      <c r="F160" s="849">
        <v>1</v>
      </c>
      <c r="G160" s="849">
        <v>295</v>
      </c>
      <c r="H160" s="849"/>
      <c r="I160" s="849">
        <v>295</v>
      </c>
      <c r="J160" s="849"/>
      <c r="K160" s="849"/>
      <c r="L160" s="849"/>
      <c r="M160" s="849"/>
      <c r="N160" s="849"/>
      <c r="O160" s="849"/>
      <c r="P160" s="837"/>
      <c r="Q160" s="850"/>
    </row>
    <row r="161" spans="1:17" ht="14.45" customHeight="1" x14ac:dyDescent="0.2">
      <c r="A161" s="831" t="s">
        <v>2778</v>
      </c>
      <c r="B161" s="832" t="s">
        <v>2779</v>
      </c>
      <c r="C161" s="832" t="s">
        <v>847</v>
      </c>
      <c r="D161" s="832" t="s">
        <v>3012</v>
      </c>
      <c r="E161" s="832" t="s">
        <v>3013</v>
      </c>
      <c r="F161" s="849">
        <v>1</v>
      </c>
      <c r="G161" s="849">
        <v>355</v>
      </c>
      <c r="H161" s="849">
        <v>0.9971910112359551</v>
      </c>
      <c r="I161" s="849">
        <v>355</v>
      </c>
      <c r="J161" s="849">
        <v>1</v>
      </c>
      <c r="K161" s="849">
        <v>356</v>
      </c>
      <c r="L161" s="849">
        <v>1</v>
      </c>
      <c r="M161" s="849">
        <v>356</v>
      </c>
      <c r="N161" s="849"/>
      <c r="O161" s="849"/>
      <c r="P161" s="837"/>
      <c r="Q161" s="850"/>
    </row>
    <row r="162" spans="1:17" ht="14.45" customHeight="1" x14ac:dyDescent="0.2">
      <c r="A162" s="831" t="s">
        <v>2778</v>
      </c>
      <c r="B162" s="832" t="s">
        <v>2779</v>
      </c>
      <c r="C162" s="832" t="s">
        <v>847</v>
      </c>
      <c r="D162" s="832" t="s">
        <v>3014</v>
      </c>
      <c r="E162" s="832" t="s">
        <v>3015</v>
      </c>
      <c r="F162" s="849">
        <v>2</v>
      </c>
      <c r="G162" s="849">
        <v>3536</v>
      </c>
      <c r="H162" s="849">
        <v>1.9977401129943504</v>
      </c>
      <c r="I162" s="849">
        <v>1768</v>
      </c>
      <c r="J162" s="849">
        <v>1</v>
      </c>
      <c r="K162" s="849">
        <v>1770</v>
      </c>
      <c r="L162" s="849">
        <v>1</v>
      </c>
      <c r="M162" s="849">
        <v>1770</v>
      </c>
      <c r="N162" s="849"/>
      <c r="O162" s="849"/>
      <c r="P162" s="837"/>
      <c r="Q162" s="850"/>
    </row>
    <row r="163" spans="1:17" ht="14.45" customHeight="1" x14ac:dyDescent="0.2">
      <c r="A163" s="831" t="s">
        <v>2778</v>
      </c>
      <c r="B163" s="832" t="s">
        <v>2779</v>
      </c>
      <c r="C163" s="832" t="s">
        <v>847</v>
      </c>
      <c r="D163" s="832" t="s">
        <v>3016</v>
      </c>
      <c r="E163" s="832" t="s">
        <v>3017</v>
      </c>
      <c r="F163" s="849">
        <v>5</v>
      </c>
      <c r="G163" s="849">
        <v>2035</v>
      </c>
      <c r="H163" s="849">
        <v>0.83333333333333337</v>
      </c>
      <c r="I163" s="849">
        <v>407</v>
      </c>
      <c r="J163" s="849">
        <v>6</v>
      </c>
      <c r="K163" s="849">
        <v>2442</v>
      </c>
      <c r="L163" s="849">
        <v>1</v>
      </c>
      <c r="M163" s="849">
        <v>407</v>
      </c>
      <c r="N163" s="849">
        <v>3</v>
      </c>
      <c r="O163" s="849">
        <v>1224</v>
      </c>
      <c r="P163" s="837">
        <v>0.50122850122850127</v>
      </c>
      <c r="Q163" s="850">
        <v>408</v>
      </c>
    </row>
    <row r="164" spans="1:17" ht="14.45" customHeight="1" x14ac:dyDescent="0.2">
      <c r="A164" s="831" t="s">
        <v>2778</v>
      </c>
      <c r="B164" s="832" t="s">
        <v>2779</v>
      </c>
      <c r="C164" s="832" t="s">
        <v>847</v>
      </c>
      <c r="D164" s="832" t="s">
        <v>3018</v>
      </c>
      <c r="E164" s="832" t="s">
        <v>3019</v>
      </c>
      <c r="F164" s="849"/>
      <c r="G164" s="849"/>
      <c r="H164" s="849"/>
      <c r="I164" s="849"/>
      <c r="J164" s="849"/>
      <c r="K164" s="849"/>
      <c r="L164" s="849"/>
      <c r="M164" s="849"/>
      <c r="N164" s="849">
        <v>1</v>
      </c>
      <c r="O164" s="849">
        <v>119</v>
      </c>
      <c r="P164" s="837"/>
      <c r="Q164" s="850">
        <v>119</v>
      </c>
    </row>
    <row r="165" spans="1:17" ht="14.45" customHeight="1" x14ac:dyDescent="0.2">
      <c r="A165" s="831" t="s">
        <v>2778</v>
      </c>
      <c r="B165" s="832" t="s">
        <v>2779</v>
      </c>
      <c r="C165" s="832" t="s">
        <v>847</v>
      </c>
      <c r="D165" s="832" t="s">
        <v>3020</v>
      </c>
      <c r="E165" s="832" t="s">
        <v>3021</v>
      </c>
      <c r="F165" s="849">
        <v>1</v>
      </c>
      <c r="G165" s="849">
        <v>516</v>
      </c>
      <c r="H165" s="849"/>
      <c r="I165" s="849">
        <v>516</v>
      </c>
      <c r="J165" s="849"/>
      <c r="K165" s="849"/>
      <c r="L165" s="849"/>
      <c r="M165" s="849"/>
      <c r="N165" s="849"/>
      <c r="O165" s="849"/>
      <c r="P165" s="837"/>
      <c r="Q165" s="850"/>
    </row>
    <row r="166" spans="1:17" ht="14.45" customHeight="1" x14ac:dyDescent="0.2">
      <c r="A166" s="831" t="s">
        <v>2778</v>
      </c>
      <c r="B166" s="832" t="s">
        <v>2779</v>
      </c>
      <c r="C166" s="832" t="s">
        <v>847</v>
      </c>
      <c r="D166" s="832" t="s">
        <v>3022</v>
      </c>
      <c r="E166" s="832" t="s">
        <v>3023</v>
      </c>
      <c r="F166" s="849">
        <v>2</v>
      </c>
      <c r="G166" s="849">
        <v>380</v>
      </c>
      <c r="H166" s="849"/>
      <c r="I166" s="849">
        <v>190</v>
      </c>
      <c r="J166" s="849"/>
      <c r="K166" s="849"/>
      <c r="L166" s="849"/>
      <c r="M166" s="849"/>
      <c r="N166" s="849">
        <v>1</v>
      </c>
      <c r="O166" s="849">
        <v>190</v>
      </c>
      <c r="P166" s="837"/>
      <c r="Q166" s="850">
        <v>190</v>
      </c>
    </row>
    <row r="167" spans="1:17" ht="14.45" customHeight="1" x14ac:dyDescent="0.2">
      <c r="A167" s="831" t="s">
        <v>2778</v>
      </c>
      <c r="B167" s="832" t="s">
        <v>2779</v>
      </c>
      <c r="C167" s="832" t="s">
        <v>847</v>
      </c>
      <c r="D167" s="832" t="s">
        <v>3024</v>
      </c>
      <c r="E167" s="832" t="s">
        <v>3025</v>
      </c>
      <c r="F167" s="849">
        <v>2</v>
      </c>
      <c r="G167" s="849">
        <v>588</v>
      </c>
      <c r="H167" s="849">
        <v>1.993220338983051</v>
      </c>
      <c r="I167" s="849">
        <v>294</v>
      </c>
      <c r="J167" s="849">
        <v>1</v>
      </c>
      <c r="K167" s="849">
        <v>295</v>
      </c>
      <c r="L167" s="849">
        <v>1</v>
      </c>
      <c r="M167" s="849">
        <v>295</v>
      </c>
      <c r="N167" s="849"/>
      <c r="O167" s="849"/>
      <c r="P167" s="837"/>
      <c r="Q167" s="850"/>
    </row>
    <row r="168" spans="1:17" ht="14.45" customHeight="1" x14ac:dyDescent="0.2">
      <c r="A168" s="831" t="s">
        <v>2778</v>
      </c>
      <c r="B168" s="832" t="s">
        <v>2779</v>
      </c>
      <c r="C168" s="832" t="s">
        <v>847</v>
      </c>
      <c r="D168" s="832" t="s">
        <v>3026</v>
      </c>
      <c r="E168" s="832" t="s">
        <v>3027</v>
      </c>
      <c r="F168" s="849"/>
      <c r="G168" s="849"/>
      <c r="H168" s="849"/>
      <c r="I168" s="849"/>
      <c r="J168" s="849">
        <v>13</v>
      </c>
      <c r="K168" s="849">
        <v>1729</v>
      </c>
      <c r="L168" s="849">
        <v>1</v>
      </c>
      <c r="M168" s="849">
        <v>133</v>
      </c>
      <c r="N168" s="849"/>
      <c r="O168" s="849"/>
      <c r="P168" s="837"/>
      <c r="Q168" s="850"/>
    </row>
    <row r="169" spans="1:17" ht="14.45" customHeight="1" x14ac:dyDescent="0.2">
      <c r="A169" s="831" t="s">
        <v>2778</v>
      </c>
      <c r="B169" s="832" t="s">
        <v>2779</v>
      </c>
      <c r="C169" s="832" t="s">
        <v>847</v>
      </c>
      <c r="D169" s="832" t="s">
        <v>3028</v>
      </c>
      <c r="E169" s="832" t="s">
        <v>3029</v>
      </c>
      <c r="F169" s="849">
        <v>203</v>
      </c>
      <c r="G169" s="849">
        <v>7511</v>
      </c>
      <c r="H169" s="849">
        <v>1.1734104046242775</v>
      </c>
      <c r="I169" s="849">
        <v>37</v>
      </c>
      <c r="J169" s="849">
        <v>173</v>
      </c>
      <c r="K169" s="849">
        <v>6401</v>
      </c>
      <c r="L169" s="849">
        <v>1</v>
      </c>
      <c r="M169" s="849">
        <v>37</v>
      </c>
      <c r="N169" s="849">
        <v>136</v>
      </c>
      <c r="O169" s="849">
        <v>5032</v>
      </c>
      <c r="P169" s="837">
        <v>0.78612716763005785</v>
      </c>
      <c r="Q169" s="850">
        <v>37</v>
      </c>
    </row>
    <row r="170" spans="1:17" ht="14.45" customHeight="1" x14ac:dyDescent="0.2">
      <c r="A170" s="831" t="s">
        <v>2778</v>
      </c>
      <c r="B170" s="832" t="s">
        <v>2779</v>
      </c>
      <c r="C170" s="832" t="s">
        <v>847</v>
      </c>
      <c r="D170" s="832" t="s">
        <v>3030</v>
      </c>
      <c r="E170" s="832" t="s">
        <v>3031</v>
      </c>
      <c r="F170" s="849">
        <v>1</v>
      </c>
      <c r="G170" s="849">
        <v>254</v>
      </c>
      <c r="H170" s="849">
        <v>1</v>
      </c>
      <c r="I170" s="849">
        <v>254</v>
      </c>
      <c r="J170" s="849">
        <v>1</v>
      </c>
      <c r="K170" s="849">
        <v>254</v>
      </c>
      <c r="L170" s="849">
        <v>1</v>
      </c>
      <c r="M170" s="849">
        <v>254</v>
      </c>
      <c r="N170" s="849"/>
      <c r="O170" s="849"/>
      <c r="P170" s="837"/>
      <c r="Q170" s="850"/>
    </row>
    <row r="171" spans="1:17" ht="14.45" customHeight="1" x14ac:dyDescent="0.2">
      <c r="A171" s="831" t="s">
        <v>2778</v>
      </c>
      <c r="B171" s="832" t="s">
        <v>2779</v>
      </c>
      <c r="C171" s="832" t="s">
        <v>847</v>
      </c>
      <c r="D171" s="832" t="s">
        <v>3032</v>
      </c>
      <c r="E171" s="832" t="s">
        <v>3033</v>
      </c>
      <c r="F171" s="849">
        <v>12</v>
      </c>
      <c r="G171" s="849">
        <v>2076</v>
      </c>
      <c r="H171" s="849">
        <v>2.386206896551724</v>
      </c>
      <c r="I171" s="849">
        <v>173</v>
      </c>
      <c r="J171" s="849">
        <v>5</v>
      </c>
      <c r="K171" s="849">
        <v>870</v>
      </c>
      <c r="L171" s="849">
        <v>1</v>
      </c>
      <c r="M171" s="849">
        <v>174</v>
      </c>
      <c r="N171" s="849">
        <v>4</v>
      </c>
      <c r="O171" s="849">
        <v>700</v>
      </c>
      <c r="P171" s="837">
        <v>0.8045977011494253</v>
      </c>
      <c r="Q171" s="850">
        <v>175</v>
      </c>
    </row>
    <row r="172" spans="1:17" ht="14.45" customHeight="1" x14ac:dyDescent="0.2">
      <c r="A172" s="831" t="s">
        <v>2778</v>
      </c>
      <c r="B172" s="832" t="s">
        <v>2779</v>
      </c>
      <c r="C172" s="832" t="s">
        <v>847</v>
      </c>
      <c r="D172" s="832" t="s">
        <v>3034</v>
      </c>
      <c r="E172" s="832" t="s">
        <v>3035</v>
      </c>
      <c r="F172" s="849">
        <v>76</v>
      </c>
      <c r="G172" s="849">
        <v>63460</v>
      </c>
      <c r="H172" s="849">
        <v>0.96202531645569622</v>
      </c>
      <c r="I172" s="849">
        <v>835</v>
      </c>
      <c r="J172" s="849">
        <v>79</v>
      </c>
      <c r="K172" s="849">
        <v>65965</v>
      </c>
      <c r="L172" s="849">
        <v>1</v>
      </c>
      <c r="M172" s="849">
        <v>835</v>
      </c>
      <c r="N172" s="849">
        <v>23</v>
      </c>
      <c r="O172" s="849">
        <v>19274</v>
      </c>
      <c r="P172" s="837">
        <v>0.29218524975365723</v>
      </c>
      <c r="Q172" s="850">
        <v>838</v>
      </c>
    </row>
    <row r="173" spans="1:17" ht="14.45" customHeight="1" x14ac:dyDescent="0.2">
      <c r="A173" s="831" t="s">
        <v>2778</v>
      </c>
      <c r="B173" s="832" t="s">
        <v>2779</v>
      </c>
      <c r="C173" s="832" t="s">
        <v>847</v>
      </c>
      <c r="D173" s="832" t="s">
        <v>3036</v>
      </c>
      <c r="E173" s="832" t="s">
        <v>3037</v>
      </c>
      <c r="F173" s="849">
        <v>2019</v>
      </c>
      <c r="G173" s="849">
        <v>187767</v>
      </c>
      <c r="H173" s="849">
        <v>0.93950674732433692</v>
      </c>
      <c r="I173" s="849">
        <v>93</v>
      </c>
      <c r="J173" s="849">
        <v>2149</v>
      </c>
      <c r="K173" s="849">
        <v>199857</v>
      </c>
      <c r="L173" s="849">
        <v>1</v>
      </c>
      <c r="M173" s="849">
        <v>93</v>
      </c>
      <c r="N173" s="849">
        <v>2178</v>
      </c>
      <c r="O173" s="849">
        <v>204732</v>
      </c>
      <c r="P173" s="837">
        <v>1.0243924405950255</v>
      </c>
      <c r="Q173" s="850">
        <v>94</v>
      </c>
    </row>
    <row r="174" spans="1:17" ht="14.45" customHeight="1" x14ac:dyDescent="0.2">
      <c r="A174" s="831" t="s">
        <v>2778</v>
      </c>
      <c r="B174" s="832" t="s">
        <v>2779</v>
      </c>
      <c r="C174" s="832" t="s">
        <v>847</v>
      </c>
      <c r="D174" s="832" t="s">
        <v>3038</v>
      </c>
      <c r="E174" s="832" t="s">
        <v>3039</v>
      </c>
      <c r="F174" s="849">
        <v>66</v>
      </c>
      <c r="G174" s="849">
        <v>62172</v>
      </c>
      <c r="H174" s="849">
        <v>0.62264150943396224</v>
      </c>
      <c r="I174" s="849">
        <v>942</v>
      </c>
      <c r="J174" s="849">
        <v>106</v>
      </c>
      <c r="K174" s="849">
        <v>99852</v>
      </c>
      <c r="L174" s="849">
        <v>1</v>
      </c>
      <c r="M174" s="849">
        <v>942</v>
      </c>
      <c r="N174" s="849">
        <v>92</v>
      </c>
      <c r="O174" s="849">
        <v>86664</v>
      </c>
      <c r="P174" s="837">
        <v>0.86792452830188682</v>
      </c>
      <c r="Q174" s="850">
        <v>942</v>
      </c>
    </row>
    <row r="175" spans="1:17" ht="14.45" customHeight="1" x14ac:dyDescent="0.2">
      <c r="A175" s="831" t="s">
        <v>2778</v>
      </c>
      <c r="B175" s="832" t="s">
        <v>2779</v>
      </c>
      <c r="C175" s="832" t="s">
        <v>847</v>
      </c>
      <c r="D175" s="832" t="s">
        <v>3040</v>
      </c>
      <c r="E175" s="832" t="s">
        <v>3041</v>
      </c>
      <c r="F175" s="849">
        <v>81</v>
      </c>
      <c r="G175" s="849">
        <v>7533</v>
      </c>
      <c r="H175" s="849">
        <v>0.68067226890756305</v>
      </c>
      <c r="I175" s="849">
        <v>93</v>
      </c>
      <c r="J175" s="849">
        <v>119</v>
      </c>
      <c r="K175" s="849">
        <v>11067</v>
      </c>
      <c r="L175" s="849">
        <v>1</v>
      </c>
      <c r="M175" s="849">
        <v>93</v>
      </c>
      <c r="N175" s="849">
        <v>125</v>
      </c>
      <c r="O175" s="849">
        <v>11750</v>
      </c>
      <c r="P175" s="837">
        <v>1.0617150085840787</v>
      </c>
      <c r="Q175" s="850">
        <v>94</v>
      </c>
    </row>
    <row r="176" spans="1:17" ht="14.45" customHeight="1" x14ac:dyDescent="0.2">
      <c r="A176" s="831" t="s">
        <v>2778</v>
      </c>
      <c r="B176" s="832" t="s">
        <v>2779</v>
      </c>
      <c r="C176" s="832" t="s">
        <v>847</v>
      </c>
      <c r="D176" s="832" t="s">
        <v>3042</v>
      </c>
      <c r="E176" s="832" t="s">
        <v>3043</v>
      </c>
      <c r="F176" s="849"/>
      <c r="G176" s="849"/>
      <c r="H176" s="849"/>
      <c r="I176" s="849"/>
      <c r="J176" s="849"/>
      <c r="K176" s="849"/>
      <c r="L176" s="849"/>
      <c r="M176" s="849"/>
      <c r="N176" s="849">
        <v>200</v>
      </c>
      <c r="O176" s="849">
        <v>106600</v>
      </c>
      <c r="P176" s="837"/>
      <c r="Q176" s="850">
        <v>533</v>
      </c>
    </row>
    <row r="177" spans="1:17" ht="14.45" customHeight="1" x14ac:dyDescent="0.2">
      <c r="A177" s="831" t="s">
        <v>2778</v>
      </c>
      <c r="B177" s="832" t="s">
        <v>3044</v>
      </c>
      <c r="C177" s="832" t="s">
        <v>847</v>
      </c>
      <c r="D177" s="832" t="s">
        <v>3045</v>
      </c>
      <c r="E177" s="832" t="s">
        <v>3046</v>
      </c>
      <c r="F177" s="849">
        <v>618</v>
      </c>
      <c r="G177" s="849">
        <v>641484</v>
      </c>
      <c r="H177" s="849">
        <v>1.3233404710920771</v>
      </c>
      <c r="I177" s="849">
        <v>1038</v>
      </c>
      <c r="J177" s="849">
        <v>467</v>
      </c>
      <c r="K177" s="849">
        <v>484746</v>
      </c>
      <c r="L177" s="849">
        <v>1</v>
      </c>
      <c r="M177" s="849">
        <v>1038</v>
      </c>
      <c r="N177" s="849">
        <v>483</v>
      </c>
      <c r="O177" s="849">
        <v>501837</v>
      </c>
      <c r="P177" s="837">
        <v>1.0352576400836726</v>
      </c>
      <c r="Q177" s="850">
        <v>1039</v>
      </c>
    </row>
    <row r="178" spans="1:17" ht="14.45" customHeight="1" x14ac:dyDescent="0.2">
      <c r="A178" s="831" t="s">
        <v>3047</v>
      </c>
      <c r="B178" s="832" t="s">
        <v>3048</v>
      </c>
      <c r="C178" s="832" t="s">
        <v>2342</v>
      </c>
      <c r="D178" s="832" t="s">
        <v>3049</v>
      </c>
      <c r="E178" s="832" t="s">
        <v>3050</v>
      </c>
      <c r="F178" s="849">
        <v>0.12000000000000001</v>
      </c>
      <c r="G178" s="849">
        <v>593.26</v>
      </c>
      <c r="H178" s="849"/>
      <c r="I178" s="849">
        <v>4943.833333333333</v>
      </c>
      <c r="J178" s="849"/>
      <c r="K178" s="849"/>
      <c r="L178" s="849"/>
      <c r="M178" s="849"/>
      <c r="N178" s="849">
        <v>0.04</v>
      </c>
      <c r="O178" s="849">
        <v>194.53</v>
      </c>
      <c r="P178" s="837"/>
      <c r="Q178" s="850">
        <v>4863.25</v>
      </c>
    </row>
    <row r="179" spans="1:17" ht="14.45" customHeight="1" x14ac:dyDescent="0.2">
      <c r="A179" s="831" t="s">
        <v>3047</v>
      </c>
      <c r="B179" s="832" t="s">
        <v>3048</v>
      </c>
      <c r="C179" s="832" t="s">
        <v>2342</v>
      </c>
      <c r="D179" s="832" t="s">
        <v>3051</v>
      </c>
      <c r="E179" s="832" t="s">
        <v>3050</v>
      </c>
      <c r="F179" s="849"/>
      <c r="G179" s="849"/>
      <c r="H179" s="849"/>
      <c r="I179" s="849"/>
      <c r="J179" s="849">
        <v>0.05</v>
      </c>
      <c r="K179" s="849">
        <v>483</v>
      </c>
      <c r="L179" s="849">
        <v>1</v>
      </c>
      <c r="M179" s="849">
        <v>9660</v>
      </c>
      <c r="N179" s="849">
        <v>0.03</v>
      </c>
      <c r="O179" s="849">
        <v>262.46999999999997</v>
      </c>
      <c r="P179" s="837">
        <v>0.54341614906832292</v>
      </c>
      <c r="Q179" s="850">
        <v>8749</v>
      </c>
    </row>
    <row r="180" spans="1:17" ht="14.45" customHeight="1" x14ac:dyDescent="0.2">
      <c r="A180" s="831" t="s">
        <v>3047</v>
      </c>
      <c r="B180" s="832" t="s">
        <v>3048</v>
      </c>
      <c r="C180" s="832" t="s">
        <v>2342</v>
      </c>
      <c r="D180" s="832" t="s">
        <v>3052</v>
      </c>
      <c r="E180" s="832" t="s">
        <v>3050</v>
      </c>
      <c r="F180" s="849">
        <v>0.03</v>
      </c>
      <c r="G180" s="849">
        <v>144.69</v>
      </c>
      <c r="H180" s="849"/>
      <c r="I180" s="849">
        <v>4823</v>
      </c>
      <c r="J180" s="849"/>
      <c r="K180" s="849"/>
      <c r="L180" s="849"/>
      <c r="M180" s="849"/>
      <c r="N180" s="849"/>
      <c r="O180" s="849"/>
      <c r="P180" s="837"/>
      <c r="Q180" s="850"/>
    </row>
    <row r="181" spans="1:17" ht="14.45" customHeight="1" x14ac:dyDescent="0.2">
      <c r="A181" s="831" t="s">
        <v>3047</v>
      </c>
      <c r="B181" s="832" t="s">
        <v>3048</v>
      </c>
      <c r="C181" s="832" t="s">
        <v>2342</v>
      </c>
      <c r="D181" s="832" t="s">
        <v>3053</v>
      </c>
      <c r="E181" s="832" t="s">
        <v>3050</v>
      </c>
      <c r="F181" s="849">
        <v>6.0000000000000005E-2</v>
      </c>
      <c r="G181" s="849">
        <v>296.62</v>
      </c>
      <c r="H181" s="849">
        <v>6.0008092251669032</v>
      </c>
      <c r="I181" s="849">
        <v>4943.6666666666661</v>
      </c>
      <c r="J181" s="849">
        <v>0.01</v>
      </c>
      <c r="K181" s="849">
        <v>49.43</v>
      </c>
      <c r="L181" s="849">
        <v>1</v>
      </c>
      <c r="M181" s="849">
        <v>4943</v>
      </c>
      <c r="N181" s="849"/>
      <c r="O181" s="849"/>
      <c r="P181" s="837"/>
      <c r="Q181" s="850"/>
    </row>
    <row r="182" spans="1:17" ht="14.45" customHeight="1" x14ac:dyDescent="0.2">
      <c r="A182" s="831" t="s">
        <v>3047</v>
      </c>
      <c r="B182" s="832" t="s">
        <v>3048</v>
      </c>
      <c r="C182" s="832" t="s">
        <v>2342</v>
      </c>
      <c r="D182" s="832" t="s">
        <v>3054</v>
      </c>
      <c r="E182" s="832" t="s">
        <v>3055</v>
      </c>
      <c r="F182" s="849">
        <v>0.2</v>
      </c>
      <c r="G182" s="849">
        <v>168.68</v>
      </c>
      <c r="H182" s="849"/>
      <c r="I182" s="849">
        <v>843.4</v>
      </c>
      <c r="J182" s="849"/>
      <c r="K182" s="849"/>
      <c r="L182" s="849"/>
      <c r="M182" s="849"/>
      <c r="N182" s="849">
        <v>0.8</v>
      </c>
      <c r="O182" s="849">
        <v>413.6</v>
      </c>
      <c r="P182" s="837"/>
      <c r="Q182" s="850">
        <v>517</v>
      </c>
    </row>
    <row r="183" spans="1:17" ht="14.45" customHeight="1" x14ac:dyDescent="0.2">
      <c r="A183" s="831" t="s">
        <v>3047</v>
      </c>
      <c r="B183" s="832" t="s">
        <v>3048</v>
      </c>
      <c r="C183" s="832" t="s">
        <v>2342</v>
      </c>
      <c r="D183" s="832" t="s">
        <v>3056</v>
      </c>
      <c r="E183" s="832" t="s">
        <v>3057</v>
      </c>
      <c r="F183" s="849">
        <v>0.15999999999999998</v>
      </c>
      <c r="G183" s="849">
        <v>727.60000000000014</v>
      </c>
      <c r="H183" s="849"/>
      <c r="I183" s="849">
        <v>4547.5000000000018</v>
      </c>
      <c r="J183" s="849"/>
      <c r="K183" s="849"/>
      <c r="L183" s="849"/>
      <c r="M183" s="849"/>
      <c r="N183" s="849"/>
      <c r="O183" s="849"/>
      <c r="P183" s="837"/>
      <c r="Q183" s="850"/>
    </row>
    <row r="184" spans="1:17" ht="14.45" customHeight="1" x14ac:dyDescent="0.2">
      <c r="A184" s="831" t="s">
        <v>3047</v>
      </c>
      <c r="B184" s="832" t="s">
        <v>3048</v>
      </c>
      <c r="C184" s="832" t="s">
        <v>2342</v>
      </c>
      <c r="D184" s="832" t="s">
        <v>3058</v>
      </c>
      <c r="E184" s="832" t="s">
        <v>3057</v>
      </c>
      <c r="F184" s="849">
        <v>0.06</v>
      </c>
      <c r="G184" s="849">
        <v>545.71</v>
      </c>
      <c r="H184" s="849">
        <v>0.49338191418187083</v>
      </c>
      <c r="I184" s="849">
        <v>9095.1666666666679</v>
      </c>
      <c r="J184" s="849">
        <v>0.17</v>
      </c>
      <c r="K184" s="849">
        <v>1106.06</v>
      </c>
      <c r="L184" s="849">
        <v>1</v>
      </c>
      <c r="M184" s="849">
        <v>6506.2352941176459</v>
      </c>
      <c r="N184" s="849"/>
      <c r="O184" s="849"/>
      <c r="P184" s="837"/>
      <c r="Q184" s="850"/>
    </row>
    <row r="185" spans="1:17" ht="14.45" customHeight="1" x14ac:dyDescent="0.2">
      <c r="A185" s="831" t="s">
        <v>3047</v>
      </c>
      <c r="B185" s="832" t="s">
        <v>3048</v>
      </c>
      <c r="C185" s="832" t="s">
        <v>2342</v>
      </c>
      <c r="D185" s="832" t="s">
        <v>3059</v>
      </c>
      <c r="E185" s="832" t="s">
        <v>3060</v>
      </c>
      <c r="F185" s="849">
        <v>0.13</v>
      </c>
      <c r="G185" s="849">
        <v>243.65999999999997</v>
      </c>
      <c r="H185" s="849">
        <v>4.5774938944204395</v>
      </c>
      <c r="I185" s="849">
        <v>1874.3076923076919</v>
      </c>
      <c r="J185" s="849">
        <v>0.1</v>
      </c>
      <c r="K185" s="849">
        <v>53.23</v>
      </c>
      <c r="L185" s="849">
        <v>1</v>
      </c>
      <c r="M185" s="849">
        <v>532.29999999999995</v>
      </c>
      <c r="N185" s="849"/>
      <c r="O185" s="849"/>
      <c r="P185" s="837"/>
      <c r="Q185" s="850"/>
    </row>
    <row r="186" spans="1:17" ht="14.45" customHeight="1" x14ac:dyDescent="0.2">
      <c r="A186" s="831" t="s">
        <v>3047</v>
      </c>
      <c r="B186" s="832" t="s">
        <v>3048</v>
      </c>
      <c r="C186" s="832" t="s">
        <v>2342</v>
      </c>
      <c r="D186" s="832" t="s">
        <v>3061</v>
      </c>
      <c r="E186" s="832" t="s">
        <v>3057</v>
      </c>
      <c r="F186" s="849">
        <v>0.92</v>
      </c>
      <c r="G186" s="849">
        <v>1664.41</v>
      </c>
      <c r="H186" s="849">
        <v>6.1000916254352209</v>
      </c>
      <c r="I186" s="849">
        <v>1809.141304347826</v>
      </c>
      <c r="J186" s="849">
        <v>0.15000000000000002</v>
      </c>
      <c r="K186" s="849">
        <v>272.85000000000002</v>
      </c>
      <c r="L186" s="849">
        <v>1</v>
      </c>
      <c r="M186" s="849">
        <v>1818.9999999999998</v>
      </c>
      <c r="N186" s="849"/>
      <c r="O186" s="849"/>
      <c r="P186" s="837"/>
      <c r="Q186" s="850"/>
    </row>
    <row r="187" spans="1:17" ht="14.45" customHeight="1" x14ac:dyDescent="0.2">
      <c r="A187" s="831" t="s">
        <v>3047</v>
      </c>
      <c r="B187" s="832" t="s">
        <v>3048</v>
      </c>
      <c r="C187" s="832" t="s">
        <v>2342</v>
      </c>
      <c r="D187" s="832" t="s">
        <v>3062</v>
      </c>
      <c r="E187" s="832" t="s">
        <v>3057</v>
      </c>
      <c r="F187" s="849">
        <v>0.02</v>
      </c>
      <c r="G187" s="849">
        <v>545.71</v>
      </c>
      <c r="H187" s="849">
        <v>0.56136073735752789</v>
      </c>
      <c r="I187" s="849">
        <v>27285.5</v>
      </c>
      <c r="J187" s="849">
        <v>0.02</v>
      </c>
      <c r="K187" s="849">
        <v>972.12</v>
      </c>
      <c r="L187" s="849">
        <v>1</v>
      </c>
      <c r="M187" s="849">
        <v>48606</v>
      </c>
      <c r="N187" s="849"/>
      <c r="O187" s="849"/>
      <c r="P187" s="837"/>
      <c r="Q187" s="850"/>
    </row>
    <row r="188" spans="1:17" ht="14.45" customHeight="1" x14ac:dyDescent="0.2">
      <c r="A188" s="831" t="s">
        <v>3047</v>
      </c>
      <c r="B188" s="832" t="s">
        <v>3048</v>
      </c>
      <c r="C188" s="832" t="s">
        <v>2342</v>
      </c>
      <c r="D188" s="832" t="s">
        <v>3063</v>
      </c>
      <c r="E188" s="832" t="s">
        <v>3057</v>
      </c>
      <c r="F188" s="849"/>
      <c r="G188" s="849"/>
      <c r="H188" s="849"/>
      <c r="I188" s="849"/>
      <c r="J188" s="849">
        <v>0.01</v>
      </c>
      <c r="K188" s="849">
        <v>91.78</v>
      </c>
      <c r="L188" s="849">
        <v>1</v>
      </c>
      <c r="M188" s="849">
        <v>9178</v>
      </c>
      <c r="N188" s="849"/>
      <c r="O188" s="849"/>
      <c r="P188" s="837"/>
      <c r="Q188" s="850"/>
    </row>
    <row r="189" spans="1:17" ht="14.45" customHeight="1" x14ac:dyDescent="0.2">
      <c r="A189" s="831" t="s">
        <v>3047</v>
      </c>
      <c r="B189" s="832" t="s">
        <v>3048</v>
      </c>
      <c r="C189" s="832" t="s">
        <v>2342</v>
      </c>
      <c r="D189" s="832" t="s">
        <v>3064</v>
      </c>
      <c r="E189" s="832" t="s">
        <v>3057</v>
      </c>
      <c r="F189" s="849"/>
      <c r="G189" s="849"/>
      <c r="H189" s="849"/>
      <c r="I189" s="849"/>
      <c r="J189" s="849"/>
      <c r="K189" s="849"/>
      <c r="L189" s="849"/>
      <c r="M189" s="849"/>
      <c r="N189" s="849">
        <v>0.31000000000000005</v>
      </c>
      <c r="O189" s="849">
        <v>508.23</v>
      </c>
      <c r="P189" s="837"/>
      <c r="Q189" s="850">
        <v>1639.4516129032256</v>
      </c>
    </row>
    <row r="190" spans="1:17" ht="14.45" customHeight="1" x14ac:dyDescent="0.2">
      <c r="A190" s="831" t="s">
        <v>3047</v>
      </c>
      <c r="B190" s="832" t="s">
        <v>3048</v>
      </c>
      <c r="C190" s="832" t="s">
        <v>2342</v>
      </c>
      <c r="D190" s="832" t="s">
        <v>3065</v>
      </c>
      <c r="E190" s="832" t="s">
        <v>3060</v>
      </c>
      <c r="F190" s="849"/>
      <c r="G190" s="849"/>
      <c r="H190" s="849"/>
      <c r="I190" s="849"/>
      <c r="J190" s="849"/>
      <c r="K190" s="849"/>
      <c r="L190" s="849"/>
      <c r="M190" s="849"/>
      <c r="N190" s="849">
        <v>0.05</v>
      </c>
      <c r="O190" s="849">
        <v>26.62</v>
      </c>
      <c r="P190" s="837"/>
      <c r="Q190" s="850">
        <v>532.4</v>
      </c>
    </row>
    <row r="191" spans="1:17" ht="14.45" customHeight="1" x14ac:dyDescent="0.2">
      <c r="A191" s="831" t="s">
        <v>3047</v>
      </c>
      <c r="B191" s="832" t="s">
        <v>3048</v>
      </c>
      <c r="C191" s="832" t="s">
        <v>2342</v>
      </c>
      <c r="D191" s="832" t="s">
        <v>3066</v>
      </c>
      <c r="E191" s="832" t="s">
        <v>3057</v>
      </c>
      <c r="F191" s="849"/>
      <c r="G191" s="849"/>
      <c r="H191" s="849"/>
      <c r="I191" s="849"/>
      <c r="J191" s="849"/>
      <c r="K191" s="849"/>
      <c r="L191" s="849"/>
      <c r="M191" s="849"/>
      <c r="N191" s="849">
        <v>0.06</v>
      </c>
      <c r="O191" s="849">
        <v>196.56</v>
      </c>
      <c r="P191" s="837"/>
      <c r="Q191" s="850">
        <v>3276</v>
      </c>
    </row>
    <row r="192" spans="1:17" ht="14.45" customHeight="1" x14ac:dyDescent="0.2">
      <c r="A192" s="831" t="s">
        <v>3047</v>
      </c>
      <c r="B192" s="832" t="s">
        <v>3048</v>
      </c>
      <c r="C192" s="832" t="s">
        <v>2418</v>
      </c>
      <c r="D192" s="832" t="s">
        <v>3067</v>
      </c>
      <c r="E192" s="832" t="s">
        <v>3068</v>
      </c>
      <c r="F192" s="849"/>
      <c r="G192" s="849"/>
      <c r="H192" s="849"/>
      <c r="I192" s="849"/>
      <c r="J192" s="849">
        <v>1</v>
      </c>
      <c r="K192" s="849">
        <v>972.32</v>
      </c>
      <c r="L192" s="849">
        <v>1</v>
      </c>
      <c r="M192" s="849">
        <v>972.32</v>
      </c>
      <c r="N192" s="849"/>
      <c r="O192" s="849"/>
      <c r="P192" s="837"/>
      <c r="Q192" s="850"/>
    </row>
    <row r="193" spans="1:17" ht="14.45" customHeight="1" x14ac:dyDescent="0.2">
      <c r="A193" s="831" t="s">
        <v>3047</v>
      </c>
      <c r="B193" s="832" t="s">
        <v>3048</v>
      </c>
      <c r="C193" s="832" t="s">
        <v>2418</v>
      </c>
      <c r="D193" s="832" t="s">
        <v>3069</v>
      </c>
      <c r="E193" s="832" t="s">
        <v>3070</v>
      </c>
      <c r="F193" s="849"/>
      <c r="G193" s="849"/>
      <c r="H193" s="849"/>
      <c r="I193" s="849"/>
      <c r="J193" s="849">
        <v>1</v>
      </c>
      <c r="K193" s="849">
        <v>943.25</v>
      </c>
      <c r="L193" s="849">
        <v>1</v>
      </c>
      <c r="M193" s="849">
        <v>943.25</v>
      </c>
      <c r="N193" s="849"/>
      <c r="O193" s="849"/>
      <c r="P193" s="837"/>
      <c r="Q193" s="850"/>
    </row>
    <row r="194" spans="1:17" ht="14.45" customHeight="1" x14ac:dyDescent="0.2">
      <c r="A194" s="831" t="s">
        <v>3047</v>
      </c>
      <c r="B194" s="832" t="s">
        <v>3048</v>
      </c>
      <c r="C194" s="832" t="s">
        <v>2418</v>
      </c>
      <c r="D194" s="832" t="s">
        <v>3071</v>
      </c>
      <c r="E194" s="832" t="s">
        <v>3072</v>
      </c>
      <c r="F194" s="849"/>
      <c r="G194" s="849"/>
      <c r="H194" s="849"/>
      <c r="I194" s="849"/>
      <c r="J194" s="849">
        <v>1</v>
      </c>
      <c r="K194" s="849">
        <v>7650</v>
      </c>
      <c r="L194" s="849">
        <v>1</v>
      </c>
      <c r="M194" s="849">
        <v>7650</v>
      </c>
      <c r="N194" s="849"/>
      <c r="O194" s="849"/>
      <c r="P194" s="837"/>
      <c r="Q194" s="850"/>
    </row>
    <row r="195" spans="1:17" ht="14.45" customHeight="1" x14ac:dyDescent="0.2">
      <c r="A195" s="831" t="s">
        <v>3047</v>
      </c>
      <c r="B195" s="832" t="s">
        <v>3048</v>
      </c>
      <c r="C195" s="832" t="s">
        <v>2418</v>
      </c>
      <c r="D195" s="832" t="s">
        <v>3073</v>
      </c>
      <c r="E195" s="832" t="s">
        <v>3074</v>
      </c>
      <c r="F195" s="849"/>
      <c r="G195" s="849"/>
      <c r="H195" s="849"/>
      <c r="I195" s="849"/>
      <c r="J195" s="849">
        <v>2</v>
      </c>
      <c r="K195" s="849">
        <v>23666.12</v>
      </c>
      <c r="L195" s="849">
        <v>1</v>
      </c>
      <c r="M195" s="849">
        <v>11833.06</v>
      </c>
      <c r="N195" s="849"/>
      <c r="O195" s="849"/>
      <c r="P195" s="837"/>
      <c r="Q195" s="850"/>
    </row>
    <row r="196" spans="1:17" ht="14.45" customHeight="1" x14ac:dyDescent="0.2">
      <c r="A196" s="831" t="s">
        <v>3047</v>
      </c>
      <c r="B196" s="832" t="s">
        <v>3048</v>
      </c>
      <c r="C196" s="832" t="s">
        <v>2418</v>
      </c>
      <c r="D196" s="832" t="s">
        <v>3075</v>
      </c>
      <c r="E196" s="832" t="s">
        <v>3076</v>
      </c>
      <c r="F196" s="849"/>
      <c r="G196" s="849"/>
      <c r="H196" s="849"/>
      <c r="I196" s="849"/>
      <c r="J196" s="849">
        <v>1</v>
      </c>
      <c r="K196" s="849">
        <v>831.16</v>
      </c>
      <c r="L196" s="849">
        <v>1</v>
      </c>
      <c r="M196" s="849">
        <v>831.16</v>
      </c>
      <c r="N196" s="849"/>
      <c r="O196" s="849"/>
      <c r="P196" s="837"/>
      <c r="Q196" s="850"/>
    </row>
    <row r="197" spans="1:17" ht="14.45" customHeight="1" x14ac:dyDescent="0.2">
      <c r="A197" s="831" t="s">
        <v>3047</v>
      </c>
      <c r="B197" s="832" t="s">
        <v>3048</v>
      </c>
      <c r="C197" s="832" t="s">
        <v>2418</v>
      </c>
      <c r="D197" s="832" t="s">
        <v>3077</v>
      </c>
      <c r="E197" s="832" t="s">
        <v>3078</v>
      </c>
      <c r="F197" s="849"/>
      <c r="G197" s="849"/>
      <c r="H197" s="849"/>
      <c r="I197" s="849"/>
      <c r="J197" s="849">
        <v>1</v>
      </c>
      <c r="K197" s="849">
        <v>1086.17</v>
      </c>
      <c r="L197" s="849">
        <v>1</v>
      </c>
      <c r="M197" s="849">
        <v>1086.17</v>
      </c>
      <c r="N197" s="849"/>
      <c r="O197" s="849"/>
      <c r="P197" s="837"/>
      <c r="Q197" s="850"/>
    </row>
    <row r="198" spans="1:17" ht="14.45" customHeight="1" x14ac:dyDescent="0.2">
      <c r="A198" s="831" t="s">
        <v>3047</v>
      </c>
      <c r="B198" s="832" t="s">
        <v>3048</v>
      </c>
      <c r="C198" s="832" t="s">
        <v>2418</v>
      </c>
      <c r="D198" s="832" t="s">
        <v>3079</v>
      </c>
      <c r="E198" s="832" t="s">
        <v>3080</v>
      </c>
      <c r="F198" s="849"/>
      <c r="G198" s="849"/>
      <c r="H198" s="849"/>
      <c r="I198" s="849"/>
      <c r="J198" s="849">
        <v>1</v>
      </c>
      <c r="K198" s="849">
        <v>16831.689999999999</v>
      </c>
      <c r="L198" s="849">
        <v>1</v>
      </c>
      <c r="M198" s="849">
        <v>16831.689999999999</v>
      </c>
      <c r="N198" s="849"/>
      <c r="O198" s="849"/>
      <c r="P198" s="837"/>
      <c r="Q198" s="850"/>
    </row>
    <row r="199" spans="1:17" ht="14.45" customHeight="1" x14ac:dyDescent="0.2">
      <c r="A199" s="831" t="s">
        <v>3047</v>
      </c>
      <c r="B199" s="832" t="s">
        <v>3048</v>
      </c>
      <c r="C199" s="832" t="s">
        <v>2418</v>
      </c>
      <c r="D199" s="832" t="s">
        <v>3081</v>
      </c>
      <c r="E199" s="832" t="s">
        <v>3082</v>
      </c>
      <c r="F199" s="849"/>
      <c r="G199" s="849"/>
      <c r="H199" s="849"/>
      <c r="I199" s="849"/>
      <c r="J199" s="849">
        <v>1</v>
      </c>
      <c r="K199" s="849">
        <v>4066.69</v>
      </c>
      <c r="L199" s="849">
        <v>1</v>
      </c>
      <c r="M199" s="849">
        <v>4066.69</v>
      </c>
      <c r="N199" s="849"/>
      <c r="O199" s="849"/>
      <c r="P199" s="837"/>
      <c r="Q199" s="850"/>
    </row>
    <row r="200" spans="1:17" ht="14.45" customHeight="1" x14ac:dyDescent="0.2">
      <c r="A200" s="831" t="s">
        <v>3047</v>
      </c>
      <c r="B200" s="832" t="s">
        <v>3048</v>
      </c>
      <c r="C200" s="832" t="s">
        <v>847</v>
      </c>
      <c r="D200" s="832" t="s">
        <v>3083</v>
      </c>
      <c r="E200" s="832" t="s">
        <v>3084</v>
      </c>
      <c r="F200" s="849">
        <v>1</v>
      </c>
      <c r="G200" s="849">
        <v>187</v>
      </c>
      <c r="H200" s="849"/>
      <c r="I200" s="849">
        <v>187</v>
      </c>
      <c r="J200" s="849"/>
      <c r="K200" s="849"/>
      <c r="L200" s="849"/>
      <c r="M200" s="849"/>
      <c r="N200" s="849"/>
      <c r="O200" s="849"/>
      <c r="P200" s="837"/>
      <c r="Q200" s="850"/>
    </row>
    <row r="201" spans="1:17" ht="14.45" customHeight="1" x14ac:dyDescent="0.2">
      <c r="A201" s="831" t="s">
        <v>3047</v>
      </c>
      <c r="B201" s="832" t="s">
        <v>3048</v>
      </c>
      <c r="C201" s="832" t="s">
        <v>847</v>
      </c>
      <c r="D201" s="832" t="s">
        <v>3085</v>
      </c>
      <c r="E201" s="832" t="s">
        <v>3086</v>
      </c>
      <c r="F201" s="849">
        <v>40</v>
      </c>
      <c r="G201" s="849">
        <v>8920</v>
      </c>
      <c r="H201" s="849">
        <v>1.3731527093596059</v>
      </c>
      <c r="I201" s="849">
        <v>223</v>
      </c>
      <c r="J201" s="849">
        <v>29</v>
      </c>
      <c r="K201" s="849">
        <v>6496</v>
      </c>
      <c r="L201" s="849">
        <v>1</v>
      </c>
      <c r="M201" s="849">
        <v>224</v>
      </c>
      <c r="N201" s="849">
        <v>31</v>
      </c>
      <c r="O201" s="849">
        <v>6975</v>
      </c>
      <c r="P201" s="837">
        <v>1.0737376847290641</v>
      </c>
      <c r="Q201" s="850">
        <v>225</v>
      </c>
    </row>
    <row r="202" spans="1:17" ht="14.45" customHeight="1" x14ac:dyDescent="0.2">
      <c r="A202" s="831" t="s">
        <v>3047</v>
      </c>
      <c r="B202" s="832" t="s">
        <v>3048</v>
      </c>
      <c r="C202" s="832" t="s">
        <v>847</v>
      </c>
      <c r="D202" s="832" t="s">
        <v>3087</v>
      </c>
      <c r="E202" s="832" t="s">
        <v>3088</v>
      </c>
      <c r="F202" s="849">
        <v>31</v>
      </c>
      <c r="G202" s="849">
        <v>6975</v>
      </c>
      <c r="H202" s="849">
        <v>0.93523732904263879</v>
      </c>
      <c r="I202" s="849">
        <v>225</v>
      </c>
      <c r="J202" s="849">
        <v>33</v>
      </c>
      <c r="K202" s="849">
        <v>7458</v>
      </c>
      <c r="L202" s="849">
        <v>1</v>
      </c>
      <c r="M202" s="849">
        <v>226</v>
      </c>
      <c r="N202" s="849">
        <v>22</v>
      </c>
      <c r="O202" s="849">
        <v>4994</v>
      </c>
      <c r="P202" s="837">
        <v>0.6696165191740413</v>
      </c>
      <c r="Q202" s="850">
        <v>227</v>
      </c>
    </row>
    <row r="203" spans="1:17" ht="14.45" customHeight="1" x14ac:dyDescent="0.2">
      <c r="A203" s="831" t="s">
        <v>3047</v>
      </c>
      <c r="B203" s="832" t="s">
        <v>3048</v>
      </c>
      <c r="C203" s="832" t="s">
        <v>847</v>
      </c>
      <c r="D203" s="832" t="s">
        <v>3089</v>
      </c>
      <c r="E203" s="832" t="s">
        <v>3090</v>
      </c>
      <c r="F203" s="849">
        <v>1</v>
      </c>
      <c r="G203" s="849">
        <v>626</v>
      </c>
      <c r="H203" s="849"/>
      <c r="I203" s="849">
        <v>626</v>
      </c>
      <c r="J203" s="849"/>
      <c r="K203" s="849"/>
      <c r="L203" s="849"/>
      <c r="M203" s="849"/>
      <c r="N203" s="849">
        <v>2</v>
      </c>
      <c r="O203" s="849">
        <v>1258</v>
      </c>
      <c r="P203" s="837"/>
      <c r="Q203" s="850">
        <v>629</v>
      </c>
    </row>
    <row r="204" spans="1:17" ht="14.45" customHeight="1" x14ac:dyDescent="0.2">
      <c r="A204" s="831" t="s">
        <v>3047</v>
      </c>
      <c r="B204" s="832" t="s">
        <v>3048</v>
      </c>
      <c r="C204" s="832" t="s">
        <v>847</v>
      </c>
      <c r="D204" s="832" t="s">
        <v>3091</v>
      </c>
      <c r="E204" s="832" t="s">
        <v>3092</v>
      </c>
      <c r="F204" s="849">
        <v>3</v>
      </c>
      <c r="G204" s="849">
        <v>1380</v>
      </c>
      <c r="H204" s="849">
        <v>0.74837310195227769</v>
      </c>
      <c r="I204" s="849">
        <v>460</v>
      </c>
      <c r="J204" s="849">
        <v>4</v>
      </c>
      <c r="K204" s="849">
        <v>1844</v>
      </c>
      <c r="L204" s="849">
        <v>1</v>
      </c>
      <c r="M204" s="849">
        <v>461</v>
      </c>
      <c r="N204" s="849">
        <v>2</v>
      </c>
      <c r="O204" s="849">
        <v>924</v>
      </c>
      <c r="P204" s="837">
        <v>0.50108459869848154</v>
      </c>
      <c r="Q204" s="850">
        <v>462</v>
      </c>
    </row>
    <row r="205" spans="1:17" ht="14.45" customHeight="1" x14ac:dyDescent="0.2">
      <c r="A205" s="831" t="s">
        <v>3047</v>
      </c>
      <c r="B205" s="832" t="s">
        <v>3048</v>
      </c>
      <c r="C205" s="832" t="s">
        <v>847</v>
      </c>
      <c r="D205" s="832" t="s">
        <v>3093</v>
      </c>
      <c r="E205" s="832" t="s">
        <v>3094</v>
      </c>
      <c r="F205" s="849">
        <v>1</v>
      </c>
      <c r="G205" s="849">
        <v>265</v>
      </c>
      <c r="H205" s="849"/>
      <c r="I205" s="849">
        <v>265</v>
      </c>
      <c r="J205" s="849"/>
      <c r="K205" s="849"/>
      <c r="L205" s="849"/>
      <c r="M205" s="849"/>
      <c r="N205" s="849"/>
      <c r="O205" s="849"/>
      <c r="P205" s="837"/>
      <c r="Q205" s="850"/>
    </row>
    <row r="206" spans="1:17" ht="14.45" customHeight="1" x14ac:dyDescent="0.2">
      <c r="A206" s="831" t="s">
        <v>3047</v>
      </c>
      <c r="B206" s="832" t="s">
        <v>3048</v>
      </c>
      <c r="C206" s="832" t="s">
        <v>847</v>
      </c>
      <c r="D206" s="832" t="s">
        <v>3095</v>
      </c>
      <c r="E206" s="832" t="s">
        <v>3096</v>
      </c>
      <c r="F206" s="849"/>
      <c r="G206" s="849"/>
      <c r="H206" s="849"/>
      <c r="I206" s="849"/>
      <c r="J206" s="849">
        <v>1</v>
      </c>
      <c r="K206" s="849">
        <v>1577</v>
      </c>
      <c r="L206" s="849">
        <v>1</v>
      </c>
      <c r="M206" s="849">
        <v>1577</v>
      </c>
      <c r="N206" s="849"/>
      <c r="O206" s="849"/>
      <c r="P206" s="837"/>
      <c r="Q206" s="850"/>
    </row>
    <row r="207" spans="1:17" ht="14.45" customHeight="1" x14ac:dyDescent="0.2">
      <c r="A207" s="831" t="s">
        <v>3047</v>
      </c>
      <c r="B207" s="832" t="s">
        <v>3048</v>
      </c>
      <c r="C207" s="832" t="s">
        <v>847</v>
      </c>
      <c r="D207" s="832" t="s">
        <v>3097</v>
      </c>
      <c r="E207" s="832" t="s">
        <v>3098</v>
      </c>
      <c r="F207" s="849"/>
      <c r="G207" s="849"/>
      <c r="H207" s="849"/>
      <c r="I207" s="849"/>
      <c r="J207" s="849"/>
      <c r="K207" s="849"/>
      <c r="L207" s="849"/>
      <c r="M207" s="849"/>
      <c r="N207" s="849">
        <v>1</v>
      </c>
      <c r="O207" s="849">
        <v>877</v>
      </c>
      <c r="P207" s="837"/>
      <c r="Q207" s="850">
        <v>877</v>
      </c>
    </row>
    <row r="208" spans="1:17" ht="14.45" customHeight="1" x14ac:dyDescent="0.2">
      <c r="A208" s="831" t="s">
        <v>3047</v>
      </c>
      <c r="B208" s="832" t="s">
        <v>3048</v>
      </c>
      <c r="C208" s="832" t="s">
        <v>847</v>
      </c>
      <c r="D208" s="832" t="s">
        <v>3099</v>
      </c>
      <c r="E208" s="832" t="s">
        <v>3100</v>
      </c>
      <c r="F208" s="849">
        <v>28</v>
      </c>
      <c r="G208" s="849">
        <v>144396</v>
      </c>
      <c r="H208" s="849">
        <v>0.99983381803074367</v>
      </c>
      <c r="I208" s="849">
        <v>5157</v>
      </c>
      <c r="J208" s="849">
        <v>28</v>
      </c>
      <c r="K208" s="849">
        <v>144420</v>
      </c>
      <c r="L208" s="849">
        <v>1</v>
      </c>
      <c r="M208" s="849">
        <v>5157.8571428571431</v>
      </c>
      <c r="N208" s="849">
        <v>27</v>
      </c>
      <c r="O208" s="849">
        <v>139374</v>
      </c>
      <c r="P208" s="837">
        <v>0.96506024096385545</v>
      </c>
      <c r="Q208" s="850">
        <v>5162</v>
      </c>
    </row>
    <row r="209" spans="1:17" ht="14.45" customHeight="1" x14ac:dyDescent="0.2">
      <c r="A209" s="831" t="s">
        <v>3047</v>
      </c>
      <c r="B209" s="832" t="s">
        <v>3048</v>
      </c>
      <c r="C209" s="832" t="s">
        <v>847</v>
      </c>
      <c r="D209" s="832" t="s">
        <v>3101</v>
      </c>
      <c r="E209" s="832" t="s">
        <v>3102</v>
      </c>
      <c r="F209" s="849">
        <v>4</v>
      </c>
      <c r="G209" s="849">
        <v>22480</v>
      </c>
      <c r="H209" s="849">
        <v>1.3330961276166755</v>
      </c>
      <c r="I209" s="849">
        <v>5620</v>
      </c>
      <c r="J209" s="849">
        <v>3</v>
      </c>
      <c r="K209" s="849">
        <v>16863</v>
      </c>
      <c r="L209" s="849">
        <v>1</v>
      </c>
      <c r="M209" s="849">
        <v>5621</v>
      </c>
      <c r="N209" s="849">
        <v>4</v>
      </c>
      <c r="O209" s="849">
        <v>22504</v>
      </c>
      <c r="P209" s="837">
        <v>1.3345193619166222</v>
      </c>
      <c r="Q209" s="850">
        <v>5626</v>
      </c>
    </row>
    <row r="210" spans="1:17" ht="14.45" customHeight="1" x14ac:dyDescent="0.2">
      <c r="A210" s="831" t="s">
        <v>3047</v>
      </c>
      <c r="B210" s="832" t="s">
        <v>3048</v>
      </c>
      <c r="C210" s="832" t="s">
        <v>847</v>
      </c>
      <c r="D210" s="832" t="s">
        <v>3103</v>
      </c>
      <c r="E210" s="832" t="s">
        <v>3104</v>
      </c>
      <c r="F210" s="849">
        <v>264</v>
      </c>
      <c r="G210" s="849">
        <v>46728</v>
      </c>
      <c r="H210" s="849">
        <v>1.1463618075658701</v>
      </c>
      <c r="I210" s="849">
        <v>177</v>
      </c>
      <c r="J210" s="849">
        <v>229</v>
      </c>
      <c r="K210" s="849">
        <v>40762</v>
      </c>
      <c r="L210" s="849">
        <v>1</v>
      </c>
      <c r="M210" s="849">
        <v>178</v>
      </c>
      <c r="N210" s="849">
        <v>171</v>
      </c>
      <c r="O210" s="849">
        <v>30609</v>
      </c>
      <c r="P210" s="837">
        <v>0.75091997448604098</v>
      </c>
      <c r="Q210" s="850">
        <v>179</v>
      </c>
    </row>
    <row r="211" spans="1:17" ht="14.45" customHeight="1" x14ac:dyDescent="0.2">
      <c r="A211" s="831" t="s">
        <v>3047</v>
      </c>
      <c r="B211" s="832" t="s">
        <v>3048</v>
      </c>
      <c r="C211" s="832" t="s">
        <v>847</v>
      </c>
      <c r="D211" s="832" t="s">
        <v>3105</v>
      </c>
      <c r="E211" s="832" t="s">
        <v>3106</v>
      </c>
      <c r="F211" s="849">
        <v>16</v>
      </c>
      <c r="G211" s="849">
        <v>43792</v>
      </c>
      <c r="H211" s="849">
        <v>0.94117647058823528</v>
      </c>
      <c r="I211" s="849">
        <v>2737</v>
      </c>
      <c r="J211" s="849">
        <v>17</v>
      </c>
      <c r="K211" s="849">
        <v>46529</v>
      </c>
      <c r="L211" s="849">
        <v>1</v>
      </c>
      <c r="M211" s="849">
        <v>2737</v>
      </c>
      <c r="N211" s="849">
        <v>15</v>
      </c>
      <c r="O211" s="849">
        <v>41100</v>
      </c>
      <c r="P211" s="837">
        <v>0.88332007995013861</v>
      </c>
      <c r="Q211" s="850">
        <v>2740</v>
      </c>
    </row>
    <row r="212" spans="1:17" ht="14.45" customHeight="1" x14ac:dyDescent="0.2">
      <c r="A212" s="831" t="s">
        <v>3047</v>
      </c>
      <c r="B212" s="832" t="s">
        <v>3048</v>
      </c>
      <c r="C212" s="832" t="s">
        <v>847</v>
      </c>
      <c r="D212" s="832" t="s">
        <v>3107</v>
      </c>
      <c r="E212" s="832" t="s">
        <v>3108</v>
      </c>
      <c r="F212" s="849">
        <v>1</v>
      </c>
      <c r="G212" s="849">
        <v>5269</v>
      </c>
      <c r="H212" s="849">
        <v>0.49990512333965842</v>
      </c>
      <c r="I212" s="849">
        <v>5269</v>
      </c>
      <c r="J212" s="849">
        <v>2</v>
      </c>
      <c r="K212" s="849">
        <v>10540</v>
      </c>
      <c r="L212" s="849">
        <v>1</v>
      </c>
      <c r="M212" s="849">
        <v>5270</v>
      </c>
      <c r="N212" s="849">
        <v>3</v>
      </c>
      <c r="O212" s="849">
        <v>15822</v>
      </c>
      <c r="P212" s="837">
        <v>1.5011385199240987</v>
      </c>
      <c r="Q212" s="850">
        <v>5274</v>
      </c>
    </row>
    <row r="213" spans="1:17" ht="14.45" customHeight="1" x14ac:dyDescent="0.2">
      <c r="A213" s="831" t="s">
        <v>3047</v>
      </c>
      <c r="B213" s="832" t="s">
        <v>3048</v>
      </c>
      <c r="C213" s="832" t="s">
        <v>847</v>
      </c>
      <c r="D213" s="832" t="s">
        <v>3109</v>
      </c>
      <c r="E213" s="832" t="s">
        <v>3110</v>
      </c>
      <c r="F213" s="849">
        <v>7</v>
      </c>
      <c r="G213" s="849">
        <v>4725</v>
      </c>
      <c r="H213" s="849">
        <v>1.75</v>
      </c>
      <c r="I213" s="849">
        <v>675</v>
      </c>
      <c r="J213" s="849">
        <v>4</v>
      </c>
      <c r="K213" s="849">
        <v>2700</v>
      </c>
      <c r="L213" s="849">
        <v>1</v>
      </c>
      <c r="M213" s="849">
        <v>675</v>
      </c>
      <c r="N213" s="849">
        <v>1</v>
      </c>
      <c r="O213" s="849">
        <v>678</v>
      </c>
      <c r="P213" s="837">
        <v>0.25111111111111112</v>
      </c>
      <c r="Q213" s="850">
        <v>678</v>
      </c>
    </row>
    <row r="214" spans="1:17" ht="14.45" customHeight="1" x14ac:dyDescent="0.2">
      <c r="A214" s="831" t="s">
        <v>3047</v>
      </c>
      <c r="B214" s="832" t="s">
        <v>3048</v>
      </c>
      <c r="C214" s="832" t="s">
        <v>847</v>
      </c>
      <c r="D214" s="832" t="s">
        <v>3111</v>
      </c>
      <c r="E214" s="832" t="s">
        <v>3112</v>
      </c>
      <c r="F214" s="849">
        <v>3</v>
      </c>
      <c r="G214" s="849">
        <v>1707</v>
      </c>
      <c r="H214" s="849">
        <v>0.75</v>
      </c>
      <c r="I214" s="849">
        <v>569</v>
      </c>
      <c r="J214" s="849">
        <v>4</v>
      </c>
      <c r="K214" s="849">
        <v>2276</v>
      </c>
      <c r="L214" s="849">
        <v>1</v>
      </c>
      <c r="M214" s="849">
        <v>569</v>
      </c>
      <c r="N214" s="849">
        <v>2</v>
      </c>
      <c r="O214" s="849">
        <v>1142</v>
      </c>
      <c r="P214" s="837">
        <v>0.50175746924428821</v>
      </c>
      <c r="Q214" s="850">
        <v>571</v>
      </c>
    </row>
    <row r="215" spans="1:17" ht="14.45" customHeight="1" x14ac:dyDescent="0.2">
      <c r="A215" s="831" t="s">
        <v>3047</v>
      </c>
      <c r="B215" s="832" t="s">
        <v>3048</v>
      </c>
      <c r="C215" s="832" t="s">
        <v>847</v>
      </c>
      <c r="D215" s="832" t="s">
        <v>3113</v>
      </c>
      <c r="E215" s="832" t="s">
        <v>3114</v>
      </c>
      <c r="F215" s="849"/>
      <c r="G215" s="849"/>
      <c r="H215" s="849"/>
      <c r="I215" s="849"/>
      <c r="J215" s="849">
        <v>1</v>
      </c>
      <c r="K215" s="849">
        <v>155</v>
      </c>
      <c r="L215" s="849">
        <v>1</v>
      </c>
      <c r="M215" s="849">
        <v>155</v>
      </c>
      <c r="N215" s="849">
        <v>1</v>
      </c>
      <c r="O215" s="849">
        <v>156</v>
      </c>
      <c r="P215" s="837">
        <v>1.0064516129032257</v>
      </c>
      <c r="Q215" s="850">
        <v>156</v>
      </c>
    </row>
    <row r="216" spans="1:17" ht="14.45" customHeight="1" x14ac:dyDescent="0.2">
      <c r="A216" s="831" t="s">
        <v>3047</v>
      </c>
      <c r="B216" s="832" t="s">
        <v>3048</v>
      </c>
      <c r="C216" s="832" t="s">
        <v>847</v>
      </c>
      <c r="D216" s="832" t="s">
        <v>3115</v>
      </c>
      <c r="E216" s="832" t="s">
        <v>3116</v>
      </c>
      <c r="F216" s="849"/>
      <c r="G216" s="849"/>
      <c r="H216" s="849"/>
      <c r="I216" s="849"/>
      <c r="J216" s="849">
        <v>3</v>
      </c>
      <c r="K216" s="849">
        <v>615</v>
      </c>
      <c r="L216" s="849">
        <v>1</v>
      </c>
      <c r="M216" s="849">
        <v>205</v>
      </c>
      <c r="N216" s="849"/>
      <c r="O216" s="849"/>
      <c r="P216" s="837"/>
      <c r="Q216" s="850"/>
    </row>
    <row r="217" spans="1:17" ht="14.45" customHeight="1" x14ac:dyDescent="0.2">
      <c r="A217" s="831" t="s">
        <v>3047</v>
      </c>
      <c r="B217" s="832" t="s">
        <v>3048</v>
      </c>
      <c r="C217" s="832" t="s">
        <v>847</v>
      </c>
      <c r="D217" s="832" t="s">
        <v>3117</v>
      </c>
      <c r="E217" s="832" t="s">
        <v>3118</v>
      </c>
      <c r="F217" s="849">
        <v>3</v>
      </c>
      <c r="G217" s="849">
        <v>1278</v>
      </c>
      <c r="H217" s="849"/>
      <c r="I217" s="849">
        <v>426</v>
      </c>
      <c r="J217" s="849"/>
      <c r="K217" s="849"/>
      <c r="L217" s="849"/>
      <c r="M217" s="849"/>
      <c r="N217" s="849">
        <v>5</v>
      </c>
      <c r="O217" s="849">
        <v>2140</v>
      </c>
      <c r="P217" s="837"/>
      <c r="Q217" s="850">
        <v>428</v>
      </c>
    </row>
    <row r="218" spans="1:17" ht="14.45" customHeight="1" x14ac:dyDescent="0.2">
      <c r="A218" s="831" t="s">
        <v>3047</v>
      </c>
      <c r="B218" s="832" t="s">
        <v>3048</v>
      </c>
      <c r="C218" s="832" t="s">
        <v>847</v>
      </c>
      <c r="D218" s="832" t="s">
        <v>3119</v>
      </c>
      <c r="E218" s="832" t="s">
        <v>3120</v>
      </c>
      <c r="F218" s="849">
        <v>2</v>
      </c>
      <c r="G218" s="849">
        <v>872</v>
      </c>
      <c r="H218" s="849"/>
      <c r="I218" s="849">
        <v>436</v>
      </c>
      <c r="J218" s="849"/>
      <c r="K218" s="849"/>
      <c r="L218" s="849"/>
      <c r="M218" s="849"/>
      <c r="N218" s="849"/>
      <c r="O218" s="849"/>
      <c r="P218" s="837"/>
      <c r="Q218" s="850"/>
    </row>
    <row r="219" spans="1:17" ht="14.45" customHeight="1" x14ac:dyDescent="0.2">
      <c r="A219" s="831" t="s">
        <v>3047</v>
      </c>
      <c r="B219" s="832" t="s">
        <v>3048</v>
      </c>
      <c r="C219" s="832" t="s">
        <v>847</v>
      </c>
      <c r="D219" s="832" t="s">
        <v>3121</v>
      </c>
      <c r="E219" s="832" t="s">
        <v>3122</v>
      </c>
      <c r="F219" s="849">
        <v>2</v>
      </c>
      <c r="G219" s="849">
        <v>4310</v>
      </c>
      <c r="H219" s="849">
        <v>0.99953617810760664</v>
      </c>
      <c r="I219" s="849">
        <v>2155</v>
      </c>
      <c r="J219" s="849">
        <v>2</v>
      </c>
      <c r="K219" s="849">
        <v>4312</v>
      </c>
      <c r="L219" s="849">
        <v>1</v>
      </c>
      <c r="M219" s="849">
        <v>2156</v>
      </c>
      <c r="N219" s="849"/>
      <c r="O219" s="849"/>
      <c r="P219" s="837"/>
      <c r="Q219" s="850"/>
    </row>
    <row r="220" spans="1:17" ht="14.45" customHeight="1" x14ac:dyDescent="0.2">
      <c r="A220" s="831" t="s">
        <v>3047</v>
      </c>
      <c r="B220" s="832" t="s">
        <v>3048</v>
      </c>
      <c r="C220" s="832" t="s">
        <v>847</v>
      </c>
      <c r="D220" s="832" t="s">
        <v>3123</v>
      </c>
      <c r="E220" s="832" t="s">
        <v>3124</v>
      </c>
      <c r="F220" s="849">
        <v>5</v>
      </c>
      <c r="G220" s="849">
        <v>4670</v>
      </c>
      <c r="H220" s="849">
        <v>0.62433155080213909</v>
      </c>
      <c r="I220" s="849">
        <v>934</v>
      </c>
      <c r="J220" s="849">
        <v>8</v>
      </c>
      <c r="K220" s="849">
        <v>7480</v>
      </c>
      <c r="L220" s="849">
        <v>1</v>
      </c>
      <c r="M220" s="849">
        <v>935</v>
      </c>
      <c r="N220" s="849">
        <v>4</v>
      </c>
      <c r="O220" s="849">
        <v>3752</v>
      </c>
      <c r="P220" s="837">
        <v>0.50160427807486629</v>
      </c>
      <c r="Q220" s="850">
        <v>938</v>
      </c>
    </row>
    <row r="221" spans="1:17" ht="14.45" customHeight="1" x14ac:dyDescent="0.2">
      <c r="A221" s="831" t="s">
        <v>3047</v>
      </c>
      <c r="B221" s="832" t="s">
        <v>3048</v>
      </c>
      <c r="C221" s="832" t="s">
        <v>847</v>
      </c>
      <c r="D221" s="832" t="s">
        <v>3125</v>
      </c>
      <c r="E221" s="832" t="s">
        <v>3126</v>
      </c>
      <c r="F221" s="849">
        <v>1</v>
      </c>
      <c r="G221" s="849">
        <v>8460</v>
      </c>
      <c r="H221" s="849">
        <v>0.9997636492554951</v>
      </c>
      <c r="I221" s="849">
        <v>8460</v>
      </c>
      <c r="J221" s="849">
        <v>1</v>
      </c>
      <c r="K221" s="849">
        <v>8462</v>
      </c>
      <c r="L221" s="849">
        <v>1</v>
      </c>
      <c r="M221" s="849">
        <v>8462</v>
      </c>
      <c r="N221" s="849"/>
      <c r="O221" s="849"/>
      <c r="P221" s="837"/>
      <c r="Q221" s="850"/>
    </row>
    <row r="222" spans="1:17" ht="14.45" customHeight="1" x14ac:dyDescent="0.2">
      <c r="A222" s="831" t="s">
        <v>3127</v>
      </c>
      <c r="B222" s="832" t="s">
        <v>3128</v>
      </c>
      <c r="C222" s="832" t="s">
        <v>847</v>
      </c>
      <c r="D222" s="832" t="s">
        <v>3129</v>
      </c>
      <c r="E222" s="832" t="s">
        <v>3130</v>
      </c>
      <c r="F222" s="849">
        <v>14</v>
      </c>
      <c r="G222" s="849">
        <v>2954</v>
      </c>
      <c r="H222" s="849">
        <v>0.77410901467505244</v>
      </c>
      <c r="I222" s="849">
        <v>211</v>
      </c>
      <c r="J222" s="849">
        <v>18</v>
      </c>
      <c r="K222" s="849">
        <v>3816</v>
      </c>
      <c r="L222" s="849">
        <v>1</v>
      </c>
      <c r="M222" s="849">
        <v>212</v>
      </c>
      <c r="N222" s="849">
        <v>14</v>
      </c>
      <c r="O222" s="849">
        <v>2982</v>
      </c>
      <c r="P222" s="837">
        <v>0.78144654088050314</v>
      </c>
      <c r="Q222" s="850">
        <v>213</v>
      </c>
    </row>
    <row r="223" spans="1:17" ht="14.45" customHeight="1" x14ac:dyDescent="0.2">
      <c r="A223" s="831" t="s">
        <v>3127</v>
      </c>
      <c r="B223" s="832" t="s">
        <v>3128</v>
      </c>
      <c r="C223" s="832" t="s">
        <v>847</v>
      </c>
      <c r="D223" s="832" t="s">
        <v>3131</v>
      </c>
      <c r="E223" s="832" t="s">
        <v>3132</v>
      </c>
      <c r="F223" s="849">
        <v>141</v>
      </c>
      <c r="G223" s="849">
        <v>42441</v>
      </c>
      <c r="H223" s="849">
        <v>0.54259889028100949</v>
      </c>
      <c r="I223" s="849">
        <v>301</v>
      </c>
      <c r="J223" s="849">
        <v>259</v>
      </c>
      <c r="K223" s="849">
        <v>78218</v>
      </c>
      <c r="L223" s="849">
        <v>1</v>
      </c>
      <c r="M223" s="849">
        <v>302</v>
      </c>
      <c r="N223" s="849">
        <v>113</v>
      </c>
      <c r="O223" s="849">
        <v>34239</v>
      </c>
      <c r="P223" s="837">
        <v>0.43773811654606359</v>
      </c>
      <c r="Q223" s="850">
        <v>303</v>
      </c>
    </row>
    <row r="224" spans="1:17" ht="14.45" customHeight="1" x14ac:dyDescent="0.2">
      <c r="A224" s="831" t="s">
        <v>3127</v>
      </c>
      <c r="B224" s="832" t="s">
        <v>3128</v>
      </c>
      <c r="C224" s="832" t="s">
        <v>847</v>
      </c>
      <c r="D224" s="832" t="s">
        <v>3133</v>
      </c>
      <c r="E224" s="832" t="s">
        <v>3134</v>
      </c>
      <c r="F224" s="849">
        <v>12</v>
      </c>
      <c r="G224" s="849">
        <v>1188</v>
      </c>
      <c r="H224" s="849">
        <v>0.79358717434869741</v>
      </c>
      <c r="I224" s="849">
        <v>99</v>
      </c>
      <c r="J224" s="849">
        <v>15</v>
      </c>
      <c r="K224" s="849">
        <v>1497</v>
      </c>
      <c r="L224" s="849">
        <v>1</v>
      </c>
      <c r="M224" s="849">
        <v>99.8</v>
      </c>
      <c r="N224" s="849">
        <v>18</v>
      </c>
      <c r="O224" s="849">
        <v>1800</v>
      </c>
      <c r="P224" s="837">
        <v>1.2024048096192386</v>
      </c>
      <c r="Q224" s="850">
        <v>100</v>
      </c>
    </row>
    <row r="225" spans="1:17" ht="14.45" customHeight="1" x14ac:dyDescent="0.2">
      <c r="A225" s="831" t="s">
        <v>3127</v>
      </c>
      <c r="B225" s="832" t="s">
        <v>3128</v>
      </c>
      <c r="C225" s="832" t="s">
        <v>847</v>
      </c>
      <c r="D225" s="832" t="s">
        <v>3135</v>
      </c>
      <c r="E225" s="832" t="s">
        <v>3136</v>
      </c>
      <c r="F225" s="849">
        <v>7</v>
      </c>
      <c r="G225" s="849">
        <v>1624</v>
      </c>
      <c r="H225" s="849">
        <v>1.1666666666666667</v>
      </c>
      <c r="I225" s="849">
        <v>232</v>
      </c>
      <c r="J225" s="849">
        <v>6</v>
      </c>
      <c r="K225" s="849">
        <v>1392</v>
      </c>
      <c r="L225" s="849">
        <v>1</v>
      </c>
      <c r="M225" s="849">
        <v>232</v>
      </c>
      <c r="N225" s="849">
        <v>5</v>
      </c>
      <c r="O225" s="849">
        <v>1175</v>
      </c>
      <c r="P225" s="837">
        <v>0.8441091954022989</v>
      </c>
      <c r="Q225" s="850">
        <v>235</v>
      </c>
    </row>
    <row r="226" spans="1:17" ht="14.45" customHeight="1" x14ac:dyDescent="0.2">
      <c r="A226" s="831" t="s">
        <v>3127</v>
      </c>
      <c r="B226" s="832" t="s">
        <v>3128</v>
      </c>
      <c r="C226" s="832" t="s">
        <v>847</v>
      </c>
      <c r="D226" s="832" t="s">
        <v>3137</v>
      </c>
      <c r="E226" s="832" t="s">
        <v>3138</v>
      </c>
      <c r="F226" s="849">
        <v>37</v>
      </c>
      <c r="G226" s="849">
        <v>5069</v>
      </c>
      <c r="H226" s="849">
        <v>0.86046511627906974</v>
      </c>
      <c r="I226" s="849">
        <v>137</v>
      </c>
      <c r="J226" s="849">
        <v>43</v>
      </c>
      <c r="K226" s="849">
        <v>5891</v>
      </c>
      <c r="L226" s="849">
        <v>1</v>
      </c>
      <c r="M226" s="849">
        <v>137</v>
      </c>
      <c r="N226" s="849">
        <v>38</v>
      </c>
      <c r="O226" s="849">
        <v>5244</v>
      </c>
      <c r="P226" s="837">
        <v>0.89017144797148196</v>
      </c>
      <c r="Q226" s="850">
        <v>138</v>
      </c>
    </row>
    <row r="227" spans="1:17" ht="14.45" customHeight="1" x14ac:dyDescent="0.2">
      <c r="A227" s="831" t="s">
        <v>3127</v>
      </c>
      <c r="B227" s="832" t="s">
        <v>3128</v>
      </c>
      <c r="C227" s="832" t="s">
        <v>847</v>
      </c>
      <c r="D227" s="832" t="s">
        <v>3139</v>
      </c>
      <c r="E227" s="832" t="s">
        <v>3138</v>
      </c>
      <c r="F227" s="849"/>
      <c r="G227" s="849"/>
      <c r="H227" s="849"/>
      <c r="I227" s="849"/>
      <c r="J227" s="849">
        <v>6</v>
      </c>
      <c r="K227" s="849">
        <v>1104</v>
      </c>
      <c r="L227" s="849">
        <v>1</v>
      </c>
      <c r="M227" s="849">
        <v>184</v>
      </c>
      <c r="N227" s="849">
        <v>1</v>
      </c>
      <c r="O227" s="849">
        <v>185</v>
      </c>
      <c r="P227" s="837">
        <v>0.16757246376811594</v>
      </c>
      <c r="Q227" s="850">
        <v>185</v>
      </c>
    </row>
    <row r="228" spans="1:17" ht="14.45" customHeight="1" x14ac:dyDescent="0.2">
      <c r="A228" s="831" t="s">
        <v>3127</v>
      </c>
      <c r="B228" s="832" t="s">
        <v>3128</v>
      </c>
      <c r="C228" s="832" t="s">
        <v>847</v>
      </c>
      <c r="D228" s="832" t="s">
        <v>3140</v>
      </c>
      <c r="E228" s="832" t="s">
        <v>3141</v>
      </c>
      <c r="F228" s="849">
        <v>11</v>
      </c>
      <c r="G228" s="849">
        <v>3278</v>
      </c>
      <c r="H228" s="849">
        <v>0.91360089186176141</v>
      </c>
      <c r="I228" s="849">
        <v>298</v>
      </c>
      <c r="J228" s="849">
        <v>12</v>
      </c>
      <c r="K228" s="849">
        <v>3588</v>
      </c>
      <c r="L228" s="849">
        <v>1</v>
      </c>
      <c r="M228" s="849">
        <v>299</v>
      </c>
      <c r="N228" s="849">
        <v>4</v>
      </c>
      <c r="O228" s="849">
        <v>1208</v>
      </c>
      <c r="P228" s="837">
        <v>0.33667781493868448</v>
      </c>
      <c r="Q228" s="850">
        <v>302</v>
      </c>
    </row>
    <row r="229" spans="1:17" ht="14.45" customHeight="1" x14ac:dyDescent="0.2">
      <c r="A229" s="831" t="s">
        <v>3127</v>
      </c>
      <c r="B229" s="832" t="s">
        <v>3128</v>
      </c>
      <c r="C229" s="832" t="s">
        <v>847</v>
      </c>
      <c r="D229" s="832" t="s">
        <v>3142</v>
      </c>
      <c r="E229" s="832" t="s">
        <v>3143</v>
      </c>
      <c r="F229" s="849">
        <v>2</v>
      </c>
      <c r="G229" s="849">
        <v>1278</v>
      </c>
      <c r="H229" s="849"/>
      <c r="I229" s="849">
        <v>639</v>
      </c>
      <c r="J229" s="849"/>
      <c r="K229" s="849"/>
      <c r="L229" s="849"/>
      <c r="M229" s="849"/>
      <c r="N229" s="849"/>
      <c r="O229" s="849"/>
      <c r="P229" s="837"/>
      <c r="Q229" s="850"/>
    </row>
    <row r="230" spans="1:17" ht="14.45" customHeight="1" x14ac:dyDescent="0.2">
      <c r="A230" s="831" t="s">
        <v>3127</v>
      </c>
      <c r="B230" s="832" t="s">
        <v>3128</v>
      </c>
      <c r="C230" s="832" t="s">
        <v>847</v>
      </c>
      <c r="D230" s="832" t="s">
        <v>3144</v>
      </c>
      <c r="E230" s="832" t="s">
        <v>3145</v>
      </c>
      <c r="F230" s="849">
        <v>1</v>
      </c>
      <c r="G230" s="849">
        <v>608</v>
      </c>
      <c r="H230" s="849">
        <v>0.99835796387520526</v>
      </c>
      <c r="I230" s="849">
        <v>608</v>
      </c>
      <c r="J230" s="849">
        <v>1</v>
      </c>
      <c r="K230" s="849">
        <v>609</v>
      </c>
      <c r="L230" s="849">
        <v>1</v>
      </c>
      <c r="M230" s="849">
        <v>609</v>
      </c>
      <c r="N230" s="849"/>
      <c r="O230" s="849"/>
      <c r="P230" s="837"/>
      <c r="Q230" s="850"/>
    </row>
    <row r="231" spans="1:17" ht="14.45" customHeight="1" x14ac:dyDescent="0.2">
      <c r="A231" s="831" t="s">
        <v>3127</v>
      </c>
      <c r="B231" s="832" t="s">
        <v>3128</v>
      </c>
      <c r="C231" s="832" t="s">
        <v>847</v>
      </c>
      <c r="D231" s="832" t="s">
        <v>3146</v>
      </c>
      <c r="E231" s="832" t="s">
        <v>3147</v>
      </c>
      <c r="F231" s="849">
        <v>39</v>
      </c>
      <c r="G231" s="849">
        <v>6747</v>
      </c>
      <c r="H231" s="849">
        <v>0.71807151979565775</v>
      </c>
      <c r="I231" s="849">
        <v>173</v>
      </c>
      <c r="J231" s="849">
        <v>54</v>
      </c>
      <c r="K231" s="849">
        <v>9396</v>
      </c>
      <c r="L231" s="849">
        <v>1</v>
      </c>
      <c r="M231" s="849">
        <v>174</v>
      </c>
      <c r="N231" s="849">
        <v>28</v>
      </c>
      <c r="O231" s="849">
        <v>4900</v>
      </c>
      <c r="P231" s="837">
        <v>0.52149851000425718</v>
      </c>
      <c r="Q231" s="850">
        <v>175</v>
      </c>
    </row>
    <row r="232" spans="1:17" ht="14.45" customHeight="1" x14ac:dyDescent="0.2">
      <c r="A232" s="831" t="s">
        <v>3127</v>
      </c>
      <c r="B232" s="832" t="s">
        <v>3128</v>
      </c>
      <c r="C232" s="832" t="s">
        <v>847</v>
      </c>
      <c r="D232" s="832" t="s">
        <v>3148</v>
      </c>
      <c r="E232" s="832" t="s">
        <v>3149</v>
      </c>
      <c r="F232" s="849">
        <v>19</v>
      </c>
      <c r="G232" s="849">
        <v>6593</v>
      </c>
      <c r="H232" s="849">
        <v>1.4615384615384615</v>
      </c>
      <c r="I232" s="849">
        <v>347</v>
      </c>
      <c r="J232" s="849">
        <v>13</v>
      </c>
      <c r="K232" s="849">
        <v>4511</v>
      </c>
      <c r="L232" s="849">
        <v>1</v>
      </c>
      <c r="M232" s="849">
        <v>347</v>
      </c>
      <c r="N232" s="849">
        <v>31</v>
      </c>
      <c r="O232" s="849">
        <v>10788</v>
      </c>
      <c r="P232" s="837">
        <v>2.3914874750609623</v>
      </c>
      <c r="Q232" s="850">
        <v>348</v>
      </c>
    </row>
    <row r="233" spans="1:17" ht="14.45" customHeight="1" x14ac:dyDescent="0.2">
      <c r="A233" s="831" t="s">
        <v>3127</v>
      </c>
      <c r="B233" s="832" t="s">
        <v>3128</v>
      </c>
      <c r="C233" s="832" t="s">
        <v>847</v>
      </c>
      <c r="D233" s="832" t="s">
        <v>3150</v>
      </c>
      <c r="E233" s="832" t="s">
        <v>3151</v>
      </c>
      <c r="F233" s="849"/>
      <c r="G233" s="849"/>
      <c r="H233" s="849"/>
      <c r="I233" s="849"/>
      <c r="J233" s="849">
        <v>1</v>
      </c>
      <c r="K233" s="849">
        <v>274</v>
      </c>
      <c r="L233" s="849">
        <v>1</v>
      </c>
      <c r="M233" s="849">
        <v>274</v>
      </c>
      <c r="N233" s="849"/>
      <c r="O233" s="849"/>
      <c r="P233" s="837"/>
      <c r="Q233" s="850"/>
    </row>
    <row r="234" spans="1:17" ht="14.45" customHeight="1" x14ac:dyDescent="0.2">
      <c r="A234" s="831" t="s">
        <v>3127</v>
      </c>
      <c r="B234" s="832" t="s">
        <v>3128</v>
      </c>
      <c r="C234" s="832" t="s">
        <v>847</v>
      </c>
      <c r="D234" s="832" t="s">
        <v>3152</v>
      </c>
      <c r="E234" s="832" t="s">
        <v>3153</v>
      </c>
      <c r="F234" s="849">
        <v>1</v>
      </c>
      <c r="G234" s="849">
        <v>142</v>
      </c>
      <c r="H234" s="849">
        <v>1</v>
      </c>
      <c r="I234" s="849">
        <v>142</v>
      </c>
      <c r="J234" s="849">
        <v>1</v>
      </c>
      <c r="K234" s="849">
        <v>142</v>
      </c>
      <c r="L234" s="849">
        <v>1</v>
      </c>
      <c r="M234" s="849">
        <v>142</v>
      </c>
      <c r="N234" s="849"/>
      <c r="O234" s="849"/>
      <c r="P234" s="837"/>
      <c r="Q234" s="850"/>
    </row>
    <row r="235" spans="1:17" ht="14.45" customHeight="1" x14ac:dyDescent="0.2">
      <c r="A235" s="831" t="s">
        <v>3127</v>
      </c>
      <c r="B235" s="832" t="s">
        <v>3128</v>
      </c>
      <c r="C235" s="832" t="s">
        <v>847</v>
      </c>
      <c r="D235" s="832" t="s">
        <v>3154</v>
      </c>
      <c r="E235" s="832" t="s">
        <v>3153</v>
      </c>
      <c r="F235" s="849">
        <v>37</v>
      </c>
      <c r="G235" s="849">
        <v>2886</v>
      </c>
      <c r="H235" s="849">
        <v>0.87934186471663622</v>
      </c>
      <c r="I235" s="849">
        <v>78</v>
      </c>
      <c r="J235" s="849">
        <v>42</v>
      </c>
      <c r="K235" s="849">
        <v>3282</v>
      </c>
      <c r="L235" s="849">
        <v>1</v>
      </c>
      <c r="M235" s="849">
        <v>78.142857142857139</v>
      </c>
      <c r="N235" s="849">
        <v>38</v>
      </c>
      <c r="O235" s="849">
        <v>3002</v>
      </c>
      <c r="P235" s="837">
        <v>0.91468616697135896</v>
      </c>
      <c r="Q235" s="850">
        <v>79</v>
      </c>
    </row>
    <row r="236" spans="1:17" ht="14.45" customHeight="1" x14ac:dyDescent="0.2">
      <c r="A236" s="831" t="s">
        <v>3127</v>
      </c>
      <c r="B236" s="832" t="s">
        <v>3128</v>
      </c>
      <c r="C236" s="832" t="s">
        <v>847</v>
      </c>
      <c r="D236" s="832" t="s">
        <v>3155</v>
      </c>
      <c r="E236" s="832" t="s">
        <v>3156</v>
      </c>
      <c r="F236" s="849">
        <v>1</v>
      </c>
      <c r="G236" s="849">
        <v>314</v>
      </c>
      <c r="H236" s="849">
        <v>1</v>
      </c>
      <c r="I236" s="849">
        <v>314</v>
      </c>
      <c r="J236" s="849">
        <v>1</v>
      </c>
      <c r="K236" s="849">
        <v>314</v>
      </c>
      <c r="L236" s="849">
        <v>1</v>
      </c>
      <c r="M236" s="849">
        <v>314</v>
      </c>
      <c r="N236" s="849"/>
      <c r="O236" s="849"/>
      <c r="P236" s="837"/>
      <c r="Q236" s="850"/>
    </row>
    <row r="237" spans="1:17" ht="14.45" customHeight="1" x14ac:dyDescent="0.2">
      <c r="A237" s="831" t="s">
        <v>3127</v>
      </c>
      <c r="B237" s="832" t="s">
        <v>3128</v>
      </c>
      <c r="C237" s="832" t="s">
        <v>847</v>
      </c>
      <c r="D237" s="832" t="s">
        <v>3157</v>
      </c>
      <c r="E237" s="832" t="s">
        <v>3158</v>
      </c>
      <c r="F237" s="849">
        <v>1922</v>
      </c>
      <c r="G237" s="849">
        <v>630416</v>
      </c>
      <c r="H237" s="849">
        <v>1.0338891877353416</v>
      </c>
      <c r="I237" s="849">
        <v>328</v>
      </c>
      <c r="J237" s="849">
        <v>1859</v>
      </c>
      <c r="K237" s="849">
        <v>609752</v>
      </c>
      <c r="L237" s="849">
        <v>1</v>
      </c>
      <c r="M237" s="849">
        <v>328</v>
      </c>
      <c r="N237" s="849">
        <v>1766</v>
      </c>
      <c r="O237" s="849">
        <v>581014</v>
      </c>
      <c r="P237" s="837">
        <v>0.95286936328212124</v>
      </c>
      <c r="Q237" s="850">
        <v>329</v>
      </c>
    </row>
    <row r="238" spans="1:17" ht="14.45" customHeight="1" x14ac:dyDescent="0.2">
      <c r="A238" s="831" t="s">
        <v>3127</v>
      </c>
      <c r="B238" s="832" t="s">
        <v>3128</v>
      </c>
      <c r="C238" s="832" t="s">
        <v>847</v>
      </c>
      <c r="D238" s="832" t="s">
        <v>3159</v>
      </c>
      <c r="E238" s="832" t="s">
        <v>3160</v>
      </c>
      <c r="F238" s="849">
        <v>17</v>
      </c>
      <c r="G238" s="849">
        <v>2771</v>
      </c>
      <c r="H238" s="849">
        <v>0.99963924963924966</v>
      </c>
      <c r="I238" s="849">
        <v>163</v>
      </c>
      <c r="J238" s="849">
        <v>17</v>
      </c>
      <c r="K238" s="849">
        <v>2772</v>
      </c>
      <c r="L238" s="849">
        <v>1</v>
      </c>
      <c r="M238" s="849">
        <v>163.05882352941177</v>
      </c>
      <c r="N238" s="849">
        <v>15</v>
      </c>
      <c r="O238" s="849">
        <v>2475</v>
      </c>
      <c r="P238" s="837">
        <v>0.8928571428571429</v>
      </c>
      <c r="Q238" s="850">
        <v>165</v>
      </c>
    </row>
    <row r="239" spans="1:17" ht="14.45" customHeight="1" x14ac:dyDescent="0.2">
      <c r="A239" s="831" t="s">
        <v>3127</v>
      </c>
      <c r="B239" s="832" t="s">
        <v>3128</v>
      </c>
      <c r="C239" s="832" t="s">
        <v>847</v>
      </c>
      <c r="D239" s="832" t="s">
        <v>3161</v>
      </c>
      <c r="E239" s="832" t="s">
        <v>3130</v>
      </c>
      <c r="F239" s="849">
        <v>81</v>
      </c>
      <c r="G239" s="849">
        <v>5832</v>
      </c>
      <c r="H239" s="849">
        <v>1.3712673407006819</v>
      </c>
      <c r="I239" s="849">
        <v>72</v>
      </c>
      <c r="J239" s="849">
        <v>59</v>
      </c>
      <c r="K239" s="849">
        <v>4253</v>
      </c>
      <c r="L239" s="849">
        <v>1</v>
      </c>
      <c r="M239" s="849">
        <v>72.084745762711862</v>
      </c>
      <c r="N239" s="849">
        <v>65</v>
      </c>
      <c r="O239" s="849">
        <v>4810</v>
      </c>
      <c r="P239" s="837">
        <v>1.130966376675288</v>
      </c>
      <c r="Q239" s="850">
        <v>74</v>
      </c>
    </row>
    <row r="240" spans="1:17" ht="14.45" customHeight="1" x14ac:dyDescent="0.2">
      <c r="A240" s="831" t="s">
        <v>3127</v>
      </c>
      <c r="B240" s="832" t="s">
        <v>3128</v>
      </c>
      <c r="C240" s="832" t="s">
        <v>847</v>
      </c>
      <c r="D240" s="832" t="s">
        <v>3162</v>
      </c>
      <c r="E240" s="832" t="s">
        <v>3163</v>
      </c>
      <c r="F240" s="849">
        <v>16</v>
      </c>
      <c r="G240" s="849">
        <v>19376</v>
      </c>
      <c r="H240" s="849">
        <v>0.57095709570957098</v>
      </c>
      <c r="I240" s="849">
        <v>1211</v>
      </c>
      <c r="J240" s="849">
        <v>28</v>
      </c>
      <c r="K240" s="849">
        <v>33936</v>
      </c>
      <c r="L240" s="849">
        <v>1</v>
      </c>
      <c r="M240" s="849">
        <v>1212</v>
      </c>
      <c r="N240" s="849">
        <v>12</v>
      </c>
      <c r="O240" s="849">
        <v>14592</v>
      </c>
      <c r="P240" s="837">
        <v>0.42998585572843001</v>
      </c>
      <c r="Q240" s="850">
        <v>1216</v>
      </c>
    </row>
    <row r="241" spans="1:17" ht="14.45" customHeight="1" x14ac:dyDescent="0.2">
      <c r="A241" s="831" t="s">
        <v>3127</v>
      </c>
      <c r="B241" s="832" t="s">
        <v>3128</v>
      </c>
      <c r="C241" s="832" t="s">
        <v>847</v>
      </c>
      <c r="D241" s="832" t="s">
        <v>3164</v>
      </c>
      <c r="E241" s="832" t="s">
        <v>3165</v>
      </c>
      <c r="F241" s="849">
        <v>384</v>
      </c>
      <c r="G241" s="849">
        <v>43776</v>
      </c>
      <c r="H241" s="849">
        <v>0.89567263427109978</v>
      </c>
      <c r="I241" s="849">
        <v>114</v>
      </c>
      <c r="J241" s="849">
        <v>425</v>
      </c>
      <c r="K241" s="849">
        <v>48875</v>
      </c>
      <c r="L241" s="849">
        <v>1</v>
      </c>
      <c r="M241" s="849">
        <v>115</v>
      </c>
      <c r="N241" s="849">
        <v>349</v>
      </c>
      <c r="O241" s="849">
        <v>40484</v>
      </c>
      <c r="P241" s="837">
        <v>0.82831713554987207</v>
      </c>
      <c r="Q241" s="850">
        <v>116</v>
      </c>
    </row>
    <row r="242" spans="1:17" ht="14.45" customHeight="1" x14ac:dyDescent="0.2">
      <c r="A242" s="831" t="s">
        <v>3127</v>
      </c>
      <c r="B242" s="832" t="s">
        <v>3128</v>
      </c>
      <c r="C242" s="832" t="s">
        <v>847</v>
      </c>
      <c r="D242" s="832" t="s">
        <v>3166</v>
      </c>
      <c r="E242" s="832" t="s">
        <v>3167</v>
      </c>
      <c r="F242" s="849">
        <v>931</v>
      </c>
      <c r="G242" s="849">
        <v>139650</v>
      </c>
      <c r="H242" s="849">
        <v>0.99874129274956014</v>
      </c>
      <c r="I242" s="849">
        <v>150</v>
      </c>
      <c r="J242" s="849">
        <v>926</v>
      </c>
      <c r="K242" s="849">
        <v>139826</v>
      </c>
      <c r="L242" s="849">
        <v>1</v>
      </c>
      <c r="M242" s="849">
        <v>151</v>
      </c>
      <c r="N242" s="849">
        <v>882</v>
      </c>
      <c r="O242" s="849">
        <v>134064</v>
      </c>
      <c r="P242" s="837">
        <v>0.95879164103957781</v>
      </c>
      <c r="Q242" s="850">
        <v>152</v>
      </c>
    </row>
    <row r="243" spans="1:17" ht="14.45" customHeight="1" x14ac:dyDescent="0.2">
      <c r="A243" s="831" t="s">
        <v>3127</v>
      </c>
      <c r="B243" s="832" t="s">
        <v>3128</v>
      </c>
      <c r="C243" s="832" t="s">
        <v>847</v>
      </c>
      <c r="D243" s="832" t="s">
        <v>3168</v>
      </c>
      <c r="E243" s="832" t="s">
        <v>3169</v>
      </c>
      <c r="F243" s="849">
        <v>9</v>
      </c>
      <c r="G243" s="849">
        <v>2718</v>
      </c>
      <c r="H243" s="849">
        <v>2.25</v>
      </c>
      <c r="I243" s="849">
        <v>302</v>
      </c>
      <c r="J243" s="849">
        <v>4</v>
      </c>
      <c r="K243" s="849">
        <v>1208</v>
      </c>
      <c r="L243" s="849">
        <v>1</v>
      </c>
      <c r="M243" s="849">
        <v>302</v>
      </c>
      <c r="N243" s="849">
        <v>4</v>
      </c>
      <c r="O243" s="849">
        <v>1216</v>
      </c>
      <c r="P243" s="837">
        <v>1.0066225165562914</v>
      </c>
      <c r="Q243" s="850">
        <v>304</v>
      </c>
    </row>
    <row r="244" spans="1:17" ht="14.45" customHeight="1" x14ac:dyDescent="0.2">
      <c r="A244" s="831" t="s">
        <v>3170</v>
      </c>
      <c r="B244" s="832" t="s">
        <v>3171</v>
      </c>
      <c r="C244" s="832" t="s">
        <v>847</v>
      </c>
      <c r="D244" s="832" t="s">
        <v>3172</v>
      </c>
      <c r="E244" s="832" t="s">
        <v>3173</v>
      </c>
      <c r="F244" s="849">
        <v>6</v>
      </c>
      <c r="G244" s="849">
        <v>348</v>
      </c>
      <c r="H244" s="849">
        <v>1</v>
      </c>
      <c r="I244" s="849">
        <v>58</v>
      </c>
      <c r="J244" s="849">
        <v>6</v>
      </c>
      <c r="K244" s="849">
        <v>348</v>
      </c>
      <c r="L244" s="849">
        <v>1</v>
      </c>
      <c r="M244" s="849">
        <v>58</v>
      </c>
      <c r="N244" s="849"/>
      <c r="O244" s="849"/>
      <c r="P244" s="837"/>
      <c r="Q244" s="850"/>
    </row>
    <row r="245" spans="1:17" ht="14.45" customHeight="1" x14ac:dyDescent="0.2">
      <c r="A245" s="831" t="s">
        <v>3170</v>
      </c>
      <c r="B245" s="832" t="s">
        <v>3171</v>
      </c>
      <c r="C245" s="832" t="s">
        <v>847</v>
      </c>
      <c r="D245" s="832" t="s">
        <v>3174</v>
      </c>
      <c r="E245" s="832" t="s">
        <v>3175</v>
      </c>
      <c r="F245" s="849">
        <v>12</v>
      </c>
      <c r="G245" s="849">
        <v>1572</v>
      </c>
      <c r="H245" s="849">
        <v>1.0863856254319282</v>
      </c>
      <c r="I245" s="849">
        <v>131</v>
      </c>
      <c r="J245" s="849">
        <v>11</v>
      </c>
      <c r="K245" s="849">
        <v>1447</v>
      </c>
      <c r="L245" s="849">
        <v>1</v>
      </c>
      <c r="M245" s="849">
        <v>131.54545454545453</v>
      </c>
      <c r="N245" s="849">
        <v>1</v>
      </c>
      <c r="O245" s="849">
        <v>132</v>
      </c>
      <c r="P245" s="837">
        <v>9.1223220456116097E-2</v>
      </c>
      <c r="Q245" s="850">
        <v>132</v>
      </c>
    </row>
    <row r="246" spans="1:17" ht="14.45" customHeight="1" x14ac:dyDescent="0.2">
      <c r="A246" s="831" t="s">
        <v>3170</v>
      </c>
      <c r="B246" s="832" t="s">
        <v>3171</v>
      </c>
      <c r="C246" s="832" t="s">
        <v>847</v>
      </c>
      <c r="D246" s="832" t="s">
        <v>3176</v>
      </c>
      <c r="E246" s="832" t="s">
        <v>3177</v>
      </c>
      <c r="F246" s="849">
        <v>3</v>
      </c>
      <c r="G246" s="849">
        <v>1224</v>
      </c>
      <c r="H246" s="849">
        <v>1.5</v>
      </c>
      <c r="I246" s="849">
        <v>408</v>
      </c>
      <c r="J246" s="849">
        <v>2</v>
      </c>
      <c r="K246" s="849">
        <v>816</v>
      </c>
      <c r="L246" s="849">
        <v>1</v>
      </c>
      <c r="M246" s="849">
        <v>408</v>
      </c>
      <c r="N246" s="849"/>
      <c r="O246" s="849"/>
      <c r="P246" s="837"/>
      <c r="Q246" s="850"/>
    </row>
    <row r="247" spans="1:17" ht="14.45" customHeight="1" x14ac:dyDescent="0.2">
      <c r="A247" s="831" t="s">
        <v>3170</v>
      </c>
      <c r="B247" s="832" t="s">
        <v>3171</v>
      </c>
      <c r="C247" s="832" t="s">
        <v>847</v>
      </c>
      <c r="D247" s="832" t="s">
        <v>3178</v>
      </c>
      <c r="E247" s="832" t="s">
        <v>3179</v>
      </c>
      <c r="F247" s="849">
        <v>6</v>
      </c>
      <c r="G247" s="849">
        <v>1080</v>
      </c>
      <c r="H247" s="849">
        <v>6</v>
      </c>
      <c r="I247" s="849">
        <v>180</v>
      </c>
      <c r="J247" s="849">
        <v>1</v>
      </c>
      <c r="K247" s="849">
        <v>180</v>
      </c>
      <c r="L247" s="849">
        <v>1</v>
      </c>
      <c r="M247" s="849">
        <v>180</v>
      </c>
      <c r="N247" s="849"/>
      <c r="O247" s="849"/>
      <c r="P247" s="837"/>
      <c r="Q247" s="850"/>
    </row>
    <row r="248" spans="1:17" ht="14.45" customHeight="1" x14ac:dyDescent="0.2">
      <c r="A248" s="831" t="s">
        <v>3170</v>
      </c>
      <c r="B248" s="832" t="s">
        <v>3171</v>
      </c>
      <c r="C248" s="832" t="s">
        <v>847</v>
      </c>
      <c r="D248" s="832" t="s">
        <v>3180</v>
      </c>
      <c r="E248" s="832" t="s">
        <v>3181</v>
      </c>
      <c r="F248" s="849">
        <v>3</v>
      </c>
      <c r="G248" s="849">
        <v>1008</v>
      </c>
      <c r="H248" s="849"/>
      <c r="I248" s="849">
        <v>336</v>
      </c>
      <c r="J248" s="849"/>
      <c r="K248" s="849"/>
      <c r="L248" s="849"/>
      <c r="M248" s="849"/>
      <c r="N248" s="849">
        <v>2</v>
      </c>
      <c r="O248" s="849">
        <v>682</v>
      </c>
      <c r="P248" s="837"/>
      <c r="Q248" s="850">
        <v>341</v>
      </c>
    </row>
    <row r="249" spans="1:17" ht="14.45" customHeight="1" x14ac:dyDescent="0.2">
      <c r="A249" s="831" t="s">
        <v>3170</v>
      </c>
      <c r="B249" s="832" t="s">
        <v>3171</v>
      </c>
      <c r="C249" s="832" t="s">
        <v>847</v>
      </c>
      <c r="D249" s="832" t="s">
        <v>3182</v>
      </c>
      <c r="E249" s="832" t="s">
        <v>3183</v>
      </c>
      <c r="F249" s="849">
        <v>52</v>
      </c>
      <c r="G249" s="849">
        <v>18148</v>
      </c>
      <c r="H249" s="849">
        <v>2.8806349206349204</v>
      </c>
      <c r="I249" s="849">
        <v>349</v>
      </c>
      <c r="J249" s="849">
        <v>18</v>
      </c>
      <c r="K249" s="849">
        <v>6300</v>
      </c>
      <c r="L249" s="849">
        <v>1</v>
      </c>
      <c r="M249" s="849">
        <v>350</v>
      </c>
      <c r="N249" s="849">
        <v>3</v>
      </c>
      <c r="O249" s="849">
        <v>1053</v>
      </c>
      <c r="P249" s="837">
        <v>0.16714285714285715</v>
      </c>
      <c r="Q249" s="850">
        <v>351</v>
      </c>
    </row>
    <row r="250" spans="1:17" ht="14.45" customHeight="1" x14ac:dyDescent="0.2">
      <c r="A250" s="831" t="s">
        <v>3170</v>
      </c>
      <c r="B250" s="832" t="s">
        <v>3171</v>
      </c>
      <c r="C250" s="832" t="s">
        <v>847</v>
      </c>
      <c r="D250" s="832" t="s">
        <v>3184</v>
      </c>
      <c r="E250" s="832" t="s">
        <v>3185</v>
      </c>
      <c r="F250" s="849">
        <v>3</v>
      </c>
      <c r="G250" s="849">
        <v>351</v>
      </c>
      <c r="H250" s="849"/>
      <c r="I250" s="849">
        <v>117</v>
      </c>
      <c r="J250" s="849"/>
      <c r="K250" s="849"/>
      <c r="L250" s="849"/>
      <c r="M250" s="849"/>
      <c r="N250" s="849"/>
      <c r="O250" s="849"/>
      <c r="P250" s="837"/>
      <c r="Q250" s="850"/>
    </row>
    <row r="251" spans="1:17" ht="14.45" customHeight="1" x14ac:dyDescent="0.2">
      <c r="A251" s="831" t="s">
        <v>3170</v>
      </c>
      <c r="B251" s="832" t="s">
        <v>3171</v>
      </c>
      <c r="C251" s="832" t="s">
        <v>847</v>
      </c>
      <c r="D251" s="832" t="s">
        <v>3186</v>
      </c>
      <c r="E251" s="832" t="s">
        <v>3187</v>
      </c>
      <c r="F251" s="849">
        <v>2</v>
      </c>
      <c r="G251" s="849">
        <v>76</v>
      </c>
      <c r="H251" s="849">
        <v>2</v>
      </c>
      <c r="I251" s="849">
        <v>38</v>
      </c>
      <c r="J251" s="849">
        <v>1</v>
      </c>
      <c r="K251" s="849">
        <v>38</v>
      </c>
      <c r="L251" s="849">
        <v>1</v>
      </c>
      <c r="M251" s="849">
        <v>38</v>
      </c>
      <c r="N251" s="849"/>
      <c r="O251" s="849"/>
      <c r="P251" s="837"/>
      <c r="Q251" s="850"/>
    </row>
    <row r="252" spans="1:17" ht="14.45" customHeight="1" x14ac:dyDescent="0.2">
      <c r="A252" s="831" t="s">
        <v>3170</v>
      </c>
      <c r="B252" s="832" t="s">
        <v>3171</v>
      </c>
      <c r="C252" s="832" t="s">
        <v>847</v>
      </c>
      <c r="D252" s="832" t="s">
        <v>3188</v>
      </c>
      <c r="E252" s="832" t="s">
        <v>3189</v>
      </c>
      <c r="F252" s="849">
        <v>13</v>
      </c>
      <c r="G252" s="849">
        <v>3965</v>
      </c>
      <c r="H252" s="849">
        <v>0.8666666666666667</v>
      </c>
      <c r="I252" s="849">
        <v>305</v>
      </c>
      <c r="J252" s="849">
        <v>15</v>
      </c>
      <c r="K252" s="849">
        <v>4575</v>
      </c>
      <c r="L252" s="849">
        <v>1</v>
      </c>
      <c r="M252" s="849">
        <v>305</v>
      </c>
      <c r="N252" s="849">
        <v>1</v>
      </c>
      <c r="O252" s="849">
        <v>308</v>
      </c>
      <c r="P252" s="837">
        <v>6.7322404371584696E-2</v>
      </c>
      <c r="Q252" s="850">
        <v>308</v>
      </c>
    </row>
    <row r="253" spans="1:17" ht="14.45" customHeight="1" x14ac:dyDescent="0.2">
      <c r="A253" s="831" t="s">
        <v>3170</v>
      </c>
      <c r="B253" s="832" t="s">
        <v>3171</v>
      </c>
      <c r="C253" s="832" t="s">
        <v>847</v>
      </c>
      <c r="D253" s="832" t="s">
        <v>3190</v>
      </c>
      <c r="E253" s="832" t="s">
        <v>3191</v>
      </c>
      <c r="F253" s="849">
        <v>4</v>
      </c>
      <c r="G253" s="849">
        <v>1976</v>
      </c>
      <c r="H253" s="849">
        <v>1.3306397306397306</v>
      </c>
      <c r="I253" s="849">
        <v>494</v>
      </c>
      <c r="J253" s="849">
        <v>3</v>
      </c>
      <c r="K253" s="849">
        <v>1485</v>
      </c>
      <c r="L253" s="849">
        <v>1</v>
      </c>
      <c r="M253" s="849">
        <v>495</v>
      </c>
      <c r="N253" s="849"/>
      <c r="O253" s="849"/>
      <c r="P253" s="837"/>
      <c r="Q253" s="850"/>
    </row>
    <row r="254" spans="1:17" ht="14.45" customHeight="1" x14ac:dyDescent="0.2">
      <c r="A254" s="831" t="s">
        <v>3170</v>
      </c>
      <c r="B254" s="832" t="s">
        <v>3171</v>
      </c>
      <c r="C254" s="832" t="s">
        <v>847</v>
      </c>
      <c r="D254" s="832" t="s">
        <v>3192</v>
      </c>
      <c r="E254" s="832" t="s">
        <v>3193</v>
      </c>
      <c r="F254" s="849">
        <v>19</v>
      </c>
      <c r="G254" s="849">
        <v>7030</v>
      </c>
      <c r="H254" s="849">
        <v>1.353484790142472</v>
      </c>
      <c r="I254" s="849">
        <v>370</v>
      </c>
      <c r="J254" s="849">
        <v>14</v>
      </c>
      <c r="K254" s="849">
        <v>5194</v>
      </c>
      <c r="L254" s="849">
        <v>1</v>
      </c>
      <c r="M254" s="849">
        <v>371</v>
      </c>
      <c r="N254" s="849">
        <v>1</v>
      </c>
      <c r="O254" s="849">
        <v>376</v>
      </c>
      <c r="P254" s="837">
        <v>7.2391220639199075E-2</v>
      </c>
      <c r="Q254" s="850">
        <v>376</v>
      </c>
    </row>
    <row r="255" spans="1:17" ht="14.45" customHeight="1" x14ac:dyDescent="0.2">
      <c r="A255" s="831" t="s">
        <v>3170</v>
      </c>
      <c r="B255" s="832" t="s">
        <v>3171</v>
      </c>
      <c r="C255" s="832" t="s">
        <v>847</v>
      </c>
      <c r="D255" s="832" t="s">
        <v>3194</v>
      </c>
      <c r="E255" s="832" t="s">
        <v>3195</v>
      </c>
      <c r="F255" s="849">
        <v>3</v>
      </c>
      <c r="G255" s="849">
        <v>1485</v>
      </c>
      <c r="H255" s="849"/>
      <c r="I255" s="849">
        <v>495</v>
      </c>
      <c r="J255" s="849"/>
      <c r="K255" s="849"/>
      <c r="L255" s="849"/>
      <c r="M255" s="849"/>
      <c r="N255" s="849"/>
      <c r="O255" s="849"/>
      <c r="P255" s="837"/>
      <c r="Q255" s="850"/>
    </row>
    <row r="256" spans="1:17" ht="14.45" customHeight="1" x14ac:dyDescent="0.2">
      <c r="A256" s="831" t="s">
        <v>3170</v>
      </c>
      <c r="B256" s="832" t="s">
        <v>3171</v>
      </c>
      <c r="C256" s="832" t="s">
        <v>847</v>
      </c>
      <c r="D256" s="832" t="s">
        <v>3196</v>
      </c>
      <c r="E256" s="832" t="s">
        <v>3197</v>
      </c>
      <c r="F256" s="849">
        <v>1</v>
      </c>
      <c r="G256" s="849">
        <v>456</v>
      </c>
      <c r="H256" s="849">
        <v>0.99563318777292575</v>
      </c>
      <c r="I256" s="849">
        <v>456</v>
      </c>
      <c r="J256" s="849">
        <v>1</v>
      </c>
      <c r="K256" s="849">
        <v>458</v>
      </c>
      <c r="L256" s="849">
        <v>1</v>
      </c>
      <c r="M256" s="849">
        <v>458</v>
      </c>
      <c r="N256" s="849"/>
      <c r="O256" s="849"/>
      <c r="P256" s="837"/>
      <c r="Q256" s="850"/>
    </row>
    <row r="257" spans="1:17" ht="14.45" customHeight="1" x14ac:dyDescent="0.2">
      <c r="A257" s="831" t="s">
        <v>3170</v>
      </c>
      <c r="B257" s="832" t="s">
        <v>3171</v>
      </c>
      <c r="C257" s="832" t="s">
        <v>847</v>
      </c>
      <c r="D257" s="832" t="s">
        <v>3198</v>
      </c>
      <c r="E257" s="832" t="s">
        <v>3199</v>
      </c>
      <c r="F257" s="849">
        <v>4</v>
      </c>
      <c r="G257" s="849">
        <v>232</v>
      </c>
      <c r="H257" s="849">
        <v>4</v>
      </c>
      <c r="I257" s="849">
        <v>58</v>
      </c>
      <c r="J257" s="849">
        <v>1</v>
      </c>
      <c r="K257" s="849">
        <v>58</v>
      </c>
      <c r="L257" s="849">
        <v>1</v>
      </c>
      <c r="M257" s="849">
        <v>58</v>
      </c>
      <c r="N257" s="849"/>
      <c r="O257" s="849"/>
      <c r="P257" s="837"/>
      <c r="Q257" s="850"/>
    </row>
    <row r="258" spans="1:17" ht="14.45" customHeight="1" x14ac:dyDescent="0.2">
      <c r="A258" s="831" t="s">
        <v>3170</v>
      </c>
      <c r="B258" s="832" t="s">
        <v>3171</v>
      </c>
      <c r="C258" s="832" t="s">
        <v>847</v>
      </c>
      <c r="D258" s="832" t="s">
        <v>3200</v>
      </c>
      <c r="E258" s="832" t="s">
        <v>3201</v>
      </c>
      <c r="F258" s="849">
        <v>165</v>
      </c>
      <c r="G258" s="849">
        <v>29040</v>
      </c>
      <c r="H258" s="849">
        <v>1.853932584269663</v>
      </c>
      <c r="I258" s="849">
        <v>176</v>
      </c>
      <c r="J258" s="849">
        <v>89</v>
      </c>
      <c r="K258" s="849">
        <v>15664</v>
      </c>
      <c r="L258" s="849">
        <v>1</v>
      </c>
      <c r="M258" s="849">
        <v>176</v>
      </c>
      <c r="N258" s="849">
        <v>47</v>
      </c>
      <c r="O258" s="849">
        <v>8413</v>
      </c>
      <c r="P258" s="837">
        <v>0.53709141981613895</v>
      </c>
      <c r="Q258" s="850">
        <v>179</v>
      </c>
    </row>
    <row r="259" spans="1:17" ht="14.45" customHeight="1" x14ac:dyDescent="0.2">
      <c r="A259" s="831" t="s">
        <v>3170</v>
      </c>
      <c r="B259" s="832" t="s">
        <v>3171</v>
      </c>
      <c r="C259" s="832" t="s">
        <v>847</v>
      </c>
      <c r="D259" s="832" t="s">
        <v>3202</v>
      </c>
      <c r="E259" s="832" t="s">
        <v>3203</v>
      </c>
      <c r="F259" s="849"/>
      <c r="G259" s="849"/>
      <c r="H259" s="849"/>
      <c r="I259" s="849"/>
      <c r="J259" s="849">
        <v>2</v>
      </c>
      <c r="K259" s="849">
        <v>528</v>
      </c>
      <c r="L259" s="849">
        <v>1</v>
      </c>
      <c r="M259" s="849">
        <v>264</v>
      </c>
      <c r="N259" s="849"/>
      <c r="O259" s="849"/>
      <c r="P259" s="837"/>
      <c r="Q259" s="850"/>
    </row>
    <row r="260" spans="1:17" ht="14.45" customHeight="1" x14ac:dyDescent="0.2">
      <c r="A260" s="831" t="s">
        <v>3170</v>
      </c>
      <c r="B260" s="832" t="s">
        <v>3171</v>
      </c>
      <c r="C260" s="832" t="s">
        <v>847</v>
      </c>
      <c r="D260" s="832" t="s">
        <v>3204</v>
      </c>
      <c r="E260" s="832" t="s">
        <v>3205</v>
      </c>
      <c r="F260" s="849">
        <v>3</v>
      </c>
      <c r="G260" s="849">
        <v>726</v>
      </c>
      <c r="H260" s="849">
        <v>1.4938271604938271</v>
      </c>
      <c r="I260" s="849">
        <v>242</v>
      </c>
      <c r="J260" s="849">
        <v>2</v>
      </c>
      <c r="K260" s="849">
        <v>486</v>
      </c>
      <c r="L260" s="849">
        <v>1</v>
      </c>
      <c r="M260" s="849">
        <v>243</v>
      </c>
      <c r="N260" s="849"/>
      <c r="O260" s="849"/>
      <c r="P260" s="837"/>
      <c r="Q260" s="850"/>
    </row>
    <row r="261" spans="1:17" ht="14.45" customHeight="1" x14ac:dyDescent="0.2">
      <c r="A261" s="831" t="s">
        <v>3170</v>
      </c>
      <c r="B261" s="832" t="s">
        <v>3171</v>
      </c>
      <c r="C261" s="832" t="s">
        <v>847</v>
      </c>
      <c r="D261" s="832" t="s">
        <v>3206</v>
      </c>
      <c r="E261" s="832" t="s">
        <v>3207</v>
      </c>
      <c r="F261" s="849">
        <v>9</v>
      </c>
      <c r="G261" s="849">
        <v>3816</v>
      </c>
      <c r="H261" s="849">
        <v>4.47887323943662</v>
      </c>
      <c r="I261" s="849">
        <v>424</v>
      </c>
      <c r="J261" s="849">
        <v>2</v>
      </c>
      <c r="K261" s="849">
        <v>852</v>
      </c>
      <c r="L261" s="849">
        <v>1</v>
      </c>
      <c r="M261" s="849">
        <v>426</v>
      </c>
      <c r="N261" s="849">
        <v>2</v>
      </c>
      <c r="O261" s="849">
        <v>870</v>
      </c>
      <c r="P261" s="837">
        <v>1.0211267605633803</v>
      </c>
      <c r="Q261" s="850">
        <v>435</v>
      </c>
    </row>
    <row r="262" spans="1:17" ht="14.45" customHeight="1" x14ac:dyDescent="0.2">
      <c r="A262" s="831" t="s">
        <v>3170</v>
      </c>
      <c r="B262" s="832" t="s">
        <v>3171</v>
      </c>
      <c r="C262" s="832" t="s">
        <v>847</v>
      </c>
      <c r="D262" s="832" t="s">
        <v>3208</v>
      </c>
      <c r="E262" s="832" t="s">
        <v>3209</v>
      </c>
      <c r="F262" s="849"/>
      <c r="G262" s="849"/>
      <c r="H262" s="849"/>
      <c r="I262" s="849"/>
      <c r="J262" s="849">
        <v>1</v>
      </c>
      <c r="K262" s="849">
        <v>289</v>
      </c>
      <c r="L262" s="849">
        <v>1</v>
      </c>
      <c r="M262" s="849">
        <v>289</v>
      </c>
      <c r="N262" s="849"/>
      <c r="O262" s="849"/>
      <c r="P262" s="837"/>
      <c r="Q262" s="850"/>
    </row>
    <row r="263" spans="1:17" ht="14.45" customHeight="1" x14ac:dyDescent="0.2">
      <c r="A263" s="831" t="s">
        <v>3210</v>
      </c>
      <c r="B263" s="832" t="s">
        <v>3211</v>
      </c>
      <c r="C263" s="832" t="s">
        <v>847</v>
      </c>
      <c r="D263" s="832" t="s">
        <v>3212</v>
      </c>
      <c r="E263" s="832" t="s">
        <v>3213</v>
      </c>
      <c r="F263" s="849">
        <v>137</v>
      </c>
      <c r="G263" s="849">
        <v>23701</v>
      </c>
      <c r="H263" s="849">
        <v>1.3486400364174349</v>
      </c>
      <c r="I263" s="849">
        <v>173</v>
      </c>
      <c r="J263" s="849">
        <v>101</v>
      </c>
      <c r="K263" s="849">
        <v>17574</v>
      </c>
      <c r="L263" s="849">
        <v>1</v>
      </c>
      <c r="M263" s="849">
        <v>174</v>
      </c>
      <c r="N263" s="849">
        <v>95</v>
      </c>
      <c r="O263" s="849">
        <v>16625</v>
      </c>
      <c r="P263" s="837">
        <v>0.94599977239103217</v>
      </c>
      <c r="Q263" s="850">
        <v>175</v>
      </c>
    </row>
    <row r="264" spans="1:17" ht="14.45" customHeight="1" x14ac:dyDescent="0.2">
      <c r="A264" s="831" t="s">
        <v>3210</v>
      </c>
      <c r="B264" s="832" t="s">
        <v>3211</v>
      </c>
      <c r="C264" s="832" t="s">
        <v>847</v>
      </c>
      <c r="D264" s="832" t="s">
        <v>3214</v>
      </c>
      <c r="E264" s="832" t="s">
        <v>3215</v>
      </c>
      <c r="F264" s="849">
        <v>1</v>
      </c>
      <c r="G264" s="849">
        <v>192</v>
      </c>
      <c r="H264" s="849"/>
      <c r="I264" s="849">
        <v>192</v>
      </c>
      <c r="J264" s="849"/>
      <c r="K264" s="849"/>
      <c r="L264" s="849"/>
      <c r="M264" s="849"/>
      <c r="N264" s="849">
        <v>0</v>
      </c>
      <c r="O264" s="849">
        <v>0</v>
      </c>
      <c r="P264" s="837"/>
      <c r="Q264" s="850"/>
    </row>
    <row r="265" spans="1:17" ht="14.45" customHeight="1" x14ac:dyDescent="0.2">
      <c r="A265" s="831" t="s">
        <v>3210</v>
      </c>
      <c r="B265" s="832" t="s">
        <v>3211</v>
      </c>
      <c r="C265" s="832" t="s">
        <v>847</v>
      </c>
      <c r="D265" s="832" t="s">
        <v>3216</v>
      </c>
      <c r="E265" s="832" t="s">
        <v>3217</v>
      </c>
      <c r="F265" s="849">
        <v>13</v>
      </c>
      <c r="G265" s="849">
        <v>13910</v>
      </c>
      <c r="H265" s="849">
        <v>0.23214285714285715</v>
      </c>
      <c r="I265" s="849">
        <v>1070</v>
      </c>
      <c r="J265" s="849">
        <v>56</v>
      </c>
      <c r="K265" s="849">
        <v>59920</v>
      </c>
      <c r="L265" s="849">
        <v>1</v>
      </c>
      <c r="M265" s="849">
        <v>1070</v>
      </c>
      <c r="N265" s="849">
        <v>49</v>
      </c>
      <c r="O265" s="849">
        <v>52577</v>
      </c>
      <c r="P265" s="837">
        <v>0.87745327102803738</v>
      </c>
      <c r="Q265" s="850">
        <v>1073</v>
      </c>
    </row>
    <row r="266" spans="1:17" ht="14.45" customHeight="1" x14ac:dyDescent="0.2">
      <c r="A266" s="831" t="s">
        <v>3210</v>
      </c>
      <c r="B266" s="832" t="s">
        <v>3211</v>
      </c>
      <c r="C266" s="832" t="s">
        <v>847</v>
      </c>
      <c r="D266" s="832" t="s">
        <v>3218</v>
      </c>
      <c r="E266" s="832" t="s">
        <v>3219</v>
      </c>
      <c r="F266" s="849">
        <v>1877</v>
      </c>
      <c r="G266" s="849">
        <v>86342</v>
      </c>
      <c r="H266" s="849">
        <v>1.4176737160120847</v>
      </c>
      <c r="I266" s="849">
        <v>46</v>
      </c>
      <c r="J266" s="849">
        <v>1324</v>
      </c>
      <c r="K266" s="849">
        <v>60904</v>
      </c>
      <c r="L266" s="849">
        <v>1</v>
      </c>
      <c r="M266" s="849">
        <v>46</v>
      </c>
      <c r="N266" s="849">
        <v>1895</v>
      </c>
      <c r="O266" s="849">
        <v>89065</v>
      </c>
      <c r="P266" s="837">
        <v>1.4623834230920794</v>
      </c>
      <c r="Q266" s="850">
        <v>47</v>
      </c>
    </row>
    <row r="267" spans="1:17" ht="14.45" customHeight="1" x14ac:dyDescent="0.2">
      <c r="A267" s="831" t="s">
        <v>3210</v>
      </c>
      <c r="B267" s="832" t="s">
        <v>3211</v>
      </c>
      <c r="C267" s="832" t="s">
        <v>847</v>
      </c>
      <c r="D267" s="832" t="s">
        <v>3148</v>
      </c>
      <c r="E267" s="832" t="s">
        <v>3149</v>
      </c>
      <c r="F267" s="849">
        <v>3</v>
      </c>
      <c r="G267" s="849">
        <v>1041</v>
      </c>
      <c r="H267" s="849"/>
      <c r="I267" s="849">
        <v>347</v>
      </c>
      <c r="J267" s="849"/>
      <c r="K267" s="849"/>
      <c r="L267" s="849"/>
      <c r="M267" s="849"/>
      <c r="N267" s="849"/>
      <c r="O267" s="849"/>
      <c r="P267" s="837"/>
      <c r="Q267" s="850"/>
    </row>
    <row r="268" spans="1:17" ht="14.45" customHeight="1" x14ac:dyDescent="0.2">
      <c r="A268" s="831" t="s">
        <v>3210</v>
      </c>
      <c r="B268" s="832" t="s">
        <v>3211</v>
      </c>
      <c r="C268" s="832" t="s">
        <v>847</v>
      </c>
      <c r="D268" s="832" t="s">
        <v>3220</v>
      </c>
      <c r="E268" s="832" t="s">
        <v>3221</v>
      </c>
      <c r="F268" s="849"/>
      <c r="G268" s="849"/>
      <c r="H268" s="849"/>
      <c r="I268" s="849"/>
      <c r="J268" s="849">
        <v>4</v>
      </c>
      <c r="K268" s="849">
        <v>204</v>
      </c>
      <c r="L268" s="849">
        <v>1</v>
      </c>
      <c r="M268" s="849">
        <v>51</v>
      </c>
      <c r="N268" s="849"/>
      <c r="O268" s="849"/>
      <c r="P268" s="837"/>
      <c r="Q268" s="850"/>
    </row>
    <row r="269" spans="1:17" ht="14.45" customHeight="1" x14ac:dyDescent="0.2">
      <c r="A269" s="831" t="s">
        <v>3210</v>
      </c>
      <c r="B269" s="832" t="s">
        <v>3211</v>
      </c>
      <c r="C269" s="832" t="s">
        <v>847</v>
      </c>
      <c r="D269" s="832" t="s">
        <v>3222</v>
      </c>
      <c r="E269" s="832" t="s">
        <v>3223</v>
      </c>
      <c r="F269" s="849">
        <v>61</v>
      </c>
      <c r="G269" s="849">
        <v>22997</v>
      </c>
      <c r="H269" s="849">
        <v>1.22</v>
      </c>
      <c r="I269" s="849">
        <v>377</v>
      </c>
      <c r="J269" s="849">
        <v>50</v>
      </c>
      <c r="K269" s="849">
        <v>18850</v>
      </c>
      <c r="L269" s="849">
        <v>1</v>
      </c>
      <c r="M269" s="849">
        <v>377</v>
      </c>
      <c r="N269" s="849">
        <v>39</v>
      </c>
      <c r="O269" s="849">
        <v>14742</v>
      </c>
      <c r="P269" s="837">
        <v>0.78206896551724137</v>
      </c>
      <c r="Q269" s="850">
        <v>378</v>
      </c>
    </row>
    <row r="270" spans="1:17" ht="14.45" customHeight="1" x14ac:dyDescent="0.2">
      <c r="A270" s="831" t="s">
        <v>3210</v>
      </c>
      <c r="B270" s="832" t="s">
        <v>3211</v>
      </c>
      <c r="C270" s="832" t="s">
        <v>847</v>
      </c>
      <c r="D270" s="832" t="s">
        <v>3224</v>
      </c>
      <c r="E270" s="832" t="s">
        <v>3225</v>
      </c>
      <c r="F270" s="849">
        <v>16</v>
      </c>
      <c r="G270" s="849">
        <v>8384</v>
      </c>
      <c r="H270" s="849">
        <v>1</v>
      </c>
      <c r="I270" s="849">
        <v>524</v>
      </c>
      <c r="J270" s="849">
        <v>16</v>
      </c>
      <c r="K270" s="849">
        <v>8384</v>
      </c>
      <c r="L270" s="849">
        <v>1</v>
      </c>
      <c r="M270" s="849">
        <v>524</v>
      </c>
      <c r="N270" s="849">
        <v>17</v>
      </c>
      <c r="O270" s="849">
        <v>8925</v>
      </c>
      <c r="P270" s="837">
        <v>1.0645276717557253</v>
      </c>
      <c r="Q270" s="850">
        <v>525</v>
      </c>
    </row>
    <row r="271" spans="1:17" ht="14.45" customHeight="1" x14ac:dyDescent="0.2">
      <c r="A271" s="831" t="s">
        <v>3210</v>
      </c>
      <c r="B271" s="832" t="s">
        <v>3211</v>
      </c>
      <c r="C271" s="832" t="s">
        <v>847</v>
      </c>
      <c r="D271" s="832" t="s">
        <v>3226</v>
      </c>
      <c r="E271" s="832" t="s">
        <v>3227</v>
      </c>
      <c r="F271" s="849">
        <v>11</v>
      </c>
      <c r="G271" s="849">
        <v>627</v>
      </c>
      <c r="H271" s="849">
        <v>1.5714285714285714</v>
      </c>
      <c r="I271" s="849">
        <v>57</v>
      </c>
      <c r="J271" s="849">
        <v>7</v>
      </c>
      <c r="K271" s="849">
        <v>399</v>
      </c>
      <c r="L271" s="849">
        <v>1</v>
      </c>
      <c r="M271" s="849">
        <v>57</v>
      </c>
      <c r="N271" s="849">
        <v>4</v>
      </c>
      <c r="O271" s="849">
        <v>232</v>
      </c>
      <c r="P271" s="837">
        <v>0.581453634085213</v>
      </c>
      <c r="Q271" s="850">
        <v>58</v>
      </c>
    </row>
    <row r="272" spans="1:17" ht="14.45" customHeight="1" x14ac:dyDescent="0.2">
      <c r="A272" s="831" t="s">
        <v>3210</v>
      </c>
      <c r="B272" s="832" t="s">
        <v>3211</v>
      </c>
      <c r="C272" s="832" t="s">
        <v>847</v>
      </c>
      <c r="D272" s="832" t="s">
        <v>3228</v>
      </c>
      <c r="E272" s="832" t="s">
        <v>3229</v>
      </c>
      <c r="F272" s="849">
        <v>1</v>
      </c>
      <c r="G272" s="849">
        <v>213</v>
      </c>
      <c r="H272" s="849"/>
      <c r="I272" s="849">
        <v>213</v>
      </c>
      <c r="J272" s="849"/>
      <c r="K272" s="849"/>
      <c r="L272" s="849"/>
      <c r="M272" s="849"/>
      <c r="N272" s="849">
        <v>1</v>
      </c>
      <c r="O272" s="849">
        <v>216</v>
      </c>
      <c r="P272" s="837"/>
      <c r="Q272" s="850">
        <v>216</v>
      </c>
    </row>
    <row r="273" spans="1:17" ht="14.45" customHeight="1" x14ac:dyDescent="0.2">
      <c r="A273" s="831" t="s">
        <v>3210</v>
      </c>
      <c r="B273" s="832" t="s">
        <v>3211</v>
      </c>
      <c r="C273" s="832" t="s">
        <v>847</v>
      </c>
      <c r="D273" s="832" t="s">
        <v>3230</v>
      </c>
      <c r="E273" s="832" t="s">
        <v>3231</v>
      </c>
      <c r="F273" s="849"/>
      <c r="G273" s="849"/>
      <c r="H273" s="849"/>
      <c r="I273" s="849"/>
      <c r="J273" s="849">
        <v>1</v>
      </c>
      <c r="K273" s="849">
        <v>143</v>
      </c>
      <c r="L273" s="849">
        <v>1</v>
      </c>
      <c r="M273" s="849">
        <v>143</v>
      </c>
      <c r="N273" s="849">
        <v>1</v>
      </c>
      <c r="O273" s="849">
        <v>144</v>
      </c>
      <c r="P273" s="837">
        <v>1.0069930069930071</v>
      </c>
      <c r="Q273" s="850">
        <v>144</v>
      </c>
    </row>
    <row r="274" spans="1:17" ht="14.45" customHeight="1" x14ac:dyDescent="0.2">
      <c r="A274" s="831" t="s">
        <v>3210</v>
      </c>
      <c r="B274" s="832" t="s">
        <v>3211</v>
      </c>
      <c r="C274" s="832" t="s">
        <v>847</v>
      </c>
      <c r="D274" s="832" t="s">
        <v>3232</v>
      </c>
      <c r="E274" s="832" t="s">
        <v>3233</v>
      </c>
      <c r="F274" s="849">
        <v>2</v>
      </c>
      <c r="G274" s="849">
        <v>130</v>
      </c>
      <c r="H274" s="849">
        <v>2</v>
      </c>
      <c r="I274" s="849">
        <v>65</v>
      </c>
      <c r="J274" s="849">
        <v>1</v>
      </c>
      <c r="K274" s="849">
        <v>65</v>
      </c>
      <c r="L274" s="849">
        <v>1</v>
      </c>
      <c r="M274" s="849">
        <v>65</v>
      </c>
      <c r="N274" s="849"/>
      <c r="O274" s="849"/>
      <c r="P274" s="837"/>
      <c r="Q274" s="850"/>
    </row>
    <row r="275" spans="1:17" ht="14.45" customHeight="1" x14ac:dyDescent="0.2">
      <c r="A275" s="831" t="s">
        <v>3210</v>
      </c>
      <c r="B275" s="832" t="s">
        <v>3211</v>
      </c>
      <c r="C275" s="832" t="s">
        <v>847</v>
      </c>
      <c r="D275" s="832" t="s">
        <v>3234</v>
      </c>
      <c r="E275" s="832" t="s">
        <v>3235</v>
      </c>
      <c r="F275" s="849"/>
      <c r="G275" s="849"/>
      <c r="H275" s="849"/>
      <c r="I275" s="849"/>
      <c r="J275" s="849"/>
      <c r="K275" s="849"/>
      <c r="L275" s="849"/>
      <c r="M275" s="849"/>
      <c r="N275" s="849">
        <v>0</v>
      </c>
      <c r="O275" s="849">
        <v>0</v>
      </c>
      <c r="P275" s="837"/>
      <c r="Q275" s="850"/>
    </row>
    <row r="276" spans="1:17" ht="14.45" customHeight="1" x14ac:dyDescent="0.2">
      <c r="A276" s="831" t="s">
        <v>3210</v>
      </c>
      <c r="B276" s="832" t="s">
        <v>3211</v>
      </c>
      <c r="C276" s="832" t="s">
        <v>847</v>
      </c>
      <c r="D276" s="832" t="s">
        <v>3236</v>
      </c>
      <c r="E276" s="832" t="s">
        <v>3237</v>
      </c>
      <c r="F276" s="849">
        <v>1134</v>
      </c>
      <c r="G276" s="849">
        <v>154224</v>
      </c>
      <c r="H276" s="849">
        <v>1.4266921988177503</v>
      </c>
      <c r="I276" s="849">
        <v>136</v>
      </c>
      <c r="J276" s="849">
        <v>790</v>
      </c>
      <c r="K276" s="849">
        <v>108099</v>
      </c>
      <c r="L276" s="849">
        <v>1</v>
      </c>
      <c r="M276" s="849">
        <v>136.83417721518987</v>
      </c>
      <c r="N276" s="849">
        <v>966</v>
      </c>
      <c r="O276" s="849">
        <v>133308</v>
      </c>
      <c r="P276" s="837">
        <v>1.2332028973441012</v>
      </c>
      <c r="Q276" s="850">
        <v>138</v>
      </c>
    </row>
    <row r="277" spans="1:17" ht="14.45" customHeight="1" x14ac:dyDescent="0.2">
      <c r="A277" s="831" t="s">
        <v>3210</v>
      </c>
      <c r="B277" s="832" t="s">
        <v>3211</v>
      </c>
      <c r="C277" s="832" t="s">
        <v>847</v>
      </c>
      <c r="D277" s="832" t="s">
        <v>3238</v>
      </c>
      <c r="E277" s="832" t="s">
        <v>3239</v>
      </c>
      <c r="F277" s="849">
        <v>84</v>
      </c>
      <c r="G277" s="849">
        <v>7644</v>
      </c>
      <c r="H277" s="849">
        <v>1.2173913043478262</v>
      </c>
      <c r="I277" s="849">
        <v>91</v>
      </c>
      <c r="J277" s="849">
        <v>69</v>
      </c>
      <c r="K277" s="849">
        <v>6279</v>
      </c>
      <c r="L277" s="849">
        <v>1</v>
      </c>
      <c r="M277" s="849">
        <v>91</v>
      </c>
      <c r="N277" s="849">
        <v>63</v>
      </c>
      <c r="O277" s="849">
        <v>5796</v>
      </c>
      <c r="P277" s="837">
        <v>0.92307692307692313</v>
      </c>
      <c r="Q277" s="850">
        <v>92</v>
      </c>
    </row>
    <row r="278" spans="1:17" ht="14.45" customHeight="1" x14ac:dyDescent="0.2">
      <c r="A278" s="831" t="s">
        <v>3210</v>
      </c>
      <c r="B278" s="832" t="s">
        <v>3211</v>
      </c>
      <c r="C278" s="832" t="s">
        <v>847</v>
      </c>
      <c r="D278" s="832" t="s">
        <v>3240</v>
      </c>
      <c r="E278" s="832" t="s">
        <v>3241</v>
      </c>
      <c r="F278" s="849">
        <v>12</v>
      </c>
      <c r="G278" s="849">
        <v>1644</v>
      </c>
      <c r="H278" s="849">
        <v>0.79343629343629341</v>
      </c>
      <c r="I278" s="849">
        <v>137</v>
      </c>
      <c r="J278" s="849">
        <v>15</v>
      </c>
      <c r="K278" s="849">
        <v>2072</v>
      </c>
      <c r="L278" s="849">
        <v>1</v>
      </c>
      <c r="M278" s="849">
        <v>138.13333333333333</v>
      </c>
      <c r="N278" s="849">
        <v>26</v>
      </c>
      <c r="O278" s="849">
        <v>3640</v>
      </c>
      <c r="P278" s="837">
        <v>1.7567567567567568</v>
      </c>
      <c r="Q278" s="850">
        <v>140</v>
      </c>
    </row>
    <row r="279" spans="1:17" ht="14.45" customHeight="1" x14ac:dyDescent="0.2">
      <c r="A279" s="831" t="s">
        <v>3210</v>
      </c>
      <c r="B279" s="832" t="s">
        <v>3211</v>
      </c>
      <c r="C279" s="832" t="s">
        <v>847</v>
      </c>
      <c r="D279" s="832" t="s">
        <v>3242</v>
      </c>
      <c r="E279" s="832" t="s">
        <v>3243</v>
      </c>
      <c r="F279" s="849">
        <v>27</v>
      </c>
      <c r="G279" s="849">
        <v>1782</v>
      </c>
      <c r="H279" s="849">
        <v>1.9285714285714286</v>
      </c>
      <c r="I279" s="849">
        <v>66</v>
      </c>
      <c r="J279" s="849">
        <v>14</v>
      </c>
      <c r="K279" s="849">
        <v>924</v>
      </c>
      <c r="L279" s="849">
        <v>1</v>
      </c>
      <c r="M279" s="849">
        <v>66</v>
      </c>
      <c r="N279" s="849">
        <v>100</v>
      </c>
      <c r="O279" s="849">
        <v>6700</v>
      </c>
      <c r="P279" s="837">
        <v>7.2510822510822512</v>
      </c>
      <c r="Q279" s="850">
        <v>67</v>
      </c>
    </row>
    <row r="280" spans="1:17" ht="14.45" customHeight="1" x14ac:dyDescent="0.2">
      <c r="A280" s="831" t="s">
        <v>3210</v>
      </c>
      <c r="B280" s="832" t="s">
        <v>3211</v>
      </c>
      <c r="C280" s="832" t="s">
        <v>847</v>
      </c>
      <c r="D280" s="832" t="s">
        <v>3157</v>
      </c>
      <c r="E280" s="832" t="s">
        <v>3158</v>
      </c>
      <c r="F280" s="849">
        <v>14</v>
      </c>
      <c r="G280" s="849">
        <v>4592</v>
      </c>
      <c r="H280" s="849">
        <v>1.0769230769230769</v>
      </c>
      <c r="I280" s="849">
        <v>328</v>
      </c>
      <c r="J280" s="849">
        <v>13</v>
      </c>
      <c r="K280" s="849">
        <v>4264</v>
      </c>
      <c r="L280" s="849">
        <v>1</v>
      </c>
      <c r="M280" s="849">
        <v>328</v>
      </c>
      <c r="N280" s="849">
        <v>5</v>
      </c>
      <c r="O280" s="849">
        <v>1645</v>
      </c>
      <c r="P280" s="837">
        <v>0.3857879924953096</v>
      </c>
      <c r="Q280" s="850">
        <v>329</v>
      </c>
    </row>
    <row r="281" spans="1:17" ht="14.45" customHeight="1" x14ac:dyDescent="0.2">
      <c r="A281" s="831" t="s">
        <v>3210</v>
      </c>
      <c r="B281" s="832" t="s">
        <v>3211</v>
      </c>
      <c r="C281" s="832" t="s">
        <v>847</v>
      </c>
      <c r="D281" s="832" t="s">
        <v>3244</v>
      </c>
      <c r="E281" s="832" t="s">
        <v>3245</v>
      </c>
      <c r="F281" s="849"/>
      <c r="G281" s="849"/>
      <c r="H281" s="849"/>
      <c r="I281" s="849"/>
      <c r="J281" s="849"/>
      <c r="K281" s="849"/>
      <c r="L281" s="849"/>
      <c r="M281" s="849"/>
      <c r="N281" s="849">
        <v>1</v>
      </c>
      <c r="O281" s="849">
        <v>72</v>
      </c>
      <c r="P281" s="837"/>
      <c r="Q281" s="850">
        <v>72</v>
      </c>
    </row>
    <row r="282" spans="1:17" ht="14.45" customHeight="1" x14ac:dyDescent="0.2">
      <c r="A282" s="831" t="s">
        <v>3210</v>
      </c>
      <c r="B282" s="832" t="s">
        <v>3211</v>
      </c>
      <c r="C282" s="832" t="s">
        <v>847</v>
      </c>
      <c r="D282" s="832" t="s">
        <v>3246</v>
      </c>
      <c r="E282" s="832" t="s">
        <v>3247</v>
      </c>
      <c r="F282" s="849">
        <v>77</v>
      </c>
      <c r="G282" s="849">
        <v>3927</v>
      </c>
      <c r="H282" s="849">
        <v>1.3508771929824561</v>
      </c>
      <c r="I282" s="849">
        <v>51</v>
      </c>
      <c r="J282" s="849">
        <v>57</v>
      </c>
      <c r="K282" s="849">
        <v>2907</v>
      </c>
      <c r="L282" s="849">
        <v>1</v>
      </c>
      <c r="M282" s="849">
        <v>51</v>
      </c>
      <c r="N282" s="849">
        <v>56</v>
      </c>
      <c r="O282" s="849">
        <v>2912</v>
      </c>
      <c r="P282" s="837">
        <v>1.00171998624011</v>
      </c>
      <c r="Q282" s="850">
        <v>52</v>
      </c>
    </row>
    <row r="283" spans="1:17" ht="14.45" customHeight="1" x14ac:dyDescent="0.2">
      <c r="A283" s="831" t="s">
        <v>3210</v>
      </c>
      <c r="B283" s="832" t="s">
        <v>3211</v>
      </c>
      <c r="C283" s="832" t="s">
        <v>847</v>
      </c>
      <c r="D283" s="832" t="s">
        <v>3248</v>
      </c>
      <c r="E283" s="832" t="s">
        <v>3249</v>
      </c>
      <c r="F283" s="849"/>
      <c r="G283" s="849"/>
      <c r="H283" s="849"/>
      <c r="I283" s="849"/>
      <c r="J283" s="849"/>
      <c r="K283" s="849"/>
      <c r="L283" s="849"/>
      <c r="M283" s="849"/>
      <c r="N283" s="849">
        <v>0</v>
      </c>
      <c r="O283" s="849">
        <v>0</v>
      </c>
      <c r="P283" s="837"/>
      <c r="Q283" s="850"/>
    </row>
    <row r="284" spans="1:17" ht="14.45" customHeight="1" x14ac:dyDescent="0.2">
      <c r="A284" s="831" t="s">
        <v>3210</v>
      </c>
      <c r="B284" s="832" t="s">
        <v>3211</v>
      </c>
      <c r="C284" s="832" t="s">
        <v>847</v>
      </c>
      <c r="D284" s="832" t="s">
        <v>3250</v>
      </c>
      <c r="E284" s="832" t="s">
        <v>3251</v>
      </c>
      <c r="F284" s="849"/>
      <c r="G284" s="849"/>
      <c r="H284" s="849"/>
      <c r="I284" s="849"/>
      <c r="J284" s="849">
        <v>1</v>
      </c>
      <c r="K284" s="849">
        <v>207</v>
      </c>
      <c r="L284" s="849">
        <v>1</v>
      </c>
      <c r="M284" s="849">
        <v>207</v>
      </c>
      <c r="N284" s="849"/>
      <c r="O284" s="849"/>
      <c r="P284" s="837"/>
      <c r="Q284" s="850"/>
    </row>
    <row r="285" spans="1:17" ht="14.45" customHeight="1" x14ac:dyDescent="0.2">
      <c r="A285" s="831" t="s">
        <v>3210</v>
      </c>
      <c r="B285" s="832" t="s">
        <v>3211</v>
      </c>
      <c r="C285" s="832" t="s">
        <v>847</v>
      </c>
      <c r="D285" s="832" t="s">
        <v>3252</v>
      </c>
      <c r="E285" s="832" t="s">
        <v>3253</v>
      </c>
      <c r="F285" s="849">
        <v>12</v>
      </c>
      <c r="G285" s="849">
        <v>7344</v>
      </c>
      <c r="H285" s="849">
        <v>0.75</v>
      </c>
      <c r="I285" s="849">
        <v>612</v>
      </c>
      <c r="J285" s="849">
        <v>16</v>
      </c>
      <c r="K285" s="849">
        <v>9792</v>
      </c>
      <c r="L285" s="849">
        <v>1</v>
      </c>
      <c r="M285" s="849">
        <v>612</v>
      </c>
      <c r="N285" s="849">
        <v>10</v>
      </c>
      <c r="O285" s="849">
        <v>6150</v>
      </c>
      <c r="P285" s="837">
        <v>0.62806372549019607</v>
      </c>
      <c r="Q285" s="850">
        <v>615</v>
      </c>
    </row>
    <row r="286" spans="1:17" ht="14.45" customHeight="1" x14ac:dyDescent="0.2">
      <c r="A286" s="831" t="s">
        <v>3210</v>
      </c>
      <c r="B286" s="832" t="s">
        <v>3211</v>
      </c>
      <c r="C286" s="832" t="s">
        <v>847</v>
      </c>
      <c r="D286" s="832" t="s">
        <v>3254</v>
      </c>
      <c r="E286" s="832" t="s">
        <v>3255</v>
      </c>
      <c r="F286" s="849"/>
      <c r="G286" s="849"/>
      <c r="H286" s="849"/>
      <c r="I286" s="849"/>
      <c r="J286" s="849"/>
      <c r="K286" s="849"/>
      <c r="L286" s="849"/>
      <c r="M286" s="849"/>
      <c r="N286" s="849">
        <v>0</v>
      </c>
      <c r="O286" s="849">
        <v>0</v>
      </c>
      <c r="P286" s="837"/>
      <c r="Q286" s="850"/>
    </row>
    <row r="287" spans="1:17" ht="14.45" customHeight="1" x14ac:dyDescent="0.2">
      <c r="A287" s="831" t="s">
        <v>3210</v>
      </c>
      <c r="B287" s="832" t="s">
        <v>3211</v>
      </c>
      <c r="C287" s="832" t="s">
        <v>847</v>
      </c>
      <c r="D287" s="832" t="s">
        <v>3256</v>
      </c>
      <c r="E287" s="832" t="s">
        <v>3257</v>
      </c>
      <c r="F287" s="849">
        <v>1</v>
      </c>
      <c r="G287" s="849">
        <v>271</v>
      </c>
      <c r="H287" s="849"/>
      <c r="I287" s="849">
        <v>271</v>
      </c>
      <c r="J287" s="849"/>
      <c r="K287" s="849"/>
      <c r="L287" s="849"/>
      <c r="M287" s="849"/>
      <c r="N287" s="849">
        <v>1</v>
      </c>
      <c r="O287" s="849">
        <v>275</v>
      </c>
      <c r="P287" s="837"/>
      <c r="Q287" s="850">
        <v>275</v>
      </c>
    </row>
    <row r="288" spans="1:17" ht="14.45" customHeight="1" x14ac:dyDescent="0.2">
      <c r="A288" s="831" t="s">
        <v>3210</v>
      </c>
      <c r="B288" s="832" t="s">
        <v>3211</v>
      </c>
      <c r="C288" s="832" t="s">
        <v>847</v>
      </c>
      <c r="D288" s="832" t="s">
        <v>3258</v>
      </c>
      <c r="E288" s="832" t="s">
        <v>3259</v>
      </c>
      <c r="F288" s="849">
        <v>214</v>
      </c>
      <c r="G288" s="849">
        <v>10058</v>
      </c>
      <c r="H288" s="849">
        <v>1.6984126984126984</v>
      </c>
      <c r="I288" s="849">
        <v>47</v>
      </c>
      <c r="J288" s="849">
        <v>126</v>
      </c>
      <c r="K288" s="849">
        <v>5922</v>
      </c>
      <c r="L288" s="849">
        <v>1</v>
      </c>
      <c r="M288" s="849">
        <v>47</v>
      </c>
      <c r="N288" s="849">
        <v>222</v>
      </c>
      <c r="O288" s="849">
        <v>10434</v>
      </c>
      <c r="P288" s="837">
        <v>1.7619047619047619</v>
      </c>
      <c r="Q288" s="850">
        <v>47</v>
      </c>
    </row>
    <row r="289" spans="1:17" ht="14.45" customHeight="1" x14ac:dyDescent="0.2">
      <c r="A289" s="831" t="s">
        <v>3210</v>
      </c>
      <c r="B289" s="832" t="s">
        <v>3211</v>
      </c>
      <c r="C289" s="832" t="s">
        <v>847</v>
      </c>
      <c r="D289" s="832" t="s">
        <v>3260</v>
      </c>
      <c r="E289" s="832" t="s">
        <v>3261</v>
      </c>
      <c r="F289" s="849">
        <v>1</v>
      </c>
      <c r="G289" s="849">
        <v>242</v>
      </c>
      <c r="H289" s="849">
        <v>0.33333333333333331</v>
      </c>
      <c r="I289" s="849">
        <v>242</v>
      </c>
      <c r="J289" s="849">
        <v>3</v>
      </c>
      <c r="K289" s="849">
        <v>726</v>
      </c>
      <c r="L289" s="849">
        <v>1</v>
      </c>
      <c r="M289" s="849">
        <v>242</v>
      </c>
      <c r="N289" s="849"/>
      <c r="O289" s="849"/>
      <c r="P289" s="837"/>
      <c r="Q289" s="850"/>
    </row>
    <row r="290" spans="1:17" ht="14.45" customHeight="1" x14ac:dyDescent="0.2">
      <c r="A290" s="831" t="s">
        <v>3210</v>
      </c>
      <c r="B290" s="832" t="s">
        <v>3211</v>
      </c>
      <c r="C290" s="832" t="s">
        <v>847</v>
      </c>
      <c r="D290" s="832" t="s">
        <v>3262</v>
      </c>
      <c r="E290" s="832" t="s">
        <v>3263</v>
      </c>
      <c r="F290" s="849">
        <v>31</v>
      </c>
      <c r="G290" s="849">
        <v>46283</v>
      </c>
      <c r="H290" s="849">
        <v>1.24</v>
      </c>
      <c r="I290" s="849">
        <v>1493</v>
      </c>
      <c r="J290" s="849">
        <v>25</v>
      </c>
      <c r="K290" s="849">
        <v>37325</v>
      </c>
      <c r="L290" s="849">
        <v>1</v>
      </c>
      <c r="M290" s="849">
        <v>1493</v>
      </c>
      <c r="N290" s="849">
        <v>27</v>
      </c>
      <c r="O290" s="849">
        <v>40392</v>
      </c>
      <c r="P290" s="837">
        <v>1.0821701272605493</v>
      </c>
      <c r="Q290" s="850">
        <v>1496</v>
      </c>
    </row>
    <row r="291" spans="1:17" ht="14.45" customHeight="1" x14ac:dyDescent="0.2">
      <c r="A291" s="831" t="s">
        <v>3210</v>
      </c>
      <c r="B291" s="832" t="s">
        <v>3211</v>
      </c>
      <c r="C291" s="832" t="s">
        <v>847</v>
      </c>
      <c r="D291" s="832" t="s">
        <v>3264</v>
      </c>
      <c r="E291" s="832" t="s">
        <v>3265</v>
      </c>
      <c r="F291" s="849">
        <v>14</v>
      </c>
      <c r="G291" s="849">
        <v>4578</v>
      </c>
      <c r="H291" s="849">
        <v>0.26923076923076922</v>
      </c>
      <c r="I291" s="849">
        <v>327</v>
      </c>
      <c r="J291" s="849">
        <v>52</v>
      </c>
      <c r="K291" s="849">
        <v>17004</v>
      </c>
      <c r="L291" s="849">
        <v>1</v>
      </c>
      <c r="M291" s="849">
        <v>327</v>
      </c>
      <c r="N291" s="849">
        <v>54</v>
      </c>
      <c r="O291" s="849">
        <v>17766</v>
      </c>
      <c r="P291" s="837">
        <v>1.0448129851799577</v>
      </c>
      <c r="Q291" s="850">
        <v>329</v>
      </c>
    </row>
    <row r="292" spans="1:17" ht="14.45" customHeight="1" x14ac:dyDescent="0.2">
      <c r="A292" s="831" t="s">
        <v>3210</v>
      </c>
      <c r="B292" s="832" t="s">
        <v>3211</v>
      </c>
      <c r="C292" s="832" t="s">
        <v>847</v>
      </c>
      <c r="D292" s="832" t="s">
        <v>3266</v>
      </c>
      <c r="E292" s="832" t="s">
        <v>3267</v>
      </c>
      <c r="F292" s="849">
        <v>2</v>
      </c>
      <c r="G292" s="849">
        <v>1774</v>
      </c>
      <c r="H292" s="849">
        <v>0.22197197197197197</v>
      </c>
      <c r="I292" s="849">
        <v>887</v>
      </c>
      <c r="J292" s="849">
        <v>9</v>
      </c>
      <c r="K292" s="849">
        <v>7992</v>
      </c>
      <c r="L292" s="849">
        <v>1</v>
      </c>
      <c r="M292" s="849">
        <v>888</v>
      </c>
      <c r="N292" s="849">
        <v>5</v>
      </c>
      <c r="O292" s="849">
        <v>4455</v>
      </c>
      <c r="P292" s="837">
        <v>0.55743243243243246</v>
      </c>
      <c r="Q292" s="850">
        <v>891</v>
      </c>
    </row>
    <row r="293" spans="1:17" ht="14.45" customHeight="1" x14ac:dyDescent="0.2">
      <c r="A293" s="831" t="s">
        <v>3210</v>
      </c>
      <c r="B293" s="832" t="s">
        <v>3211</v>
      </c>
      <c r="C293" s="832" t="s">
        <v>847</v>
      </c>
      <c r="D293" s="832" t="s">
        <v>3268</v>
      </c>
      <c r="E293" s="832" t="s">
        <v>3269</v>
      </c>
      <c r="F293" s="849">
        <v>349</v>
      </c>
      <c r="G293" s="849">
        <v>90740</v>
      </c>
      <c r="H293" s="849">
        <v>0.4193761583221256</v>
      </c>
      <c r="I293" s="849">
        <v>260</v>
      </c>
      <c r="J293" s="849">
        <v>829</v>
      </c>
      <c r="K293" s="849">
        <v>216369</v>
      </c>
      <c r="L293" s="849">
        <v>1</v>
      </c>
      <c r="M293" s="849">
        <v>261</v>
      </c>
      <c r="N293" s="849">
        <v>1027</v>
      </c>
      <c r="O293" s="849">
        <v>269074</v>
      </c>
      <c r="P293" s="837">
        <v>1.2435884992766986</v>
      </c>
      <c r="Q293" s="850">
        <v>262</v>
      </c>
    </row>
    <row r="294" spans="1:17" ht="14.45" customHeight="1" x14ac:dyDescent="0.2">
      <c r="A294" s="831" t="s">
        <v>3210</v>
      </c>
      <c r="B294" s="832" t="s">
        <v>3211</v>
      </c>
      <c r="C294" s="832" t="s">
        <v>847</v>
      </c>
      <c r="D294" s="832" t="s">
        <v>3270</v>
      </c>
      <c r="E294" s="832" t="s">
        <v>3271</v>
      </c>
      <c r="F294" s="849"/>
      <c r="G294" s="849"/>
      <c r="H294" s="849"/>
      <c r="I294" s="849"/>
      <c r="J294" s="849">
        <v>12</v>
      </c>
      <c r="K294" s="849">
        <v>1980</v>
      </c>
      <c r="L294" s="849">
        <v>1</v>
      </c>
      <c r="M294" s="849">
        <v>165</v>
      </c>
      <c r="N294" s="849">
        <v>14</v>
      </c>
      <c r="O294" s="849">
        <v>2324</v>
      </c>
      <c r="P294" s="837">
        <v>1.1737373737373737</v>
      </c>
      <c r="Q294" s="850">
        <v>166</v>
      </c>
    </row>
    <row r="295" spans="1:17" ht="14.45" customHeight="1" x14ac:dyDescent="0.2">
      <c r="A295" s="831" t="s">
        <v>3272</v>
      </c>
      <c r="B295" s="832" t="s">
        <v>3044</v>
      </c>
      <c r="C295" s="832" t="s">
        <v>847</v>
      </c>
      <c r="D295" s="832" t="s">
        <v>3273</v>
      </c>
      <c r="E295" s="832" t="s">
        <v>3274</v>
      </c>
      <c r="F295" s="849">
        <v>2</v>
      </c>
      <c r="G295" s="849">
        <v>1646</v>
      </c>
      <c r="H295" s="849"/>
      <c r="I295" s="849">
        <v>823</v>
      </c>
      <c r="J295" s="849"/>
      <c r="K295" s="849"/>
      <c r="L295" s="849"/>
      <c r="M295" s="849"/>
      <c r="N295" s="849"/>
      <c r="O295" s="849"/>
      <c r="P295" s="837"/>
      <c r="Q295" s="850"/>
    </row>
    <row r="296" spans="1:17" ht="14.45" customHeight="1" x14ac:dyDescent="0.2">
      <c r="A296" s="831" t="s">
        <v>3272</v>
      </c>
      <c r="B296" s="832" t="s">
        <v>3044</v>
      </c>
      <c r="C296" s="832" t="s">
        <v>847</v>
      </c>
      <c r="D296" s="832" t="s">
        <v>3275</v>
      </c>
      <c r="E296" s="832" t="s">
        <v>3276</v>
      </c>
      <c r="F296" s="849">
        <v>1</v>
      </c>
      <c r="G296" s="849">
        <v>549</v>
      </c>
      <c r="H296" s="849">
        <v>0.99818181818181817</v>
      </c>
      <c r="I296" s="849">
        <v>549</v>
      </c>
      <c r="J296" s="849">
        <v>1</v>
      </c>
      <c r="K296" s="849">
        <v>550</v>
      </c>
      <c r="L296" s="849">
        <v>1</v>
      </c>
      <c r="M296" s="849">
        <v>550</v>
      </c>
      <c r="N296" s="849">
        <v>4</v>
      </c>
      <c r="O296" s="849">
        <v>2204</v>
      </c>
      <c r="P296" s="837">
        <v>4.0072727272727269</v>
      </c>
      <c r="Q296" s="850">
        <v>551</v>
      </c>
    </row>
    <row r="297" spans="1:17" ht="14.45" customHeight="1" x14ac:dyDescent="0.2">
      <c r="A297" s="831" t="s">
        <v>3272</v>
      </c>
      <c r="B297" s="832" t="s">
        <v>3044</v>
      </c>
      <c r="C297" s="832" t="s">
        <v>847</v>
      </c>
      <c r="D297" s="832" t="s">
        <v>3277</v>
      </c>
      <c r="E297" s="832" t="s">
        <v>3278</v>
      </c>
      <c r="F297" s="849">
        <v>12</v>
      </c>
      <c r="G297" s="849">
        <v>7848</v>
      </c>
      <c r="H297" s="849">
        <v>2.9954198473282441</v>
      </c>
      <c r="I297" s="849">
        <v>654</v>
      </c>
      <c r="J297" s="849">
        <v>4</v>
      </c>
      <c r="K297" s="849">
        <v>2620</v>
      </c>
      <c r="L297" s="849">
        <v>1</v>
      </c>
      <c r="M297" s="849">
        <v>655</v>
      </c>
      <c r="N297" s="849">
        <v>9</v>
      </c>
      <c r="O297" s="849">
        <v>5904</v>
      </c>
      <c r="P297" s="837">
        <v>2.2534351145038167</v>
      </c>
      <c r="Q297" s="850">
        <v>656</v>
      </c>
    </row>
    <row r="298" spans="1:17" ht="14.45" customHeight="1" x14ac:dyDescent="0.2">
      <c r="A298" s="831" t="s">
        <v>3272</v>
      </c>
      <c r="B298" s="832" t="s">
        <v>3044</v>
      </c>
      <c r="C298" s="832" t="s">
        <v>847</v>
      </c>
      <c r="D298" s="832" t="s">
        <v>3279</v>
      </c>
      <c r="E298" s="832" t="s">
        <v>3280</v>
      </c>
      <c r="F298" s="849">
        <v>12</v>
      </c>
      <c r="G298" s="849">
        <v>7848</v>
      </c>
      <c r="H298" s="849">
        <v>2.9954198473282441</v>
      </c>
      <c r="I298" s="849">
        <v>654</v>
      </c>
      <c r="J298" s="849">
        <v>4</v>
      </c>
      <c r="K298" s="849">
        <v>2620</v>
      </c>
      <c r="L298" s="849">
        <v>1</v>
      </c>
      <c r="M298" s="849">
        <v>655</v>
      </c>
      <c r="N298" s="849">
        <v>9</v>
      </c>
      <c r="O298" s="849">
        <v>5904</v>
      </c>
      <c r="P298" s="837">
        <v>2.2534351145038167</v>
      </c>
      <c r="Q298" s="850">
        <v>656</v>
      </c>
    </row>
    <row r="299" spans="1:17" ht="14.45" customHeight="1" x14ac:dyDescent="0.2">
      <c r="A299" s="831" t="s">
        <v>3272</v>
      </c>
      <c r="B299" s="832" t="s">
        <v>3044</v>
      </c>
      <c r="C299" s="832" t="s">
        <v>847</v>
      </c>
      <c r="D299" s="832" t="s">
        <v>3281</v>
      </c>
      <c r="E299" s="832" t="s">
        <v>3282</v>
      </c>
      <c r="F299" s="849">
        <v>1</v>
      </c>
      <c r="G299" s="849">
        <v>678</v>
      </c>
      <c r="H299" s="849"/>
      <c r="I299" s="849">
        <v>678</v>
      </c>
      <c r="J299" s="849"/>
      <c r="K299" s="849"/>
      <c r="L299" s="849"/>
      <c r="M299" s="849"/>
      <c r="N299" s="849"/>
      <c r="O299" s="849"/>
      <c r="P299" s="837"/>
      <c r="Q299" s="850"/>
    </row>
    <row r="300" spans="1:17" ht="14.45" customHeight="1" x14ac:dyDescent="0.2">
      <c r="A300" s="831" t="s">
        <v>3272</v>
      </c>
      <c r="B300" s="832" t="s">
        <v>3044</v>
      </c>
      <c r="C300" s="832" t="s">
        <v>847</v>
      </c>
      <c r="D300" s="832" t="s">
        <v>3283</v>
      </c>
      <c r="E300" s="832" t="s">
        <v>3284</v>
      </c>
      <c r="F300" s="849">
        <v>12</v>
      </c>
      <c r="G300" s="849">
        <v>3744</v>
      </c>
      <c r="H300" s="849">
        <v>1.5</v>
      </c>
      <c r="I300" s="849">
        <v>312</v>
      </c>
      <c r="J300" s="849">
        <v>8</v>
      </c>
      <c r="K300" s="849">
        <v>2496</v>
      </c>
      <c r="L300" s="849">
        <v>1</v>
      </c>
      <c r="M300" s="849">
        <v>312</v>
      </c>
      <c r="N300" s="849">
        <v>18</v>
      </c>
      <c r="O300" s="849">
        <v>5616</v>
      </c>
      <c r="P300" s="837">
        <v>2.25</v>
      </c>
      <c r="Q300" s="850">
        <v>312</v>
      </c>
    </row>
    <row r="301" spans="1:17" ht="14.45" customHeight="1" x14ac:dyDescent="0.2">
      <c r="A301" s="831" t="s">
        <v>3272</v>
      </c>
      <c r="B301" s="832" t="s">
        <v>3044</v>
      </c>
      <c r="C301" s="832" t="s">
        <v>847</v>
      </c>
      <c r="D301" s="832" t="s">
        <v>3285</v>
      </c>
      <c r="E301" s="832" t="s">
        <v>3286</v>
      </c>
      <c r="F301" s="849">
        <v>2</v>
      </c>
      <c r="G301" s="849">
        <v>46</v>
      </c>
      <c r="H301" s="849">
        <v>0.76666666666666672</v>
      </c>
      <c r="I301" s="849">
        <v>23</v>
      </c>
      <c r="J301" s="849">
        <v>5</v>
      </c>
      <c r="K301" s="849">
        <v>60</v>
      </c>
      <c r="L301" s="849">
        <v>1</v>
      </c>
      <c r="M301" s="849">
        <v>12</v>
      </c>
      <c r="N301" s="849"/>
      <c r="O301" s="849"/>
      <c r="P301" s="837"/>
      <c r="Q301" s="850"/>
    </row>
    <row r="302" spans="1:17" ht="14.45" customHeight="1" x14ac:dyDescent="0.2">
      <c r="A302" s="831" t="s">
        <v>3272</v>
      </c>
      <c r="B302" s="832" t="s">
        <v>3044</v>
      </c>
      <c r="C302" s="832" t="s">
        <v>847</v>
      </c>
      <c r="D302" s="832" t="s">
        <v>3287</v>
      </c>
      <c r="E302" s="832" t="s">
        <v>3288</v>
      </c>
      <c r="F302" s="849">
        <v>1</v>
      </c>
      <c r="G302" s="849">
        <v>209</v>
      </c>
      <c r="H302" s="849"/>
      <c r="I302" s="849">
        <v>209</v>
      </c>
      <c r="J302" s="849"/>
      <c r="K302" s="849"/>
      <c r="L302" s="849"/>
      <c r="M302" s="849"/>
      <c r="N302" s="849"/>
      <c r="O302" s="849"/>
      <c r="P302" s="837"/>
      <c r="Q302" s="850"/>
    </row>
    <row r="303" spans="1:17" ht="14.45" customHeight="1" x14ac:dyDescent="0.2">
      <c r="A303" s="831" t="s">
        <v>3272</v>
      </c>
      <c r="B303" s="832" t="s">
        <v>3044</v>
      </c>
      <c r="C303" s="832" t="s">
        <v>847</v>
      </c>
      <c r="D303" s="832" t="s">
        <v>3289</v>
      </c>
      <c r="E303" s="832" t="s">
        <v>3290</v>
      </c>
      <c r="F303" s="849">
        <v>2</v>
      </c>
      <c r="G303" s="849">
        <v>10046</v>
      </c>
      <c r="H303" s="849">
        <v>1.9996019108280254</v>
      </c>
      <c r="I303" s="849">
        <v>5023</v>
      </c>
      <c r="J303" s="849">
        <v>1</v>
      </c>
      <c r="K303" s="849">
        <v>5024</v>
      </c>
      <c r="L303" s="849">
        <v>1</v>
      </c>
      <c r="M303" s="849">
        <v>5024</v>
      </c>
      <c r="N303" s="849"/>
      <c r="O303" s="849"/>
      <c r="P303" s="837"/>
      <c r="Q303" s="850"/>
    </row>
    <row r="304" spans="1:17" ht="14.45" customHeight="1" x14ac:dyDescent="0.2">
      <c r="A304" s="831" t="s">
        <v>3272</v>
      </c>
      <c r="B304" s="832" t="s">
        <v>3044</v>
      </c>
      <c r="C304" s="832" t="s">
        <v>847</v>
      </c>
      <c r="D304" s="832" t="s">
        <v>3291</v>
      </c>
      <c r="E304" s="832" t="s">
        <v>3292</v>
      </c>
      <c r="F304" s="849">
        <v>12</v>
      </c>
      <c r="G304" s="849">
        <v>8280</v>
      </c>
      <c r="H304" s="849"/>
      <c r="I304" s="849">
        <v>690</v>
      </c>
      <c r="J304" s="849"/>
      <c r="K304" s="849"/>
      <c r="L304" s="849"/>
      <c r="M304" s="849"/>
      <c r="N304" s="849"/>
      <c r="O304" s="849"/>
      <c r="P304" s="837"/>
      <c r="Q304" s="850"/>
    </row>
    <row r="305" spans="1:17" ht="14.45" customHeight="1" x14ac:dyDescent="0.2">
      <c r="A305" s="831" t="s">
        <v>3272</v>
      </c>
      <c r="B305" s="832" t="s">
        <v>3044</v>
      </c>
      <c r="C305" s="832" t="s">
        <v>847</v>
      </c>
      <c r="D305" s="832" t="s">
        <v>3293</v>
      </c>
      <c r="E305" s="832" t="s">
        <v>3294</v>
      </c>
      <c r="F305" s="849">
        <v>2</v>
      </c>
      <c r="G305" s="849">
        <v>700</v>
      </c>
      <c r="H305" s="849"/>
      <c r="I305" s="849">
        <v>350</v>
      </c>
      <c r="J305" s="849"/>
      <c r="K305" s="849"/>
      <c r="L305" s="849"/>
      <c r="M305" s="849"/>
      <c r="N305" s="849"/>
      <c r="O305" s="849"/>
      <c r="P305" s="837"/>
      <c r="Q305" s="850"/>
    </row>
    <row r="306" spans="1:17" ht="14.45" customHeight="1" x14ac:dyDescent="0.2">
      <c r="A306" s="831" t="s">
        <v>3272</v>
      </c>
      <c r="B306" s="832" t="s">
        <v>3044</v>
      </c>
      <c r="C306" s="832" t="s">
        <v>847</v>
      </c>
      <c r="D306" s="832" t="s">
        <v>3295</v>
      </c>
      <c r="E306" s="832" t="s">
        <v>3296</v>
      </c>
      <c r="F306" s="849">
        <v>12</v>
      </c>
      <c r="G306" s="849">
        <v>7848</v>
      </c>
      <c r="H306" s="849">
        <v>2.9954198473282441</v>
      </c>
      <c r="I306" s="849">
        <v>654</v>
      </c>
      <c r="J306" s="849">
        <v>4</v>
      </c>
      <c r="K306" s="849">
        <v>2620</v>
      </c>
      <c r="L306" s="849">
        <v>1</v>
      </c>
      <c r="M306" s="849">
        <v>655</v>
      </c>
      <c r="N306" s="849">
        <v>9</v>
      </c>
      <c r="O306" s="849">
        <v>5904</v>
      </c>
      <c r="P306" s="837">
        <v>2.2534351145038167</v>
      </c>
      <c r="Q306" s="850">
        <v>656</v>
      </c>
    </row>
    <row r="307" spans="1:17" ht="14.45" customHeight="1" x14ac:dyDescent="0.2">
      <c r="A307" s="831" t="s">
        <v>3272</v>
      </c>
      <c r="B307" s="832" t="s">
        <v>3044</v>
      </c>
      <c r="C307" s="832" t="s">
        <v>847</v>
      </c>
      <c r="D307" s="832" t="s">
        <v>3297</v>
      </c>
      <c r="E307" s="832" t="s">
        <v>3298</v>
      </c>
      <c r="F307" s="849">
        <v>12</v>
      </c>
      <c r="G307" s="849">
        <v>7848</v>
      </c>
      <c r="H307" s="849">
        <v>2.9954198473282441</v>
      </c>
      <c r="I307" s="849">
        <v>654</v>
      </c>
      <c r="J307" s="849">
        <v>4</v>
      </c>
      <c r="K307" s="849">
        <v>2620</v>
      </c>
      <c r="L307" s="849">
        <v>1</v>
      </c>
      <c r="M307" s="849">
        <v>655</v>
      </c>
      <c r="N307" s="849">
        <v>9</v>
      </c>
      <c r="O307" s="849">
        <v>5904</v>
      </c>
      <c r="P307" s="837">
        <v>2.2534351145038167</v>
      </c>
      <c r="Q307" s="850">
        <v>656</v>
      </c>
    </row>
    <row r="308" spans="1:17" ht="14.45" customHeight="1" x14ac:dyDescent="0.2">
      <c r="A308" s="831" t="s">
        <v>3272</v>
      </c>
      <c r="B308" s="832" t="s">
        <v>3044</v>
      </c>
      <c r="C308" s="832" t="s">
        <v>847</v>
      </c>
      <c r="D308" s="832" t="s">
        <v>3299</v>
      </c>
      <c r="E308" s="832" t="s">
        <v>3300</v>
      </c>
      <c r="F308" s="849">
        <v>10</v>
      </c>
      <c r="G308" s="849">
        <v>4350</v>
      </c>
      <c r="H308" s="849">
        <v>0.46178343949044587</v>
      </c>
      <c r="I308" s="849">
        <v>435</v>
      </c>
      <c r="J308" s="849">
        <v>20</v>
      </c>
      <c r="K308" s="849">
        <v>9420</v>
      </c>
      <c r="L308" s="849">
        <v>1</v>
      </c>
      <c r="M308" s="849">
        <v>471</v>
      </c>
      <c r="N308" s="849"/>
      <c r="O308" s="849"/>
      <c r="P308" s="837"/>
      <c r="Q308" s="850"/>
    </row>
    <row r="309" spans="1:17" ht="14.45" customHeight="1" x14ac:dyDescent="0.2">
      <c r="A309" s="831" t="s">
        <v>3272</v>
      </c>
      <c r="B309" s="832" t="s">
        <v>3044</v>
      </c>
      <c r="C309" s="832" t="s">
        <v>847</v>
      </c>
      <c r="D309" s="832" t="s">
        <v>3301</v>
      </c>
      <c r="E309" s="832" t="s">
        <v>3302</v>
      </c>
      <c r="F309" s="849">
        <v>1</v>
      </c>
      <c r="G309" s="849">
        <v>678</v>
      </c>
      <c r="H309" s="849"/>
      <c r="I309" s="849">
        <v>678</v>
      </c>
      <c r="J309" s="849"/>
      <c r="K309" s="849"/>
      <c r="L309" s="849"/>
      <c r="M309" s="849"/>
      <c r="N309" s="849"/>
      <c r="O309" s="849"/>
      <c r="P309" s="837"/>
      <c r="Q309" s="850"/>
    </row>
    <row r="310" spans="1:17" ht="14.45" customHeight="1" x14ac:dyDescent="0.2">
      <c r="A310" s="831" t="s">
        <v>3272</v>
      </c>
      <c r="B310" s="832" t="s">
        <v>3044</v>
      </c>
      <c r="C310" s="832" t="s">
        <v>847</v>
      </c>
      <c r="D310" s="832" t="s">
        <v>3303</v>
      </c>
      <c r="E310" s="832" t="s">
        <v>3304</v>
      </c>
      <c r="F310" s="849">
        <v>4</v>
      </c>
      <c r="G310" s="849">
        <v>2304</v>
      </c>
      <c r="H310" s="849"/>
      <c r="I310" s="849">
        <v>576</v>
      </c>
      <c r="J310" s="849"/>
      <c r="K310" s="849"/>
      <c r="L310" s="849"/>
      <c r="M310" s="849"/>
      <c r="N310" s="849"/>
      <c r="O310" s="849"/>
      <c r="P310" s="837"/>
      <c r="Q310" s="850"/>
    </row>
    <row r="311" spans="1:17" ht="14.45" customHeight="1" x14ac:dyDescent="0.2">
      <c r="A311" s="831" t="s">
        <v>3272</v>
      </c>
      <c r="B311" s="832" t="s">
        <v>3044</v>
      </c>
      <c r="C311" s="832" t="s">
        <v>847</v>
      </c>
      <c r="D311" s="832" t="s">
        <v>3305</v>
      </c>
      <c r="E311" s="832" t="s">
        <v>3306</v>
      </c>
      <c r="F311" s="849">
        <v>12</v>
      </c>
      <c r="G311" s="849">
        <v>16788</v>
      </c>
      <c r="H311" s="849">
        <v>2.9978571428571428</v>
      </c>
      <c r="I311" s="849">
        <v>1399</v>
      </c>
      <c r="J311" s="849">
        <v>4</v>
      </c>
      <c r="K311" s="849">
        <v>5600</v>
      </c>
      <c r="L311" s="849">
        <v>1</v>
      </c>
      <c r="M311" s="849">
        <v>1400</v>
      </c>
      <c r="N311" s="849">
        <v>9</v>
      </c>
      <c r="O311" s="849">
        <v>12600</v>
      </c>
      <c r="P311" s="837">
        <v>2.25</v>
      </c>
      <c r="Q311" s="850">
        <v>1400</v>
      </c>
    </row>
    <row r="312" spans="1:17" ht="14.45" customHeight="1" x14ac:dyDescent="0.2">
      <c r="A312" s="831" t="s">
        <v>3272</v>
      </c>
      <c r="B312" s="832" t="s">
        <v>3044</v>
      </c>
      <c r="C312" s="832" t="s">
        <v>847</v>
      </c>
      <c r="D312" s="832" t="s">
        <v>3307</v>
      </c>
      <c r="E312" s="832" t="s">
        <v>3308</v>
      </c>
      <c r="F312" s="849">
        <v>4</v>
      </c>
      <c r="G312" s="849">
        <v>4088</v>
      </c>
      <c r="H312" s="849">
        <v>0.66623207301173404</v>
      </c>
      <c r="I312" s="849">
        <v>1022</v>
      </c>
      <c r="J312" s="849">
        <v>6</v>
      </c>
      <c r="K312" s="849">
        <v>6136</v>
      </c>
      <c r="L312" s="849">
        <v>1</v>
      </c>
      <c r="M312" s="849">
        <v>1022.6666666666666</v>
      </c>
      <c r="N312" s="849">
        <v>2</v>
      </c>
      <c r="O312" s="849">
        <v>2046</v>
      </c>
      <c r="P312" s="837">
        <v>0.33344198174706652</v>
      </c>
      <c r="Q312" s="850">
        <v>1023</v>
      </c>
    </row>
    <row r="313" spans="1:17" ht="14.45" customHeight="1" x14ac:dyDescent="0.2">
      <c r="A313" s="831" t="s">
        <v>3272</v>
      </c>
      <c r="B313" s="832" t="s">
        <v>3044</v>
      </c>
      <c r="C313" s="832" t="s">
        <v>847</v>
      </c>
      <c r="D313" s="832" t="s">
        <v>3309</v>
      </c>
      <c r="E313" s="832" t="s">
        <v>3310</v>
      </c>
      <c r="F313" s="849">
        <v>2</v>
      </c>
      <c r="G313" s="849">
        <v>380</v>
      </c>
      <c r="H313" s="849">
        <v>0.66901408450704225</v>
      </c>
      <c r="I313" s="849">
        <v>190</v>
      </c>
      <c r="J313" s="849">
        <v>3</v>
      </c>
      <c r="K313" s="849">
        <v>568</v>
      </c>
      <c r="L313" s="849">
        <v>1</v>
      </c>
      <c r="M313" s="849">
        <v>189.33333333333334</v>
      </c>
      <c r="N313" s="849">
        <v>1</v>
      </c>
      <c r="O313" s="849">
        <v>190</v>
      </c>
      <c r="P313" s="837">
        <v>0.33450704225352113</v>
      </c>
      <c r="Q313" s="850">
        <v>190</v>
      </c>
    </row>
    <row r="314" spans="1:17" ht="14.45" customHeight="1" x14ac:dyDescent="0.2">
      <c r="A314" s="831" t="s">
        <v>3272</v>
      </c>
      <c r="B314" s="832" t="s">
        <v>2699</v>
      </c>
      <c r="C314" s="832" t="s">
        <v>847</v>
      </c>
      <c r="D314" s="832" t="s">
        <v>3285</v>
      </c>
      <c r="E314" s="832" t="s">
        <v>3286</v>
      </c>
      <c r="F314" s="849"/>
      <c r="G314" s="849"/>
      <c r="H314" s="849"/>
      <c r="I314" s="849"/>
      <c r="J314" s="849">
        <v>2</v>
      </c>
      <c r="K314" s="849">
        <v>24</v>
      </c>
      <c r="L314" s="849">
        <v>1</v>
      </c>
      <c r="M314" s="849">
        <v>12</v>
      </c>
      <c r="N314" s="849">
        <v>2</v>
      </c>
      <c r="O314" s="849">
        <v>24</v>
      </c>
      <c r="P314" s="837">
        <v>1</v>
      </c>
      <c r="Q314" s="850">
        <v>12</v>
      </c>
    </row>
    <row r="315" spans="1:17" ht="14.45" customHeight="1" thickBot="1" x14ac:dyDescent="0.25">
      <c r="A315" s="839" t="s">
        <v>3272</v>
      </c>
      <c r="B315" s="840" t="s">
        <v>2699</v>
      </c>
      <c r="C315" s="840" t="s">
        <v>847</v>
      </c>
      <c r="D315" s="840" t="s">
        <v>3299</v>
      </c>
      <c r="E315" s="840" t="s">
        <v>3300</v>
      </c>
      <c r="F315" s="851"/>
      <c r="G315" s="851"/>
      <c r="H315" s="851"/>
      <c r="I315" s="851"/>
      <c r="J315" s="851">
        <v>8</v>
      </c>
      <c r="K315" s="851">
        <v>3768</v>
      </c>
      <c r="L315" s="851">
        <v>1</v>
      </c>
      <c r="M315" s="851">
        <v>471</v>
      </c>
      <c r="N315" s="851">
        <v>8</v>
      </c>
      <c r="O315" s="851">
        <v>3808</v>
      </c>
      <c r="P315" s="845">
        <v>1.0106157112526539</v>
      </c>
      <c r="Q315" s="852">
        <v>476</v>
      </c>
    </row>
  </sheetData>
  <autoFilter ref="A5:Q5" xr:uid="{00000000-0009-0000-0000-000037000000}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 xr:uid="{E6684F19-58C7-496C-AE41-5A20AD2D0060}"/>
  </hyperlinks>
  <pageMargins left="0.25" right="0.25" top="0.75" bottom="0.75" header="0.3" footer="0.3"/>
  <pageSetup paperSize="9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List25">
    <tabColor theme="0" tint="-0.249977111117893"/>
    <pageSetUpPr fitToPage="1"/>
  </sheetPr>
  <dimension ref="A1:N11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ColWidth="8.85546875" defaultRowHeight="14.45" customHeight="1" outlineLevelCol="1" x14ac:dyDescent="0.2"/>
  <cols>
    <col min="1" max="1" width="14.28515625" style="188" bestFit="1" customWidth="1"/>
    <col min="2" max="2" width="15.7109375" style="188" bestFit="1" customWidth="1"/>
    <col min="3" max="3" width="8.28515625" style="196" hidden="1" customWidth="1" outlineLevel="1"/>
    <col min="4" max="4" width="8.28515625" style="196" customWidth="1" collapsed="1"/>
    <col min="5" max="5" width="8.28515625" style="196" customWidth="1"/>
    <col min="6" max="6" width="6.140625" style="197" customWidth="1"/>
    <col min="7" max="7" width="8.28515625" style="196" hidden="1" customWidth="1" outlineLevel="1"/>
    <col min="8" max="8" width="8.28515625" style="196" customWidth="1" collapsed="1"/>
    <col min="9" max="9" width="8.28515625" style="196" customWidth="1"/>
    <col min="10" max="10" width="6.140625" style="197" customWidth="1"/>
    <col min="11" max="11" width="8.28515625" style="196" hidden="1" customWidth="1" outlineLevel="1"/>
    <col min="12" max="12" width="8.28515625" style="196" customWidth="1" collapsed="1"/>
    <col min="13" max="14" width="8.28515625" style="196" customWidth="1"/>
    <col min="15" max="16384" width="8.85546875" style="188"/>
  </cols>
  <sheetData>
    <row r="1" spans="1:14" ht="18.600000000000001" customHeight="1" thickBot="1" x14ac:dyDescent="0.35">
      <c r="A1" s="693" t="s">
        <v>180</v>
      </c>
      <c r="B1" s="694"/>
      <c r="C1" s="694"/>
      <c r="D1" s="694"/>
      <c r="E1" s="694"/>
      <c r="F1" s="694"/>
      <c r="G1" s="694"/>
      <c r="H1" s="694"/>
      <c r="I1" s="694"/>
      <c r="J1" s="694"/>
      <c r="K1" s="694"/>
      <c r="L1" s="694"/>
      <c r="M1" s="694"/>
      <c r="N1" s="694"/>
    </row>
    <row r="2" spans="1:14" ht="14.45" customHeight="1" thickBot="1" x14ac:dyDescent="0.25">
      <c r="A2" s="371" t="s">
        <v>328</v>
      </c>
      <c r="B2" s="189"/>
      <c r="C2" s="189"/>
      <c r="D2" s="189"/>
      <c r="E2" s="189"/>
      <c r="F2" s="189"/>
      <c r="G2" s="387"/>
      <c r="H2" s="387"/>
      <c r="I2" s="387"/>
      <c r="J2" s="189"/>
      <c r="K2" s="387"/>
      <c r="L2" s="387"/>
      <c r="M2" s="387"/>
      <c r="N2" s="189"/>
    </row>
    <row r="3" spans="1:14" ht="14.45" customHeight="1" thickBot="1" x14ac:dyDescent="0.25">
      <c r="A3" s="190"/>
      <c r="B3" s="191" t="s">
        <v>158</v>
      </c>
      <c r="C3" s="192">
        <f>SUBTOTAL(9,C6:C1048576)</f>
        <v>11604</v>
      </c>
      <c r="D3" s="193">
        <f>SUBTOTAL(9,D6:D1048576)</f>
        <v>10763</v>
      </c>
      <c r="E3" s="193">
        <f>SUBTOTAL(9,E6:E1048576)</f>
        <v>9795</v>
      </c>
      <c r="F3" s="194">
        <f>IF(OR(E3=0,D3=0),"",E3/D3)</f>
        <v>0.91006225030196042</v>
      </c>
      <c r="G3" s="388">
        <f>SUBTOTAL(9,G6:G1048576)</f>
        <v>47916.299039999998</v>
      </c>
      <c r="H3" s="389">
        <f>SUBTOTAL(9,H6:H1048576)</f>
        <v>39801.498959999997</v>
      </c>
      <c r="I3" s="389">
        <f>SUBTOTAL(9,I6:I1048576)</f>
        <v>37714.490579999998</v>
      </c>
      <c r="J3" s="194">
        <f>IF(OR(I3=0,H3=0),"",I3/H3)</f>
        <v>0.94756457835677455</v>
      </c>
      <c r="K3" s="388">
        <f>SUBTOTAL(9,K6:K1048576)</f>
        <v>11057.72</v>
      </c>
      <c r="L3" s="389">
        <f>SUBTOTAL(9,L6:L1048576)</f>
        <v>9050.0400000000009</v>
      </c>
      <c r="M3" s="389">
        <f>SUBTOTAL(9,M6:M1048576)</f>
        <v>8710.14</v>
      </c>
      <c r="N3" s="195">
        <f>IF(OR(M3=0,E3=0),"",M3*1000/E3)</f>
        <v>889.24349157733536</v>
      </c>
    </row>
    <row r="4" spans="1:14" ht="14.45" customHeight="1" x14ac:dyDescent="0.2">
      <c r="A4" s="695" t="s">
        <v>89</v>
      </c>
      <c r="B4" s="696" t="s">
        <v>11</v>
      </c>
      <c r="C4" s="697" t="s">
        <v>90</v>
      </c>
      <c r="D4" s="697"/>
      <c r="E4" s="697"/>
      <c r="F4" s="698"/>
      <c r="G4" s="699" t="s">
        <v>268</v>
      </c>
      <c r="H4" s="697"/>
      <c r="I4" s="697"/>
      <c r="J4" s="698"/>
      <c r="K4" s="699" t="s">
        <v>91</v>
      </c>
      <c r="L4" s="697"/>
      <c r="M4" s="697"/>
      <c r="N4" s="700"/>
    </row>
    <row r="5" spans="1:14" ht="14.45" customHeight="1" thickBot="1" x14ac:dyDescent="0.25">
      <c r="A5" s="994"/>
      <c r="B5" s="995"/>
      <c r="C5" s="1002">
        <v>2015</v>
      </c>
      <c r="D5" s="1002">
        <v>2018</v>
      </c>
      <c r="E5" s="1002">
        <v>2019</v>
      </c>
      <c r="F5" s="1003" t="s">
        <v>2</v>
      </c>
      <c r="G5" s="1013">
        <v>2015</v>
      </c>
      <c r="H5" s="1002">
        <v>2018</v>
      </c>
      <c r="I5" s="1002">
        <v>2019</v>
      </c>
      <c r="J5" s="1003" t="s">
        <v>2</v>
      </c>
      <c r="K5" s="1013">
        <v>2015</v>
      </c>
      <c r="L5" s="1002">
        <v>2018</v>
      </c>
      <c r="M5" s="1002">
        <v>2019</v>
      </c>
      <c r="N5" s="1014" t="s">
        <v>92</v>
      </c>
    </row>
    <row r="6" spans="1:14" ht="14.45" customHeight="1" x14ac:dyDescent="0.2">
      <c r="A6" s="996" t="s">
        <v>2447</v>
      </c>
      <c r="B6" s="999" t="s">
        <v>3312</v>
      </c>
      <c r="C6" s="1004">
        <v>7218</v>
      </c>
      <c r="D6" s="1005">
        <v>7093</v>
      </c>
      <c r="E6" s="1005">
        <v>6505</v>
      </c>
      <c r="F6" s="1010"/>
      <c r="G6" s="1004">
        <v>6165.4632000000001</v>
      </c>
      <c r="H6" s="1005">
        <v>6058.0743599999996</v>
      </c>
      <c r="I6" s="1005">
        <v>5587.555980000001</v>
      </c>
      <c r="J6" s="1010"/>
      <c r="K6" s="1004">
        <v>433.08</v>
      </c>
      <c r="L6" s="1005">
        <v>425.58</v>
      </c>
      <c r="M6" s="1005">
        <v>390.3</v>
      </c>
      <c r="N6" s="1015">
        <v>60</v>
      </c>
    </row>
    <row r="7" spans="1:14" ht="14.45" customHeight="1" x14ac:dyDescent="0.2">
      <c r="A7" s="997" t="s">
        <v>2423</v>
      </c>
      <c r="B7" s="1000" t="s">
        <v>3312</v>
      </c>
      <c r="C7" s="1006">
        <v>644</v>
      </c>
      <c r="D7" s="1007">
        <v>703</v>
      </c>
      <c r="E7" s="1007">
        <v>647</v>
      </c>
      <c r="F7" s="1011"/>
      <c r="G7" s="1006">
        <v>103.16879999999998</v>
      </c>
      <c r="H7" s="1007">
        <v>112.62059999999992</v>
      </c>
      <c r="I7" s="1007">
        <v>105.39629999999995</v>
      </c>
      <c r="J7" s="1011"/>
      <c r="K7" s="1006">
        <v>38.64</v>
      </c>
      <c r="L7" s="1007">
        <v>29.46</v>
      </c>
      <c r="M7" s="1007">
        <v>24.84</v>
      </c>
      <c r="N7" s="1016">
        <v>38.392581143740337</v>
      </c>
    </row>
    <row r="8" spans="1:14" ht="14.45" customHeight="1" x14ac:dyDescent="0.2">
      <c r="A8" s="997" t="s">
        <v>2520</v>
      </c>
      <c r="B8" s="1000" t="s">
        <v>3313</v>
      </c>
      <c r="C8" s="1006">
        <v>203</v>
      </c>
      <c r="D8" s="1007">
        <v>155</v>
      </c>
      <c r="E8" s="1007">
        <v>101</v>
      </c>
      <c r="F8" s="1011"/>
      <c r="G8" s="1006">
        <v>5323.7669999999998</v>
      </c>
      <c r="H8" s="1007">
        <v>4040.6174999999998</v>
      </c>
      <c r="I8" s="1007">
        <v>2633.4728999999993</v>
      </c>
      <c r="J8" s="1011"/>
      <c r="K8" s="1006">
        <v>1624</v>
      </c>
      <c r="L8" s="1007">
        <v>1240</v>
      </c>
      <c r="M8" s="1007">
        <v>808</v>
      </c>
      <c r="N8" s="1016">
        <v>8000</v>
      </c>
    </row>
    <row r="9" spans="1:14" ht="14.45" customHeight="1" x14ac:dyDescent="0.2">
      <c r="A9" s="997" t="s">
        <v>2536</v>
      </c>
      <c r="B9" s="1000" t="s">
        <v>3313</v>
      </c>
      <c r="C9" s="1006">
        <v>766</v>
      </c>
      <c r="D9" s="1007">
        <v>647</v>
      </c>
      <c r="E9" s="1007">
        <v>725</v>
      </c>
      <c r="F9" s="1011"/>
      <c r="G9" s="1006">
        <v>17052.309000000001</v>
      </c>
      <c r="H9" s="1007">
        <v>14403.190500000001</v>
      </c>
      <c r="I9" s="1007">
        <v>16143.078599999999</v>
      </c>
      <c r="J9" s="1011"/>
      <c r="K9" s="1006">
        <v>4596</v>
      </c>
      <c r="L9" s="1007">
        <v>3882</v>
      </c>
      <c r="M9" s="1007">
        <v>4350</v>
      </c>
      <c r="N9" s="1016">
        <v>6000</v>
      </c>
    </row>
    <row r="10" spans="1:14" ht="14.45" customHeight="1" x14ac:dyDescent="0.2">
      <c r="A10" s="997" t="s">
        <v>2522</v>
      </c>
      <c r="B10" s="1000" t="s">
        <v>3313</v>
      </c>
      <c r="C10" s="1006">
        <v>531</v>
      </c>
      <c r="D10" s="1007">
        <v>436</v>
      </c>
      <c r="E10" s="1007">
        <v>440</v>
      </c>
      <c r="F10" s="1011"/>
      <c r="G10" s="1006">
        <v>6533.8487999999988</v>
      </c>
      <c r="H10" s="1007">
        <v>5364.8927999999978</v>
      </c>
      <c r="I10" s="1007">
        <v>5416.225199999998</v>
      </c>
      <c r="J10" s="1011"/>
      <c r="K10" s="1006">
        <v>2124</v>
      </c>
      <c r="L10" s="1007">
        <v>1744</v>
      </c>
      <c r="M10" s="1007">
        <v>1760</v>
      </c>
      <c r="N10" s="1016">
        <v>4000</v>
      </c>
    </row>
    <row r="11" spans="1:14" ht="14.45" customHeight="1" thickBot="1" x14ac:dyDescent="0.25">
      <c r="A11" s="998" t="s">
        <v>2534</v>
      </c>
      <c r="B11" s="1001" t="s">
        <v>3313</v>
      </c>
      <c r="C11" s="1008">
        <v>2242</v>
      </c>
      <c r="D11" s="1009">
        <v>1729</v>
      </c>
      <c r="E11" s="1009">
        <v>1377</v>
      </c>
      <c r="F11" s="1012"/>
      <c r="G11" s="1008">
        <v>12737.742240000001</v>
      </c>
      <c r="H11" s="1009">
        <v>9822.1031999999977</v>
      </c>
      <c r="I11" s="1009">
        <v>7828.7616000000007</v>
      </c>
      <c r="J11" s="1012"/>
      <c r="K11" s="1008">
        <v>2242</v>
      </c>
      <c r="L11" s="1009">
        <v>1729</v>
      </c>
      <c r="M11" s="1009">
        <v>1377</v>
      </c>
      <c r="N11" s="1017">
        <v>1000</v>
      </c>
    </row>
  </sheetData>
  <autoFilter ref="A5:N5" xr:uid="{00000000-0009-0000-0000-000039000000}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 xr:uid="{B8D29FFF-B1D7-4FE3-861F-C47F1376A181}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247"/>
    <col min="2" max="13" width="8.85546875" style="247" customWidth="1"/>
    <col min="14" max="16384" width="8.85546875" style="247"/>
  </cols>
  <sheetData>
    <row r="1" spans="1:13" ht="18.600000000000001" customHeight="1" thickBot="1" x14ac:dyDescent="0.35">
      <c r="A1" s="512" t="s">
        <v>127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</row>
    <row r="2" spans="1:13" ht="14.45" customHeight="1" x14ac:dyDescent="0.2">
      <c r="A2" s="371" t="s">
        <v>328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13" ht="14.45" customHeight="1" x14ac:dyDescent="0.2">
      <c r="A3" s="320"/>
      <c r="B3" s="321" t="s">
        <v>102</v>
      </c>
      <c r="C3" s="322" t="s">
        <v>103</v>
      </c>
      <c r="D3" s="322" t="s">
        <v>104</v>
      </c>
      <c r="E3" s="321" t="s">
        <v>105</v>
      </c>
      <c r="F3" s="322" t="s">
        <v>106</v>
      </c>
      <c r="G3" s="322" t="s">
        <v>107</v>
      </c>
      <c r="H3" s="322" t="s">
        <v>108</v>
      </c>
      <c r="I3" s="322" t="s">
        <v>109</v>
      </c>
      <c r="J3" s="322" t="s">
        <v>110</v>
      </c>
      <c r="K3" s="322" t="s">
        <v>111</v>
      </c>
      <c r="L3" s="322" t="s">
        <v>112</v>
      </c>
      <c r="M3" s="322" t="s">
        <v>113</v>
      </c>
    </row>
    <row r="4" spans="1:13" ht="14.45" customHeight="1" x14ac:dyDescent="0.2">
      <c r="A4" s="320" t="s">
        <v>101</v>
      </c>
      <c r="B4" s="323">
        <f>(B10+B8)/B6</f>
        <v>0.83298372832713019</v>
      </c>
      <c r="C4" s="323">
        <f t="shared" ref="C4:M4" si="0">(C10+C8)/C6</f>
        <v>0.89849223446322113</v>
      </c>
      <c r="D4" s="323">
        <f t="shared" si="0"/>
        <v>1.0012377306327267</v>
      </c>
      <c r="E4" s="323">
        <f t="shared" si="0"/>
        <v>0.86779620731437235</v>
      </c>
      <c r="F4" s="323">
        <f t="shared" si="0"/>
        <v>0.7799298080085092</v>
      </c>
      <c r="G4" s="323">
        <f t="shared" si="0"/>
        <v>0.8400150240329225</v>
      </c>
      <c r="H4" s="323">
        <f t="shared" si="0"/>
        <v>0.85446074243525805</v>
      </c>
      <c r="I4" s="323">
        <f t="shared" si="0"/>
        <v>0.8223811022381875</v>
      </c>
      <c r="J4" s="323">
        <f t="shared" si="0"/>
        <v>0.85444447119012357</v>
      </c>
      <c r="K4" s="323">
        <f t="shared" si="0"/>
        <v>5.1339123046724635E-3</v>
      </c>
      <c r="L4" s="323">
        <f t="shared" si="0"/>
        <v>5.1339123046724635E-3</v>
      </c>
      <c r="M4" s="323">
        <f t="shared" si="0"/>
        <v>5.1339123046724635E-3</v>
      </c>
    </row>
    <row r="5" spans="1:13" ht="14.45" customHeight="1" x14ac:dyDescent="0.2">
      <c r="A5" s="324" t="s">
        <v>53</v>
      </c>
      <c r="B5" s="323">
        <f>IF(ISERROR(VLOOKUP($A5,'Man Tab'!$A:$Q,COLUMN()+2,0)),0,VLOOKUP($A5,'Man Tab'!$A:$Q,COLUMN()+2,0))</f>
        <v>7004.1188100000199</v>
      </c>
      <c r="C5" s="323">
        <f>IF(ISERROR(VLOOKUP($A5,'Man Tab'!$A:$Q,COLUMN()+2,0)),0,VLOOKUP($A5,'Man Tab'!$A:$Q,COLUMN()+2,0))</f>
        <v>6909.4828000000098</v>
      </c>
      <c r="D5" s="323">
        <f>IF(ISERROR(VLOOKUP($A5,'Man Tab'!$A:$Q,COLUMN()+2,0)),0,VLOOKUP($A5,'Man Tab'!$A:$Q,COLUMN()+2,0))</f>
        <v>6441.6350899999798</v>
      </c>
      <c r="E5" s="323">
        <f>IF(ISERROR(VLOOKUP($A5,'Man Tab'!$A:$Q,COLUMN()+2,0)),0,VLOOKUP($A5,'Man Tab'!$A:$Q,COLUMN()+2,0))</f>
        <v>7036.0295899999701</v>
      </c>
      <c r="F5" s="323">
        <f>IF(ISERROR(VLOOKUP($A5,'Man Tab'!$A:$Q,COLUMN()+2,0)),0,VLOOKUP($A5,'Man Tab'!$A:$Q,COLUMN()+2,0))</f>
        <v>7890.7587299999996</v>
      </c>
      <c r="G5" s="323">
        <f>IF(ISERROR(VLOOKUP($A5,'Man Tab'!$A:$Q,COLUMN()+2,0)),0,VLOOKUP($A5,'Man Tab'!$A:$Q,COLUMN()+2,0))</f>
        <v>7310.8262699999696</v>
      </c>
      <c r="H5" s="323">
        <f>IF(ISERROR(VLOOKUP($A5,'Man Tab'!$A:$Q,COLUMN()+2,0)),0,VLOOKUP($A5,'Man Tab'!$A:$Q,COLUMN()+2,0))</f>
        <v>9474.95802</v>
      </c>
      <c r="I5" s="323">
        <f>IF(ISERROR(VLOOKUP($A5,'Man Tab'!$A:$Q,COLUMN()+2,0)),0,VLOOKUP($A5,'Man Tab'!$A:$Q,COLUMN()+2,0))</f>
        <v>7716.80620000001</v>
      </c>
      <c r="J5" s="323">
        <f>IF(ISERROR(VLOOKUP($A5,'Man Tab'!$A:$Q,COLUMN()+2,0)),0,VLOOKUP($A5,'Man Tab'!$A:$Q,COLUMN()+2,0))</f>
        <v>7311.5831699999699</v>
      </c>
      <c r="K5" s="323">
        <f>IF(ISERROR(VLOOKUP($A5,'Man Tab'!$A:$Q,COLUMN()+2,0)),0,VLOOKUP($A5,'Man Tab'!$A:$Q,COLUMN()+2,0))</f>
        <v>0</v>
      </c>
      <c r="L5" s="323">
        <f>IF(ISERROR(VLOOKUP($A5,'Man Tab'!$A:$Q,COLUMN()+2,0)),0,VLOOKUP($A5,'Man Tab'!$A:$Q,COLUMN()+2,0))</f>
        <v>0</v>
      </c>
      <c r="M5" s="323">
        <f>IF(ISERROR(VLOOKUP($A5,'Man Tab'!$A:$Q,COLUMN()+2,0)),0,VLOOKUP($A5,'Man Tab'!$A:$Q,COLUMN()+2,0))</f>
        <v>0</v>
      </c>
    </row>
    <row r="6" spans="1:13" ht="14.45" customHeight="1" x14ac:dyDescent="0.2">
      <c r="A6" s="324" t="s">
        <v>97</v>
      </c>
      <c r="B6" s="325">
        <f>B5</f>
        <v>7004.1188100000199</v>
      </c>
      <c r="C6" s="325">
        <f t="shared" ref="C6:M6" si="1">C5+B6</f>
        <v>13913.601610000031</v>
      </c>
      <c r="D6" s="325">
        <f t="shared" si="1"/>
        <v>20355.236700000009</v>
      </c>
      <c r="E6" s="325">
        <f t="shared" si="1"/>
        <v>27391.266289999978</v>
      </c>
      <c r="F6" s="325">
        <f t="shared" si="1"/>
        <v>35282.025019999979</v>
      </c>
      <c r="G6" s="325">
        <f t="shared" si="1"/>
        <v>42592.851289999948</v>
      </c>
      <c r="H6" s="325">
        <f t="shared" si="1"/>
        <v>52067.809309999946</v>
      </c>
      <c r="I6" s="325">
        <f t="shared" si="1"/>
        <v>59784.61550999996</v>
      </c>
      <c r="J6" s="325">
        <f t="shared" si="1"/>
        <v>67096.198679999929</v>
      </c>
      <c r="K6" s="325">
        <f t="shared" si="1"/>
        <v>67096.198679999929</v>
      </c>
      <c r="L6" s="325">
        <f t="shared" si="1"/>
        <v>67096.198679999929</v>
      </c>
      <c r="M6" s="325">
        <f t="shared" si="1"/>
        <v>67096.198679999929</v>
      </c>
    </row>
    <row r="7" spans="1:13" ht="14.45" customHeight="1" x14ac:dyDescent="0.2">
      <c r="A7" s="324" t="s">
        <v>125</v>
      </c>
      <c r="B7" s="324">
        <v>193.07</v>
      </c>
      <c r="C7" s="324">
        <v>414.07299999999998</v>
      </c>
      <c r="D7" s="324">
        <v>675.22299999999996</v>
      </c>
      <c r="E7" s="324">
        <v>786.952</v>
      </c>
      <c r="F7" s="324">
        <v>910.38499999999999</v>
      </c>
      <c r="G7" s="324">
        <v>1184.405</v>
      </c>
      <c r="H7" s="324">
        <v>1473.481</v>
      </c>
      <c r="I7" s="324">
        <v>1628.3530000000001</v>
      </c>
      <c r="J7" s="324">
        <v>1899.5170000000001</v>
      </c>
      <c r="K7" s="324"/>
      <c r="L7" s="324"/>
      <c r="M7" s="324"/>
    </row>
    <row r="8" spans="1:13" ht="14.45" customHeight="1" x14ac:dyDescent="0.2">
      <c r="A8" s="324" t="s">
        <v>98</v>
      </c>
      <c r="B8" s="325">
        <f>B7*30</f>
        <v>5792.0999999999995</v>
      </c>
      <c r="C8" s="325">
        <f t="shared" ref="C8:M8" si="2">C7*30</f>
        <v>12422.189999999999</v>
      </c>
      <c r="D8" s="325">
        <f t="shared" si="2"/>
        <v>20256.689999999999</v>
      </c>
      <c r="E8" s="325">
        <f t="shared" si="2"/>
        <v>23608.560000000001</v>
      </c>
      <c r="F8" s="325">
        <f t="shared" si="2"/>
        <v>27311.55</v>
      </c>
      <c r="G8" s="325">
        <f t="shared" si="2"/>
        <v>35532.15</v>
      </c>
      <c r="H8" s="325">
        <f t="shared" si="2"/>
        <v>44204.43</v>
      </c>
      <c r="I8" s="325">
        <f t="shared" si="2"/>
        <v>48850.590000000004</v>
      </c>
      <c r="J8" s="325">
        <f t="shared" si="2"/>
        <v>56985.51</v>
      </c>
      <c r="K8" s="325">
        <f t="shared" si="2"/>
        <v>0</v>
      </c>
      <c r="L8" s="325">
        <f t="shared" si="2"/>
        <v>0</v>
      </c>
      <c r="M8" s="325">
        <f t="shared" si="2"/>
        <v>0</v>
      </c>
    </row>
    <row r="9" spans="1:13" ht="14.45" customHeight="1" x14ac:dyDescent="0.2">
      <c r="A9" s="324" t="s">
        <v>126</v>
      </c>
      <c r="B9" s="324">
        <v>42217</v>
      </c>
      <c r="C9" s="324">
        <v>36856</v>
      </c>
      <c r="D9" s="324">
        <v>44668</v>
      </c>
      <c r="E9" s="324">
        <v>37736</v>
      </c>
      <c r="F9" s="324">
        <v>44476</v>
      </c>
      <c r="G9" s="324">
        <v>40532</v>
      </c>
      <c r="H9" s="324">
        <v>38984</v>
      </c>
      <c r="I9" s="324">
        <v>29679</v>
      </c>
      <c r="J9" s="324">
        <v>29318</v>
      </c>
      <c r="K9" s="324">
        <v>0</v>
      </c>
      <c r="L9" s="324">
        <v>0</v>
      </c>
      <c r="M9" s="324">
        <v>0</v>
      </c>
    </row>
    <row r="10" spans="1:13" ht="14.45" customHeight="1" x14ac:dyDescent="0.2">
      <c r="A10" s="324" t="s">
        <v>99</v>
      </c>
      <c r="B10" s="325">
        <f>B9/1000</f>
        <v>42.216999999999999</v>
      </c>
      <c r="C10" s="325">
        <f t="shared" ref="C10:M10" si="3">C9/1000+B10</f>
        <v>79.073000000000008</v>
      </c>
      <c r="D10" s="325">
        <f t="shared" si="3"/>
        <v>123.74100000000001</v>
      </c>
      <c r="E10" s="325">
        <f t="shared" si="3"/>
        <v>161.477</v>
      </c>
      <c r="F10" s="325">
        <f t="shared" si="3"/>
        <v>205.953</v>
      </c>
      <c r="G10" s="325">
        <f t="shared" si="3"/>
        <v>246.48500000000001</v>
      </c>
      <c r="H10" s="325">
        <f t="shared" si="3"/>
        <v>285.46899999999999</v>
      </c>
      <c r="I10" s="325">
        <f t="shared" si="3"/>
        <v>315.14799999999997</v>
      </c>
      <c r="J10" s="325">
        <f t="shared" si="3"/>
        <v>344.46599999999995</v>
      </c>
      <c r="K10" s="325">
        <f t="shared" si="3"/>
        <v>344.46599999999995</v>
      </c>
      <c r="L10" s="325">
        <f t="shared" si="3"/>
        <v>344.46599999999995</v>
      </c>
      <c r="M10" s="325">
        <f t="shared" si="3"/>
        <v>344.46599999999995</v>
      </c>
    </row>
    <row r="11" spans="1:13" ht="14.45" customHeight="1" x14ac:dyDescent="0.2">
      <c r="A11" s="320"/>
      <c r="B11" s="320" t="s">
        <v>115</v>
      </c>
      <c r="C11" s="320">
        <f ca="1">IF(MONTH(TODAY())=1,12,MONTH(TODAY())-1)</f>
        <v>9</v>
      </c>
      <c r="D11" s="320"/>
      <c r="E11" s="320"/>
      <c r="F11" s="320"/>
      <c r="G11" s="320"/>
      <c r="H11" s="320"/>
      <c r="I11" s="320"/>
      <c r="J11" s="320"/>
      <c r="K11" s="320"/>
      <c r="L11" s="320"/>
      <c r="M11" s="320"/>
    </row>
    <row r="12" spans="1:13" ht="14.45" customHeight="1" x14ac:dyDescent="0.2">
      <c r="A12" s="320">
        <v>0</v>
      </c>
      <c r="B12" s="323">
        <f>IF(ISERROR(HI!F15),#REF!,HI!F15)</f>
        <v>0.83469600055485571</v>
      </c>
      <c r="C12" s="320"/>
      <c r="D12" s="320"/>
      <c r="E12" s="320"/>
      <c r="F12" s="320"/>
      <c r="G12" s="320"/>
      <c r="H12" s="320"/>
      <c r="I12" s="320"/>
      <c r="J12" s="320"/>
      <c r="K12" s="320"/>
      <c r="L12" s="320"/>
      <c r="M12" s="320"/>
    </row>
    <row r="13" spans="1:13" ht="14.45" customHeight="1" x14ac:dyDescent="0.2">
      <c r="A13" s="320">
        <v>1</v>
      </c>
      <c r="B13" s="323">
        <f>IF(ISERROR(HI!F15),#REF!,HI!F15)</f>
        <v>0.83469600055485571</v>
      </c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320"/>
    </row>
  </sheetData>
  <mergeCells count="1">
    <mergeCell ref="A1:M1"/>
  </mergeCells>
  <hyperlinks>
    <hyperlink ref="A2" location="Obsah!A1" display="Zpět na Obsah  KL 01  1.-4.měsíc" xr:uid="{72EA1297-FE09-4D1F-9172-7C96EBC1FB70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247" bestFit="1" customWidth="1"/>
    <col min="2" max="2" width="12.7109375" style="247" bestFit="1" customWidth="1"/>
    <col min="3" max="3" width="13.7109375" style="247" bestFit="1" customWidth="1"/>
    <col min="4" max="15" width="7.7109375" style="247" bestFit="1" customWidth="1"/>
    <col min="16" max="16" width="8.85546875" style="247" customWidth="1"/>
    <col min="17" max="17" width="6.7109375" style="247" bestFit="1" customWidth="1"/>
    <col min="18" max="16384" width="8.85546875" style="247"/>
  </cols>
  <sheetData>
    <row r="1" spans="1:17" s="326" customFormat="1" ht="18.600000000000001" customHeight="1" thickBot="1" x14ac:dyDescent="0.35">
      <c r="A1" s="524" t="s">
        <v>330</v>
      </c>
      <c r="B1" s="524"/>
      <c r="C1" s="524"/>
      <c r="D1" s="524"/>
      <c r="E1" s="524"/>
      <c r="F1" s="524"/>
      <c r="G1" s="524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s="326" customFormat="1" ht="14.45" customHeight="1" thickBot="1" x14ac:dyDescent="0.25">
      <c r="A2" s="371" t="s">
        <v>328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</row>
    <row r="3" spans="1:17" ht="14.45" customHeight="1" x14ac:dyDescent="0.2">
      <c r="A3" s="101"/>
      <c r="B3" s="525" t="s">
        <v>29</v>
      </c>
      <c r="C3" s="526"/>
      <c r="D3" s="526"/>
      <c r="E3" s="526"/>
      <c r="F3" s="526"/>
      <c r="G3" s="526"/>
      <c r="H3" s="526"/>
      <c r="I3" s="526"/>
      <c r="J3" s="526"/>
      <c r="K3" s="526"/>
      <c r="L3" s="526"/>
      <c r="M3" s="526"/>
      <c r="N3" s="526"/>
      <c r="O3" s="526"/>
      <c r="P3" s="256"/>
      <c r="Q3" s="258"/>
    </row>
    <row r="4" spans="1:17" ht="14.45" customHeight="1" x14ac:dyDescent="0.2">
      <c r="A4" s="102"/>
      <c r="B4" s="24">
        <v>2019</v>
      </c>
      <c r="C4" s="257" t="s">
        <v>30</v>
      </c>
      <c r="D4" s="406" t="s">
        <v>308</v>
      </c>
      <c r="E4" s="406" t="s">
        <v>309</v>
      </c>
      <c r="F4" s="406" t="s">
        <v>310</v>
      </c>
      <c r="G4" s="406" t="s">
        <v>311</v>
      </c>
      <c r="H4" s="406" t="s">
        <v>312</v>
      </c>
      <c r="I4" s="406" t="s">
        <v>313</v>
      </c>
      <c r="J4" s="406" t="s">
        <v>314</v>
      </c>
      <c r="K4" s="406" t="s">
        <v>315</v>
      </c>
      <c r="L4" s="406" t="s">
        <v>316</v>
      </c>
      <c r="M4" s="406" t="s">
        <v>317</v>
      </c>
      <c r="N4" s="406" t="s">
        <v>318</v>
      </c>
      <c r="O4" s="406" t="s">
        <v>319</v>
      </c>
      <c r="P4" s="527" t="s">
        <v>3</v>
      </c>
      <c r="Q4" s="528"/>
    </row>
    <row r="5" spans="1:17" ht="14.45" customHeight="1" thickBot="1" x14ac:dyDescent="0.2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5" customHeight="1" x14ac:dyDescent="0.2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4" t="s">
        <v>329</v>
      </c>
    </row>
    <row r="7" spans="1:17" ht="14.45" customHeight="1" x14ac:dyDescent="0.2">
      <c r="A7" s="19" t="s">
        <v>35</v>
      </c>
      <c r="B7" s="55">
        <v>7030.6759212918596</v>
      </c>
      <c r="C7" s="56">
        <v>585.889660107655</v>
      </c>
      <c r="D7" s="56">
        <v>207.60865999999999</v>
      </c>
      <c r="E7" s="56">
        <v>916.66417000000195</v>
      </c>
      <c r="F7" s="56">
        <v>180.88320999999999</v>
      </c>
      <c r="G7" s="56">
        <v>249.468919999999</v>
      </c>
      <c r="H7" s="56">
        <v>288.88772</v>
      </c>
      <c r="I7" s="56">
        <v>203.60076999999899</v>
      </c>
      <c r="J7" s="56">
        <v>256.77330000000001</v>
      </c>
      <c r="K7" s="56">
        <v>367.34935000000098</v>
      </c>
      <c r="L7" s="56">
        <v>240.495789999999</v>
      </c>
      <c r="M7" s="56">
        <v>0</v>
      </c>
      <c r="N7" s="56">
        <v>0</v>
      </c>
      <c r="O7" s="56">
        <v>0</v>
      </c>
      <c r="P7" s="57">
        <v>2911.73189</v>
      </c>
      <c r="Q7" s="185">
        <v>0.55219572486699997</v>
      </c>
    </row>
    <row r="8" spans="1:17" ht="14.45" customHeight="1" x14ac:dyDescent="0.2">
      <c r="A8" s="19" t="s">
        <v>36</v>
      </c>
      <c r="B8" s="55">
        <v>243.16440785797201</v>
      </c>
      <c r="C8" s="56">
        <v>20.263700654830998</v>
      </c>
      <c r="D8" s="56">
        <v>15.162000000000001</v>
      </c>
      <c r="E8" s="56">
        <v>16.742000000000001</v>
      </c>
      <c r="F8" s="56">
        <v>16.55</v>
      </c>
      <c r="G8" s="56">
        <v>40.689999999999003</v>
      </c>
      <c r="H8" s="56">
        <v>38.323999999999998</v>
      </c>
      <c r="I8" s="56">
        <v>56.901999999998999</v>
      </c>
      <c r="J8" s="56">
        <v>30.47</v>
      </c>
      <c r="K8" s="56">
        <v>37.524000000000001</v>
      </c>
      <c r="L8" s="56">
        <v>47.201999999999003</v>
      </c>
      <c r="M8" s="56">
        <v>0</v>
      </c>
      <c r="N8" s="56">
        <v>0</v>
      </c>
      <c r="O8" s="56">
        <v>0</v>
      </c>
      <c r="P8" s="57">
        <v>299.56599999999901</v>
      </c>
      <c r="Q8" s="185">
        <v>1.642597849133</v>
      </c>
    </row>
    <row r="9" spans="1:17" ht="14.45" customHeight="1" x14ac:dyDescent="0.2">
      <c r="A9" s="19" t="s">
        <v>37</v>
      </c>
      <c r="B9" s="55">
        <v>4450.5333006855899</v>
      </c>
      <c r="C9" s="56">
        <v>370.877775057132</v>
      </c>
      <c r="D9" s="56">
        <v>328.41484000000099</v>
      </c>
      <c r="E9" s="56">
        <v>209.97982999999999</v>
      </c>
      <c r="F9" s="56">
        <v>230.34841999999901</v>
      </c>
      <c r="G9" s="56">
        <v>188.10436999999899</v>
      </c>
      <c r="H9" s="56">
        <v>439.87939999999998</v>
      </c>
      <c r="I9" s="56">
        <v>549.29117999999801</v>
      </c>
      <c r="J9" s="56">
        <v>380.8766</v>
      </c>
      <c r="K9" s="56">
        <v>363.16575000000103</v>
      </c>
      <c r="L9" s="56">
        <v>331.91801999999899</v>
      </c>
      <c r="M9" s="56">
        <v>0</v>
      </c>
      <c r="N9" s="56">
        <v>0</v>
      </c>
      <c r="O9" s="56">
        <v>0</v>
      </c>
      <c r="P9" s="57">
        <v>3021.9784100000002</v>
      </c>
      <c r="Q9" s="185">
        <v>0.90535319577200002</v>
      </c>
    </row>
    <row r="10" spans="1:17" ht="14.45" customHeight="1" x14ac:dyDescent="0.2">
      <c r="A10" s="19" t="s">
        <v>38</v>
      </c>
      <c r="B10" s="55">
        <v>251.71439126567</v>
      </c>
      <c r="C10" s="56">
        <v>20.976199272138999</v>
      </c>
      <c r="D10" s="56">
        <v>13.92047</v>
      </c>
      <c r="E10" s="56">
        <v>20.00478</v>
      </c>
      <c r="F10" s="56">
        <v>11.42831</v>
      </c>
      <c r="G10" s="56">
        <v>21.042909999999001</v>
      </c>
      <c r="H10" s="56">
        <v>39.888620000000003</v>
      </c>
      <c r="I10" s="56">
        <v>8.3342899999989992</v>
      </c>
      <c r="J10" s="56">
        <v>17.516359999999999</v>
      </c>
      <c r="K10" s="56">
        <v>22.910540000000001</v>
      </c>
      <c r="L10" s="56">
        <v>26.776929999998998</v>
      </c>
      <c r="M10" s="56">
        <v>0</v>
      </c>
      <c r="N10" s="56">
        <v>0</v>
      </c>
      <c r="O10" s="56">
        <v>0</v>
      </c>
      <c r="P10" s="57">
        <v>181.82320999999999</v>
      </c>
      <c r="Q10" s="185">
        <v>0.96311913453800002</v>
      </c>
    </row>
    <row r="11" spans="1:17" ht="14.45" customHeight="1" x14ac:dyDescent="0.2">
      <c r="A11" s="19" t="s">
        <v>39</v>
      </c>
      <c r="B11" s="55">
        <v>748.55253827217598</v>
      </c>
      <c r="C11" s="56">
        <v>62.379378189348003</v>
      </c>
      <c r="D11" s="56">
        <v>102.79993</v>
      </c>
      <c r="E11" s="56">
        <v>60.154730000000001</v>
      </c>
      <c r="F11" s="56">
        <v>69.002069999998994</v>
      </c>
      <c r="G11" s="56">
        <v>67.536839999999003</v>
      </c>
      <c r="H11" s="56">
        <v>50.067970000000003</v>
      </c>
      <c r="I11" s="56">
        <v>54.220599999999003</v>
      </c>
      <c r="J11" s="56">
        <v>103.03314</v>
      </c>
      <c r="K11" s="56">
        <v>51.779710000000001</v>
      </c>
      <c r="L11" s="56">
        <v>58.716039999998998</v>
      </c>
      <c r="M11" s="56">
        <v>0</v>
      </c>
      <c r="N11" s="56">
        <v>0</v>
      </c>
      <c r="O11" s="56">
        <v>0</v>
      </c>
      <c r="P11" s="57">
        <v>617.31102999999996</v>
      </c>
      <c r="Q11" s="185">
        <v>1.099563933392</v>
      </c>
    </row>
    <row r="12" spans="1:17" ht="14.45" customHeight="1" x14ac:dyDescent="0.2">
      <c r="A12" s="19" t="s">
        <v>40</v>
      </c>
      <c r="B12" s="55">
        <v>276.51900705783299</v>
      </c>
      <c r="C12" s="56">
        <v>23.043250588151999</v>
      </c>
      <c r="D12" s="56">
        <v>36.428240000000002</v>
      </c>
      <c r="E12" s="56">
        <v>0</v>
      </c>
      <c r="F12" s="56">
        <v>0.26799999999899998</v>
      </c>
      <c r="G12" s="56">
        <v>6.227849999999</v>
      </c>
      <c r="H12" s="56">
        <v>0.80291999999999997</v>
      </c>
      <c r="I12" s="56">
        <v>0</v>
      </c>
      <c r="J12" s="56">
        <v>47.977539999999998</v>
      </c>
      <c r="K12" s="56">
        <v>23.092400000000001</v>
      </c>
      <c r="L12" s="56">
        <v>10.650980000000001</v>
      </c>
      <c r="M12" s="56">
        <v>0</v>
      </c>
      <c r="N12" s="56">
        <v>0</v>
      </c>
      <c r="O12" s="56">
        <v>0</v>
      </c>
      <c r="P12" s="57">
        <v>125.44793</v>
      </c>
      <c r="Q12" s="185">
        <v>0.60489117347200005</v>
      </c>
    </row>
    <row r="13" spans="1:17" ht="14.45" customHeight="1" x14ac:dyDescent="0.2">
      <c r="A13" s="19" t="s">
        <v>41</v>
      </c>
      <c r="B13" s="55">
        <v>455</v>
      </c>
      <c r="C13" s="56">
        <v>37.916666666666003</v>
      </c>
      <c r="D13" s="56">
        <v>42.176160000000003</v>
      </c>
      <c r="E13" s="56">
        <v>32.546550000000003</v>
      </c>
      <c r="F13" s="56">
        <v>32.560679999999003</v>
      </c>
      <c r="G13" s="56">
        <v>27.354489999999</v>
      </c>
      <c r="H13" s="56">
        <v>34.367019999999997</v>
      </c>
      <c r="I13" s="56">
        <v>26.267759999999001</v>
      </c>
      <c r="J13" s="56">
        <v>33.560290000000002</v>
      </c>
      <c r="K13" s="56">
        <v>41.640030000000003</v>
      </c>
      <c r="L13" s="56">
        <v>32.869689999998997</v>
      </c>
      <c r="M13" s="56">
        <v>0</v>
      </c>
      <c r="N13" s="56">
        <v>0</v>
      </c>
      <c r="O13" s="56">
        <v>0</v>
      </c>
      <c r="P13" s="57">
        <v>303.34267</v>
      </c>
      <c r="Q13" s="185">
        <v>0.88891624908400002</v>
      </c>
    </row>
    <row r="14" spans="1:17" ht="14.45" customHeight="1" x14ac:dyDescent="0.2">
      <c r="A14" s="19" t="s">
        <v>42</v>
      </c>
      <c r="B14" s="55">
        <v>997.75407893453701</v>
      </c>
      <c r="C14" s="56">
        <v>83.146173244544002</v>
      </c>
      <c r="D14" s="56">
        <v>120.62548</v>
      </c>
      <c r="E14" s="56">
        <v>101.92700000000001</v>
      </c>
      <c r="F14" s="56">
        <v>88.258999999999006</v>
      </c>
      <c r="G14" s="56">
        <v>72.688999999998998</v>
      </c>
      <c r="H14" s="56">
        <v>73.05</v>
      </c>
      <c r="I14" s="56">
        <v>56.070999999999003</v>
      </c>
      <c r="J14" s="56">
        <v>62.455289999999998</v>
      </c>
      <c r="K14" s="56">
        <v>61.065199999999997</v>
      </c>
      <c r="L14" s="56">
        <v>59.527249999999</v>
      </c>
      <c r="M14" s="56">
        <v>0</v>
      </c>
      <c r="N14" s="56">
        <v>0</v>
      </c>
      <c r="O14" s="56">
        <v>0</v>
      </c>
      <c r="P14" s="57">
        <v>695.66922</v>
      </c>
      <c r="Q14" s="185">
        <v>0.92964687349599995</v>
      </c>
    </row>
    <row r="15" spans="1:17" ht="14.45" customHeight="1" x14ac:dyDescent="0.2">
      <c r="A15" s="19" t="s">
        <v>43</v>
      </c>
      <c r="B15" s="55">
        <v>308.43652370030401</v>
      </c>
      <c r="C15" s="56">
        <v>25.703043641691998</v>
      </c>
      <c r="D15" s="56">
        <v>29.276019999999999</v>
      </c>
      <c r="E15" s="56">
        <v>22.5</v>
      </c>
      <c r="F15" s="56">
        <v>11.456200000000001</v>
      </c>
      <c r="G15" s="56">
        <v>13.075209999999</v>
      </c>
      <c r="H15" s="56">
        <v>23.833870000000001</v>
      </c>
      <c r="I15" s="56">
        <v>12.7562</v>
      </c>
      <c r="J15" s="56">
        <v>33.8033</v>
      </c>
      <c r="K15" s="56">
        <v>15.54313</v>
      </c>
      <c r="L15" s="56">
        <v>17.858679999999001</v>
      </c>
      <c r="M15" s="56">
        <v>0</v>
      </c>
      <c r="N15" s="56">
        <v>0</v>
      </c>
      <c r="O15" s="56">
        <v>0</v>
      </c>
      <c r="P15" s="57">
        <v>180.10261</v>
      </c>
      <c r="Q15" s="185">
        <v>0.778561534971</v>
      </c>
    </row>
    <row r="16" spans="1:17" ht="14.45" customHeight="1" x14ac:dyDescent="0.2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5" t="s">
        <v>329</v>
      </c>
    </row>
    <row r="17" spans="1:17" ht="14.45" customHeight="1" x14ac:dyDescent="0.2">
      <c r="A17" s="19" t="s">
        <v>45</v>
      </c>
      <c r="B17" s="55">
        <v>552.24392265664699</v>
      </c>
      <c r="C17" s="56">
        <v>46.020326888052999</v>
      </c>
      <c r="D17" s="56">
        <v>124.30258000000001</v>
      </c>
      <c r="E17" s="56">
        <v>31.26144</v>
      </c>
      <c r="F17" s="56">
        <v>11.258900000000001</v>
      </c>
      <c r="G17" s="56">
        <v>31.750949999999001</v>
      </c>
      <c r="H17" s="56">
        <v>51.997309999999999</v>
      </c>
      <c r="I17" s="56">
        <v>11.37289</v>
      </c>
      <c r="J17" s="56">
        <v>24.143879999999999</v>
      </c>
      <c r="K17" s="56">
        <v>29.33362</v>
      </c>
      <c r="L17" s="56">
        <v>1.933579999999</v>
      </c>
      <c r="M17" s="56">
        <v>0</v>
      </c>
      <c r="N17" s="56">
        <v>0</v>
      </c>
      <c r="O17" s="56">
        <v>0</v>
      </c>
      <c r="P17" s="57">
        <v>317.35514999999998</v>
      </c>
      <c r="Q17" s="185">
        <v>0.76621974935299997</v>
      </c>
    </row>
    <row r="18" spans="1:17" ht="14.45" customHeight="1" x14ac:dyDescent="0.2">
      <c r="A18" s="19" t="s">
        <v>46</v>
      </c>
      <c r="B18" s="55">
        <v>0</v>
      </c>
      <c r="C18" s="56">
        <v>0</v>
      </c>
      <c r="D18" s="56">
        <v>0</v>
      </c>
      <c r="E18" s="56">
        <v>12.723000000000001</v>
      </c>
      <c r="F18" s="56">
        <v>2.9379999999990001</v>
      </c>
      <c r="G18" s="56">
        <v>9.095999999999</v>
      </c>
      <c r="H18" s="56">
        <v>25.17</v>
      </c>
      <c r="I18" s="56">
        <v>24.044999999999</v>
      </c>
      <c r="J18" s="56">
        <v>0</v>
      </c>
      <c r="K18" s="56">
        <v>0</v>
      </c>
      <c r="L18" s="56">
        <v>1.500999999999</v>
      </c>
      <c r="M18" s="56">
        <v>0</v>
      </c>
      <c r="N18" s="56">
        <v>0</v>
      </c>
      <c r="O18" s="56">
        <v>0</v>
      </c>
      <c r="P18" s="57">
        <v>75.472999999999004</v>
      </c>
      <c r="Q18" s="185" t="s">
        <v>329</v>
      </c>
    </row>
    <row r="19" spans="1:17" ht="14.45" customHeight="1" x14ac:dyDescent="0.2">
      <c r="A19" s="19" t="s">
        <v>47</v>
      </c>
      <c r="B19" s="55">
        <v>2136.3456515048802</v>
      </c>
      <c r="C19" s="56">
        <v>178.028804292074</v>
      </c>
      <c r="D19" s="56">
        <v>256.07940000000099</v>
      </c>
      <c r="E19" s="56">
        <v>163.51882000000001</v>
      </c>
      <c r="F19" s="56">
        <v>188.90600000000001</v>
      </c>
      <c r="G19" s="56">
        <v>377.72760999999798</v>
      </c>
      <c r="H19" s="56">
        <v>287.48820999999998</v>
      </c>
      <c r="I19" s="56">
        <v>306.25307999999899</v>
      </c>
      <c r="J19" s="56">
        <v>312.27686</v>
      </c>
      <c r="K19" s="56">
        <v>290.84894000000099</v>
      </c>
      <c r="L19" s="56">
        <v>238.18097999999901</v>
      </c>
      <c r="M19" s="56">
        <v>0</v>
      </c>
      <c r="N19" s="56">
        <v>0</v>
      </c>
      <c r="O19" s="56">
        <v>0</v>
      </c>
      <c r="P19" s="57">
        <v>2421.2799</v>
      </c>
      <c r="Q19" s="185">
        <v>1.5111661344339999</v>
      </c>
    </row>
    <row r="20" spans="1:17" ht="14.45" customHeight="1" x14ac:dyDescent="0.2">
      <c r="A20" s="19" t="s">
        <v>48</v>
      </c>
      <c r="B20" s="55">
        <v>65432.4737740001</v>
      </c>
      <c r="C20" s="56">
        <v>5452.7061478333399</v>
      </c>
      <c r="D20" s="56">
        <v>5141.6119900000103</v>
      </c>
      <c r="E20" s="56">
        <v>4997.8491600000098</v>
      </c>
      <c r="F20" s="56">
        <v>5206.3558199999898</v>
      </c>
      <c r="G20" s="56">
        <v>5454.9408199999798</v>
      </c>
      <c r="H20" s="56">
        <v>5610.6023800000003</v>
      </c>
      <c r="I20" s="56">
        <v>5467.6051899999802</v>
      </c>
      <c r="J20" s="56">
        <v>7535.1550100000004</v>
      </c>
      <c r="K20" s="56">
        <v>5705.3627800000104</v>
      </c>
      <c r="L20" s="56">
        <v>5709.6216199999699</v>
      </c>
      <c r="M20" s="56">
        <v>0</v>
      </c>
      <c r="N20" s="56">
        <v>0</v>
      </c>
      <c r="O20" s="56">
        <v>0</v>
      </c>
      <c r="P20" s="57">
        <v>50829.104769999998</v>
      </c>
      <c r="Q20" s="185">
        <v>1.0357569534569999</v>
      </c>
    </row>
    <row r="21" spans="1:17" ht="14.45" customHeight="1" x14ac:dyDescent="0.2">
      <c r="A21" s="20" t="s">
        <v>49</v>
      </c>
      <c r="B21" s="55">
        <v>5782.99999999991</v>
      </c>
      <c r="C21" s="56">
        <v>481.91666666665998</v>
      </c>
      <c r="D21" s="56">
        <v>314.61389000000099</v>
      </c>
      <c r="E21" s="56">
        <v>314.61091000000101</v>
      </c>
      <c r="F21" s="56">
        <v>315.20988999999901</v>
      </c>
      <c r="G21" s="56">
        <v>349.37590999999901</v>
      </c>
      <c r="H21" s="56">
        <v>311.03588999999999</v>
      </c>
      <c r="I21" s="56">
        <v>508.33688999999799</v>
      </c>
      <c r="J21" s="56">
        <v>507.05889000000002</v>
      </c>
      <c r="K21" s="56">
        <v>505.23689000000098</v>
      </c>
      <c r="L21" s="56">
        <v>524.14988999999798</v>
      </c>
      <c r="M21" s="56">
        <v>0</v>
      </c>
      <c r="N21" s="56">
        <v>0</v>
      </c>
      <c r="O21" s="56">
        <v>0</v>
      </c>
      <c r="P21" s="57">
        <v>3649.62905</v>
      </c>
      <c r="Q21" s="185">
        <v>0.84146153668799994</v>
      </c>
    </row>
    <row r="22" spans="1:17" ht="14.45" customHeight="1" x14ac:dyDescent="0.2">
      <c r="A22" s="19" t="s">
        <v>50</v>
      </c>
      <c r="B22" s="55">
        <v>705</v>
      </c>
      <c r="C22" s="56">
        <v>58.75</v>
      </c>
      <c r="D22" s="56">
        <v>266.46800000000098</v>
      </c>
      <c r="E22" s="56">
        <v>0</v>
      </c>
      <c r="F22" s="56">
        <v>61.854049999998999</v>
      </c>
      <c r="G22" s="56">
        <v>107.35</v>
      </c>
      <c r="H22" s="56">
        <v>540.36841999999899</v>
      </c>
      <c r="I22" s="56">
        <v>7.3499999999989996</v>
      </c>
      <c r="J22" s="56">
        <v>121.9571</v>
      </c>
      <c r="K22" s="56">
        <v>199.95249999999999</v>
      </c>
      <c r="L22" s="56">
        <v>6.768999999999</v>
      </c>
      <c r="M22" s="56">
        <v>0</v>
      </c>
      <c r="N22" s="56">
        <v>0</v>
      </c>
      <c r="O22" s="56">
        <v>0</v>
      </c>
      <c r="P22" s="57">
        <v>1312.06907</v>
      </c>
      <c r="Q22" s="185">
        <v>2.4814545059099999</v>
      </c>
    </row>
    <row r="23" spans="1:17" ht="14.45" customHeight="1" x14ac:dyDescent="0.2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5" t="s">
        <v>329</v>
      </c>
    </row>
    <row r="24" spans="1:17" ht="14.45" customHeight="1" x14ac:dyDescent="0.2">
      <c r="A24" s="20" t="s">
        <v>52</v>
      </c>
      <c r="B24" s="55">
        <v>0</v>
      </c>
      <c r="C24" s="56">
        <v>-9.0949470177292804E-13</v>
      </c>
      <c r="D24" s="56">
        <v>4.631150000001</v>
      </c>
      <c r="E24" s="56">
        <v>9.0004100000010006</v>
      </c>
      <c r="F24" s="56">
        <v>14.356539999998001</v>
      </c>
      <c r="G24" s="56">
        <v>19.598709999998</v>
      </c>
      <c r="H24" s="56">
        <v>74.994999999998996</v>
      </c>
      <c r="I24" s="56">
        <v>18.419419999999</v>
      </c>
      <c r="J24" s="56">
        <v>7.9004599999979996</v>
      </c>
      <c r="K24" s="56">
        <v>2.00136</v>
      </c>
      <c r="L24" s="56">
        <v>3.4117199999990002</v>
      </c>
      <c r="M24" s="56">
        <v>0</v>
      </c>
      <c r="N24" s="56">
        <v>0</v>
      </c>
      <c r="O24" s="56">
        <v>0</v>
      </c>
      <c r="P24" s="57">
        <v>154.314769999997</v>
      </c>
      <c r="Q24" s="185"/>
    </row>
    <row r="25" spans="1:17" ht="14.45" customHeight="1" x14ac:dyDescent="0.2">
      <c r="A25" s="21" t="s">
        <v>53</v>
      </c>
      <c r="B25" s="58">
        <v>89371.413517227498</v>
      </c>
      <c r="C25" s="59">
        <v>7447.6177931022903</v>
      </c>
      <c r="D25" s="59">
        <v>7004.1188100000199</v>
      </c>
      <c r="E25" s="59">
        <v>6909.4828000000098</v>
      </c>
      <c r="F25" s="59">
        <v>6441.6350899999798</v>
      </c>
      <c r="G25" s="59">
        <v>7036.0295899999701</v>
      </c>
      <c r="H25" s="59">
        <v>7890.7587299999996</v>
      </c>
      <c r="I25" s="59">
        <v>7310.8262699999696</v>
      </c>
      <c r="J25" s="59">
        <v>9474.95802</v>
      </c>
      <c r="K25" s="59">
        <v>7716.80620000001</v>
      </c>
      <c r="L25" s="59">
        <v>7311.5831699999699</v>
      </c>
      <c r="M25" s="59">
        <v>0</v>
      </c>
      <c r="N25" s="59">
        <v>0</v>
      </c>
      <c r="O25" s="59">
        <v>0</v>
      </c>
      <c r="P25" s="60">
        <v>67096.198679999899</v>
      </c>
      <c r="Q25" s="186">
        <v>1.0010091003279999</v>
      </c>
    </row>
    <row r="26" spans="1:17" ht="14.45" customHeight="1" x14ac:dyDescent="0.2">
      <c r="A26" s="19" t="s">
        <v>54</v>
      </c>
      <c r="B26" s="55">
        <v>7499.4450186293898</v>
      </c>
      <c r="C26" s="56">
        <v>624.95375155244903</v>
      </c>
      <c r="D26" s="56">
        <v>713.12238000000104</v>
      </c>
      <c r="E26" s="56">
        <v>761.18380999999999</v>
      </c>
      <c r="F26" s="56">
        <v>699.93889000000104</v>
      </c>
      <c r="G26" s="56">
        <v>864.70947999999999</v>
      </c>
      <c r="H26" s="56">
        <v>721.25483999999994</v>
      </c>
      <c r="I26" s="56">
        <v>854.64802999999995</v>
      </c>
      <c r="J26" s="56">
        <v>956.51388999999995</v>
      </c>
      <c r="K26" s="56">
        <v>740.24715000000003</v>
      </c>
      <c r="L26" s="56">
        <v>719.70214999999996</v>
      </c>
      <c r="M26" s="56">
        <v>0</v>
      </c>
      <c r="N26" s="56">
        <v>0</v>
      </c>
      <c r="O26" s="56">
        <v>0</v>
      </c>
      <c r="P26" s="57">
        <v>7031.3206200000004</v>
      </c>
      <c r="Q26" s="185">
        <v>1.250105059335</v>
      </c>
    </row>
    <row r="27" spans="1:17" ht="14.45" customHeight="1" x14ac:dyDescent="0.2">
      <c r="A27" s="22" t="s">
        <v>55</v>
      </c>
      <c r="B27" s="58">
        <v>96870.858535856794</v>
      </c>
      <c r="C27" s="59">
        <v>8072.5715446547401</v>
      </c>
      <c r="D27" s="59">
        <v>7717.2411900000197</v>
      </c>
      <c r="E27" s="59">
        <v>7670.6666100000102</v>
      </c>
      <c r="F27" s="59">
        <v>7141.5739799999801</v>
      </c>
      <c r="G27" s="59">
        <v>7900.7390699999696</v>
      </c>
      <c r="H27" s="59">
        <v>8612.0135699999992</v>
      </c>
      <c r="I27" s="59">
        <v>8165.4742999999698</v>
      </c>
      <c r="J27" s="59">
        <v>10431.47191</v>
      </c>
      <c r="K27" s="59">
        <v>8457.0533500000092</v>
      </c>
      <c r="L27" s="59">
        <v>8031.2853199999699</v>
      </c>
      <c r="M27" s="59">
        <v>0</v>
      </c>
      <c r="N27" s="59">
        <v>0</v>
      </c>
      <c r="O27" s="59">
        <v>0</v>
      </c>
      <c r="P27" s="60">
        <v>74127.519299999898</v>
      </c>
      <c r="Q27" s="186">
        <v>1.0202933461499999</v>
      </c>
    </row>
    <row r="28" spans="1:17" ht="14.45" customHeight="1" x14ac:dyDescent="0.2">
      <c r="A28" s="20" t="s">
        <v>56</v>
      </c>
      <c r="B28" s="55">
        <v>39.772858790609</v>
      </c>
      <c r="C28" s="56">
        <v>3.3144048992170001</v>
      </c>
      <c r="D28" s="56">
        <v>0</v>
      </c>
      <c r="E28" s="56">
        <v>0</v>
      </c>
      <c r="F28" s="56">
        <v>8.4656900000000004</v>
      </c>
      <c r="G28" s="56">
        <v>0.23469999999999999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8.7003900000000005</v>
      </c>
      <c r="Q28" s="185">
        <v>0.29166925266900001</v>
      </c>
    </row>
    <row r="29" spans="1:17" ht="14.45" customHeight="1" x14ac:dyDescent="0.2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5" t="s">
        <v>329</v>
      </c>
    </row>
    <row r="30" spans="1:17" ht="14.45" customHeight="1" x14ac:dyDescent="0.2">
      <c r="A30" s="20" t="s">
        <v>58</v>
      </c>
      <c r="B30" s="55">
        <v>309.12809352694802</v>
      </c>
      <c r="C30" s="56">
        <v>25.760674460579001</v>
      </c>
      <c r="D30" s="56">
        <v>21.897770000000001</v>
      </c>
      <c r="E30" s="56">
        <v>15.942159999999999</v>
      </c>
      <c r="F30" s="56">
        <v>14.10239</v>
      </c>
      <c r="G30" s="56">
        <v>28.922820000000002</v>
      </c>
      <c r="H30" s="56">
        <v>12.615500000000001</v>
      </c>
      <c r="I30" s="56">
        <v>14.1021</v>
      </c>
      <c r="J30" s="56">
        <v>27.233899999999998</v>
      </c>
      <c r="K30" s="56">
        <v>16.891950000000001</v>
      </c>
      <c r="L30" s="56">
        <v>16.25433</v>
      </c>
      <c r="M30" s="56">
        <v>0</v>
      </c>
      <c r="N30" s="56">
        <v>0</v>
      </c>
      <c r="O30" s="56">
        <v>0</v>
      </c>
      <c r="P30" s="57">
        <v>167.96292</v>
      </c>
      <c r="Q30" s="185">
        <v>0.72445877514599999</v>
      </c>
    </row>
    <row r="31" spans="1:17" ht="14.45" customHeight="1" thickBot="1" x14ac:dyDescent="0.25">
      <c r="A31" s="23" t="s">
        <v>59</v>
      </c>
      <c r="B31" s="61">
        <v>0</v>
      </c>
      <c r="C31" s="62">
        <v>0</v>
      </c>
      <c r="D31" s="62">
        <v>22.382999999999999</v>
      </c>
      <c r="E31" s="62">
        <v>0</v>
      </c>
      <c r="F31" s="62">
        <v>2.7189999999999999</v>
      </c>
      <c r="G31" s="62">
        <v>0</v>
      </c>
      <c r="H31" s="62">
        <v>59.23</v>
      </c>
      <c r="I31" s="62">
        <v>2.7189999999999999</v>
      </c>
      <c r="J31" s="62">
        <v>7.9</v>
      </c>
      <c r="K31" s="62">
        <v>199.95249999999999</v>
      </c>
      <c r="L31" s="62">
        <v>0</v>
      </c>
      <c r="M31" s="62">
        <v>0</v>
      </c>
      <c r="N31" s="62">
        <v>0</v>
      </c>
      <c r="O31" s="62">
        <v>0</v>
      </c>
      <c r="P31" s="63">
        <v>294.90350000000001</v>
      </c>
      <c r="Q31" s="187" t="s">
        <v>329</v>
      </c>
    </row>
    <row r="32" spans="1:17" ht="14.45" customHeight="1" x14ac:dyDescent="0.2"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1:17" ht="14.45" customHeight="1" x14ac:dyDescent="0.2">
      <c r="A33" s="222" t="s">
        <v>201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</row>
    <row r="34" spans="1:17" ht="14.45" customHeight="1" x14ac:dyDescent="0.2">
      <c r="A34" s="253" t="s">
        <v>306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</row>
    <row r="35" spans="1:17" ht="14.45" customHeight="1" x14ac:dyDescent="0.2">
      <c r="A35" s="254" t="s">
        <v>60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F25B7B04-839F-4813-BC80-42FBD0B4778C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K25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247" customWidth="1"/>
    <col min="2" max="11" width="10" style="247" customWidth="1"/>
    <col min="12" max="16384" width="8.85546875" style="247"/>
  </cols>
  <sheetData>
    <row r="1" spans="1:11" s="64" customFormat="1" ht="18.600000000000001" customHeight="1" thickBot="1" x14ac:dyDescent="0.35">
      <c r="A1" s="524" t="s">
        <v>61</v>
      </c>
      <c r="B1" s="524"/>
      <c r="C1" s="524"/>
      <c r="D1" s="524"/>
      <c r="E1" s="524"/>
      <c r="F1" s="524"/>
      <c r="G1" s="524"/>
      <c r="H1" s="529"/>
      <c r="I1" s="529"/>
      <c r="J1" s="529"/>
      <c r="K1" s="529"/>
    </row>
    <row r="2" spans="1:11" s="64" customFormat="1" ht="14.45" customHeight="1" thickBot="1" x14ac:dyDescent="0.25">
      <c r="A2" s="371" t="s">
        <v>328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5" customHeight="1" x14ac:dyDescent="0.2">
      <c r="A3" s="101"/>
      <c r="B3" s="525" t="s">
        <v>62</v>
      </c>
      <c r="C3" s="526"/>
      <c r="D3" s="526"/>
      <c r="E3" s="526"/>
      <c r="F3" s="532" t="s">
        <v>63</v>
      </c>
      <c r="G3" s="526"/>
      <c r="H3" s="526"/>
      <c r="I3" s="526"/>
      <c r="J3" s="526"/>
      <c r="K3" s="533"/>
    </row>
    <row r="4" spans="1:11" ht="14.45" customHeight="1" x14ac:dyDescent="0.2">
      <c r="A4" s="102"/>
      <c r="B4" s="530"/>
      <c r="C4" s="531"/>
      <c r="D4" s="531"/>
      <c r="E4" s="531"/>
      <c r="F4" s="534" t="s">
        <v>324</v>
      </c>
      <c r="G4" s="536" t="s">
        <v>64</v>
      </c>
      <c r="H4" s="259" t="s">
        <v>182</v>
      </c>
      <c r="I4" s="534" t="s">
        <v>65</v>
      </c>
      <c r="J4" s="536" t="s">
        <v>326</v>
      </c>
      <c r="K4" s="537" t="s">
        <v>327</v>
      </c>
    </row>
    <row r="5" spans="1:11" ht="39" thickBot="1" x14ac:dyDescent="0.25">
      <c r="A5" s="103"/>
      <c r="B5" s="28" t="s">
        <v>320</v>
      </c>
      <c r="C5" s="29" t="s">
        <v>321</v>
      </c>
      <c r="D5" s="30" t="s">
        <v>322</v>
      </c>
      <c r="E5" s="30" t="s">
        <v>323</v>
      </c>
      <c r="F5" s="535"/>
      <c r="G5" s="535"/>
      <c r="H5" s="29" t="s">
        <v>325</v>
      </c>
      <c r="I5" s="535"/>
      <c r="J5" s="535"/>
      <c r="K5" s="538"/>
    </row>
    <row r="6" spans="1:11" ht="14.45" customHeight="1" thickBot="1" x14ac:dyDescent="0.25">
      <c r="A6" s="719" t="s">
        <v>331</v>
      </c>
      <c r="B6" s="701">
        <v>83094.385638983105</v>
      </c>
      <c r="C6" s="701">
        <v>84508.208090000204</v>
      </c>
      <c r="D6" s="702">
        <v>1413.8224510171001</v>
      </c>
      <c r="E6" s="703">
        <v>1.0170146567680001</v>
      </c>
      <c r="F6" s="701">
        <v>89371.413517227498</v>
      </c>
      <c r="G6" s="702">
        <v>67028.560137920605</v>
      </c>
      <c r="H6" s="704">
        <v>7311.5831699999699</v>
      </c>
      <c r="I6" s="701">
        <v>67096.198679999899</v>
      </c>
      <c r="J6" s="702">
        <v>67.638542079352007</v>
      </c>
      <c r="K6" s="705">
        <v>0.75075682524599996</v>
      </c>
    </row>
    <row r="7" spans="1:11" ht="14.45" customHeight="1" thickBot="1" x14ac:dyDescent="0.25">
      <c r="A7" s="720" t="s">
        <v>332</v>
      </c>
      <c r="B7" s="701">
        <v>15599.3698335183</v>
      </c>
      <c r="C7" s="701">
        <v>14590.059579999999</v>
      </c>
      <c r="D7" s="702">
        <v>-1009.31025351827</v>
      </c>
      <c r="E7" s="703">
        <v>0.93529801111900002</v>
      </c>
      <c r="F7" s="701">
        <v>14762.3501690659</v>
      </c>
      <c r="G7" s="702">
        <v>11071.7626267995</v>
      </c>
      <c r="H7" s="704">
        <v>826.01709999999696</v>
      </c>
      <c r="I7" s="701">
        <v>8414.1767400000008</v>
      </c>
      <c r="J7" s="702">
        <v>-2657.5858867994598</v>
      </c>
      <c r="K7" s="705">
        <v>0.56997542014799996</v>
      </c>
    </row>
    <row r="8" spans="1:11" ht="14.45" customHeight="1" thickBot="1" x14ac:dyDescent="0.25">
      <c r="A8" s="721" t="s">
        <v>333</v>
      </c>
      <c r="B8" s="701">
        <v>14523.290521438499</v>
      </c>
      <c r="C8" s="701">
        <v>13497.349340000001</v>
      </c>
      <c r="D8" s="702">
        <v>-1025.94118143847</v>
      </c>
      <c r="E8" s="703">
        <v>0.92935890252099995</v>
      </c>
      <c r="F8" s="701">
        <v>13456.159566431101</v>
      </c>
      <c r="G8" s="702">
        <v>10092.1196748233</v>
      </c>
      <c r="H8" s="704">
        <v>748.63116999999704</v>
      </c>
      <c r="I8" s="701">
        <v>7538.4049100000002</v>
      </c>
      <c r="J8" s="702">
        <v>-2553.7147648233299</v>
      </c>
      <c r="K8" s="705">
        <v>0.56021964311399997</v>
      </c>
    </row>
    <row r="9" spans="1:11" ht="14.45" customHeight="1" thickBot="1" x14ac:dyDescent="0.25">
      <c r="A9" s="722" t="s">
        <v>334</v>
      </c>
      <c r="B9" s="706">
        <v>0</v>
      </c>
      <c r="C9" s="706">
        <v>9.0100000000000006E-3</v>
      </c>
      <c r="D9" s="707">
        <v>9.0100000000000006E-3</v>
      </c>
      <c r="E9" s="708" t="s">
        <v>329</v>
      </c>
      <c r="F9" s="706">
        <v>0</v>
      </c>
      <c r="G9" s="707">
        <v>0</v>
      </c>
      <c r="H9" s="709">
        <v>1.719999999E-3</v>
      </c>
      <c r="I9" s="706">
        <v>6.77E-3</v>
      </c>
      <c r="J9" s="707">
        <v>6.77E-3</v>
      </c>
      <c r="K9" s="710" t="s">
        <v>329</v>
      </c>
    </row>
    <row r="10" spans="1:11" ht="14.45" customHeight="1" thickBot="1" x14ac:dyDescent="0.25">
      <c r="A10" s="723" t="s">
        <v>335</v>
      </c>
      <c r="B10" s="701">
        <v>0</v>
      </c>
      <c r="C10" s="701">
        <v>9.0100000000000006E-3</v>
      </c>
      <c r="D10" s="702">
        <v>9.0100000000000006E-3</v>
      </c>
      <c r="E10" s="711" t="s">
        <v>329</v>
      </c>
      <c r="F10" s="701">
        <v>0</v>
      </c>
      <c r="G10" s="702">
        <v>0</v>
      </c>
      <c r="H10" s="704">
        <v>1.719999999E-3</v>
      </c>
      <c r="I10" s="701">
        <v>6.77E-3</v>
      </c>
      <c r="J10" s="702">
        <v>6.77E-3</v>
      </c>
      <c r="K10" s="712" t="s">
        <v>329</v>
      </c>
    </row>
    <row r="11" spans="1:11" ht="14.45" customHeight="1" thickBot="1" x14ac:dyDescent="0.25">
      <c r="A11" s="722" t="s">
        <v>336</v>
      </c>
      <c r="B11" s="706">
        <v>7679.6939088979398</v>
      </c>
      <c r="C11" s="706">
        <v>6748.3591900000201</v>
      </c>
      <c r="D11" s="707">
        <v>-931.33471889792702</v>
      </c>
      <c r="E11" s="713">
        <v>0.87872762509199998</v>
      </c>
      <c r="F11" s="706">
        <v>7030.6759212918596</v>
      </c>
      <c r="G11" s="707">
        <v>5273.0069409689004</v>
      </c>
      <c r="H11" s="709">
        <v>240.495789999999</v>
      </c>
      <c r="I11" s="706">
        <v>2911.73189</v>
      </c>
      <c r="J11" s="707">
        <v>-2361.2750509688999</v>
      </c>
      <c r="K11" s="714">
        <v>0.41414679365000001</v>
      </c>
    </row>
    <row r="12" spans="1:11" ht="14.45" customHeight="1" thickBot="1" x14ac:dyDescent="0.25">
      <c r="A12" s="723" t="s">
        <v>337</v>
      </c>
      <c r="B12" s="701">
        <v>1959.52073071975</v>
      </c>
      <c r="C12" s="701">
        <v>2020.9021</v>
      </c>
      <c r="D12" s="702">
        <v>61.381369280248997</v>
      </c>
      <c r="E12" s="703">
        <v>1.031324684816</v>
      </c>
      <c r="F12" s="701">
        <v>2100.4784741958401</v>
      </c>
      <c r="G12" s="702">
        <v>1575.3588556468801</v>
      </c>
      <c r="H12" s="704">
        <v>198.43001999999899</v>
      </c>
      <c r="I12" s="701">
        <v>1427.8551500000001</v>
      </c>
      <c r="J12" s="702">
        <v>-147.50370564688399</v>
      </c>
      <c r="K12" s="705">
        <v>0.67977614031300004</v>
      </c>
    </row>
    <row r="13" spans="1:11" ht="14.45" customHeight="1" thickBot="1" x14ac:dyDescent="0.25">
      <c r="A13" s="723" t="s">
        <v>338</v>
      </c>
      <c r="B13" s="701">
        <v>50.436551587037997</v>
      </c>
      <c r="C13" s="701">
        <v>14.286799999999999</v>
      </c>
      <c r="D13" s="702">
        <v>-36.149751587037997</v>
      </c>
      <c r="E13" s="703">
        <v>0.28326282329800001</v>
      </c>
      <c r="F13" s="701">
        <v>25</v>
      </c>
      <c r="G13" s="702">
        <v>18.75</v>
      </c>
      <c r="H13" s="704">
        <v>0</v>
      </c>
      <c r="I13" s="701">
        <v>6.8267199999999999</v>
      </c>
      <c r="J13" s="702">
        <v>-11.92328</v>
      </c>
      <c r="K13" s="705">
        <v>0.2730688</v>
      </c>
    </row>
    <row r="14" spans="1:11" ht="14.45" customHeight="1" thickBot="1" x14ac:dyDescent="0.25">
      <c r="A14" s="723" t="s">
        <v>339</v>
      </c>
      <c r="B14" s="701">
        <v>204.81942577394099</v>
      </c>
      <c r="C14" s="701">
        <v>321.22721000000098</v>
      </c>
      <c r="D14" s="702">
        <v>116.40778422606</v>
      </c>
      <c r="E14" s="703">
        <v>1.5683434751659999</v>
      </c>
      <c r="F14" s="701">
        <v>325</v>
      </c>
      <c r="G14" s="702">
        <v>243.75</v>
      </c>
      <c r="H14" s="704">
        <v>24.413499999999001</v>
      </c>
      <c r="I14" s="701">
        <v>163.48894000000001</v>
      </c>
      <c r="J14" s="702">
        <v>-80.261060000000001</v>
      </c>
      <c r="K14" s="705">
        <v>0.50304289230699994</v>
      </c>
    </row>
    <row r="15" spans="1:11" ht="14.45" customHeight="1" thickBot="1" x14ac:dyDescent="0.25">
      <c r="A15" s="723" t="s">
        <v>340</v>
      </c>
      <c r="B15" s="701">
        <v>80</v>
      </c>
      <c r="C15" s="701">
        <v>21.210750000000001</v>
      </c>
      <c r="D15" s="702">
        <v>-58.789249999999001</v>
      </c>
      <c r="E15" s="703">
        <v>0.26513437499999998</v>
      </c>
      <c r="F15" s="701">
        <v>20</v>
      </c>
      <c r="G15" s="702">
        <v>15</v>
      </c>
      <c r="H15" s="704">
        <v>1.6489999999989999</v>
      </c>
      <c r="I15" s="701">
        <v>30.211300000000001</v>
      </c>
      <c r="J15" s="702">
        <v>15.2113</v>
      </c>
      <c r="K15" s="705">
        <v>1.5105649999999999</v>
      </c>
    </row>
    <row r="16" spans="1:11" ht="14.45" customHeight="1" thickBot="1" x14ac:dyDescent="0.25">
      <c r="A16" s="723" t="s">
        <v>341</v>
      </c>
      <c r="B16" s="701">
        <v>40</v>
      </c>
      <c r="C16" s="701">
        <v>24.595580000000002</v>
      </c>
      <c r="D16" s="702">
        <v>-15.40442</v>
      </c>
      <c r="E16" s="703">
        <v>0.61488949999999998</v>
      </c>
      <c r="F16" s="701">
        <v>40</v>
      </c>
      <c r="G16" s="702">
        <v>30</v>
      </c>
      <c r="H16" s="704">
        <v>9.2237999999990006</v>
      </c>
      <c r="I16" s="701">
        <v>48.621699999999997</v>
      </c>
      <c r="J16" s="702">
        <v>18.621700000000001</v>
      </c>
      <c r="K16" s="705">
        <v>1.2155425</v>
      </c>
    </row>
    <row r="17" spans="1:11" ht="14.45" customHeight="1" thickBot="1" x14ac:dyDescent="0.25">
      <c r="A17" s="723" t="s">
        <v>342</v>
      </c>
      <c r="B17" s="701">
        <v>0</v>
      </c>
      <c r="C17" s="701">
        <v>0</v>
      </c>
      <c r="D17" s="702">
        <v>0</v>
      </c>
      <c r="E17" s="703">
        <v>1</v>
      </c>
      <c r="F17" s="701">
        <v>0</v>
      </c>
      <c r="G17" s="702">
        <v>0</v>
      </c>
      <c r="H17" s="704">
        <v>0</v>
      </c>
      <c r="I17" s="701">
        <v>0.45650000000000002</v>
      </c>
      <c r="J17" s="702">
        <v>0.45650000000000002</v>
      </c>
      <c r="K17" s="712" t="s">
        <v>343</v>
      </c>
    </row>
    <row r="18" spans="1:11" ht="14.45" customHeight="1" thickBot="1" x14ac:dyDescent="0.25">
      <c r="A18" s="723" t="s">
        <v>344</v>
      </c>
      <c r="B18" s="701">
        <v>100.05029370883901</v>
      </c>
      <c r="C18" s="701">
        <v>109.38301</v>
      </c>
      <c r="D18" s="702">
        <v>9.3327162911610007</v>
      </c>
      <c r="E18" s="703">
        <v>1.0932802488140001</v>
      </c>
      <c r="F18" s="701">
        <v>110</v>
      </c>
      <c r="G18" s="702">
        <v>82.5</v>
      </c>
      <c r="H18" s="704">
        <v>12.309799999999001</v>
      </c>
      <c r="I18" s="701">
        <v>72.786569999999003</v>
      </c>
      <c r="J18" s="702">
        <v>-9.7134300000000007</v>
      </c>
      <c r="K18" s="705">
        <v>0.66169609090899995</v>
      </c>
    </row>
    <row r="19" spans="1:11" ht="14.45" customHeight="1" thickBot="1" x14ac:dyDescent="0.25">
      <c r="A19" s="723" t="s">
        <v>345</v>
      </c>
      <c r="B19" s="701">
        <v>35.286382956320999</v>
      </c>
      <c r="C19" s="701">
        <v>4.4854700000000003</v>
      </c>
      <c r="D19" s="702">
        <v>-30.800912956321</v>
      </c>
      <c r="E19" s="703">
        <v>0.12711617412099999</v>
      </c>
      <c r="F19" s="701">
        <v>10</v>
      </c>
      <c r="G19" s="702">
        <v>7.5</v>
      </c>
      <c r="H19" s="704">
        <v>0</v>
      </c>
      <c r="I19" s="701">
        <v>0.884079999999</v>
      </c>
      <c r="J19" s="702">
        <v>-6.61592</v>
      </c>
      <c r="K19" s="705">
        <v>8.8407999998999995E-2</v>
      </c>
    </row>
    <row r="20" spans="1:11" ht="14.45" customHeight="1" thickBot="1" x14ac:dyDescent="0.25">
      <c r="A20" s="723" t="s">
        <v>346</v>
      </c>
      <c r="B20" s="701">
        <v>4800</v>
      </c>
      <c r="C20" s="701">
        <v>3933.8020000000101</v>
      </c>
      <c r="D20" s="702">
        <v>-866.19799999998895</v>
      </c>
      <c r="E20" s="703">
        <v>0.81954208333300005</v>
      </c>
      <c r="F20" s="701">
        <v>4000.1974470960199</v>
      </c>
      <c r="G20" s="702">
        <v>3000.14808532201</v>
      </c>
      <c r="H20" s="704">
        <v>0</v>
      </c>
      <c r="I20" s="701">
        <v>689.39430000000095</v>
      </c>
      <c r="J20" s="702">
        <v>-2310.7537853220101</v>
      </c>
      <c r="K20" s="705">
        <v>0.172340067988</v>
      </c>
    </row>
    <row r="21" spans="1:11" ht="14.45" customHeight="1" thickBot="1" x14ac:dyDescent="0.25">
      <c r="A21" s="723" t="s">
        <v>347</v>
      </c>
      <c r="B21" s="701">
        <v>409.58052415204997</v>
      </c>
      <c r="C21" s="701">
        <v>298.46627000000001</v>
      </c>
      <c r="D21" s="702">
        <v>-111.114254152049</v>
      </c>
      <c r="E21" s="703">
        <v>0.72871206612600004</v>
      </c>
      <c r="F21" s="701">
        <v>400</v>
      </c>
      <c r="G21" s="702">
        <v>300</v>
      </c>
      <c r="H21" s="704">
        <v>-5.5303299999990001</v>
      </c>
      <c r="I21" s="701">
        <v>471.20663000000002</v>
      </c>
      <c r="J21" s="702">
        <v>171.20662999999999</v>
      </c>
      <c r="K21" s="705">
        <v>1.178016575</v>
      </c>
    </row>
    <row r="22" spans="1:11" ht="14.45" customHeight="1" thickBot="1" x14ac:dyDescent="0.25">
      <c r="A22" s="722" t="s">
        <v>348</v>
      </c>
      <c r="B22" s="706">
        <v>335.68286202213301</v>
      </c>
      <c r="C22" s="706">
        <v>244.4</v>
      </c>
      <c r="D22" s="707">
        <v>-91.282862022131994</v>
      </c>
      <c r="E22" s="713">
        <v>0.72806814898899996</v>
      </c>
      <c r="F22" s="706">
        <v>243.16440785797201</v>
      </c>
      <c r="G22" s="707">
        <v>182.373305893479</v>
      </c>
      <c r="H22" s="709">
        <v>47.201999999999003</v>
      </c>
      <c r="I22" s="706">
        <v>299.56599999999901</v>
      </c>
      <c r="J22" s="707">
        <v>117.192694106521</v>
      </c>
      <c r="K22" s="714">
        <v>1.2319483868500001</v>
      </c>
    </row>
    <row r="23" spans="1:11" ht="14.45" customHeight="1" thickBot="1" x14ac:dyDescent="0.25">
      <c r="A23" s="723" t="s">
        <v>349</v>
      </c>
      <c r="B23" s="701">
        <v>316.12746922028703</v>
      </c>
      <c r="C23" s="701">
        <v>234.71</v>
      </c>
      <c r="D23" s="702">
        <v>-81.417469220285994</v>
      </c>
      <c r="E23" s="703">
        <v>0.74245367091600001</v>
      </c>
      <c r="F23" s="701">
        <v>231.980368821469</v>
      </c>
      <c r="G23" s="702">
        <v>173.985276616102</v>
      </c>
      <c r="H23" s="704">
        <v>41.789999999998997</v>
      </c>
      <c r="I23" s="701">
        <v>279.95</v>
      </c>
      <c r="J23" s="702">
        <v>105.964723383898</v>
      </c>
      <c r="K23" s="705">
        <v>1.206783149032</v>
      </c>
    </row>
    <row r="24" spans="1:11" ht="14.45" customHeight="1" thickBot="1" x14ac:dyDescent="0.25">
      <c r="A24" s="723" t="s">
        <v>350</v>
      </c>
      <c r="B24" s="701">
        <v>19.555392801846001</v>
      </c>
      <c r="C24" s="701">
        <v>9.69</v>
      </c>
      <c r="D24" s="702">
        <v>-9.8653928018449992</v>
      </c>
      <c r="E24" s="703">
        <v>0.495515487629</v>
      </c>
      <c r="F24" s="701">
        <v>11.184039036502</v>
      </c>
      <c r="G24" s="702">
        <v>8.3880292773760008</v>
      </c>
      <c r="H24" s="704">
        <v>5.4119999999989998</v>
      </c>
      <c r="I24" s="701">
        <v>19.616</v>
      </c>
      <c r="J24" s="702">
        <v>11.227970722623001</v>
      </c>
      <c r="K24" s="705">
        <v>1.7539280698119999</v>
      </c>
    </row>
    <row r="25" spans="1:11" ht="14.45" customHeight="1" thickBot="1" x14ac:dyDescent="0.25">
      <c r="A25" s="722" t="s">
        <v>351</v>
      </c>
      <c r="B25" s="706">
        <v>4670.3953377635198</v>
      </c>
      <c r="C25" s="706">
        <v>4256.19470000001</v>
      </c>
      <c r="D25" s="707">
        <v>-414.20063776351299</v>
      </c>
      <c r="E25" s="713">
        <v>0.911313581012</v>
      </c>
      <c r="F25" s="706">
        <v>4450.5333006855899</v>
      </c>
      <c r="G25" s="707">
        <v>3337.8999755141899</v>
      </c>
      <c r="H25" s="709">
        <v>331.91801999999899</v>
      </c>
      <c r="I25" s="706">
        <v>3021.9784100000002</v>
      </c>
      <c r="J25" s="707">
        <v>-315.92156551419203</v>
      </c>
      <c r="K25" s="714">
        <v>0.67901489682899996</v>
      </c>
    </row>
    <row r="26" spans="1:11" ht="14.45" customHeight="1" thickBot="1" x14ac:dyDescent="0.25">
      <c r="A26" s="723" t="s">
        <v>352</v>
      </c>
      <c r="B26" s="701">
        <v>599.63126646199896</v>
      </c>
      <c r="C26" s="701">
        <v>595.85949000000096</v>
      </c>
      <c r="D26" s="702">
        <v>-3.7717764619969998</v>
      </c>
      <c r="E26" s="703">
        <v>0.99370984024099995</v>
      </c>
      <c r="F26" s="701">
        <v>635.53330068558603</v>
      </c>
      <c r="G26" s="702">
        <v>476.64997551418901</v>
      </c>
      <c r="H26" s="704">
        <v>33.190629999998997</v>
      </c>
      <c r="I26" s="701">
        <v>452.93919</v>
      </c>
      <c r="J26" s="702">
        <v>-23.710785514188998</v>
      </c>
      <c r="K26" s="705">
        <v>0.71269151358600002</v>
      </c>
    </row>
    <row r="27" spans="1:11" ht="14.45" customHeight="1" thickBot="1" x14ac:dyDescent="0.25">
      <c r="A27" s="723" t="s">
        <v>353</v>
      </c>
      <c r="B27" s="701">
        <v>210.230414924863</v>
      </c>
      <c r="C27" s="701">
        <v>237.31195</v>
      </c>
      <c r="D27" s="702">
        <v>27.081535075137001</v>
      </c>
      <c r="E27" s="703">
        <v>1.128818349546</v>
      </c>
      <c r="F27" s="701">
        <v>215</v>
      </c>
      <c r="G27" s="702">
        <v>161.25</v>
      </c>
      <c r="H27" s="704">
        <v>16.287009999999</v>
      </c>
      <c r="I27" s="701">
        <v>137.96557999999999</v>
      </c>
      <c r="J27" s="702">
        <v>-23.284420000000001</v>
      </c>
      <c r="K27" s="705">
        <v>0.64170037209300002</v>
      </c>
    </row>
    <row r="28" spans="1:11" ht="14.45" customHeight="1" thickBot="1" x14ac:dyDescent="0.25">
      <c r="A28" s="723" t="s">
        <v>354</v>
      </c>
      <c r="B28" s="701">
        <v>3200.4071040169902</v>
      </c>
      <c r="C28" s="701">
        <v>2731.9780500000002</v>
      </c>
      <c r="D28" s="702">
        <v>-468.429054016988</v>
      </c>
      <c r="E28" s="703">
        <v>0.85363454123399995</v>
      </c>
      <c r="F28" s="701">
        <v>2900</v>
      </c>
      <c r="G28" s="702">
        <v>2175</v>
      </c>
      <c r="H28" s="704">
        <v>248.870949999999</v>
      </c>
      <c r="I28" s="701">
        <v>1954.69704</v>
      </c>
      <c r="J28" s="702">
        <v>-220.302960000002</v>
      </c>
      <c r="K28" s="705">
        <v>0.67403346206799997</v>
      </c>
    </row>
    <row r="29" spans="1:11" ht="14.45" customHeight="1" thickBot="1" x14ac:dyDescent="0.25">
      <c r="A29" s="723" t="s">
        <v>355</v>
      </c>
      <c r="B29" s="701">
        <v>40</v>
      </c>
      <c r="C29" s="701">
        <v>33.083530000000003</v>
      </c>
      <c r="D29" s="702">
        <v>-6.9164699999990003</v>
      </c>
      <c r="E29" s="703">
        <v>0.82708824999999997</v>
      </c>
      <c r="F29" s="701">
        <v>40</v>
      </c>
      <c r="G29" s="702">
        <v>30</v>
      </c>
      <c r="H29" s="704">
        <v>2.417579999999</v>
      </c>
      <c r="I29" s="701">
        <v>17.343309999999999</v>
      </c>
      <c r="J29" s="702">
        <v>-12.656689999999999</v>
      </c>
      <c r="K29" s="705">
        <v>0.43358275000000002</v>
      </c>
    </row>
    <row r="30" spans="1:11" ht="14.45" customHeight="1" thickBot="1" x14ac:dyDescent="0.25">
      <c r="A30" s="723" t="s">
        <v>356</v>
      </c>
      <c r="B30" s="701">
        <v>5</v>
      </c>
      <c r="C30" s="701">
        <v>5.9823000000000004</v>
      </c>
      <c r="D30" s="702">
        <v>0.98229999999999995</v>
      </c>
      <c r="E30" s="703">
        <v>1.1964600000000001</v>
      </c>
      <c r="F30" s="701">
        <v>10</v>
      </c>
      <c r="G30" s="702">
        <v>7.5</v>
      </c>
      <c r="H30" s="704">
        <v>0.59822999999899995</v>
      </c>
      <c r="I30" s="701">
        <v>2.3929199999990001</v>
      </c>
      <c r="J30" s="702">
        <v>-5.1070799999999998</v>
      </c>
      <c r="K30" s="705">
        <v>0.239291999999</v>
      </c>
    </row>
    <row r="31" spans="1:11" ht="14.45" customHeight="1" thickBot="1" x14ac:dyDescent="0.25">
      <c r="A31" s="723" t="s">
        <v>357</v>
      </c>
      <c r="B31" s="701">
        <v>10.105265844494999</v>
      </c>
      <c r="C31" s="701">
        <v>7.40374</v>
      </c>
      <c r="D31" s="702">
        <v>-2.7015258444949999</v>
      </c>
      <c r="E31" s="703">
        <v>0.73266157604600002</v>
      </c>
      <c r="F31" s="701">
        <v>10</v>
      </c>
      <c r="G31" s="702">
        <v>7.5</v>
      </c>
      <c r="H31" s="704">
        <v>0.62135999999900005</v>
      </c>
      <c r="I31" s="701">
        <v>3.3037899999999998</v>
      </c>
      <c r="J31" s="702">
        <v>-4.1962099999999998</v>
      </c>
      <c r="K31" s="705">
        <v>0.33037899999999998</v>
      </c>
    </row>
    <row r="32" spans="1:11" ht="14.45" customHeight="1" thickBot="1" x14ac:dyDescent="0.25">
      <c r="A32" s="723" t="s">
        <v>358</v>
      </c>
      <c r="B32" s="701">
        <v>170</v>
      </c>
      <c r="C32" s="701">
        <v>144.63046</v>
      </c>
      <c r="D32" s="702">
        <v>-25.369539999998999</v>
      </c>
      <c r="E32" s="703">
        <v>0.85076741176399995</v>
      </c>
      <c r="F32" s="701">
        <v>160</v>
      </c>
      <c r="G32" s="702">
        <v>120</v>
      </c>
      <c r="H32" s="704">
        <v>16.102379999998998</v>
      </c>
      <c r="I32" s="701">
        <v>114.82474000000001</v>
      </c>
      <c r="J32" s="702">
        <v>-5.1752599999999997</v>
      </c>
      <c r="K32" s="705">
        <v>0.71765462499900001</v>
      </c>
    </row>
    <row r="33" spans="1:11" ht="14.45" customHeight="1" thickBot="1" x14ac:dyDescent="0.25">
      <c r="A33" s="723" t="s">
        <v>359</v>
      </c>
      <c r="B33" s="701">
        <v>125</v>
      </c>
      <c r="C33" s="701">
        <v>200.22587000000101</v>
      </c>
      <c r="D33" s="702">
        <v>75.22587</v>
      </c>
      <c r="E33" s="703">
        <v>1.60180696</v>
      </c>
      <c r="F33" s="701">
        <v>180</v>
      </c>
      <c r="G33" s="702">
        <v>135</v>
      </c>
      <c r="H33" s="704">
        <v>0</v>
      </c>
      <c r="I33" s="701">
        <v>178.1362</v>
      </c>
      <c r="J33" s="702">
        <v>43.136199999999</v>
      </c>
      <c r="K33" s="705">
        <v>0.989645555555</v>
      </c>
    </row>
    <row r="34" spans="1:11" ht="14.45" customHeight="1" thickBot="1" x14ac:dyDescent="0.25">
      <c r="A34" s="723" t="s">
        <v>360</v>
      </c>
      <c r="B34" s="701">
        <v>310.02128651517103</v>
      </c>
      <c r="C34" s="701">
        <v>299.71931000000097</v>
      </c>
      <c r="D34" s="702">
        <v>-10.301976515170001</v>
      </c>
      <c r="E34" s="703">
        <v>0.96677009946299997</v>
      </c>
      <c r="F34" s="701">
        <v>300</v>
      </c>
      <c r="G34" s="702">
        <v>225</v>
      </c>
      <c r="H34" s="704">
        <v>13.829879999998999</v>
      </c>
      <c r="I34" s="701">
        <v>160.37564</v>
      </c>
      <c r="J34" s="702">
        <v>-64.624359999999996</v>
      </c>
      <c r="K34" s="705">
        <v>0.53458546666600004</v>
      </c>
    </row>
    <row r="35" spans="1:11" ht="14.45" customHeight="1" thickBot="1" x14ac:dyDescent="0.25">
      <c r="A35" s="722" t="s">
        <v>361</v>
      </c>
      <c r="B35" s="706">
        <v>267.44800009774599</v>
      </c>
      <c r="C35" s="706">
        <v>240.39286999999999</v>
      </c>
      <c r="D35" s="707">
        <v>-27.055130097745</v>
      </c>
      <c r="E35" s="713">
        <v>0.89883966195999998</v>
      </c>
      <c r="F35" s="706">
        <v>251.71439126567</v>
      </c>
      <c r="G35" s="707">
        <v>188.785793449252</v>
      </c>
      <c r="H35" s="709">
        <v>26.776929999998998</v>
      </c>
      <c r="I35" s="706">
        <v>181.82320999999999</v>
      </c>
      <c r="J35" s="707">
        <v>-6.9625834492519996</v>
      </c>
      <c r="K35" s="714">
        <v>0.72233935090300005</v>
      </c>
    </row>
    <row r="36" spans="1:11" ht="14.45" customHeight="1" thickBot="1" x14ac:dyDescent="0.25">
      <c r="A36" s="723" t="s">
        <v>362</v>
      </c>
      <c r="B36" s="701">
        <v>87</v>
      </c>
      <c r="C36" s="701">
        <v>100.19938999999999</v>
      </c>
      <c r="D36" s="702">
        <v>13.199389999999999</v>
      </c>
      <c r="E36" s="703">
        <v>1.151717126436</v>
      </c>
      <c r="F36" s="701">
        <v>98.648079311304997</v>
      </c>
      <c r="G36" s="702">
        <v>73.986059483478996</v>
      </c>
      <c r="H36" s="704">
        <v>9.8682699999990007</v>
      </c>
      <c r="I36" s="701">
        <v>65.444119999999003</v>
      </c>
      <c r="J36" s="702">
        <v>-8.5419394834790001</v>
      </c>
      <c r="K36" s="705">
        <v>0.66340997672599999</v>
      </c>
    </row>
    <row r="37" spans="1:11" ht="14.45" customHeight="1" thickBot="1" x14ac:dyDescent="0.25">
      <c r="A37" s="723" t="s">
        <v>363</v>
      </c>
      <c r="B37" s="701">
        <v>20</v>
      </c>
      <c r="C37" s="701">
        <v>12.6083</v>
      </c>
      <c r="D37" s="702">
        <v>-7.3916999999990001</v>
      </c>
      <c r="E37" s="703">
        <v>0.63041499999999995</v>
      </c>
      <c r="F37" s="701">
        <v>12.96022734524</v>
      </c>
      <c r="G37" s="702">
        <v>9.7201705089299999</v>
      </c>
      <c r="H37" s="704">
        <v>0.78124999999900002</v>
      </c>
      <c r="I37" s="701">
        <v>9.5466399999989999</v>
      </c>
      <c r="J37" s="702">
        <v>-0.17353050892999999</v>
      </c>
      <c r="K37" s="705">
        <v>0.73661053511499996</v>
      </c>
    </row>
    <row r="38" spans="1:11" ht="14.45" customHeight="1" thickBot="1" x14ac:dyDescent="0.25">
      <c r="A38" s="723" t="s">
        <v>364</v>
      </c>
      <c r="B38" s="701">
        <v>160.44800009774599</v>
      </c>
      <c r="C38" s="701">
        <v>127.58517999999999</v>
      </c>
      <c r="D38" s="702">
        <v>-32.862820097745001</v>
      </c>
      <c r="E38" s="703">
        <v>0.79518086808300004</v>
      </c>
      <c r="F38" s="701">
        <v>140.106084609123</v>
      </c>
      <c r="G38" s="702">
        <v>105.079563456842</v>
      </c>
      <c r="H38" s="704">
        <v>16.127409999998999</v>
      </c>
      <c r="I38" s="701">
        <v>106.83244999999999</v>
      </c>
      <c r="J38" s="702">
        <v>1.752886543157</v>
      </c>
      <c r="K38" s="705">
        <v>0.76251113788500002</v>
      </c>
    </row>
    <row r="39" spans="1:11" ht="14.45" customHeight="1" thickBot="1" x14ac:dyDescent="0.25">
      <c r="A39" s="722" t="s">
        <v>365</v>
      </c>
      <c r="B39" s="706">
        <v>749.36719070230197</v>
      </c>
      <c r="C39" s="706">
        <v>812.81552000000204</v>
      </c>
      <c r="D39" s="707">
        <v>63.448329297698997</v>
      </c>
      <c r="E39" s="713">
        <v>1.084669211682</v>
      </c>
      <c r="F39" s="706">
        <v>748.55253827217598</v>
      </c>
      <c r="G39" s="707">
        <v>561.41440370413204</v>
      </c>
      <c r="H39" s="709">
        <v>58.716039999998998</v>
      </c>
      <c r="I39" s="706">
        <v>617.31102999999996</v>
      </c>
      <c r="J39" s="707">
        <v>55.896626295868003</v>
      </c>
      <c r="K39" s="714">
        <v>0.82467295004399999</v>
      </c>
    </row>
    <row r="40" spans="1:11" ht="14.45" customHeight="1" thickBot="1" x14ac:dyDescent="0.25">
      <c r="A40" s="723" t="s">
        <v>366</v>
      </c>
      <c r="B40" s="701">
        <v>0</v>
      </c>
      <c r="C40" s="701">
        <v>24.9131</v>
      </c>
      <c r="D40" s="702">
        <v>24.9131</v>
      </c>
      <c r="E40" s="711" t="s">
        <v>329</v>
      </c>
      <c r="F40" s="701">
        <v>0</v>
      </c>
      <c r="G40" s="702">
        <v>0</v>
      </c>
      <c r="H40" s="704">
        <v>0</v>
      </c>
      <c r="I40" s="701">
        <v>42.702300000000001</v>
      </c>
      <c r="J40" s="702">
        <v>42.702300000000001</v>
      </c>
      <c r="K40" s="712" t="s">
        <v>329</v>
      </c>
    </row>
    <row r="41" spans="1:11" ht="14.45" customHeight="1" thickBot="1" x14ac:dyDescent="0.25">
      <c r="A41" s="723" t="s">
        <v>367</v>
      </c>
      <c r="B41" s="701">
        <v>24.679484539884001</v>
      </c>
      <c r="C41" s="701">
        <v>24.53623</v>
      </c>
      <c r="D41" s="702">
        <v>-0.143254539884</v>
      </c>
      <c r="E41" s="703">
        <v>0.99419539984100003</v>
      </c>
      <c r="F41" s="701">
        <v>25</v>
      </c>
      <c r="G41" s="702">
        <v>18.75</v>
      </c>
      <c r="H41" s="704">
        <v>1.762119999999</v>
      </c>
      <c r="I41" s="701">
        <v>17.927659999999999</v>
      </c>
      <c r="J41" s="702">
        <v>-0.82233999999999996</v>
      </c>
      <c r="K41" s="705">
        <v>0.71710639999900005</v>
      </c>
    </row>
    <row r="42" spans="1:11" ht="14.45" customHeight="1" thickBot="1" x14ac:dyDescent="0.25">
      <c r="A42" s="723" t="s">
        <v>368</v>
      </c>
      <c r="B42" s="701">
        <v>420</v>
      </c>
      <c r="C42" s="701">
        <v>443.63288000000102</v>
      </c>
      <c r="D42" s="702">
        <v>23.63288</v>
      </c>
      <c r="E42" s="703">
        <v>1.0562687619040001</v>
      </c>
      <c r="F42" s="701">
        <v>430</v>
      </c>
      <c r="G42" s="702">
        <v>322.5</v>
      </c>
      <c r="H42" s="704">
        <v>32.509219999998997</v>
      </c>
      <c r="I42" s="701">
        <v>319.92354</v>
      </c>
      <c r="J42" s="702">
        <v>-2.57646</v>
      </c>
      <c r="K42" s="705">
        <v>0.74400823255799997</v>
      </c>
    </row>
    <row r="43" spans="1:11" ht="14.45" customHeight="1" thickBot="1" x14ac:dyDescent="0.25">
      <c r="A43" s="723" t="s">
        <v>369</v>
      </c>
      <c r="B43" s="701">
        <v>78.209016489876007</v>
      </c>
      <c r="C43" s="701">
        <v>74.464789999999994</v>
      </c>
      <c r="D43" s="702">
        <v>-3.744226489876</v>
      </c>
      <c r="E43" s="703">
        <v>0.95212538581899997</v>
      </c>
      <c r="F43" s="701">
        <v>79</v>
      </c>
      <c r="G43" s="702">
        <v>59.25</v>
      </c>
      <c r="H43" s="704">
        <v>7.6498699999989999</v>
      </c>
      <c r="I43" s="701">
        <v>58.346079999998999</v>
      </c>
      <c r="J43" s="702">
        <v>-0.90391999999999995</v>
      </c>
      <c r="K43" s="705">
        <v>0.738557974683</v>
      </c>
    </row>
    <row r="44" spans="1:11" ht="14.45" customHeight="1" thickBot="1" x14ac:dyDescent="0.25">
      <c r="A44" s="723" t="s">
        <v>370</v>
      </c>
      <c r="B44" s="701">
        <v>8.385292737955</v>
      </c>
      <c r="C44" s="701">
        <v>2.9914000000000001</v>
      </c>
      <c r="D44" s="702">
        <v>-5.3938927379550003</v>
      </c>
      <c r="E44" s="703">
        <v>0.35674365743399999</v>
      </c>
      <c r="F44" s="701">
        <v>3.0413569651149999</v>
      </c>
      <c r="G44" s="702">
        <v>2.2810177238359999</v>
      </c>
      <c r="H44" s="704">
        <v>0.17799999999900001</v>
      </c>
      <c r="I44" s="701">
        <v>3.3818999999999999</v>
      </c>
      <c r="J44" s="702">
        <v>1.1008822761629999</v>
      </c>
      <c r="K44" s="705">
        <v>1.111970754761</v>
      </c>
    </row>
    <row r="45" spans="1:11" ht="14.45" customHeight="1" thickBot="1" x14ac:dyDescent="0.25">
      <c r="A45" s="723" t="s">
        <v>371</v>
      </c>
      <c r="B45" s="701">
        <v>7.1463924903300002</v>
      </c>
      <c r="C45" s="701">
        <v>4.1905299999999999</v>
      </c>
      <c r="D45" s="702">
        <v>-2.9558624903299999</v>
      </c>
      <c r="E45" s="703">
        <v>0.58638397004700005</v>
      </c>
      <c r="F45" s="701">
        <v>0</v>
      </c>
      <c r="G45" s="702">
        <v>0</v>
      </c>
      <c r="H45" s="704">
        <v>1.1120000000000001</v>
      </c>
      <c r="I45" s="701">
        <v>3.6539899999990002</v>
      </c>
      <c r="J45" s="702">
        <v>3.6539899999990002</v>
      </c>
      <c r="K45" s="712" t="s">
        <v>329</v>
      </c>
    </row>
    <row r="46" spans="1:11" ht="14.45" customHeight="1" thickBot="1" x14ac:dyDescent="0.25">
      <c r="A46" s="723" t="s">
        <v>372</v>
      </c>
      <c r="B46" s="701">
        <v>0</v>
      </c>
      <c r="C46" s="701">
        <v>12.66944</v>
      </c>
      <c r="D46" s="702">
        <v>12.66944</v>
      </c>
      <c r="E46" s="711" t="s">
        <v>329</v>
      </c>
      <c r="F46" s="701">
        <v>0</v>
      </c>
      <c r="G46" s="702">
        <v>0</v>
      </c>
      <c r="H46" s="704">
        <v>1.1736999999990001</v>
      </c>
      <c r="I46" s="701">
        <v>8.2158899999989998</v>
      </c>
      <c r="J46" s="702">
        <v>8.2158899999989998</v>
      </c>
      <c r="K46" s="712" t="s">
        <v>329</v>
      </c>
    </row>
    <row r="47" spans="1:11" ht="14.45" customHeight="1" thickBot="1" x14ac:dyDescent="0.25">
      <c r="A47" s="723" t="s">
        <v>373</v>
      </c>
      <c r="B47" s="701">
        <v>6.3076923076920002</v>
      </c>
      <c r="C47" s="701">
        <v>7.3296999999999999</v>
      </c>
      <c r="D47" s="702">
        <v>1.0220076923070001</v>
      </c>
      <c r="E47" s="703">
        <v>1.162025609756</v>
      </c>
      <c r="F47" s="701">
        <v>6</v>
      </c>
      <c r="G47" s="702">
        <v>4.5</v>
      </c>
      <c r="H47" s="704">
        <v>0</v>
      </c>
      <c r="I47" s="701">
        <v>2.8148300000000002</v>
      </c>
      <c r="J47" s="702">
        <v>-1.6851700000000001</v>
      </c>
      <c r="K47" s="705">
        <v>0.46913833333299998</v>
      </c>
    </row>
    <row r="48" spans="1:11" ht="14.45" customHeight="1" thickBot="1" x14ac:dyDescent="0.25">
      <c r="A48" s="723" t="s">
        <v>374</v>
      </c>
      <c r="B48" s="701">
        <v>44.990311694614</v>
      </c>
      <c r="C48" s="701">
        <v>45.173090000000002</v>
      </c>
      <c r="D48" s="702">
        <v>0.18277830538500001</v>
      </c>
      <c r="E48" s="703">
        <v>1.0040626147830001</v>
      </c>
      <c r="F48" s="701">
        <v>45.511181307058997</v>
      </c>
      <c r="G48" s="702">
        <v>34.133385980294001</v>
      </c>
      <c r="H48" s="704">
        <v>2.8132499999989999</v>
      </c>
      <c r="I48" s="701">
        <v>30.068629999999999</v>
      </c>
      <c r="J48" s="702">
        <v>-4.0647559802939996</v>
      </c>
      <c r="K48" s="705">
        <v>0.66068665185999997</v>
      </c>
    </row>
    <row r="49" spans="1:11" ht="14.45" customHeight="1" thickBot="1" x14ac:dyDescent="0.25">
      <c r="A49" s="723" t="s">
        <v>375</v>
      </c>
      <c r="B49" s="701">
        <v>0</v>
      </c>
      <c r="C49" s="701">
        <v>1.8714999999999999</v>
      </c>
      <c r="D49" s="702">
        <v>1.8714999999999999</v>
      </c>
      <c r="E49" s="711" t="s">
        <v>343</v>
      </c>
      <c r="F49" s="701">
        <v>0</v>
      </c>
      <c r="G49" s="702">
        <v>0</v>
      </c>
      <c r="H49" s="704">
        <v>0</v>
      </c>
      <c r="I49" s="701">
        <v>12.056290000000001</v>
      </c>
      <c r="J49" s="702">
        <v>12.056290000000001</v>
      </c>
      <c r="K49" s="712" t="s">
        <v>329</v>
      </c>
    </row>
    <row r="50" spans="1:11" ht="14.45" customHeight="1" thickBot="1" x14ac:dyDescent="0.25">
      <c r="A50" s="723" t="s">
        <v>376</v>
      </c>
      <c r="B50" s="701">
        <v>0</v>
      </c>
      <c r="C50" s="701">
        <v>4.2169999999999996</v>
      </c>
      <c r="D50" s="702">
        <v>4.2169999999999996</v>
      </c>
      <c r="E50" s="711" t="s">
        <v>329</v>
      </c>
      <c r="F50" s="701">
        <v>0</v>
      </c>
      <c r="G50" s="702">
        <v>0</v>
      </c>
      <c r="H50" s="704">
        <v>0</v>
      </c>
      <c r="I50" s="701">
        <v>3.135999999999</v>
      </c>
      <c r="J50" s="702">
        <v>3.135999999999</v>
      </c>
      <c r="K50" s="712" t="s">
        <v>329</v>
      </c>
    </row>
    <row r="51" spans="1:11" ht="14.45" customHeight="1" thickBot="1" x14ac:dyDescent="0.25">
      <c r="A51" s="723" t="s">
        <v>377</v>
      </c>
      <c r="B51" s="701">
        <v>0</v>
      </c>
      <c r="C51" s="701">
        <v>1.21</v>
      </c>
      <c r="D51" s="702">
        <v>1.21</v>
      </c>
      <c r="E51" s="711" t="s">
        <v>343</v>
      </c>
      <c r="F51" s="701">
        <v>0</v>
      </c>
      <c r="G51" s="702">
        <v>0</v>
      </c>
      <c r="H51" s="704">
        <v>0</v>
      </c>
      <c r="I51" s="701">
        <v>0</v>
      </c>
      <c r="J51" s="702">
        <v>0</v>
      </c>
      <c r="K51" s="712" t="s">
        <v>329</v>
      </c>
    </row>
    <row r="52" spans="1:11" ht="14.45" customHeight="1" thickBot="1" x14ac:dyDescent="0.25">
      <c r="A52" s="723" t="s">
        <v>378</v>
      </c>
      <c r="B52" s="701">
        <v>0</v>
      </c>
      <c r="C52" s="701">
        <v>10.92665</v>
      </c>
      <c r="D52" s="702">
        <v>10.92665</v>
      </c>
      <c r="E52" s="711" t="s">
        <v>329</v>
      </c>
      <c r="F52" s="701">
        <v>0</v>
      </c>
      <c r="G52" s="702">
        <v>0</v>
      </c>
      <c r="H52" s="704">
        <v>0</v>
      </c>
      <c r="I52" s="701">
        <v>0</v>
      </c>
      <c r="J52" s="702">
        <v>0</v>
      </c>
      <c r="K52" s="712" t="s">
        <v>329</v>
      </c>
    </row>
    <row r="53" spans="1:11" ht="14.45" customHeight="1" thickBot="1" x14ac:dyDescent="0.25">
      <c r="A53" s="723" t="s">
        <v>379</v>
      </c>
      <c r="B53" s="701">
        <v>159.649000441949</v>
      </c>
      <c r="C53" s="701">
        <v>154.68921</v>
      </c>
      <c r="D53" s="702">
        <v>-4.9597904419479999</v>
      </c>
      <c r="E53" s="703">
        <v>0.96893315693600002</v>
      </c>
      <c r="F53" s="701">
        <v>160</v>
      </c>
      <c r="G53" s="702">
        <v>120</v>
      </c>
      <c r="H53" s="704">
        <v>11.51788</v>
      </c>
      <c r="I53" s="701">
        <v>115.08392000000001</v>
      </c>
      <c r="J53" s="702">
        <v>-4.91608</v>
      </c>
      <c r="K53" s="705">
        <v>0.71927449999899995</v>
      </c>
    </row>
    <row r="54" spans="1:11" ht="14.45" customHeight="1" thickBot="1" x14ac:dyDescent="0.25">
      <c r="A54" s="722" t="s">
        <v>380</v>
      </c>
      <c r="B54" s="706">
        <v>334.24407514233798</v>
      </c>
      <c r="C54" s="706">
        <v>341.61798000000101</v>
      </c>
      <c r="D54" s="707">
        <v>7.3739048576619997</v>
      </c>
      <c r="E54" s="713">
        <v>1.022061437751</v>
      </c>
      <c r="F54" s="706">
        <v>276.51900705783299</v>
      </c>
      <c r="G54" s="707">
        <v>207.38925529337499</v>
      </c>
      <c r="H54" s="709">
        <v>10.650980000000001</v>
      </c>
      <c r="I54" s="706">
        <v>125.44793</v>
      </c>
      <c r="J54" s="707">
        <v>-81.941325293374007</v>
      </c>
      <c r="K54" s="714">
        <v>0.45366838010400001</v>
      </c>
    </row>
    <row r="55" spans="1:11" ht="14.45" customHeight="1" thickBot="1" x14ac:dyDescent="0.25">
      <c r="A55" s="723" t="s">
        <v>381</v>
      </c>
      <c r="B55" s="701">
        <v>0</v>
      </c>
      <c r="C55" s="701">
        <v>0.87114999999999998</v>
      </c>
      <c r="D55" s="702">
        <v>0.87114999999999998</v>
      </c>
      <c r="E55" s="711" t="s">
        <v>343</v>
      </c>
      <c r="F55" s="701">
        <v>0</v>
      </c>
      <c r="G55" s="702">
        <v>0</v>
      </c>
      <c r="H55" s="704">
        <v>0</v>
      </c>
      <c r="I55" s="701">
        <v>0</v>
      </c>
      <c r="J55" s="702">
        <v>0</v>
      </c>
      <c r="K55" s="712" t="s">
        <v>329</v>
      </c>
    </row>
    <row r="56" spans="1:11" ht="14.45" customHeight="1" thickBot="1" x14ac:dyDescent="0.25">
      <c r="A56" s="723" t="s">
        <v>382</v>
      </c>
      <c r="B56" s="701">
        <v>3.2315422334720001</v>
      </c>
      <c r="C56" s="701">
        <v>3.6057999999999999</v>
      </c>
      <c r="D56" s="702">
        <v>0.37425776652699999</v>
      </c>
      <c r="E56" s="703">
        <v>1.1158139796690001</v>
      </c>
      <c r="F56" s="701">
        <v>0.93554379648499997</v>
      </c>
      <c r="G56" s="702">
        <v>0.70165784736400005</v>
      </c>
      <c r="H56" s="704">
        <v>4.5621399999990002</v>
      </c>
      <c r="I56" s="701">
        <v>4.5621399999990002</v>
      </c>
      <c r="J56" s="702">
        <v>3.8604821526349999</v>
      </c>
      <c r="K56" s="705">
        <v>4.8764579671600004</v>
      </c>
    </row>
    <row r="57" spans="1:11" ht="14.45" customHeight="1" thickBot="1" x14ac:dyDescent="0.25">
      <c r="A57" s="723" t="s">
        <v>383</v>
      </c>
      <c r="B57" s="701">
        <v>301</v>
      </c>
      <c r="C57" s="701">
        <v>286.9237</v>
      </c>
      <c r="D57" s="702">
        <v>-14.076299999999</v>
      </c>
      <c r="E57" s="703">
        <v>0.95323488371999998</v>
      </c>
      <c r="F57" s="701">
        <v>227.46503357366799</v>
      </c>
      <c r="G57" s="702">
        <v>170.59877518025101</v>
      </c>
      <c r="H57" s="704">
        <v>5.8805999999990002</v>
      </c>
      <c r="I57" s="701">
        <v>75.625399999999999</v>
      </c>
      <c r="J57" s="702">
        <v>-94.973375180250997</v>
      </c>
      <c r="K57" s="705">
        <v>0.33247044089299999</v>
      </c>
    </row>
    <row r="58" spans="1:11" ht="14.45" customHeight="1" thickBot="1" x14ac:dyDescent="0.25">
      <c r="A58" s="723" t="s">
        <v>384</v>
      </c>
      <c r="B58" s="701">
        <v>0</v>
      </c>
      <c r="C58" s="701">
        <v>0.76229999999999998</v>
      </c>
      <c r="D58" s="702">
        <v>0.76229999999999998</v>
      </c>
      <c r="E58" s="711" t="s">
        <v>329</v>
      </c>
      <c r="F58" s="701">
        <v>1.283841846256</v>
      </c>
      <c r="G58" s="702">
        <v>0.96288138469200002</v>
      </c>
      <c r="H58" s="704">
        <v>0</v>
      </c>
      <c r="I58" s="701">
        <v>0</v>
      </c>
      <c r="J58" s="702">
        <v>-0.96288138469200002</v>
      </c>
      <c r="K58" s="705">
        <v>0</v>
      </c>
    </row>
    <row r="59" spans="1:11" ht="14.45" customHeight="1" thickBot="1" x14ac:dyDescent="0.25">
      <c r="A59" s="723" t="s">
        <v>385</v>
      </c>
      <c r="B59" s="701">
        <v>30.012532908865001</v>
      </c>
      <c r="C59" s="701">
        <v>49.455030000000001</v>
      </c>
      <c r="D59" s="702">
        <v>19.442497091134001</v>
      </c>
      <c r="E59" s="703">
        <v>1.6478126038259999</v>
      </c>
      <c r="F59" s="701">
        <v>44.651652316289002</v>
      </c>
      <c r="G59" s="702">
        <v>33.488739237216997</v>
      </c>
      <c r="H59" s="704">
        <v>0.208239999999</v>
      </c>
      <c r="I59" s="701">
        <v>45.260390000000001</v>
      </c>
      <c r="J59" s="702">
        <v>11.771650762782</v>
      </c>
      <c r="K59" s="705">
        <v>1.013633038244</v>
      </c>
    </row>
    <row r="60" spans="1:11" ht="14.45" customHeight="1" thickBot="1" x14ac:dyDescent="0.25">
      <c r="A60" s="723" t="s">
        <v>386</v>
      </c>
      <c r="B60" s="701">
        <v>0</v>
      </c>
      <c r="C60" s="701">
        <v>0</v>
      </c>
      <c r="D60" s="702">
        <v>0</v>
      </c>
      <c r="E60" s="703">
        <v>1</v>
      </c>
      <c r="F60" s="701">
        <v>2.1829355251329998</v>
      </c>
      <c r="G60" s="702">
        <v>1.637201643849</v>
      </c>
      <c r="H60" s="704">
        <v>0</v>
      </c>
      <c r="I60" s="701">
        <v>0</v>
      </c>
      <c r="J60" s="702">
        <v>-1.637201643849</v>
      </c>
      <c r="K60" s="705">
        <v>0</v>
      </c>
    </row>
    <row r="61" spans="1:11" ht="14.45" customHeight="1" thickBot="1" x14ac:dyDescent="0.25">
      <c r="A61" s="722" t="s">
        <v>387</v>
      </c>
      <c r="B61" s="706">
        <v>486.45914681251799</v>
      </c>
      <c r="C61" s="706">
        <v>565.22632000000101</v>
      </c>
      <c r="D61" s="707">
        <v>78.767173187482001</v>
      </c>
      <c r="E61" s="713">
        <v>1.1619194000219999</v>
      </c>
      <c r="F61" s="706">
        <v>455</v>
      </c>
      <c r="G61" s="707">
        <v>341.25</v>
      </c>
      <c r="H61" s="709">
        <v>32.869689999998997</v>
      </c>
      <c r="I61" s="706">
        <v>303.34267</v>
      </c>
      <c r="J61" s="707">
        <v>-37.907330000000002</v>
      </c>
      <c r="K61" s="714">
        <v>0.66668718681299999</v>
      </c>
    </row>
    <row r="62" spans="1:11" ht="14.45" customHeight="1" thickBot="1" x14ac:dyDescent="0.25">
      <c r="A62" s="723" t="s">
        <v>388</v>
      </c>
      <c r="B62" s="701">
        <v>0</v>
      </c>
      <c r="C62" s="701">
        <v>62.32208</v>
      </c>
      <c r="D62" s="702">
        <v>62.32208</v>
      </c>
      <c r="E62" s="711" t="s">
        <v>329</v>
      </c>
      <c r="F62" s="701">
        <v>0</v>
      </c>
      <c r="G62" s="702">
        <v>0</v>
      </c>
      <c r="H62" s="704">
        <v>0</v>
      </c>
      <c r="I62" s="701">
        <v>3.9084500000000002</v>
      </c>
      <c r="J62" s="702">
        <v>3.9084500000000002</v>
      </c>
      <c r="K62" s="712" t="s">
        <v>329</v>
      </c>
    </row>
    <row r="63" spans="1:11" ht="14.45" customHeight="1" thickBot="1" x14ac:dyDescent="0.25">
      <c r="A63" s="723" t="s">
        <v>389</v>
      </c>
      <c r="B63" s="701">
        <v>26.431311971899</v>
      </c>
      <c r="C63" s="701">
        <v>47.461069999999999</v>
      </c>
      <c r="D63" s="702">
        <v>21.029758028100002</v>
      </c>
      <c r="E63" s="703">
        <v>1.7956380693639999</v>
      </c>
      <c r="F63" s="701">
        <v>0</v>
      </c>
      <c r="G63" s="702">
        <v>0</v>
      </c>
      <c r="H63" s="704">
        <v>0</v>
      </c>
      <c r="I63" s="701">
        <v>17.052</v>
      </c>
      <c r="J63" s="702">
        <v>17.052</v>
      </c>
      <c r="K63" s="712" t="s">
        <v>329</v>
      </c>
    </row>
    <row r="64" spans="1:11" ht="14.45" customHeight="1" thickBot="1" x14ac:dyDescent="0.25">
      <c r="A64" s="723" t="s">
        <v>390</v>
      </c>
      <c r="B64" s="701">
        <v>0</v>
      </c>
      <c r="C64" s="701">
        <v>9.2468500000000002</v>
      </c>
      <c r="D64" s="702">
        <v>9.2468500000000002</v>
      </c>
      <c r="E64" s="711" t="s">
        <v>329</v>
      </c>
      <c r="F64" s="701">
        <v>0</v>
      </c>
      <c r="G64" s="702">
        <v>0</v>
      </c>
      <c r="H64" s="704">
        <v>0</v>
      </c>
      <c r="I64" s="701">
        <v>5.6663300000000003</v>
      </c>
      <c r="J64" s="702">
        <v>5.6663300000000003</v>
      </c>
      <c r="K64" s="712" t="s">
        <v>329</v>
      </c>
    </row>
    <row r="65" spans="1:11" ht="14.45" customHeight="1" thickBot="1" x14ac:dyDescent="0.25">
      <c r="A65" s="723" t="s">
        <v>391</v>
      </c>
      <c r="B65" s="701">
        <v>85.058590832302002</v>
      </c>
      <c r="C65" s="701">
        <v>107.07039</v>
      </c>
      <c r="D65" s="702">
        <v>22.011799167696999</v>
      </c>
      <c r="E65" s="703">
        <v>1.2587839623520001</v>
      </c>
      <c r="F65" s="701">
        <v>110</v>
      </c>
      <c r="G65" s="702">
        <v>82.5</v>
      </c>
      <c r="H65" s="704">
        <v>3.8741699999989998</v>
      </c>
      <c r="I65" s="701">
        <v>35.593380000000003</v>
      </c>
      <c r="J65" s="702">
        <v>-46.906619999999997</v>
      </c>
      <c r="K65" s="705">
        <v>0.32357618181800002</v>
      </c>
    </row>
    <row r="66" spans="1:11" ht="14.45" customHeight="1" thickBot="1" x14ac:dyDescent="0.25">
      <c r="A66" s="723" t="s">
        <v>392</v>
      </c>
      <c r="B66" s="701">
        <v>230</v>
      </c>
      <c r="C66" s="701">
        <v>208.43541999999999</v>
      </c>
      <c r="D66" s="702">
        <v>-21.564579999999001</v>
      </c>
      <c r="E66" s="703">
        <v>0.90624095652100001</v>
      </c>
      <c r="F66" s="701">
        <v>210</v>
      </c>
      <c r="G66" s="702">
        <v>157.5</v>
      </c>
      <c r="H66" s="704">
        <v>18.382699999999002</v>
      </c>
      <c r="I66" s="701">
        <v>142.67258000000001</v>
      </c>
      <c r="J66" s="702">
        <v>-14.82742</v>
      </c>
      <c r="K66" s="705">
        <v>0.67939323809499996</v>
      </c>
    </row>
    <row r="67" spans="1:11" ht="14.45" customHeight="1" thickBot="1" x14ac:dyDescent="0.25">
      <c r="A67" s="723" t="s">
        <v>393</v>
      </c>
      <c r="B67" s="701">
        <v>144.96924400831699</v>
      </c>
      <c r="C67" s="701">
        <v>130.69050999999999</v>
      </c>
      <c r="D67" s="702">
        <v>-14.278734008316</v>
      </c>
      <c r="E67" s="703">
        <v>0.90150508057000001</v>
      </c>
      <c r="F67" s="701">
        <v>135</v>
      </c>
      <c r="G67" s="702">
        <v>101.25</v>
      </c>
      <c r="H67" s="704">
        <v>10.612819999999999</v>
      </c>
      <c r="I67" s="701">
        <v>98.449929999999</v>
      </c>
      <c r="J67" s="702">
        <v>-2.8000699999999998</v>
      </c>
      <c r="K67" s="705">
        <v>0.72925874073999997</v>
      </c>
    </row>
    <row r="68" spans="1:11" ht="14.45" customHeight="1" thickBot="1" x14ac:dyDescent="0.25">
      <c r="A68" s="722" t="s">
        <v>394</v>
      </c>
      <c r="B68" s="706">
        <v>0</v>
      </c>
      <c r="C68" s="706">
        <v>0</v>
      </c>
      <c r="D68" s="707">
        <v>0</v>
      </c>
      <c r="E68" s="713">
        <v>1</v>
      </c>
      <c r="F68" s="706">
        <v>0</v>
      </c>
      <c r="G68" s="707">
        <v>0</v>
      </c>
      <c r="H68" s="709">
        <v>0</v>
      </c>
      <c r="I68" s="706">
        <v>0.39600000000000002</v>
      </c>
      <c r="J68" s="707">
        <v>0.39600000000000002</v>
      </c>
      <c r="K68" s="710" t="s">
        <v>343</v>
      </c>
    </row>
    <row r="69" spans="1:11" ht="14.45" customHeight="1" thickBot="1" x14ac:dyDescent="0.25">
      <c r="A69" s="723" t="s">
        <v>395</v>
      </c>
      <c r="B69" s="701">
        <v>0</v>
      </c>
      <c r="C69" s="701">
        <v>0</v>
      </c>
      <c r="D69" s="702">
        <v>0</v>
      </c>
      <c r="E69" s="703">
        <v>1</v>
      </c>
      <c r="F69" s="701">
        <v>0</v>
      </c>
      <c r="G69" s="702">
        <v>0</v>
      </c>
      <c r="H69" s="704">
        <v>0</v>
      </c>
      <c r="I69" s="701">
        <v>0.39600000000000002</v>
      </c>
      <c r="J69" s="702">
        <v>0.39600000000000002</v>
      </c>
      <c r="K69" s="712" t="s">
        <v>343</v>
      </c>
    </row>
    <row r="70" spans="1:11" ht="14.45" customHeight="1" thickBot="1" x14ac:dyDescent="0.25">
      <c r="A70" s="722" t="s">
        <v>396</v>
      </c>
      <c r="B70" s="706">
        <v>0</v>
      </c>
      <c r="C70" s="706">
        <v>288.33375000000098</v>
      </c>
      <c r="D70" s="707">
        <v>288.33375000000098</v>
      </c>
      <c r="E70" s="708" t="s">
        <v>329</v>
      </c>
      <c r="F70" s="706">
        <v>0</v>
      </c>
      <c r="G70" s="707">
        <v>0</v>
      </c>
      <c r="H70" s="709">
        <v>0</v>
      </c>
      <c r="I70" s="706">
        <v>76.801000000000002</v>
      </c>
      <c r="J70" s="707">
        <v>76.801000000000002</v>
      </c>
      <c r="K70" s="710" t="s">
        <v>329</v>
      </c>
    </row>
    <row r="71" spans="1:11" ht="14.45" customHeight="1" thickBot="1" x14ac:dyDescent="0.25">
      <c r="A71" s="723" t="s">
        <v>397</v>
      </c>
      <c r="B71" s="701">
        <v>0</v>
      </c>
      <c r="C71" s="701">
        <v>288.33375000000098</v>
      </c>
      <c r="D71" s="702">
        <v>288.33375000000098</v>
      </c>
      <c r="E71" s="711" t="s">
        <v>329</v>
      </c>
      <c r="F71" s="701">
        <v>0</v>
      </c>
      <c r="G71" s="702">
        <v>0</v>
      </c>
      <c r="H71" s="704">
        <v>0</v>
      </c>
      <c r="I71" s="701">
        <v>76.801000000000002</v>
      </c>
      <c r="J71" s="702">
        <v>76.801000000000002</v>
      </c>
      <c r="K71" s="712" t="s">
        <v>329</v>
      </c>
    </row>
    <row r="72" spans="1:11" ht="14.45" customHeight="1" thickBot="1" x14ac:dyDescent="0.25">
      <c r="A72" s="721" t="s">
        <v>42</v>
      </c>
      <c r="B72" s="701">
        <v>896.50922463783195</v>
      </c>
      <c r="C72" s="701">
        <v>870.44100000000196</v>
      </c>
      <c r="D72" s="702">
        <v>-26.068224637829999</v>
      </c>
      <c r="E72" s="703">
        <v>0.97092252491999997</v>
      </c>
      <c r="F72" s="701">
        <v>997.75407893453701</v>
      </c>
      <c r="G72" s="702">
        <v>748.31555920090295</v>
      </c>
      <c r="H72" s="704">
        <v>59.527249999999</v>
      </c>
      <c r="I72" s="701">
        <v>695.66922</v>
      </c>
      <c r="J72" s="702">
        <v>-52.646339200903</v>
      </c>
      <c r="K72" s="705">
        <v>0.69723515512199996</v>
      </c>
    </row>
    <row r="73" spans="1:11" ht="14.45" customHeight="1" thickBot="1" x14ac:dyDescent="0.25">
      <c r="A73" s="722" t="s">
        <v>398</v>
      </c>
      <c r="B73" s="706">
        <v>896.50922463783195</v>
      </c>
      <c r="C73" s="706">
        <v>870.44100000000196</v>
      </c>
      <c r="D73" s="707">
        <v>-26.068224637829999</v>
      </c>
      <c r="E73" s="713">
        <v>0.97092252491999997</v>
      </c>
      <c r="F73" s="706">
        <v>997.75407893453701</v>
      </c>
      <c r="G73" s="707">
        <v>748.31555920090295</v>
      </c>
      <c r="H73" s="709">
        <v>59.527249999999</v>
      </c>
      <c r="I73" s="706">
        <v>695.66922</v>
      </c>
      <c r="J73" s="707">
        <v>-52.646339200903</v>
      </c>
      <c r="K73" s="714">
        <v>0.69723515512199996</v>
      </c>
    </row>
    <row r="74" spans="1:11" ht="14.45" customHeight="1" thickBot="1" x14ac:dyDescent="0.25">
      <c r="A74" s="723" t="s">
        <v>399</v>
      </c>
      <c r="B74" s="701">
        <v>259.008419427619</v>
      </c>
      <c r="C74" s="701">
        <v>261.34500000000003</v>
      </c>
      <c r="D74" s="702">
        <v>2.336580572381</v>
      </c>
      <c r="E74" s="703">
        <v>1.0090212533530001</v>
      </c>
      <c r="F74" s="701">
        <v>339.24378711321202</v>
      </c>
      <c r="G74" s="702">
        <v>254.432840334909</v>
      </c>
      <c r="H74" s="704">
        <v>27.293249999998999</v>
      </c>
      <c r="I74" s="701">
        <v>255.35122000000001</v>
      </c>
      <c r="J74" s="702">
        <v>0.91837966509000002</v>
      </c>
      <c r="K74" s="705">
        <v>0.75270713775700004</v>
      </c>
    </row>
    <row r="75" spans="1:11" ht="14.45" customHeight="1" thickBot="1" x14ac:dyDescent="0.25">
      <c r="A75" s="723" t="s">
        <v>400</v>
      </c>
      <c r="B75" s="701">
        <v>75.716583720136995</v>
      </c>
      <c r="C75" s="701">
        <v>80.150999999999996</v>
      </c>
      <c r="D75" s="702">
        <v>4.4344162798619999</v>
      </c>
      <c r="E75" s="703">
        <v>1.0585659846490001</v>
      </c>
      <c r="F75" s="701">
        <v>79.075607616623998</v>
      </c>
      <c r="G75" s="702">
        <v>59.306705712468002</v>
      </c>
      <c r="H75" s="704">
        <v>6.2959999999990002</v>
      </c>
      <c r="I75" s="701">
        <v>58.139999999998999</v>
      </c>
      <c r="J75" s="702">
        <v>-1.166705712468</v>
      </c>
      <c r="K75" s="705">
        <v>0.73524569399200002</v>
      </c>
    </row>
    <row r="76" spans="1:11" ht="14.45" customHeight="1" thickBot="1" x14ac:dyDescent="0.25">
      <c r="A76" s="723" t="s">
        <v>401</v>
      </c>
      <c r="B76" s="701">
        <v>561.78422149007497</v>
      </c>
      <c r="C76" s="701">
        <v>528.94500000000096</v>
      </c>
      <c r="D76" s="702">
        <v>-32.839221490074003</v>
      </c>
      <c r="E76" s="703">
        <v>0.94154477780900003</v>
      </c>
      <c r="F76" s="701">
        <v>579.43468420470106</v>
      </c>
      <c r="G76" s="702">
        <v>434.57601315352599</v>
      </c>
      <c r="H76" s="704">
        <v>25.937999999999001</v>
      </c>
      <c r="I76" s="701">
        <v>382.178</v>
      </c>
      <c r="J76" s="702">
        <v>-52.398013153525</v>
      </c>
      <c r="K76" s="705">
        <v>0.65957045792699998</v>
      </c>
    </row>
    <row r="77" spans="1:11" ht="14.45" customHeight="1" thickBot="1" x14ac:dyDescent="0.25">
      <c r="A77" s="721" t="s">
        <v>43</v>
      </c>
      <c r="B77" s="701">
        <v>179.57008744196301</v>
      </c>
      <c r="C77" s="701">
        <v>222.26924</v>
      </c>
      <c r="D77" s="702">
        <v>42.699152558036999</v>
      </c>
      <c r="E77" s="703">
        <v>1.237785441697</v>
      </c>
      <c r="F77" s="701">
        <v>308.43652370030401</v>
      </c>
      <c r="G77" s="702">
        <v>231.32739277522799</v>
      </c>
      <c r="H77" s="704">
        <v>17.858679999999001</v>
      </c>
      <c r="I77" s="701">
        <v>180.10261</v>
      </c>
      <c r="J77" s="702">
        <v>-51.224782775228</v>
      </c>
      <c r="K77" s="705">
        <v>0.58392115122800003</v>
      </c>
    </row>
    <row r="78" spans="1:11" ht="14.45" customHeight="1" thickBot="1" x14ac:dyDescent="0.25">
      <c r="A78" s="722" t="s">
        <v>402</v>
      </c>
      <c r="B78" s="706">
        <v>179.57008744196301</v>
      </c>
      <c r="C78" s="706">
        <v>222.26924</v>
      </c>
      <c r="D78" s="707">
        <v>42.699152558036999</v>
      </c>
      <c r="E78" s="713">
        <v>1.237785441697</v>
      </c>
      <c r="F78" s="706">
        <v>308.43652370030401</v>
      </c>
      <c r="G78" s="707">
        <v>231.32739277522799</v>
      </c>
      <c r="H78" s="709">
        <v>17.858679999999001</v>
      </c>
      <c r="I78" s="706">
        <v>180.10261</v>
      </c>
      <c r="J78" s="707">
        <v>-51.224782775228</v>
      </c>
      <c r="K78" s="714">
        <v>0.58392115122800003</v>
      </c>
    </row>
    <row r="79" spans="1:11" ht="14.45" customHeight="1" thickBot="1" x14ac:dyDescent="0.25">
      <c r="A79" s="723" t="s">
        <v>403</v>
      </c>
      <c r="B79" s="701">
        <v>179.57008744196301</v>
      </c>
      <c r="C79" s="701">
        <v>222.26924</v>
      </c>
      <c r="D79" s="702">
        <v>42.699152558036999</v>
      </c>
      <c r="E79" s="703">
        <v>1.237785441697</v>
      </c>
      <c r="F79" s="701">
        <v>308.43652370030401</v>
      </c>
      <c r="G79" s="702">
        <v>231.32739277522799</v>
      </c>
      <c r="H79" s="704">
        <v>17.858679999999001</v>
      </c>
      <c r="I79" s="701">
        <v>180.10261</v>
      </c>
      <c r="J79" s="702">
        <v>-51.224782775228</v>
      </c>
      <c r="K79" s="705">
        <v>0.58392115122800003</v>
      </c>
    </row>
    <row r="80" spans="1:11" ht="14.45" customHeight="1" thickBot="1" x14ac:dyDescent="0.25">
      <c r="A80" s="724" t="s">
        <v>404</v>
      </c>
      <c r="B80" s="706">
        <v>6752.86720932144</v>
      </c>
      <c r="C80" s="706">
        <v>3154.56576000001</v>
      </c>
      <c r="D80" s="707">
        <v>-3598.30144932143</v>
      </c>
      <c r="E80" s="713">
        <v>0.46714464570600001</v>
      </c>
      <c r="F80" s="706">
        <v>2688.58957416153</v>
      </c>
      <c r="G80" s="707">
        <v>2016.4421806211501</v>
      </c>
      <c r="H80" s="709">
        <v>241.61555999999899</v>
      </c>
      <c r="I80" s="706">
        <v>2814.1080499999998</v>
      </c>
      <c r="J80" s="707">
        <v>797.66586937884904</v>
      </c>
      <c r="K80" s="714">
        <v>1.046685621727</v>
      </c>
    </row>
    <row r="81" spans="1:11" ht="14.45" customHeight="1" thickBot="1" x14ac:dyDescent="0.25">
      <c r="A81" s="721" t="s">
        <v>45</v>
      </c>
      <c r="B81" s="701">
        <v>4560.3252410921205</v>
      </c>
      <c r="C81" s="701">
        <v>632.491410000001</v>
      </c>
      <c r="D81" s="702">
        <v>-3927.8338310921199</v>
      </c>
      <c r="E81" s="703">
        <v>0.13869436423100001</v>
      </c>
      <c r="F81" s="701">
        <v>552.24392265664699</v>
      </c>
      <c r="G81" s="702">
        <v>414.18294199248498</v>
      </c>
      <c r="H81" s="704">
        <v>1.933579999999</v>
      </c>
      <c r="I81" s="701">
        <v>317.35514999999998</v>
      </c>
      <c r="J81" s="702">
        <v>-96.827791992485004</v>
      </c>
      <c r="K81" s="705">
        <v>0.57466481201499997</v>
      </c>
    </row>
    <row r="82" spans="1:11" ht="14.45" customHeight="1" thickBot="1" x14ac:dyDescent="0.25">
      <c r="A82" s="725" t="s">
        <v>405</v>
      </c>
      <c r="B82" s="701">
        <v>4560.3252410921205</v>
      </c>
      <c r="C82" s="701">
        <v>632.491410000001</v>
      </c>
      <c r="D82" s="702">
        <v>-3927.8338310921199</v>
      </c>
      <c r="E82" s="703">
        <v>0.13869436423100001</v>
      </c>
      <c r="F82" s="701">
        <v>552.24392265664699</v>
      </c>
      <c r="G82" s="702">
        <v>414.18294199248498</v>
      </c>
      <c r="H82" s="704">
        <v>1.933579999999</v>
      </c>
      <c r="I82" s="701">
        <v>317.35514999999998</v>
      </c>
      <c r="J82" s="702">
        <v>-96.827791992485004</v>
      </c>
      <c r="K82" s="705">
        <v>0.57466481201499997</v>
      </c>
    </row>
    <row r="83" spans="1:11" ht="14.45" customHeight="1" thickBot="1" x14ac:dyDescent="0.25">
      <c r="A83" s="723" t="s">
        <v>406</v>
      </c>
      <c r="B83" s="701">
        <v>1923.0343804219201</v>
      </c>
      <c r="C83" s="701">
        <v>493.22714999999999</v>
      </c>
      <c r="D83" s="702">
        <v>-1429.8072304219099</v>
      </c>
      <c r="E83" s="703">
        <v>0.25648379197999999</v>
      </c>
      <c r="F83" s="701">
        <v>378.16587128950101</v>
      </c>
      <c r="G83" s="702">
        <v>283.624403467126</v>
      </c>
      <c r="H83" s="704">
        <v>0</v>
      </c>
      <c r="I83" s="701">
        <v>148.27025</v>
      </c>
      <c r="J83" s="702">
        <v>-135.354153467125</v>
      </c>
      <c r="K83" s="705">
        <v>0.39207729003699998</v>
      </c>
    </row>
    <row r="84" spans="1:11" ht="14.45" customHeight="1" thickBot="1" x14ac:dyDescent="0.25">
      <c r="A84" s="723" t="s">
        <v>407</v>
      </c>
      <c r="B84" s="701">
        <v>39.475067058911002</v>
      </c>
      <c r="C84" s="701">
        <v>9.4049700000000005</v>
      </c>
      <c r="D84" s="702">
        <v>-30.070097058910999</v>
      </c>
      <c r="E84" s="703">
        <v>0.23825089355599999</v>
      </c>
      <c r="F84" s="701">
        <v>0.499123647384</v>
      </c>
      <c r="G84" s="702">
        <v>0.37434273553800002</v>
      </c>
      <c r="H84" s="704">
        <v>0</v>
      </c>
      <c r="I84" s="701">
        <v>39.190359999999998</v>
      </c>
      <c r="J84" s="702">
        <v>38.816017264461998</v>
      </c>
      <c r="K84" s="705">
        <v>0</v>
      </c>
    </row>
    <row r="85" spans="1:11" ht="14.45" customHeight="1" thickBot="1" x14ac:dyDescent="0.25">
      <c r="A85" s="723" t="s">
        <v>408</v>
      </c>
      <c r="B85" s="701">
        <v>2520.3447272959102</v>
      </c>
      <c r="C85" s="701">
        <v>70.205150000000003</v>
      </c>
      <c r="D85" s="702">
        <v>-2450.1395772959099</v>
      </c>
      <c r="E85" s="703">
        <v>2.7855375987999999E-2</v>
      </c>
      <c r="F85" s="701">
        <v>113.65814467921101</v>
      </c>
      <c r="G85" s="702">
        <v>85.243608509408006</v>
      </c>
      <c r="H85" s="704">
        <v>0</v>
      </c>
      <c r="I85" s="701">
        <v>87.086669999999998</v>
      </c>
      <c r="J85" s="702">
        <v>1.8430614905910001</v>
      </c>
      <c r="K85" s="705">
        <v>0.76621583297600004</v>
      </c>
    </row>
    <row r="86" spans="1:11" ht="14.45" customHeight="1" thickBot="1" x14ac:dyDescent="0.25">
      <c r="A86" s="723" t="s">
        <v>409</v>
      </c>
      <c r="B86" s="701">
        <v>77.471066315379005</v>
      </c>
      <c r="C86" s="701">
        <v>59.654139999999998</v>
      </c>
      <c r="D86" s="702">
        <v>-17.816926315379</v>
      </c>
      <c r="E86" s="703">
        <v>0.77001831570400003</v>
      </c>
      <c r="F86" s="701">
        <v>46.143454447632998</v>
      </c>
      <c r="G86" s="702">
        <v>34.607590835724999</v>
      </c>
      <c r="H86" s="704">
        <v>1.933579999999</v>
      </c>
      <c r="I86" s="701">
        <v>42.807870000000001</v>
      </c>
      <c r="J86" s="702">
        <v>8.2002791642740007</v>
      </c>
      <c r="K86" s="705">
        <v>0.92771272789199999</v>
      </c>
    </row>
    <row r="87" spans="1:11" ht="14.45" customHeight="1" thickBot="1" x14ac:dyDescent="0.25">
      <c r="A87" s="723" t="s">
        <v>410</v>
      </c>
      <c r="B87" s="701">
        <v>0</v>
      </c>
      <c r="C87" s="701">
        <v>0</v>
      </c>
      <c r="D87" s="702">
        <v>0</v>
      </c>
      <c r="E87" s="703">
        <v>1</v>
      </c>
      <c r="F87" s="701">
        <v>3.9491496036579998</v>
      </c>
      <c r="G87" s="702">
        <v>2.9618622027430002</v>
      </c>
      <c r="H87" s="704">
        <v>0</v>
      </c>
      <c r="I87" s="701">
        <v>0</v>
      </c>
      <c r="J87" s="702">
        <v>-2.9618622027430002</v>
      </c>
      <c r="K87" s="705">
        <v>0</v>
      </c>
    </row>
    <row r="88" spans="1:11" ht="14.45" customHeight="1" thickBot="1" x14ac:dyDescent="0.25">
      <c r="A88" s="723" t="s">
        <v>411</v>
      </c>
      <c r="B88" s="701">
        <v>0</v>
      </c>
      <c r="C88" s="701">
        <v>0</v>
      </c>
      <c r="D88" s="702">
        <v>0</v>
      </c>
      <c r="E88" s="703">
        <v>1</v>
      </c>
      <c r="F88" s="701">
        <v>7.4212780122969999</v>
      </c>
      <c r="G88" s="702">
        <v>5.565958509223</v>
      </c>
      <c r="H88" s="704">
        <v>0</v>
      </c>
      <c r="I88" s="701">
        <v>0</v>
      </c>
      <c r="J88" s="702">
        <v>-5.565958509223</v>
      </c>
      <c r="K88" s="705">
        <v>0</v>
      </c>
    </row>
    <row r="89" spans="1:11" ht="14.45" customHeight="1" thickBot="1" x14ac:dyDescent="0.25">
      <c r="A89" s="723" t="s">
        <v>412</v>
      </c>
      <c r="B89" s="701">
        <v>0</v>
      </c>
      <c r="C89" s="701">
        <v>0</v>
      </c>
      <c r="D89" s="702">
        <v>0</v>
      </c>
      <c r="E89" s="703">
        <v>1</v>
      </c>
      <c r="F89" s="701">
        <v>2.4069009769609999</v>
      </c>
      <c r="G89" s="702">
        <v>1.8051757327210001</v>
      </c>
      <c r="H89" s="704">
        <v>0</v>
      </c>
      <c r="I89" s="701">
        <v>0</v>
      </c>
      <c r="J89" s="702">
        <v>-1.8051757327210001</v>
      </c>
      <c r="K89" s="705">
        <v>0</v>
      </c>
    </row>
    <row r="90" spans="1:11" ht="14.45" customHeight="1" thickBot="1" x14ac:dyDescent="0.25">
      <c r="A90" s="726" t="s">
        <v>46</v>
      </c>
      <c r="B90" s="706">
        <v>0</v>
      </c>
      <c r="C90" s="706">
        <v>147.66300000000001</v>
      </c>
      <c r="D90" s="707">
        <v>147.66300000000001</v>
      </c>
      <c r="E90" s="708" t="s">
        <v>329</v>
      </c>
      <c r="F90" s="706">
        <v>0</v>
      </c>
      <c r="G90" s="707">
        <v>0</v>
      </c>
      <c r="H90" s="709">
        <v>1.500999999999</v>
      </c>
      <c r="I90" s="706">
        <v>75.472999999999004</v>
      </c>
      <c r="J90" s="707">
        <v>75.472999999999004</v>
      </c>
      <c r="K90" s="710" t="s">
        <v>329</v>
      </c>
    </row>
    <row r="91" spans="1:11" ht="14.45" customHeight="1" thickBot="1" x14ac:dyDescent="0.25">
      <c r="A91" s="722" t="s">
        <v>413</v>
      </c>
      <c r="B91" s="706">
        <v>0</v>
      </c>
      <c r="C91" s="706">
        <v>144.78100000000001</v>
      </c>
      <c r="D91" s="707">
        <v>144.78100000000001</v>
      </c>
      <c r="E91" s="708" t="s">
        <v>329</v>
      </c>
      <c r="F91" s="706">
        <v>0</v>
      </c>
      <c r="G91" s="707">
        <v>0</v>
      </c>
      <c r="H91" s="709">
        <v>1.500999999999</v>
      </c>
      <c r="I91" s="706">
        <v>75.472999999999004</v>
      </c>
      <c r="J91" s="707">
        <v>75.472999999999004</v>
      </c>
      <c r="K91" s="710" t="s">
        <v>329</v>
      </c>
    </row>
    <row r="92" spans="1:11" ht="14.45" customHeight="1" thickBot="1" x14ac:dyDescent="0.25">
      <c r="A92" s="723" t="s">
        <v>414</v>
      </c>
      <c r="B92" s="701">
        <v>0</v>
      </c>
      <c r="C92" s="701">
        <v>136.881</v>
      </c>
      <c r="D92" s="702">
        <v>136.881</v>
      </c>
      <c r="E92" s="711" t="s">
        <v>329</v>
      </c>
      <c r="F92" s="701">
        <v>0</v>
      </c>
      <c r="G92" s="702">
        <v>0</v>
      </c>
      <c r="H92" s="704">
        <v>1.500999999999</v>
      </c>
      <c r="I92" s="701">
        <v>72.722999999999004</v>
      </c>
      <c r="J92" s="702">
        <v>72.722999999999004</v>
      </c>
      <c r="K92" s="712" t="s">
        <v>329</v>
      </c>
    </row>
    <row r="93" spans="1:11" ht="14.45" customHeight="1" thickBot="1" x14ac:dyDescent="0.25">
      <c r="A93" s="723" t="s">
        <v>415</v>
      </c>
      <c r="B93" s="701">
        <v>0</v>
      </c>
      <c r="C93" s="701">
        <v>7.9</v>
      </c>
      <c r="D93" s="702">
        <v>7.9</v>
      </c>
      <c r="E93" s="711" t="s">
        <v>329</v>
      </c>
      <c r="F93" s="701">
        <v>0</v>
      </c>
      <c r="G93" s="702">
        <v>0</v>
      </c>
      <c r="H93" s="704">
        <v>0</v>
      </c>
      <c r="I93" s="701">
        <v>2.7499999999989999</v>
      </c>
      <c r="J93" s="702">
        <v>2.7499999999989999</v>
      </c>
      <c r="K93" s="712" t="s">
        <v>329</v>
      </c>
    </row>
    <row r="94" spans="1:11" ht="14.45" customHeight="1" thickBot="1" x14ac:dyDescent="0.25">
      <c r="A94" s="722" t="s">
        <v>416</v>
      </c>
      <c r="B94" s="706">
        <v>0</v>
      </c>
      <c r="C94" s="706">
        <v>2.8820000000000001</v>
      </c>
      <c r="D94" s="707">
        <v>2.8820000000000001</v>
      </c>
      <c r="E94" s="708" t="s">
        <v>343</v>
      </c>
      <c r="F94" s="706">
        <v>0</v>
      </c>
      <c r="G94" s="707">
        <v>0</v>
      </c>
      <c r="H94" s="709">
        <v>0</v>
      </c>
      <c r="I94" s="706">
        <v>0</v>
      </c>
      <c r="J94" s="707">
        <v>0</v>
      </c>
      <c r="K94" s="710" t="s">
        <v>329</v>
      </c>
    </row>
    <row r="95" spans="1:11" ht="14.45" customHeight="1" thickBot="1" x14ac:dyDescent="0.25">
      <c r="A95" s="723" t="s">
        <v>417</v>
      </c>
      <c r="B95" s="701">
        <v>0</v>
      </c>
      <c r="C95" s="701">
        <v>2.8820000000000001</v>
      </c>
      <c r="D95" s="702">
        <v>2.8820000000000001</v>
      </c>
      <c r="E95" s="711" t="s">
        <v>343</v>
      </c>
      <c r="F95" s="701">
        <v>0</v>
      </c>
      <c r="G95" s="702">
        <v>0</v>
      </c>
      <c r="H95" s="704">
        <v>0</v>
      </c>
      <c r="I95" s="701">
        <v>0</v>
      </c>
      <c r="J95" s="702">
        <v>0</v>
      </c>
      <c r="K95" s="712" t="s">
        <v>329</v>
      </c>
    </row>
    <row r="96" spans="1:11" ht="14.45" customHeight="1" thickBot="1" x14ac:dyDescent="0.25">
      <c r="A96" s="721" t="s">
        <v>47</v>
      </c>
      <c r="B96" s="701">
        <v>2192.54196822932</v>
      </c>
      <c r="C96" s="701">
        <v>2374.4113499999999</v>
      </c>
      <c r="D96" s="702">
        <v>181.86938177068399</v>
      </c>
      <c r="E96" s="703">
        <v>1.0829490994490001</v>
      </c>
      <c r="F96" s="701">
        <v>2136.3456515048802</v>
      </c>
      <c r="G96" s="702">
        <v>1602.2592386286599</v>
      </c>
      <c r="H96" s="704">
        <v>238.18097999999901</v>
      </c>
      <c r="I96" s="701">
        <v>2421.2799</v>
      </c>
      <c r="J96" s="702">
        <v>819.020661371335</v>
      </c>
      <c r="K96" s="705">
        <v>1.1333746008250001</v>
      </c>
    </row>
    <row r="97" spans="1:11" ht="14.45" customHeight="1" thickBot="1" x14ac:dyDescent="0.25">
      <c r="A97" s="722" t="s">
        <v>418</v>
      </c>
      <c r="B97" s="706">
        <v>28.693539342729999</v>
      </c>
      <c r="C97" s="706">
        <v>26.570329999999998</v>
      </c>
      <c r="D97" s="707">
        <v>-2.1232093427300001</v>
      </c>
      <c r="E97" s="713">
        <v>0.92600392313500002</v>
      </c>
      <c r="F97" s="706">
        <v>26.906143241451002</v>
      </c>
      <c r="G97" s="707">
        <v>20.179607431088002</v>
      </c>
      <c r="H97" s="709">
        <v>2.3075799999990001</v>
      </c>
      <c r="I97" s="706">
        <v>20.093160000000001</v>
      </c>
      <c r="J97" s="707">
        <v>-8.6447431088000001E-2</v>
      </c>
      <c r="K97" s="714">
        <v>0.74678707459799998</v>
      </c>
    </row>
    <row r="98" spans="1:11" ht="14.45" customHeight="1" thickBot="1" x14ac:dyDescent="0.25">
      <c r="A98" s="723" t="s">
        <v>419</v>
      </c>
      <c r="B98" s="701">
        <v>12.831181433816999</v>
      </c>
      <c r="C98" s="701">
        <v>12.946</v>
      </c>
      <c r="D98" s="702">
        <v>0.114818566182</v>
      </c>
      <c r="E98" s="703">
        <v>1.0089484017329999</v>
      </c>
      <c r="F98" s="701">
        <v>13.281452318291</v>
      </c>
      <c r="G98" s="702">
        <v>9.9610892387179995</v>
      </c>
      <c r="H98" s="704">
        <v>1.0129999999999999</v>
      </c>
      <c r="I98" s="701">
        <v>9.422199999999</v>
      </c>
      <c r="J98" s="702">
        <v>-0.53888923871799999</v>
      </c>
      <c r="K98" s="705">
        <v>0.70942542834800004</v>
      </c>
    </row>
    <row r="99" spans="1:11" ht="14.45" customHeight="1" thickBot="1" x14ac:dyDescent="0.25">
      <c r="A99" s="723" t="s">
        <v>420</v>
      </c>
      <c r="B99" s="701">
        <v>15.862357908912999</v>
      </c>
      <c r="C99" s="701">
        <v>13.62433</v>
      </c>
      <c r="D99" s="702">
        <v>-2.2380279089130002</v>
      </c>
      <c r="E99" s="703">
        <v>0.85890950628100005</v>
      </c>
      <c r="F99" s="701">
        <v>13.624690923158999</v>
      </c>
      <c r="G99" s="702">
        <v>10.218518192369</v>
      </c>
      <c r="H99" s="704">
        <v>1.294579999999</v>
      </c>
      <c r="I99" s="701">
        <v>10.670959999999999</v>
      </c>
      <c r="J99" s="702">
        <v>0.45244180763000003</v>
      </c>
      <c r="K99" s="705">
        <v>0.78320749147099999</v>
      </c>
    </row>
    <row r="100" spans="1:11" ht="14.45" customHeight="1" thickBot="1" x14ac:dyDescent="0.25">
      <c r="A100" s="722" t="s">
        <v>421</v>
      </c>
      <c r="B100" s="706">
        <v>122.989914172076</v>
      </c>
      <c r="C100" s="706">
        <v>97.532300000000006</v>
      </c>
      <c r="D100" s="707">
        <v>-25.457614172075001</v>
      </c>
      <c r="E100" s="713">
        <v>0.79301055421099997</v>
      </c>
      <c r="F100" s="706">
        <v>100.922433865977</v>
      </c>
      <c r="G100" s="707">
        <v>75.691825399482994</v>
      </c>
      <c r="H100" s="709">
        <v>-5.2866599999990003</v>
      </c>
      <c r="I100" s="706">
        <v>122.96222</v>
      </c>
      <c r="J100" s="707">
        <v>47.270394600517001</v>
      </c>
      <c r="K100" s="714">
        <v>1.218383418728</v>
      </c>
    </row>
    <row r="101" spans="1:11" ht="14.45" customHeight="1" thickBot="1" x14ac:dyDescent="0.25">
      <c r="A101" s="723" t="s">
        <v>422</v>
      </c>
      <c r="B101" s="701">
        <v>22.332957746478002</v>
      </c>
      <c r="C101" s="701">
        <v>25.38</v>
      </c>
      <c r="D101" s="702">
        <v>3.047042253521</v>
      </c>
      <c r="E101" s="703">
        <v>1.1364370222739999</v>
      </c>
      <c r="F101" s="701">
        <v>24.999999999999002</v>
      </c>
      <c r="G101" s="702">
        <v>18.749999999999002</v>
      </c>
      <c r="H101" s="704">
        <v>0</v>
      </c>
      <c r="I101" s="701">
        <v>18.899999999999999</v>
      </c>
      <c r="J101" s="702">
        <v>0.15</v>
      </c>
      <c r="K101" s="705">
        <v>0.75600000000000001</v>
      </c>
    </row>
    <row r="102" spans="1:11" ht="14.45" customHeight="1" thickBot="1" x14ac:dyDescent="0.25">
      <c r="A102" s="723" t="s">
        <v>423</v>
      </c>
      <c r="B102" s="701">
        <v>100.656956425597</v>
      </c>
      <c r="C102" s="701">
        <v>72.152299999999997</v>
      </c>
      <c r="D102" s="702">
        <v>-28.504656425596</v>
      </c>
      <c r="E102" s="703">
        <v>0.71681384538299997</v>
      </c>
      <c r="F102" s="701">
        <v>75.922433865976998</v>
      </c>
      <c r="G102" s="702">
        <v>56.941825399483001</v>
      </c>
      <c r="H102" s="704">
        <v>-5.2866599999990003</v>
      </c>
      <c r="I102" s="701">
        <v>104.06222</v>
      </c>
      <c r="J102" s="702">
        <v>47.120394600516001</v>
      </c>
      <c r="K102" s="705">
        <v>1.3706386202480001</v>
      </c>
    </row>
    <row r="103" spans="1:11" ht="14.45" customHeight="1" thickBot="1" x14ac:dyDescent="0.25">
      <c r="A103" s="722" t="s">
        <v>424</v>
      </c>
      <c r="B103" s="706">
        <v>0</v>
      </c>
      <c r="C103" s="706">
        <v>54</v>
      </c>
      <c r="D103" s="707">
        <v>54</v>
      </c>
      <c r="E103" s="708" t="s">
        <v>343</v>
      </c>
      <c r="F103" s="706">
        <v>0</v>
      </c>
      <c r="G103" s="707">
        <v>0</v>
      </c>
      <c r="H103" s="709">
        <v>0</v>
      </c>
      <c r="I103" s="706">
        <v>45.496000000000002</v>
      </c>
      <c r="J103" s="707">
        <v>45.496000000000002</v>
      </c>
      <c r="K103" s="710" t="s">
        <v>329</v>
      </c>
    </row>
    <row r="104" spans="1:11" ht="14.45" customHeight="1" thickBot="1" x14ac:dyDescent="0.25">
      <c r="A104" s="723" t="s">
        <v>425</v>
      </c>
      <c r="B104" s="701">
        <v>0</v>
      </c>
      <c r="C104" s="701">
        <v>54</v>
      </c>
      <c r="D104" s="702">
        <v>54</v>
      </c>
      <c r="E104" s="711" t="s">
        <v>343</v>
      </c>
      <c r="F104" s="701">
        <v>0</v>
      </c>
      <c r="G104" s="702">
        <v>0</v>
      </c>
      <c r="H104" s="704">
        <v>0</v>
      </c>
      <c r="I104" s="701">
        <v>45.496000000000002</v>
      </c>
      <c r="J104" s="702">
        <v>45.496000000000002</v>
      </c>
      <c r="K104" s="712" t="s">
        <v>329</v>
      </c>
    </row>
    <row r="105" spans="1:11" ht="14.45" customHeight="1" thickBot="1" x14ac:dyDescent="0.25">
      <c r="A105" s="722" t="s">
        <v>426</v>
      </c>
      <c r="B105" s="706">
        <v>1103.2607600762699</v>
      </c>
      <c r="C105" s="706">
        <v>1105.9683</v>
      </c>
      <c r="D105" s="707">
        <v>2.7075399237359998</v>
      </c>
      <c r="E105" s="713">
        <v>1.0024541251000001</v>
      </c>
      <c r="F105" s="706">
        <v>1138.05699501493</v>
      </c>
      <c r="G105" s="707">
        <v>853.542746261194</v>
      </c>
      <c r="H105" s="709">
        <v>178.215679999999</v>
      </c>
      <c r="I105" s="706">
        <v>1409.7041200000001</v>
      </c>
      <c r="J105" s="707">
        <v>556.16137373880497</v>
      </c>
      <c r="K105" s="714">
        <v>1.2386937791120001</v>
      </c>
    </row>
    <row r="106" spans="1:11" ht="14.45" customHeight="1" thickBot="1" x14ac:dyDescent="0.25">
      <c r="A106" s="723" t="s">
        <v>427</v>
      </c>
      <c r="B106" s="701">
        <v>932.660760076266</v>
      </c>
      <c r="C106" s="701">
        <v>937.12068000000204</v>
      </c>
      <c r="D106" s="702">
        <v>4.4599199237349998</v>
      </c>
      <c r="E106" s="703">
        <v>1.00478193156</v>
      </c>
      <c r="F106" s="701">
        <v>969.44654937457506</v>
      </c>
      <c r="G106" s="702">
        <v>727.08491203093195</v>
      </c>
      <c r="H106" s="704">
        <v>83.949369999999007</v>
      </c>
      <c r="I106" s="701">
        <v>735.82748999999899</v>
      </c>
      <c r="J106" s="702">
        <v>8.7425779690669998</v>
      </c>
      <c r="K106" s="705">
        <v>0.75901811242100004</v>
      </c>
    </row>
    <row r="107" spans="1:11" ht="14.45" customHeight="1" thickBot="1" x14ac:dyDescent="0.25">
      <c r="A107" s="723" t="s">
        <v>428</v>
      </c>
      <c r="B107" s="701">
        <v>0</v>
      </c>
      <c r="C107" s="701">
        <v>6.4734999999999996</v>
      </c>
      <c r="D107" s="702">
        <v>6.4734999999999996</v>
      </c>
      <c r="E107" s="711" t="s">
        <v>343</v>
      </c>
      <c r="F107" s="701">
        <v>0</v>
      </c>
      <c r="G107" s="702">
        <v>0</v>
      </c>
      <c r="H107" s="704">
        <v>0</v>
      </c>
      <c r="I107" s="701">
        <v>4.5133000000000001</v>
      </c>
      <c r="J107" s="702">
        <v>4.5133000000000001</v>
      </c>
      <c r="K107" s="712" t="s">
        <v>329</v>
      </c>
    </row>
    <row r="108" spans="1:11" ht="14.45" customHeight="1" thickBot="1" x14ac:dyDescent="0.25">
      <c r="A108" s="723" t="s">
        <v>429</v>
      </c>
      <c r="B108" s="701">
        <v>170.6</v>
      </c>
      <c r="C108" s="701">
        <v>162.37412</v>
      </c>
      <c r="D108" s="702">
        <v>-8.225879999999</v>
      </c>
      <c r="E108" s="703">
        <v>0.95178264947199998</v>
      </c>
      <c r="F108" s="701">
        <v>168.61044564035001</v>
      </c>
      <c r="G108" s="702">
        <v>126.45783423026199</v>
      </c>
      <c r="H108" s="704">
        <v>14.314429999999</v>
      </c>
      <c r="I108" s="701">
        <v>130.60462999999999</v>
      </c>
      <c r="J108" s="702">
        <v>4.1467957697370004</v>
      </c>
      <c r="K108" s="705">
        <v>0.77459394347699995</v>
      </c>
    </row>
    <row r="109" spans="1:11" ht="14.45" customHeight="1" thickBot="1" x14ac:dyDescent="0.25">
      <c r="A109" s="723" t="s">
        <v>430</v>
      </c>
      <c r="B109" s="701">
        <v>0</v>
      </c>
      <c r="C109" s="701">
        <v>0</v>
      </c>
      <c r="D109" s="702">
        <v>0</v>
      </c>
      <c r="E109" s="703">
        <v>1</v>
      </c>
      <c r="F109" s="701">
        <v>0</v>
      </c>
      <c r="G109" s="702">
        <v>0</v>
      </c>
      <c r="H109" s="704">
        <v>80.604559999998997</v>
      </c>
      <c r="I109" s="701">
        <v>538.75869999999895</v>
      </c>
      <c r="J109" s="702">
        <v>538.75869999999895</v>
      </c>
      <c r="K109" s="712" t="s">
        <v>343</v>
      </c>
    </row>
    <row r="110" spans="1:11" ht="14.45" customHeight="1" thickBot="1" x14ac:dyDescent="0.25">
      <c r="A110" s="722" t="s">
        <v>431</v>
      </c>
      <c r="B110" s="706">
        <v>936.10099094814996</v>
      </c>
      <c r="C110" s="706">
        <v>993.583500000002</v>
      </c>
      <c r="D110" s="707">
        <v>57.482509051851999</v>
      </c>
      <c r="E110" s="713">
        <v>1.061406311506</v>
      </c>
      <c r="F110" s="706">
        <v>870.46007938252899</v>
      </c>
      <c r="G110" s="707">
        <v>652.845059536897</v>
      </c>
      <c r="H110" s="709">
        <v>55.713859999999002</v>
      </c>
      <c r="I110" s="706">
        <v>794.05819999999903</v>
      </c>
      <c r="J110" s="707">
        <v>141.21314046310201</v>
      </c>
      <c r="K110" s="714">
        <v>0.91222816394200001</v>
      </c>
    </row>
    <row r="111" spans="1:11" ht="14.45" customHeight="1" thickBot="1" x14ac:dyDescent="0.25">
      <c r="A111" s="723" t="s">
        <v>432</v>
      </c>
      <c r="B111" s="701">
        <v>0.38922121843899998</v>
      </c>
      <c r="C111" s="701">
        <v>0</v>
      </c>
      <c r="D111" s="702">
        <v>-0.38922121843899998</v>
      </c>
      <c r="E111" s="703">
        <v>0</v>
      </c>
      <c r="F111" s="701">
        <v>0</v>
      </c>
      <c r="G111" s="702">
        <v>0</v>
      </c>
      <c r="H111" s="704">
        <v>14.182999999999</v>
      </c>
      <c r="I111" s="701">
        <v>14.182999999999</v>
      </c>
      <c r="J111" s="702">
        <v>14.182999999999</v>
      </c>
      <c r="K111" s="712" t="s">
        <v>343</v>
      </c>
    </row>
    <row r="112" spans="1:11" ht="14.45" customHeight="1" thickBot="1" x14ac:dyDescent="0.25">
      <c r="A112" s="723" t="s">
        <v>433</v>
      </c>
      <c r="B112" s="701">
        <v>748.15295563405596</v>
      </c>
      <c r="C112" s="701">
        <v>846.58012000000201</v>
      </c>
      <c r="D112" s="702">
        <v>98.427164365945004</v>
      </c>
      <c r="E112" s="703">
        <v>1.131560215895</v>
      </c>
      <c r="F112" s="701">
        <v>734.44986708686895</v>
      </c>
      <c r="G112" s="702">
        <v>550.83740031515094</v>
      </c>
      <c r="H112" s="704">
        <v>20.305709999998999</v>
      </c>
      <c r="I112" s="701">
        <v>592.47361999999896</v>
      </c>
      <c r="J112" s="702">
        <v>41.636219684846999</v>
      </c>
      <c r="K112" s="705">
        <v>0.80669034953999996</v>
      </c>
    </row>
    <row r="113" spans="1:11" ht="14.45" customHeight="1" thickBot="1" x14ac:dyDescent="0.25">
      <c r="A113" s="723" t="s">
        <v>434</v>
      </c>
      <c r="B113" s="701">
        <v>5.4811352343279998</v>
      </c>
      <c r="C113" s="701">
        <v>1.6568000000000001</v>
      </c>
      <c r="D113" s="702">
        <v>-3.8243352343280002</v>
      </c>
      <c r="E113" s="703">
        <v>0.30227314765399999</v>
      </c>
      <c r="F113" s="701">
        <v>2</v>
      </c>
      <c r="G113" s="702">
        <v>1.5</v>
      </c>
      <c r="H113" s="704">
        <v>0</v>
      </c>
      <c r="I113" s="701">
        <v>1.7113999999989999</v>
      </c>
      <c r="J113" s="702">
        <v>0.211399999999</v>
      </c>
      <c r="K113" s="705">
        <v>0.85569999999900004</v>
      </c>
    </row>
    <row r="114" spans="1:11" ht="14.45" customHeight="1" thickBot="1" x14ac:dyDescent="0.25">
      <c r="A114" s="723" t="s">
        <v>435</v>
      </c>
      <c r="B114" s="701">
        <v>48.473951774021003</v>
      </c>
      <c r="C114" s="701">
        <v>4.2136100000000001</v>
      </c>
      <c r="D114" s="702">
        <v>-44.260341774021001</v>
      </c>
      <c r="E114" s="703">
        <v>8.6925242234E-2</v>
      </c>
      <c r="F114" s="701">
        <v>3.9815096784540001</v>
      </c>
      <c r="G114" s="702">
        <v>2.9861322588410002</v>
      </c>
      <c r="H114" s="704">
        <v>0</v>
      </c>
      <c r="I114" s="701">
        <v>51.912610000000001</v>
      </c>
      <c r="J114" s="702">
        <v>48.926477741158003</v>
      </c>
      <c r="K114" s="705">
        <v>0</v>
      </c>
    </row>
    <row r="115" spans="1:11" ht="14.45" customHeight="1" thickBot="1" x14ac:dyDescent="0.25">
      <c r="A115" s="723" t="s">
        <v>436</v>
      </c>
      <c r="B115" s="701">
        <v>133.60372708730401</v>
      </c>
      <c r="C115" s="701">
        <v>141.13297</v>
      </c>
      <c r="D115" s="702">
        <v>7.5292429126959997</v>
      </c>
      <c r="E115" s="703">
        <v>1.0563550364709999</v>
      </c>
      <c r="F115" s="701">
        <v>130.028702617205</v>
      </c>
      <c r="G115" s="702">
        <v>97.521526962904005</v>
      </c>
      <c r="H115" s="704">
        <v>21.225149999999001</v>
      </c>
      <c r="I115" s="701">
        <v>133.77757</v>
      </c>
      <c r="J115" s="702">
        <v>36.256043037094997</v>
      </c>
      <c r="K115" s="705">
        <v>1.028831075811</v>
      </c>
    </row>
    <row r="116" spans="1:11" ht="14.45" customHeight="1" thickBot="1" x14ac:dyDescent="0.25">
      <c r="A116" s="722" t="s">
        <v>437</v>
      </c>
      <c r="B116" s="706">
        <v>1.496763690099</v>
      </c>
      <c r="C116" s="706">
        <v>78.606920000000002</v>
      </c>
      <c r="D116" s="707">
        <v>77.110156309900006</v>
      </c>
      <c r="E116" s="713">
        <v>52.517922849108999</v>
      </c>
      <c r="F116" s="706">
        <v>0</v>
      </c>
      <c r="G116" s="707">
        <v>0</v>
      </c>
      <c r="H116" s="709">
        <v>7.2305199999990002</v>
      </c>
      <c r="I116" s="706">
        <v>10.8162</v>
      </c>
      <c r="J116" s="707">
        <v>10.8162</v>
      </c>
      <c r="K116" s="710" t="s">
        <v>329</v>
      </c>
    </row>
    <row r="117" spans="1:11" ht="14.45" customHeight="1" thickBot="1" x14ac:dyDescent="0.25">
      <c r="A117" s="723" t="s">
        <v>438</v>
      </c>
      <c r="B117" s="701">
        <v>1.496763690099</v>
      </c>
      <c r="C117" s="701">
        <v>0.23857</v>
      </c>
      <c r="D117" s="702">
        <v>-1.2581936900990001</v>
      </c>
      <c r="E117" s="703">
        <v>0.15939055816</v>
      </c>
      <c r="F117" s="701">
        <v>0</v>
      </c>
      <c r="G117" s="702">
        <v>0</v>
      </c>
      <c r="H117" s="704">
        <v>0</v>
      </c>
      <c r="I117" s="701">
        <v>1.5799000000000001</v>
      </c>
      <c r="J117" s="702">
        <v>1.5799000000000001</v>
      </c>
      <c r="K117" s="712" t="s">
        <v>329</v>
      </c>
    </row>
    <row r="118" spans="1:11" ht="14.45" customHeight="1" thickBot="1" x14ac:dyDescent="0.25">
      <c r="A118" s="723" t="s">
        <v>439</v>
      </c>
      <c r="B118" s="701">
        <v>0</v>
      </c>
      <c r="C118" s="701">
        <v>78.368350000000007</v>
      </c>
      <c r="D118" s="702">
        <v>78.368350000000007</v>
      </c>
      <c r="E118" s="711" t="s">
        <v>329</v>
      </c>
      <c r="F118" s="701">
        <v>0</v>
      </c>
      <c r="G118" s="702">
        <v>0</v>
      </c>
      <c r="H118" s="704">
        <v>7.2305199999990002</v>
      </c>
      <c r="I118" s="701">
        <v>9.2362999999989999</v>
      </c>
      <c r="J118" s="702">
        <v>9.2362999999989999</v>
      </c>
      <c r="K118" s="712" t="s">
        <v>329</v>
      </c>
    </row>
    <row r="119" spans="1:11" ht="14.45" customHeight="1" thickBot="1" x14ac:dyDescent="0.25">
      <c r="A119" s="722" t="s">
        <v>440</v>
      </c>
      <c r="B119" s="706">
        <v>0</v>
      </c>
      <c r="C119" s="706">
        <v>18.149999999999999</v>
      </c>
      <c r="D119" s="707">
        <v>18.149999999999999</v>
      </c>
      <c r="E119" s="708" t="s">
        <v>329</v>
      </c>
      <c r="F119" s="706">
        <v>0</v>
      </c>
      <c r="G119" s="707">
        <v>0</v>
      </c>
      <c r="H119" s="709">
        <v>0</v>
      </c>
      <c r="I119" s="706">
        <v>18.149999999999999</v>
      </c>
      <c r="J119" s="707">
        <v>18.149999999999999</v>
      </c>
      <c r="K119" s="710" t="s">
        <v>329</v>
      </c>
    </row>
    <row r="120" spans="1:11" ht="14.45" customHeight="1" thickBot="1" x14ac:dyDescent="0.25">
      <c r="A120" s="723" t="s">
        <v>441</v>
      </c>
      <c r="B120" s="701">
        <v>0</v>
      </c>
      <c r="C120" s="701">
        <v>18.149999999999999</v>
      </c>
      <c r="D120" s="702">
        <v>18.149999999999999</v>
      </c>
      <c r="E120" s="711" t="s">
        <v>329</v>
      </c>
      <c r="F120" s="701">
        <v>0</v>
      </c>
      <c r="G120" s="702">
        <v>0</v>
      </c>
      <c r="H120" s="704">
        <v>0</v>
      </c>
      <c r="I120" s="701">
        <v>18.149999999999999</v>
      </c>
      <c r="J120" s="702">
        <v>18.149999999999999</v>
      </c>
      <c r="K120" s="712" t="s">
        <v>329</v>
      </c>
    </row>
    <row r="121" spans="1:11" ht="14.45" customHeight="1" thickBot="1" x14ac:dyDescent="0.25">
      <c r="A121" s="720" t="s">
        <v>48</v>
      </c>
      <c r="B121" s="701">
        <v>57433.070490604798</v>
      </c>
      <c r="C121" s="701">
        <v>61945.3917800001</v>
      </c>
      <c r="D121" s="702">
        <v>4512.3212893952696</v>
      </c>
      <c r="E121" s="703">
        <v>1.0785666037149999</v>
      </c>
      <c r="F121" s="701">
        <v>65432.4737740001</v>
      </c>
      <c r="G121" s="702">
        <v>49074.355330500097</v>
      </c>
      <c r="H121" s="704">
        <v>5709.6216199999699</v>
      </c>
      <c r="I121" s="701">
        <v>50829.104769999998</v>
      </c>
      <c r="J121" s="702">
        <v>1754.7494394998901</v>
      </c>
      <c r="K121" s="705">
        <v>0.77681771509200004</v>
      </c>
    </row>
    <row r="122" spans="1:11" ht="14.45" customHeight="1" thickBot="1" x14ac:dyDescent="0.25">
      <c r="A122" s="726" t="s">
        <v>442</v>
      </c>
      <c r="B122" s="706">
        <v>42345.8304906048</v>
      </c>
      <c r="C122" s="706">
        <v>45628.379000000103</v>
      </c>
      <c r="D122" s="707">
        <v>3282.5485093952402</v>
      </c>
      <c r="E122" s="713">
        <v>1.07751763211</v>
      </c>
      <c r="F122" s="706">
        <v>47269.730000000098</v>
      </c>
      <c r="G122" s="707">
        <v>35452.297500000102</v>
      </c>
      <c r="H122" s="709">
        <v>4210.5259999999798</v>
      </c>
      <c r="I122" s="706">
        <v>37436.67</v>
      </c>
      <c r="J122" s="707">
        <v>1984.3724999998999</v>
      </c>
      <c r="K122" s="714">
        <v>0.79197977225500005</v>
      </c>
    </row>
    <row r="123" spans="1:11" ht="14.45" customHeight="1" thickBot="1" x14ac:dyDescent="0.25">
      <c r="A123" s="722" t="s">
        <v>443</v>
      </c>
      <c r="B123" s="706">
        <v>41908.999999999898</v>
      </c>
      <c r="C123" s="706">
        <v>45279.092000000099</v>
      </c>
      <c r="D123" s="707">
        <v>3370.0920000002102</v>
      </c>
      <c r="E123" s="713">
        <v>1.080414517168</v>
      </c>
      <c r="F123" s="706">
        <v>46903.130000000099</v>
      </c>
      <c r="G123" s="707">
        <v>35177.347500000098</v>
      </c>
      <c r="H123" s="709">
        <v>4173.5649999999796</v>
      </c>
      <c r="I123" s="706">
        <v>37172.894999999997</v>
      </c>
      <c r="J123" s="707">
        <v>1995.5474999998901</v>
      </c>
      <c r="K123" s="714">
        <v>0.79254614777300003</v>
      </c>
    </row>
    <row r="124" spans="1:11" ht="14.45" customHeight="1" thickBot="1" x14ac:dyDescent="0.25">
      <c r="A124" s="723" t="s">
        <v>444</v>
      </c>
      <c r="B124" s="701">
        <v>41908.999999999898</v>
      </c>
      <c r="C124" s="701">
        <v>45279.092000000099</v>
      </c>
      <c r="D124" s="702">
        <v>3370.0920000002102</v>
      </c>
      <c r="E124" s="703">
        <v>1.080414517168</v>
      </c>
      <c r="F124" s="701">
        <v>46903.130000000099</v>
      </c>
      <c r="G124" s="702">
        <v>35177.347500000098</v>
      </c>
      <c r="H124" s="704">
        <v>4173.5649999999796</v>
      </c>
      <c r="I124" s="701">
        <v>37172.894999999997</v>
      </c>
      <c r="J124" s="702">
        <v>1995.5474999998901</v>
      </c>
      <c r="K124" s="705">
        <v>0.79254614777300003</v>
      </c>
    </row>
    <row r="125" spans="1:11" ht="14.45" customHeight="1" thickBot="1" x14ac:dyDescent="0.25">
      <c r="A125" s="722" t="s">
        <v>445</v>
      </c>
      <c r="B125" s="706">
        <v>336.952490604974</v>
      </c>
      <c r="C125" s="706">
        <v>237.13</v>
      </c>
      <c r="D125" s="707">
        <v>-99.822490604972998</v>
      </c>
      <c r="E125" s="713">
        <v>0.703749064368</v>
      </c>
      <c r="F125" s="706">
        <v>233.76</v>
      </c>
      <c r="G125" s="707">
        <v>175.32</v>
      </c>
      <c r="H125" s="709">
        <v>17.479999999998999</v>
      </c>
      <c r="I125" s="706">
        <v>128.255</v>
      </c>
      <c r="J125" s="707">
        <v>-47.064999999999998</v>
      </c>
      <c r="K125" s="714">
        <v>0.54866101984899995</v>
      </c>
    </row>
    <row r="126" spans="1:11" ht="14.45" customHeight="1" thickBot="1" x14ac:dyDescent="0.25">
      <c r="A126" s="723" t="s">
        <v>446</v>
      </c>
      <c r="B126" s="701">
        <v>336.952490604974</v>
      </c>
      <c r="C126" s="701">
        <v>237.13</v>
      </c>
      <c r="D126" s="702">
        <v>-99.822490604972998</v>
      </c>
      <c r="E126" s="703">
        <v>0.703749064368</v>
      </c>
      <c r="F126" s="701">
        <v>233.76</v>
      </c>
      <c r="G126" s="702">
        <v>175.32</v>
      </c>
      <c r="H126" s="704">
        <v>17.479999999998999</v>
      </c>
      <c r="I126" s="701">
        <v>128.255</v>
      </c>
      <c r="J126" s="702">
        <v>-47.064999999999998</v>
      </c>
      <c r="K126" s="705">
        <v>0.54866101984899995</v>
      </c>
    </row>
    <row r="127" spans="1:11" ht="14.45" customHeight="1" thickBot="1" x14ac:dyDescent="0.25">
      <c r="A127" s="722" t="s">
        <v>447</v>
      </c>
      <c r="B127" s="706">
        <v>99.878</v>
      </c>
      <c r="C127" s="706">
        <v>42.406999999999996</v>
      </c>
      <c r="D127" s="707">
        <v>-57.470999999999002</v>
      </c>
      <c r="E127" s="713">
        <v>0.424587997356</v>
      </c>
      <c r="F127" s="706">
        <v>48.84</v>
      </c>
      <c r="G127" s="707">
        <v>36.630000000000003</v>
      </c>
      <c r="H127" s="709">
        <v>11.231</v>
      </c>
      <c r="I127" s="706">
        <v>62.27</v>
      </c>
      <c r="J127" s="707">
        <v>25.639999999998999</v>
      </c>
      <c r="K127" s="714">
        <v>1.2749795249789999</v>
      </c>
    </row>
    <row r="128" spans="1:11" ht="14.45" customHeight="1" thickBot="1" x14ac:dyDescent="0.25">
      <c r="A128" s="723" t="s">
        <v>448</v>
      </c>
      <c r="B128" s="701">
        <v>99.878</v>
      </c>
      <c r="C128" s="701">
        <v>42.406999999999996</v>
      </c>
      <c r="D128" s="702">
        <v>-57.470999999999002</v>
      </c>
      <c r="E128" s="703">
        <v>0.424587997356</v>
      </c>
      <c r="F128" s="701">
        <v>48.84</v>
      </c>
      <c r="G128" s="702">
        <v>36.630000000000003</v>
      </c>
      <c r="H128" s="704">
        <v>11.231</v>
      </c>
      <c r="I128" s="701">
        <v>62.27</v>
      </c>
      <c r="J128" s="702">
        <v>25.639999999998999</v>
      </c>
      <c r="K128" s="705">
        <v>1.2749795249789999</v>
      </c>
    </row>
    <row r="129" spans="1:11" ht="14.45" customHeight="1" thickBot="1" x14ac:dyDescent="0.25">
      <c r="A129" s="725" t="s">
        <v>449</v>
      </c>
      <c r="B129" s="701">
        <v>0</v>
      </c>
      <c r="C129" s="701">
        <v>69.75</v>
      </c>
      <c r="D129" s="702">
        <v>69.75</v>
      </c>
      <c r="E129" s="711" t="s">
        <v>329</v>
      </c>
      <c r="F129" s="701">
        <v>84</v>
      </c>
      <c r="G129" s="702">
        <v>63</v>
      </c>
      <c r="H129" s="704">
        <v>8.2499999999989999</v>
      </c>
      <c r="I129" s="701">
        <v>73.249999999999005</v>
      </c>
      <c r="J129" s="702">
        <v>10.25</v>
      </c>
      <c r="K129" s="705">
        <v>0.87202380952299996</v>
      </c>
    </row>
    <row r="130" spans="1:11" ht="14.45" customHeight="1" thickBot="1" x14ac:dyDescent="0.25">
      <c r="A130" s="723" t="s">
        <v>450</v>
      </c>
      <c r="B130" s="701">
        <v>0</v>
      </c>
      <c r="C130" s="701">
        <v>69.75</v>
      </c>
      <c r="D130" s="702">
        <v>69.75</v>
      </c>
      <c r="E130" s="711" t="s">
        <v>329</v>
      </c>
      <c r="F130" s="701">
        <v>84</v>
      </c>
      <c r="G130" s="702">
        <v>63</v>
      </c>
      <c r="H130" s="704">
        <v>8.2499999999989999</v>
      </c>
      <c r="I130" s="701">
        <v>73.249999999999005</v>
      </c>
      <c r="J130" s="702">
        <v>10.25</v>
      </c>
      <c r="K130" s="705">
        <v>0.87202380952299996</v>
      </c>
    </row>
    <row r="131" spans="1:11" ht="14.45" customHeight="1" thickBot="1" x14ac:dyDescent="0.25">
      <c r="A131" s="721" t="s">
        <v>451</v>
      </c>
      <c r="B131" s="701">
        <v>14249.06</v>
      </c>
      <c r="C131" s="701">
        <v>15410.56244</v>
      </c>
      <c r="D131" s="702">
        <v>1161.50244000003</v>
      </c>
      <c r="E131" s="703">
        <v>1.0815143202419999</v>
      </c>
      <c r="F131" s="701">
        <v>16943.52</v>
      </c>
      <c r="G131" s="702">
        <v>12707.64</v>
      </c>
      <c r="H131" s="704">
        <v>1415.39446999999</v>
      </c>
      <c r="I131" s="701">
        <v>12647.686159999999</v>
      </c>
      <c r="J131" s="702">
        <v>-59.953840000002998</v>
      </c>
      <c r="K131" s="705">
        <v>0.74646154754100003</v>
      </c>
    </row>
    <row r="132" spans="1:11" ht="14.45" customHeight="1" thickBot="1" x14ac:dyDescent="0.25">
      <c r="A132" s="722" t="s">
        <v>452</v>
      </c>
      <c r="B132" s="706">
        <v>3771.8100000000099</v>
      </c>
      <c r="C132" s="706">
        <v>4098.8203200000098</v>
      </c>
      <c r="D132" s="707">
        <v>327.01031999999901</v>
      </c>
      <c r="E132" s="713">
        <v>1.086698513445</v>
      </c>
      <c r="F132" s="706">
        <v>4518.8099999999904</v>
      </c>
      <c r="G132" s="707">
        <v>3389.1074999999901</v>
      </c>
      <c r="H132" s="709">
        <v>376.87836999999797</v>
      </c>
      <c r="I132" s="706">
        <v>3355.2876900000001</v>
      </c>
      <c r="J132" s="707">
        <v>-33.819809999996998</v>
      </c>
      <c r="K132" s="714">
        <v>0.74251577074399999</v>
      </c>
    </row>
    <row r="133" spans="1:11" ht="14.45" customHeight="1" thickBot="1" x14ac:dyDescent="0.25">
      <c r="A133" s="723" t="s">
        <v>453</v>
      </c>
      <c r="B133" s="701">
        <v>3771.8100000000099</v>
      </c>
      <c r="C133" s="701">
        <v>4098.8203200000098</v>
      </c>
      <c r="D133" s="702">
        <v>327.01031999999901</v>
      </c>
      <c r="E133" s="703">
        <v>1.086698513445</v>
      </c>
      <c r="F133" s="701">
        <v>4518.8099999999904</v>
      </c>
      <c r="G133" s="702">
        <v>3389.1074999999901</v>
      </c>
      <c r="H133" s="704">
        <v>376.87836999999797</v>
      </c>
      <c r="I133" s="701">
        <v>3355.2876900000001</v>
      </c>
      <c r="J133" s="702">
        <v>-33.819809999996998</v>
      </c>
      <c r="K133" s="705">
        <v>0.74251577074399999</v>
      </c>
    </row>
    <row r="134" spans="1:11" ht="14.45" customHeight="1" thickBot="1" x14ac:dyDescent="0.25">
      <c r="A134" s="722" t="s">
        <v>454</v>
      </c>
      <c r="B134" s="706">
        <v>10477.25</v>
      </c>
      <c r="C134" s="706">
        <v>11311.742120000001</v>
      </c>
      <c r="D134" s="707">
        <v>834.49212000003001</v>
      </c>
      <c r="E134" s="713">
        <v>1.0796480106890001</v>
      </c>
      <c r="F134" s="706">
        <v>12424.71</v>
      </c>
      <c r="G134" s="707">
        <v>9318.5324999999903</v>
      </c>
      <c r="H134" s="709">
        <v>1038.5161000000001</v>
      </c>
      <c r="I134" s="706">
        <v>9292.3984699999892</v>
      </c>
      <c r="J134" s="707">
        <v>-26.134030000001999</v>
      </c>
      <c r="K134" s="714">
        <v>0.74789660845200001</v>
      </c>
    </row>
    <row r="135" spans="1:11" ht="14.45" customHeight="1" thickBot="1" x14ac:dyDescent="0.25">
      <c r="A135" s="723" t="s">
        <v>455</v>
      </c>
      <c r="B135" s="701">
        <v>10477.25</v>
      </c>
      <c r="C135" s="701">
        <v>11311.742120000001</v>
      </c>
      <c r="D135" s="702">
        <v>834.49212000003001</v>
      </c>
      <c r="E135" s="703">
        <v>1.0796480106890001</v>
      </c>
      <c r="F135" s="701">
        <v>12424.71</v>
      </c>
      <c r="G135" s="702">
        <v>9318.5324999999903</v>
      </c>
      <c r="H135" s="704">
        <v>1038.5161000000001</v>
      </c>
      <c r="I135" s="701">
        <v>9292.3984699999892</v>
      </c>
      <c r="J135" s="702">
        <v>-26.134030000001999</v>
      </c>
      <c r="K135" s="705">
        <v>0.74789660845200001</v>
      </c>
    </row>
    <row r="136" spans="1:11" ht="14.45" customHeight="1" thickBot="1" x14ac:dyDescent="0.25">
      <c r="A136" s="721" t="s">
        <v>456</v>
      </c>
      <c r="B136" s="701">
        <v>0</v>
      </c>
      <c r="C136" s="701">
        <v>0</v>
      </c>
      <c r="D136" s="702">
        <v>0</v>
      </c>
      <c r="E136" s="703">
        <v>1</v>
      </c>
      <c r="F136" s="701">
        <v>210.33377400000001</v>
      </c>
      <c r="G136" s="702">
        <v>157.75033049999999</v>
      </c>
      <c r="H136" s="704">
        <v>0</v>
      </c>
      <c r="I136" s="701">
        <v>0</v>
      </c>
      <c r="J136" s="702">
        <v>-157.75033049999999</v>
      </c>
      <c r="K136" s="705">
        <v>0</v>
      </c>
    </row>
    <row r="137" spans="1:11" ht="14.45" customHeight="1" thickBot="1" x14ac:dyDescent="0.25">
      <c r="A137" s="722" t="s">
        <v>457</v>
      </c>
      <c r="B137" s="706">
        <v>0</v>
      </c>
      <c r="C137" s="706">
        <v>0</v>
      </c>
      <c r="D137" s="707">
        <v>0</v>
      </c>
      <c r="E137" s="713">
        <v>1</v>
      </c>
      <c r="F137" s="706">
        <v>210.33377400000001</v>
      </c>
      <c r="G137" s="707">
        <v>157.75033049999999</v>
      </c>
      <c r="H137" s="709">
        <v>0</v>
      </c>
      <c r="I137" s="706">
        <v>0</v>
      </c>
      <c r="J137" s="707">
        <v>-157.75033049999999</v>
      </c>
      <c r="K137" s="714">
        <v>0</v>
      </c>
    </row>
    <row r="138" spans="1:11" ht="14.45" customHeight="1" thickBot="1" x14ac:dyDescent="0.25">
      <c r="A138" s="723" t="s">
        <v>458</v>
      </c>
      <c r="B138" s="701">
        <v>0</v>
      </c>
      <c r="C138" s="701">
        <v>0</v>
      </c>
      <c r="D138" s="702">
        <v>0</v>
      </c>
      <c r="E138" s="703">
        <v>1</v>
      </c>
      <c r="F138" s="701">
        <v>210.33377400000001</v>
      </c>
      <c r="G138" s="702">
        <v>157.75033049999999</v>
      </c>
      <c r="H138" s="704">
        <v>0</v>
      </c>
      <c r="I138" s="701">
        <v>0</v>
      </c>
      <c r="J138" s="702">
        <v>-157.75033049999999</v>
      </c>
      <c r="K138" s="705">
        <v>0</v>
      </c>
    </row>
    <row r="139" spans="1:11" ht="14.45" customHeight="1" thickBot="1" x14ac:dyDescent="0.25">
      <c r="A139" s="721" t="s">
        <v>459</v>
      </c>
      <c r="B139" s="701">
        <v>838.18000000000302</v>
      </c>
      <c r="C139" s="701">
        <v>906.45034000000203</v>
      </c>
      <c r="D139" s="702">
        <v>68.270339999998001</v>
      </c>
      <c r="E139" s="703">
        <v>1.0814506907820001</v>
      </c>
      <c r="F139" s="701">
        <v>1008.89</v>
      </c>
      <c r="G139" s="702">
        <v>756.667499999999</v>
      </c>
      <c r="H139" s="704">
        <v>83.701149999999004</v>
      </c>
      <c r="I139" s="701">
        <v>744.74860999999896</v>
      </c>
      <c r="J139" s="702">
        <v>-11.918889999998999</v>
      </c>
      <c r="K139" s="705">
        <v>0.73818613525700005</v>
      </c>
    </row>
    <row r="140" spans="1:11" ht="14.45" customHeight="1" thickBot="1" x14ac:dyDescent="0.25">
      <c r="A140" s="722" t="s">
        <v>460</v>
      </c>
      <c r="B140" s="706">
        <v>838.18000000000302</v>
      </c>
      <c r="C140" s="706">
        <v>906.45034000000203</v>
      </c>
      <c r="D140" s="707">
        <v>68.270339999998001</v>
      </c>
      <c r="E140" s="713">
        <v>1.0814506907820001</v>
      </c>
      <c r="F140" s="706">
        <v>1008.89</v>
      </c>
      <c r="G140" s="707">
        <v>756.667499999999</v>
      </c>
      <c r="H140" s="709">
        <v>83.701149999999004</v>
      </c>
      <c r="I140" s="706">
        <v>744.74860999999896</v>
      </c>
      <c r="J140" s="707">
        <v>-11.918889999998999</v>
      </c>
      <c r="K140" s="714">
        <v>0.73818613525700005</v>
      </c>
    </row>
    <row r="141" spans="1:11" ht="14.45" customHeight="1" thickBot="1" x14ac:dyDescent="0.25">
      <c r="A141" s="723" t="s">
        <v>461</v>
      </c>
      <c r="B141" s="701">
        <v>838.18000000000302</v>
      </c>
      <c r="C141" s="701">
        <v>906.45034000000203</v>
      </c>
      <c r="D141" s="702">
        <v>68.270339999998001</v>
      </c>
      <c r="E141" s="703">
        <v>1.0814506907820001</v>
      </c>
      <c r="F141" s="701">
        <v>1008.89</v>
      </c>
      <c r="G141" s="702">
        <v>756.667499999999</v>
      </c>
      <c r="H141" s="704">
        <v>83.701149999999004</v>
      </c>
      <c r="I141" s="701">
        <v>744.74860999999896</v>
      </c>
      <c r="J141" s="702">
        <v>-11.918889999998999</v>
      </c>
      <c r="K141" s="705">
        <v>0.73818613525700005</v>
      </c>
    </row>
    <row r="142" spans="1:11" ht="14.45" customHeight="1" thickBot="1" x14ac:dyDescent="0.25">
      <c r="A142" s="720" t="s">
        <v>462</v>
      </c>
      <c r="B142" s="701">
        <v>14.223179147892001</v>
      </c>
      <c r="C142" s="701">
        <v>62.624189999999999</v>
      </c>
      <c r="D142" s="702">
        <v>48.401010852106999</v>
      </c>
      <c r="E142" s="703">
        <v>4.4029671108570003</v>
      </c>
      <c r="F142" s="701">
        <v>0</v>
      </c>
      <c r="G142" s="702">
        <v>0</v>
      </c>
      <c r="H142" s="704">
        <v>3.4099999999990001</v>
      </c>
      <c r="I142" s="701">
        <v>77.110999999998995</v>
      </c>
      <c r="J142" s="702">
        <v>77.110999999998995</v>
      </c>
      <c r="K142" s="712" t="s">
        <v>329</v>
      </c>
    </row>
    <row r="143" spans="1:11" ht="14.45" customHeight="1" thickBot="1" x14ac:dyDescent="0.25">
      <c r="A143" s="721" t="s">
        <v>463</v>
      </c>
      <c r="B143" s="701">
        <v>14.223179147892001</v>
      </c>
      <c r="C143" s="701">
        <v>62.624189999999999</v>
      </c>
      <c r="D143" s="702">
        <v>48.401010852106999</v>
      </c>
      <c r="E143" s="703">
        <v>4.4029671108570003</v>
      </c>
      <c r="F143" s="701">
        <v>0</v>
      </c>
      <c r="G143" s="702">
        <v>0</v>
      </c>
      <c r="H143" s="704">
        <v>3.4099999999990001</v>
      </c>
      <c r="I143" s="701">
        <v>77.110999999998995</v>
      </c>
      <c r="J143" s="702">
        <v>77.110999999998995</v>
      </c>
      <c r="K143" s="712" t="s">
        <v>329</v>
      </c>
    </row>
    <row r="144" spans="1:11" ht="14.45" customHeight="1" thickBot="1" x14ac:dyDescent="0.25">
      <c r="A144" s="722" t="s">
        <v>464</v>
      </c>
      <c r="B144" s="706">
        <v>0</v>
      </c>
      <c r="C144" s="706">
        <v>53.664189999999998</v>
      </c>
      <c r="D144" s="707">
        <v>53.664189999999998</v>
      </c>
      <c r="E144" s="708" t="s">
        <v>329</v>
      </c>
      <c r="F144" s="706">
        <v>0</v>
      </c>
      <c r="G144" s="707">
        <v>0</v>
      </c>
      <c r="H144" s="709">
        <v>2.9099999999990001</v>
      </c>
      <c r="I144" s="706">
        <v>40.750999999999003</v>
      </c>
      <c r="J144" s="707">
        <v>40.750999999999003</v>
      </c>
      <c r="K144" s="710" t="s">
        <v>329</v>
      </c>
    </row>
    <row r="145" spans="1:11" ht="14.45" customHeight="1" thickBot="1" x14ac:dyDescent="0.25">
      <c r="A145" s="723" t="s">
        <v>465</v>
      </c>
      <c r="B145" s="701">
        <v>0</v>
      </c>
      <c r="C145" s="701">
        <v>1.7101999999999999</v>
      </c>
      <c r="D145" s="702">
        <v>1.7101999999999999</v>
      </c>
      <c r="E145" s="711" t="s">
        <v>329</v>
      </c>
      <c r="F145" s="701">
        <v>0</v>
      </c>
      <c r="G145" s="702">
        <v>0</v>
      </c>
      <c r="H145" s="704">
        <v>0</v>
      </c>
      <c r="I145" s="701">
        <v>0</v>
      </c>
      <c r="J145" s="702">
        <v>0</v>
      </c>
      <c r="K145" s="712" t="s">
        <v>329</v>
      </c>
    </row>
    <row r="146" spans="1:11" ht="14.45" customHeight="1" thickBot="1" x14ac:dyDescent="0.25">
      <c r="A146" s="723" t="s">
        <v>466</v>
      </c>
      <c r="B146" s="701">
        <v>0</v>
      </c>
      <c r="C146" s="701">
        <v>7.6499899999999998</v>
      </c>
      <c r="D146" s="702">
        <v>7.6499899999999998</v>
      </c>
      <c r="E146" s="711" t="s">
        <v>329</v>
      </c>
      <c r="F146" s="701">
        <v>0</v>
      </c>
      <c r="G146" s="702">
        <v>0</v>
      </c>
      <c r="H146" s="704">
        <v>0</v>
      </c>
      <c r="I146" s="701">
        <v>6.4999999999989999</v>
      </c>
      <c r="J146" s="702">
        <v>6.4999999999989999</v>
      </c>
      <c r="K146" s="712" t="s">
        <v>329</v>
      </c>
    </row>
    <row r="147" spans="1:11" ht="14.45" customHeight="1" thickBot="1" x14ac:dyDescent="0.25">
      <c r="A147" s="723" t="s">
        <v>467</v>
      </c>
      <c r="B147" s="701">
        <v>0</v>
      </c>
      <c r="C147" s="701">
        <v>44.304000000000002</v>
      </c>
      <c r="D147" s="702">
        <v>44.304000000000002</v>
      </c>
      <c r="E147" s="711" t="s">
        <v>329</v>
      </c>
      <c r="F147" s="701">
        <v>0</v>
      </c>
      <c r="G147" s="702">
        <v>0</v>
      </c>
      <c r="H147" s="704">
        <v>2.9099999999990001</v>
      </c>
      <c r="I147" s="701">
        <v>34.250999999999998</v>
      </c>
      <c r="J147" s="702">
        <v>34.250999999999998</v>
      </c>
      <c r="K147" s="712" t="s">
        <v>329</v>
      </c>
    </row>
    <row r="148" spans="1:11" ht="14.45" customHeight="1" thickBot="1" x14ac:dyDescent="0.25">
      <c r="A148" s="725" t="s">
        <v>468</v>
      </c>
      <c r="B148" s="701">
        <v>14.223179147892001</v>
      </c>
      <c r="C148" s="701">
        <v>5.8</v>
      </c>
      <c r="D148" s="702">
        <v>-8.4231791478920002</v>
      </c>
      <c r="E148" s="703">
        <v>0.40778506265600001</v>
      </c>
      <c r="F148" s="701">
        <v>0</v>
      </c>
      <c r="G148" s="702">
        <v>0</v>
      </c>
      <c r="H148" s="704">
        <v>0.49999999999900002</v>
      </c>
      <c r="I148" s="701">
        <v>25.599999999999</v>
      </c>
      <c r="J148" s="702">
        <v>25.599999999999</v>
      </c>
      <c r="K148" s="712" t="s">
        <v>329</v>
      </c>
    </row>
    <row r="149" spans="1:11" ht="14.45" customHeight="1" thickBot="1" x14ac:dyDescent="0.25">
      <c r="A149" s="723" t="s">
        <v>469</v>
      </c>
      <c r="B149" s="701">
        <v>14.223179147892001</v>
      </c>
      <c r="C149" s="701">
        <v>5.8</v>
      </c>
      <c r="D149" s="702">
        <v>-8.4231791478920002</v>
      </c>
      <c r="E149" s="703">
        <v>0.40778506265600001</v>
      </c>
      <c r="F149" s="701">
        <v>0</v>
      </c>
      <c r="G149" s="702">
        <v>0</v>
      </c>
      <c r="H149" s="704">
        <v>0.49999999999900002</v>
      </c>
      <c r="I149" s="701">
        <v>25.599999999999</v>
      </c>
      <c r="J149" s="702">
        <v>25.599999999999</v>
      </c>
      <c r="K149" s="712" t="s">
        <v>329</v>
      </c>
    </row>
    <row r="150" spans="1:11" ht="14.45" customHeight="1" thickBot="1" x14ac:dyDescent="0.25">
      <c r="A150" s="725" t="s">
        <v>470</v>
      </c>
      <c r="B150" s="701">
        <v>0</v>
      </c>
      <c r="C150" s="701">
        <v>3.16</v>
      </c>
      <c r="D150" s="702">
        <v>3.16</v>
      </c>
      <c r="E150" s="711" t="s">
        <v>329</v>
      </c>
      <c r="F150" s="701">
        <v>0</v>
      </c>
      <c r="G150" s="702">
        <v>0</v>
      </c>
      <c r="H150" s="704">
        <v>0</v>
      </c>
      <c r="I150" s="701">
        <v>10.76</v>
      </c>
      <c r="J150" s="702">
        <v>10.76</v>
      </c>
      <c r="K150" s="712" t="s">
        <v>329</v>
      </c>
    </row>
    <row r="151" spans="1:11" ht="14.45" customHeight="1" thickBot="1" x14ac:dyDescent="0.25">
      <c r="A151" s="723" t="s">
        <v>471</v>
      </c>
      <c r="B151" s="701">
        <v>0</v>
      </c>
      <c r="C151" s="701">
        <v>3.16</v>
      </c>
      <c r="D151" s="702">
        <v>3.16</v>
      </c>
      <c r="E151" s="711" t="s">
        <v>329</v>
      </c>
      <c r="F151" s="701">
        <v>0</v>
      </c>
      <c r="G151" s="702">
        <v>0</v>
      </c>
      <c r="H151" s="704">
        <v>0</v>
      </c>
      <c r="I151" s="701">
        <v>10.76</v>
      </c>
      <c r="J151" s="702">
        <v>10.76</v>
      </c>
      <c r="K151" s="712" t="s">
        <v>329</v>
      </c>
    </row>
    <row r="152" spans="1:11" ht="14.45" customHeight="1" thickBot="1" x14ac:dyDescent="0.25">
      <c r="A152" s="720" t="s">
        <v>472</v>
      </c>
      <c r="B152" s="701">
        <v>3294.8549263905802</v>
      </c>
      <c r="C152" s="701">
        <v>4755.5667800000101</v>
      </c>
      <c r="D152" s="702">
        <v>1460.7118536094299</v>
      </c>
      <c r="E152" s="703">
        <v>1.443331159108</v>
      </c>
      <c r="F152" s="701">
        <v>6487.99999999991</v>
      </c>
      <c r="G152" s="702">
        <v>4865.99999999994</v>
      </c>
      <c r="H152" s="704">
        <v>530.91888999999799</v>
      </c>
      <c r="I152" s="701">
        <v>4961.69812</v>
      </c>
      <c r="J152" s="702">
        <v>95.698120000059006</v>
      </c>
      <c r="K152" s="705">
        <v>0.76475001849500002</v>
      </c>
    </row>
    <row r="153" spans="1:11" ht="14.45" customHeight="1" thickBot="1" x14ac:dyDescent="0.25">
      <c r="A153" s="721" t="s">
        <v>473</v>
      </c>
      <c r="B153" s="701">
        <v>3068.8549263905802</v>
      </c>
      <c r="C153" s="701">
        <v>2772.9169999999999</v>
      </c>
      <c r="D153" s="702">
        <v>-295.93792639057199</v>
      </c>
      <c r="E153" s="703">
        <v>0.90356731305600002</v>
      </c>
      <c r="F153" s="701">
        <v>5782.99999999991</v>
      </c>
      <c r="G153" s="702">
        <v>4337.24999999994</v>
      </c>
      <c r="H153" s="704">
        <v>524.14988999999798</v>
      </c>
      <c r="I153" s="701">
        <v>3649.62905</v>
      </c>
      <c r="J153" s="702">
        <v>-687.62094999993997</v>
      </c>
      <c r="K153" s="705">
        <v>0.63109615251600004</v>
      </c>
    </row>
    <row r="154" spans="1:11" ht="14.45" customHeight="1" thickBot="1" x14ac:dyDescent="0.25">
      <c r="A154" s="722" t="s">
        <v>474</v>
      </c>
      <c r="B154" s="706">
        <v>3068.8549263905802</v>
      </c>
      <c r="C154" s="706">
        <v>2722.4290000000101</v>
      </c>
      <c r="D154" s="707">
        <v>-346.42592639057199</v>
      </c>
      <c r="E154" s="713">
        <v>0.88711557414700004</v>
      </c>
      <c r="F154" s="706">
        <v>5782.99999999991</v>
      </c>
      <c r="G154" s="707">
        <v>4337.24999999994</v>
      </c>
      <c r="H154" s="709">
        <v>523.53888999999799</v>
      </c>
      <c r="I154" s="706">
        <v>3610.0780500000001</v>
      </c>
      <c r="J154" s="707">
        <v>-727.17194999994001</v>
      </c>
      <c r="K154" s="714">
        <v>0.624256968701</v>
      </c>
    </row>
    <row r="155" spans="1:11" ht="14.45" customHeight="1" thickBot="1" x14ac:dyDescent="0.25">
      <c r="A155" s="723" t="s">
        <v>475</v>
      </c>
      <c r="B155" s="701">
        <v>128.16383515326501</v>
      </c>
      <c r="C155" s="701">
        <v>135.941</v>
      </c>
      <c r="D155" s="702">
        <v>7.7771648467350003</v>
      </c>
      <c r="E155" s="703">
        <v>1.0606814304309999</v>
      </c>
      <c r="F155" s="701">
        <v>135.99999999999801</v>
      </c>
      <c r="G155" s="702">
        <v>101.99999999999901</v>
      </c>
      <c r="H155" s="704">
        <v>11.38982</v>
      </c>
      <c r="I155" s="701">
        <v>102.50841</v>
      </c>
      <c r="J155" s="702">
        <v>0.50841000000100001</v>
      </c>
      <c r="K155" s="705">
        <v>0.75373830882299997</v>
      </c>
    </row>
    <row r="156" spans="1:11" ht="14.45" customHeight="1" thickBot="1" x14ac:dyDescent="0.25">
      <c r="A156" s="723" t="s">
        <v>476</v>
      </c>
      <c r="B156" s="701">
        <v>2276.9811244060102</v>
      </c>
      <c r="C156" s="701">
        <v>1965.9639999999999</v>
      </c>
      <c r="D156" s="702">
        <v>-311.01712440601102</v>
      </c>
      <c r="E156" s="703">
        <v>0.86340812355700003</v>
      </c>
      <c r="F156" s="701">
        <v>1851.99999999997</v>
      </c>
      <c r="G156" s="702">
        <v>1388.99999999998</v>
      </c>
      <c r="H156" s="704">
        <v>149.97261999999901</v>
      </c>
      <c r="I156" s="701">
        <v>1333.5248799999999</v>
      </c>
      <c r="J156" s="702">
        <v>-55.475119999980002</v>
      </c>
      <c r="K156" s="705">
        <v>0.72004583153299995</v>
      </c>
    </row>
    <row r="157" spans="1:11" ht="14.45" customHeight="1" thickBot="1" x14ac:dyDescent="0.25">
      <c r="A157" s="723" t="s">
        <v>477</v>
      </c>
      <c r="B157" s="701">
        <v>69</v>
      </c>
      <c r="C157" s="701">
        <v>81.468000000000004</v>
      </c>
      <c r="D157" s="702">
        <v>12.468</v>
      </c>
      <c r="E157" s="703">
        <v>1.1806956521730001</v>
      </c>
      <c r="F157" s="701">
        <v>80.999999999997996</v>
      </c>
      <c r="G157" s="702">
        <v>60.749999999998998</v>
      </c>
      <c r="H157" s="704">
        <v>6.7879999999990002</v>
      </c>
      <c r="I157" s="701">
        <v>61.099999999999</v>
      </c>
      <c r="J157" s="702">
        <v>0.35</v>
      </c>
      <c r="K157" s="705">
        <v>0.75432098765400002</v>
      </c>
    </row>
    <row r="158" spans="1:11" ht="14.45" customHeight="1" thickBot="1" x14ac:dyDescent="0.25">
      <c r="A158" s="723" t="s">
        <v>478</v>
      </c>
      <c r="B158" s="701">
        <v>3.2200438940280001</v>
      </c>
      <c r="C158" s="701">
        <v>4.0449999999999999</v>
      </c>
      <c r="D158" s="702">
        <v>0.824956105971</v>
      </c>
      <c r="E158" s="703">
        <v>1.2561940560810001</v>
      </c>
      <c r="F158" s="701">
        <v>3.9999999999989999</v>
      </c>
      <c r="G158" s="702">
        <v>2.9999999999989999</v>
      </c>
      <c r="H158" s="704">
        <v>0.334069999999</v>
      </c>
      <c r="I158" s="701">
        <v>3.00664</v>
      </c>
      <c r="J158" s="702">
        <v>6.6400000000000001E-3</v>
      </c>
      <c r="K158" s="705">
        <v>0.75165999999999999</v>
      </c>
    </row>
    <row r="159" spans="1:11" ht="14.45" customHeight="1" thickBot="1" x14ac:dyDescent="0.25">
      <c r="A159" s="723" t="s">
        <v>479</v>
      </c>
      <c r="B159" s="701">
        <v>591.48992293726997</v>
      </c>
      <c r="C159" s="701">
        <v>535.01100000000099</v>
      </c>
      <c r="D159" s="702">
        <v>-56.478922937268997</v>
      </c>
      <c r="E159" s="703">
        <v>0.90451414175099998</v>
      </c>
      <c r="F159" s="701">
        <v>3709.99999999995</v>
      </c>
      <c r="G159" s="702">
        <v>2782.49999999996</v>
      </c>
      <c r="H159" s="704">
        <v>355.05437999999799</v>
      </c>
      <c r="I159" s="701">
        <v>2109.9381199999998</v>
      </c>
      <c r="J159" s="702">
        <v>-672.561879999962</v>
      </c>
      <c r="K159" s="705">
        <v>0.56871647439299999</v>
      </c>
    </row>
    <row r="160" spans="1:11" ht="14.45" customHeight="1" thickBot="1" x14ac:dyDescent="0.25">
      <c r="A160" s="722" t="s">
        <v>480</v>
      </c>
      <c r="B160" s="706">
        <v>0</v>
      </c>
      <c r="C160" s="706">
        <v>50.488</v>
      </c>
      <c r="D160" s="707">
        <v>50.488</v>
      </c>
      <c r="E160" s="708" t="s">
        <v>329</v>
      </c>
      <c r="F160" s="706">
        <v>0</v>
      </c>
      <c r="G160" s="707">
        <v>0</v>
      </c>
      <c r="H160" s="709">
        <v>0.61099999999900001</v>
      </c>
      <c r="I160" s="706">
        <v>39.550999999999</v>
      </c>
      <c r="J160" s="707">
        <v>39.550999999999</v>
      </c>
      <c r="K160" s="710" t="s">
        <v>329</v>
      </c>
    </row>
    <row r="161" spans="1:11" ht="14.45" customHeight="1" thickBot="1" x14ac:dyDescent="0.25">
      <c r="A161" s="723" t="s">
        <v>481</v>
      </c>
      <c r="B161" s="701">
        <v>0</v>
      </c>
      <c r="C161" s="701">
        <v>27.206</v>
      </c>
      <c r="D161" s="702">
        <v>27.206</v>
      </c>
      <c r="E161" s="711" t="s">
        <v>329</v>
      </c>
      <c r="F161" s="701">
        <v>0</v>
      </c>
      <c r="G161" s="702">
        <v>0</v>
      </c>
      <c r="H161" s="704">
        <v>0.61099999999900001</v>
      </c>
      <c r="I161" s="701">
        <v>39.550999999999</v>
      </c>
      <c r="J161" s="702">
        <v>39.550999999999</v>
      </c>
      <c r="K161" s="712" t="s">
        <v>329</v>
      </c>
    </row>
    <row r="162" spans="1:11" ht="14.45" customHeight="1" thickBot="1" x14ac:dyDescent="0.25">
      <c r="A162" s="723" t="s">
        <v>482</v>
      </c>
      <c r="B162" s="701">
        <v>0</v>
      </c>
      <c r="C162" s="701">
        <v>23.282</v>
      </c>
      <c r="D162" s="702">
        <v>23.282</v>
      </c>
      <c r="E162" s="711" t="s">
        <v>343</v>
      </c>
      <c r="F162" s="701">
        <v>0</v>
      </c>
      <c r="G162" s="702">
        <v>0</v>
      </c>
      <c r="H162" s="704">
        <v>0</v>
      </c>
      <c r="I162" s="701">
        <v>0</v>
      </c>
      <c r="J162" s="702">
        <v>0</v>
      </c>
      <c r="K162" s="705">
        <v>9</v>
      </c>
    </row>
    <row r="163" spans="1:11" ht="14.45" customHeight="1" thickBot="1" x14ac:dyDescent="0.25">
      <c r="A163" s="721" t="s">
        <v>483</v>
      </c>
      <c r="B163" s="701">
        <v>226</v>
      </c>
      <c r="C163" s="701">
        <v>1982.64978</v>
      </c>
      <c r="D163" s="702">
        <v>1756.64978</v>
      </c>
      <c r="E163" s="703">
        <v>8.7727866371680001</v>
      </c>
      <c r="F163" s="701">
        <v>705</v>
      </c>
      <c r="G163" s="702">
        <v>528.75</v>
      </c>
      <c r="H163" s="704">
        <v>6.768999999999</v>
      </c>
      <c r="I163" s="701">
        <v>1312.06907</v>
      </c>
      <c r="J163" s="702">
        <v>783.31907000000001</v>
      </c>
      <c r="K163" s="705">
        <v>1.861090879432</v>
      </c>
    </row>
    <row r="164" spans="1:11" ht="14.45" customHeight="1" thickBot="1" x14ac:dyDescent="0.25">
      <c r="A164" s="722" t="s">
        <v>484</v>
      </c>
      <c r="B164" s="706">
        <v>226</v>
      </c>
      <c r="C164" s="706">
        <v>1809.7223799999999</v>
      </c>
      <c r="D164" s="707">
        <v>1583.7223799999999</v>
      </c>
      <c r="E164" s="713">
        <v>8.0076211504420005</v>
      </c>
      <c r="F164" s="706">
        <v>705</v>
      </c>
      <c r="G164" s="707">
        <v>528.75</v>
      </c>
      <c r="H164" s="709">
        <v>6.768999999999</v>
      </c>
      <c r="I164" s="706">
        <v>969.04701999999895</v>
      </c>
      <c r="J164" s="707">
        <v>440.29701999999901</v>
      </c>
      <c r="K164" s="714">
        <v>1.3745347801409999</v>
      </c>
    </row>
    <row r="165" spans="1:11" ht="14.45" customHeight="1" thickBot="1" x14ac:dyDescent="0.25">
      <c r="A165" s="723" t="s">
        <v>485</v>
      </c>
      <c r="B165" s="701">
        <v>226</v>
      </c>
      <c r="C165" s="701">
        <v>1781.15238</v>
      </c>
      <c r="D165" s="702">
        <v>1555.15238</v>
      </c>
      <c r="E165" s="703">
        <v>7.8812052212379999</v>
      </c>
      <c r="F165" s="701">
        <v>705</v>
      </c>
      <c r="G165" s="702">
        <v>528.75</v>
      </c>
      <c r="H165" s="704">
        <v>6.768999999999</v>
      </c>
      <c r="I165" s="701">
        <v>769.09451999999897</v>
      </c>
      <c r="J165" s="702">
        <v>240.34451999999899</v>
      </c>
      <c r="K165" s="705">
        <v>1.090914212765</v>
      </c>
    </row>
    <row r="166" spans="1:11" ht="14.45" customHeight="1" thickBot="1" x14ac:dyDescent="0.25">
      <c r="A166" s="723" t="s">
        <v>486</v>
      </c>
      <c r="B166" s="701">
        <v>0</v>
      </c>
      <c r="C166" s="701">
        <v>28.57</v>
      </c>
      <c r="D166" s="702">
        <v>28.57</v>
      </c>
      <c r="E166" s="711" t="s">
        <v>329</v>
      </c>
      <c r="F166" s="701">
        <v>0</v>
      </c>
      <c r="G166" s="702">
        <v>0</v>
      </c>
      <c r="H166" s="704">
        <v>0</v>
      </c>
      <c r="I166" s="701">
        <v>199.95249999999999</v>
      </c>
      <c r="J166" s="702">
        <v>199.95249999999999</v>
      </c>
      <c r="K166" s="712" t="s">
        <v>329</v>
      </c>
    </row>
    <row r="167" spans="1:11" ht="14.45" customHeight="1" thickBot="1" x14ac:dyDescent="0.25">
      <c r="A167" s="722" t="s">
        <v>487</v>
      </c>
      <c r="B167" s="706">
        <v>0</v>
      </c>
      <c r="C167" s="706">
        <v>8.4579000000000004</v>
      </c>
      <c r="D167" s="707">
        <v>8.4579000000000004</v>
      </c>
      <c r="E167" s="708" t="s">
        <v>329</v>
      </c>
      <c r="F167" s="706">
        <v>0</v>
      </c>
      <c r="G167" s="707">
        <v>0</v>
      </c>
      <c r="H167" s="709">
        <v>0</v>
      </c>
      <c r="I167" s="706">
        <v>14.699999999998999</v>
      </c>
      <c r="J167" s="707">
        <v>14.699999999998999</v>
      </c>
      <c r="K167" s="710" t="s">
        <v>329</v>
      </c>
    </row>
    <row r="168" spans="1:11" ht="14.45" customHeight="1" thickBot="1" x14ac:dyDescent="0.25">
      <c r="A168" s="723" t="s">
        <v>488</v>
      </c>
      <c r="B168" s="701">
        <v>0</v>
      </c>
      <c r="C168" s="701">
        <v>0</v>
      </c>
      <c r="D168" s="702">
        <v>0</v>
      </c>
      <c r="E168" s="711" t="s">
        <v>329</v>
      </c>
      <c r="F168" s="701">
        <v>0</v>
      </c>
      <c r="G168" s="702">
        <v>0</v>
      </c>
      <c r="H168" s="704">
        <v>0</v>
      </c>
      <c r="I168" s="701">
        <v>14.699999999998999</v>
      </c>
      <c r="J168" s="702">
        <v>14.699999999998999</v>
      </c>
      <c r="K168" s="712" t="s">
        <v>343</v>
      </c>
    </row>
    <row r="169" spans="1:11" ht="14.45" customHeight="1" thickBot="1" x14ac:dyDescent="0.25">
      <c r="A169" s="723" t="s">
        <v>489</v>
      </c>
      <c r="B169" s="701">
        <v>0</v>
      </c>
      <c r="C169" s="701">
        <v>8.4579000000000004</v>
      </c>
      <c r="D169" s="702">
        <v>8.4579000000000004</v>
      </c>
      <c r="E169" s="711" t="s">
        <v>343</v>
      </c>
      <c r="F169" s="701">
        <v>0</v>
      </c>
      <c r="G169" s="702">
        <v>0</v>
      </c>
      <c r="H169" s="704">
        <v>0</v>
      </c>
      <c r="I169" s="701">
        <v>0</v>
      </c>
      <c r="J169" s="702">
        <v>0</v>
      </c>
      <c r="K169" s="712" t="s">
        <v>329</v>
      </c>
    </row>
    <row r="170" spans="1:11" ht="14.45" customHeight="1" thickBot="1" x14ac:dyDescent="0.25">
      <c r="A170" s="722" t="s">
        <v>490</v>
      </c>
      <c r="B170" s="706">
        <v>0</v>
      </c>
      <c r="C170" s="706">
        <v>4.4770000000000003</v>
      </c>
      <c r="D170" s="707">
        <v>4.4770000000000003</v>
      </c>
      <c r="E170" s="708" t="s">
        <v>329</v>
      </c>
      <c r="F170" s="706">
        <v>0</v>
      </c>
      <c r="G170" s="707">
        <v>0</v>
      </c>
      <c r="H170" s="709">
        <v>0</v>
      </c>
      <c r="I170" s="706">
        <v>0</v>
      </c>
      <c r="J170" s="707">
        <v>0</v>
      </c>
      <c r="K170" s="710" t="s">
        <v>329</v>
      </c>
    </row>
    <row r="171" spans="1:11" ht="14.45" customHeight="1" thickBot="1" x14ac:dyDescent="0.25">
      <c r="A171" s="723" t="s">
        <v>491</v>
      </c>
      <c r="B171" s="701">
        <v>0</v>
      </c>
      <c r="C171" s="701">
        <v>4.4770000000000003</v>
      </c>
      <c r="D171" s="702">
        <v>4.4770000000000003</v>
      </c>
      <c r="E171" s="711" t="s">
        <v>329</v>
      </c>
      <c r="F171" s="701">
        <v>0</v>
      </c>
      <c r="G171" s="702">
        <v>0</v>
      </c>
      <c r="H171" s="704">
        <v>0</v>
      </c>
      <c r="I171" s="701">
        <v>0</v>
      </c>
      <c r="J171" s="702">
        <v>0</v>
      </c>
      <c r="K171" s="712" t="s">
        <v>329</v>
      </c>
    </row>
    <row r="172" spans="1:11" ht="14.45" customHeight="1" thickBot="1" x14ac:dyDescent="0.25">
      <c r="A172" s="722" t="s">
        <v>492</v>
      </c>
      <c r="B172" s="706">
        <v>0</v>
      </c>
      <c r="C172" s="706">
        <v>159.99250000000001</v>
      </c>
      <c r="D172" s="707">
        <v>159.99250000000001</v>
      </c>
      <c r="E172" s="708" t="s">
        <v>329</v>
      </c>
      <c r="F172" s="706">
        <v>0</v>
      </c>
      <c r="G172" s="707">
        <v>0</v>
      </c>
      <c r="H172" s="709">
        <v>0</v>
      </c>
      <c r="I172" s="706">
        <v>312.58600000000001</v>
      </c>
      <c r="J172" s="707">
        <v>312.58600000000001</v>
      </c>
      <c r="K172" s="710" t="s">
        <v>329</v>
      </c>
    </row>
    <row r="173" spans="1:11" ht="14.45" customHeight="1" thickBot="1" x14ac:dyDescent="0.25">
      <c r="A173" s="723" t="s">
        <v>493</v>
      </c>
      <c r="B173" s="701">
        <v>0</v>
      </c>
      <c r="C173" s="701">
        <v>159.99250000000001</v>
      </c>
      <c r="D173" s="702">
        <v>159.99250000000001</v>
      </c>
      <c r="E173" s="711" t="s">
        <v>329</v>
      </c>
      <c r="F173" s="701">
        <v>0</v>
      </c>
      <c r="G173" s="702">
        <v>0</v>
      </c>
      <c r="H173" s="704">
        <v>0</v>
      </c>
      <c r="I173" s="701">
        <v>312.58600000000001</v>
      </c>
      <c r="J173" s="702">
        <v>312.58600000000001</v>
      </c>
      <c r="K173" s="712" t="s">
        <v>329</v>
      </c>
    </row>
    <row r="174" spans="1:11" ht="14.45" customHeight="1" thickBot="1" x14ac:dyDescent="0.25">
      <c r="A174" s="722" t="s">
        <v>494</v>
      </c>
      <c r="B174" s="706">
        <v>0</v>
      </c>
      <c r="C174" s="706">
        <v>0</v>
      </c>
      <c r="D174" s="707">
        <v>0</v>
      </c>
      <c r="E174" s="713">
        <v>1</v>
      </c>
      <c r="F174" s="706">
        <v>0</v>
      </c>
      <c r="G174" s="707">
        <v>0</v>
      </c>
      <c r="H174" s="709">
        <v>0</v>
      </c>
      <c r="I174" s="706">
        <v>15.736050000000001</v>
      </c>
      <c r="J174" s="707">
        <v>15.736050000000001</v>
      </c>
      <c r="K174" s="710" t="s">
        <v>343</v>
      </c>
    </row>
    <row r="175" spans="1:11" ht="14.45" customHeight="1" thickBot="1" x14ac:dyDescent="0.25">
      <c r="A175" s="723" t="s">
        <v>495</v>
      </c>
      <c r="B175" s="701">
        <v>0</v>
      </c>
      <c r="C175" s="701">
        <v>0</v>
      </c>
      <c r="D175" s="702">
        <v>0</v>
      </c>
      <c r="E175" s="703">
        <v>1</v>
      </c>
      <c r="F175" s="701">
        <v>0</v>
      </c>
      <c r="G175" s="702">
        <v>0</v>
      </c>
      <c r="H175" s="704">
        <v>0</v>
      </c>
      <c r="I175" s="701">
        <v>15.736050000000001</v>
      </c>
      <c r="J175" s="702">
        <v>15.736050000000001</v>
      </c>
      <c r="K175" s="712" t="s">
        <v>343</v>
      </c>
    </row>
    <row r="176" spans="1:11" ht="14.45" customHeight="1" thickBot="1" x14ac:dyDescent="0.25">
      <c r="A176" s="719" t="s">
        <v>496</v>
      </c>
      <c r="B176" s="701">
        <v>86129.418736928099</v>
      </c>
      <c r="C176" s="701">
        <v>93759.440950000004</v>
      </c>
      <c r="D176" s="702">
        <v>7630.0222130718903</v>
      </c>
      <c r="E176" s="703">
        <v>1.0885878753730001</v>
      </c>
      <c r="F176" s="701">
        <v>105600.049775073</v>
      </c>
      <c r="G176" s="702">
        <v>79200.037331304498</v>
      </c>
      <c r="H176" s="704">
        <v>7510.2210299999997</v>
      </c>
      <c r="I176" s="701">
        <v>67112.753049999999</v>
      </c>
      <c r="J176" s="702">
        <v>-12087.284281304501</v>
      </c>
      <c r="K176" s="705">
        <v>0.63553713462200001</v>
      </c>
    </row>
    <row r="177" spans="1:11" ht="14.45" customHeight="1" thickBot="1" x14ac:dyDescent="0.25">
      <c r="A177" s="720" t="s">
        <v>497</v>
      </c>
      <c r="B177" s="701">
        <v>85977.643192075804</v>
      </c>
      <c r="C177" s="701">
        <v>92948.128060000003</v>
      </c>
      <c r="D177" s="702">
        <v>6970.4848679241604</v>
      </c>
      <c r="E177" s="703">
        <v>1.0810732256560001</v>
      </c>
      <c r="F177" s="701">
        <v>105530.490599041</v>
      </c>
      <c r="G177" s="702">
        <v>79147.867949280393</v>
      </c>
      <c r="H177" s="704">
        <v>7499.9085400000004</v>
      </c>
      <c r="I177" s="701">
        <v>66490.297399999996</v>
      </c>
      <c r="J177" s="702">
        <v>-12657.570549280401</v>
      </c>
      <c r="K177" s="705">
        <v>0.63005769254499999</v>
      </c>
    </row>
    <row r="178" spans="1:11" ht="14.45" customHeight="1" thickBot="1" x14ac:dyDescent="0.25">
      <c r="A178" s="721" t="s">
        <v>498</v>
      </c>
      <c r="B178" s="701">
        <v>85790.643192075804</v>
      </c>
      <c r="C178" s="701">
        <v>92723.956909999994</v>
      </c>
      <c r="D178" s="702">
        <v>6933.3137179241503</v>
      </c>
      <c r="E178" s="703">
        <v>1.080816665547</v>
      </c>
      <c r="F178" s="701">
        <v>105221.362505514</v>
      </c>
      <c r="G178" s="702">
        <v>78916.021879135194</v>
      </c>
      <c r="H178" s="704">
        <v>7483.6542099999997</v>
      </c>
      <c r="I178" s="701">
        <v>66322.334480000005</v>
      </c>
      <c r="J178" s="702">
        <v>-12593.6873991352</v>
      </c>
      <c r="K178" s="705">
        <v>0.63031244702300004</v>
      </c>
    </row>
    <row r="179" spans="1:11" ht="14.45" customHeight="1" thickBot="1" x14ac:dyDescent="0.25">
      <c r="A179" s="722" t="s">
        <v>499</v>
      </c>
      <c r="B179" s="706">
        <v>19.738506082151002</v>
      </c>
      <c r="C179" s="706">
        <v>34.237119999999997</v>
      </c>
      <c r="D179" s="707">
        <v>14.498613917847999</v>
      </c>
      <c r="E179" s="713">
        <v>1.734534511249</v>
      </c>
      <c r="F179" s="706">
        <v>39.772858790609</v>
      </c>
      <c r="G179" s="707">
        <v>29.829644092957</v>
      </c>
      <c r="H179" s="709">
        <v>0</v>
      </c>
      <c r="I179" s="706">
        <v>8.7003900000000005</v>
      </c>
      <c r="J179" s="707">
        <v>-21.129254092957002</v>
      </c>
      <c r="K179" s="714">
        <v>0.218751939502</v>
      </c>
    </row>
    <row r="180" spans="1:11" ht="14.45" customHeight="1" thickBot="1" x14ac:dyDescent="0.25">
      <c r="A180" s="723" t="s">
        <v>500</v>
      </c>
      <c r="B180" s="701">
        <v>0.653134324584</v>
      </c>
      <c r="C180" s="701">
        <v>5.62E-2</v>
      </c>
      <c r="D180" s="702">
        <v>-0.59693432458399998</v>
      </c>
      <c r="E180" s="703">
        <v>8.6046618413000001E-2</v>
      </c>
      <c r="F180" s="701">
        <v>5.6027068109000003E-2</v>
      </c>
      <c r="G180" s="702">
        <v>4.2020301081000001E-2</v>
      </c>
      <c r="H180" s="704">
        <v>0</v>
      </c>
      <c r="I180" s="701">
        <v>0.23469999999999999</v>
      </c>
      <c r="J180" s="702">
        <v>0.19267969891799999</v>
      </c>
      <c r="K180" s="705">
        <v>4.1890466147899996</v>
      </c>
    </row>
    <row r="181" spans="1:11" ht="14.45" customHeight="1" thickBot="1" x14ac:dyDescent="0.25">
      <c r="A181" s="723" t="s">
        <v>501</v>
      </c>
      <c r="B181" s="701">
        <v>14.592558553056</v>
      </c>
      <c r="C181" s="701">
        <v>28.39716</v>
      </c>
      <c r="D181" s="702">
        <v>13.804601446943</v>
      </c>
      <c r="E181" s="703">
        <v>1.9460028134709999</v>
      </c>
      <c r="F181" s="701">
        <v>34.216388827023998</v>
      </c>
      <c r="G181" s="702">
        <v>25.662291620268</v>
      </c>
      <c r="H181" s="704">
        <v>0</v>
      </c>
      <c r="I181" s="701">
        <v>8.2020599999999995</v>
      </c>
      <c r="J181" s="702">
        <v>-17.460231620268001</v>
      </c>
      <c r="K181" s="705">
        <v>0.239711444754</v>
      </c>
    </row>
    <row r="182" spans="1:11" ht="14.45" customHeight="1" thickBot="1" x14ac:dyDescent="0.25">
      <c r="A182" s="723" t="s">
        <v>502</v>
      </c>
      <c r="B182" s="701">
        <v>4.4928132045110001</v>
      </c>
      <c r="C182" s="701">
        <v>5.78376</v>
      </c>
      <c r="D182" s="702">
        <v>1.2909467954880001</v>
      </c>
      <c r="E182" s="703">
        <v>1.287335960059</v>
      </c>
      <c r="F182" s="701">
        <v>5.5004428954759996</v>
      </c>
      <c r="G182" s="702">
        <v>4.1253321716069999</v>
      </c>
      <c r="H182" s="704">
        <v>0</v>
      </c>
      <c r="I182" s="701">
        <v>0.26362999999999998</v>
      </c>
      <c r="J182" s="702">
        <v>-3.8617021716069999</v>
      </c>
      <c r="K182" s="705">
        <v>4.7928867730999997E-2</v>
      </c>
    </row>
    <row r="183" spans="1:11" ht="14.45" customHeight="1" thickBot="1" x14ac:dyDescent="0.25">
      <c r="A183" s="722" t="s">
        <v>503</v>
      </c>
      <c r="B183" s="706">
        <v>4.2164149582289996</v>
      </c>
      <c r="C183" s="706">
        <v>393.31081</v>
      </c>
      <c r="D183" s="707">
        <v>389.09439504176999</v>
      </c>
      <c r="E183" s="713">
        <v>93.280859188760999</v>
      </c>
      <c r="F183" s="706">
        <v>0</v>
      </c>
      <c r="G183" s="707">
        <v>0</v>
      </c>
      <c r="H183" s="709">
        <v>0</v>
      </c>
      <c r="I183" s="706">
        <v>0</v>
      </c>
      <c r="J183" s="707">
        <v>0</v>
      </c>
      <c r="K183" s="710" t="s">
        <v>329</v>
      </c>
    </row>
    <row r="184" spans="1:11" ht="14.45" customHeight="1" thickBot="1" x14ac:dyDescent="0.25">
      <c r="A184" s="723" t="s">
        <v>504</v>
      </c>
      <c r="B184" s="701">
        <v>0</v>
      </c>
      <c r="C184" s="701">
        <v>393.31081</v>
      </c>
      <c r="D184" s="702">
        <v>393.31081</v>
      </c>
      <c r="E184" s="711" t="s">
        <v>329</v>
      </c>
      <c r="F184" s="701">
        <v>0</v>
      </c>
      <c r="G184" s="702">
        <v>0</v>
      </c>
      <c r="H184" s="704">
        <v>0</v>
      </c>
      <c r="I184" s="701">
        <v>0</v>
      </c>
      <c r="J184" s="702">
        <v>0</v>
      </c>
      <c r="K184" s="712" t="s">
        <v>329</v>
      </c>
    </row>
    <row r="185" spans="1:11" ht="14.45" customHeight="1" thickBot="1" x14ac:dyDescent="0.25">
      <c r="A185" s="723" t="s">
        <v>505</v>
      </c>
      <c r="B185" s="701">
        <v>4.2164149582289996</v>
      </c>
      <c r="C185" s="701">
        <v>0</v>
      </c>
      <c r="D185" s="702">
        <v>-4.2164149582289996</v>
      </c>
      <c r="E185" s="703">
        <v>0</v>
      </c>
      <c r="F185" s="701">
        <v>0</v>
      </c>
      <c r="G185" s="702">
        <v>0</v>
      </c>
      <c r="H185" s="704">
        <v>0</v>
      </c>
      <c r="I185" s="701">
        <v>0</v>
      </c>
      <c r="J185" s="702">
        <v>0</v>
      </c>
      <c r="K185" s="705">
        <v>0</v>
      </c>
    </row>
    <row r="186" spans="1:11" ht="14.45" customHeight="1" thickBot="1" x14ac:dyDescent="0.25">
      <c r="A186" s="725" t="s">
        <v>506</v>
      </c>
      <c r="B186" s="701">
        <v>4.552015469104</v>
      </c>
      <c r="C186" s="701">
        <v>23.768319999999999</v>
      </c>
      <c r="D186" s="702">
        <v>19.216304530894998</v>
      </c>
      <c r="E186" s="703">
        <v>5.2214936792979998</v>
      </c>
      <c r="F186" s="701">
        <v>222.725570134664</v>
      </c>
      <c r="G186" s="702">
        <v>167.04417760099801</v>
      </c>
      <c r="H186" s="704">
        <v>0</v>
      </c>
      <c r="I186" s="701">
        <v>93.119359999999006</v>
      </c>
      <c r="J186" s="702">
        <v>-73.924817600997002</v>
      </c>
      <c r="K186" s="705">
        <v>0.418090118452</v>
      </c>
    </row>
    <row r="187" spans="1:11" ht="14.45" customHeight="1" thickBot="1" x14ac:dyDescent="0.25">
      <c r="A187" s="723" t="s">
        <v>507</v>
      </c>
      <c r="B187" s="701">
        <v>0</v>
      </c>
      <c r="C187" s="701">
        <v>0</v>
      </c>
      <c r="D187" s="702">
        <v>0</v>
      </c>
      <c r="E187" s="703">
        <v>1</v>
      </c>
      <c r="F187" s="701">
        <v>32.868609643785</v>
      </c>
      <c r="G187" s="702">
        <v>24.651457232837998</v>
      </c>
      <c r="H187" s="704">
        <v>0</v>
      </c>
      <c r="I187" s="701">
        <v>25.828399999999998</v>
      </c>
      <c r="J187" s="702">
        <v>1.176942767161</v>
      </c>
      <c r="K187" s="705">
        <v>0.78580750083100004</v>
      </c>
    </row>
    <row r="188" spans="1:11" ht="14.45" customHeight="1" thickBot="1" x14ac:dyDescent="0.25">
      <c r="A188" s="723" t="s">
        <v>508</v>
      </c>
      <c r="B188" s="701">
        <v>0</v>
      </c>
      <c r="C188" s="701">
        <v>0</v>
      </c>
      <c r="D188" s="702">
        <v>0</v>
      </c>
      <c r="E188" s="703">
        <v>1</v>
      </c>
      <c r="F188" s="701">
        <v>189.856960490879</v>
      </c>
      <c r="G188" s="702">
        <v>142.39272036815899</v>
      </c>
      <c r="H188" s="704">
        <v>0</v>
      </c>
      <c r="I188" s="701">
        <v>67.290959999999004</v>
      </c>
      <c r="J188" s="702">
        <v>-75.101760368159006</v>
      </c>
      <c r="K188" s="705">
        <v>0.35442977611100002</v>
      </c>
    </row>
    <row r="189" spans="1:11" ht="14.45" customHeight="1" thickBot="1" x14ac:dyDescent="0.25">
      <c r="A189" s="723" t="s">
        <v>509</v>
      </c>
      <c r="B189" s="701">
        <v>0</v>
      </c>
      <c r="C189" s="701">
        <v>17.511500000000002</v>
      </c>
      <c r="D189" s="702">
        <v>17.511500000000002</v>
      </c>
      <c r="E189" s="711" t="s">
        <v>343</v>
      </c>
      <c r="F189" s="701">
        <v>0</v>
      </c>
      <c r="G189" s="702">
        <v>0</v>
      </c>
      <c r="H189" s="704">
        <v>0</v>
      </c>
      <c r="I189" s="701">
        <v>0</v>
      </c>
      <c r="J189" s="702">
        <v>0</v>
      </c>
      <c r="K189" s="712" t="s">
        <v>329</v>
      </c>
    </row>
    <row r="190" spans="1:11" ht="14.45" customHeight="1" thickBot="1" x14ac:dyDescent="0.25">
      <c r="A190" s="723" t="s">
        <v>510</v>
      </c>
      <c r="B190" s="701">
        <v>4.552015469104</v>
      </c>
      <c r="C190" s="701">
        <v>6.2568200000000003</v>
      </c>
      <c r="D190" s="702">
        <v>1.7048045308949999</v>
      </c>
      <c r="E190" s="703">
        <v>1.3745164185979999</v>
      </c>
      <c r="F190" s="701">
        <v>0</v>
      </c>
      <c r="G190" s="702">
        <v>0</v>
      </c>
      <c r="H190" s="704">
        <v>0</v>
      </c>
      <c r="I190" s="701">
        <v>0</v>
      </c>
      <c r="J190" s="702">
        <v>0</v>
      </c>
      <c r="K190" s="705">
        <v>9</v>
      </c>
    </row>
    <row r="191" spans="1:11" ht="14.45" customHeight="1" thickBot="1" x14ac:dyDescent="0.25">
      <c r="A191" s="722" t="s">
        <v>511</v>
      </c>
      <c r="B191" s="706">
        <v>85762.136255566395</v>
      </c>
      <c r="C191" s="706">
        <v>86110.518599999996</v>
      </c>
      <c r="D191" s="707">
        <v>348.38234443363001</v>
      </c>
      <c r="E191" s="713">
        <v>1.00406219294</v>
      </c>
      <c r="F191" s="706">
        <v>104958.864076588</v>
      </c>
      <c r="G191" s="707">
        <v>78719.1480574413</v>
      </c>
      <c r="H191" s="709">
        <v>7483.6542099999997</v>
      </c>
      <c r="I191" s="706">
        <v>64158.192609999998</v>
      </c>
      <c r="J191" s="707">
        <v>-14560.9554474413</v>
      </c>
      <c r="K191" s="714">
        <v>0.61126988343900002</v>
      </c>
    </row>
    <row r="192" spans="1:11" ht="14.45" customHeight="1" thickBot="1" x14ac:dyDescent="0.25">
      <c r="A192" s="723" t="s">
        <v>512</v>
      </c>
      <c r="B192" s="701">
        <v>19385.303533594699</v>
      </c>
      <c r="C192" s="701">
        <v>32164.743320000001</v>
      </c>
      <c r="D192" s="702">
        <v>12779.439786405301</v>
      </c>
      <c r="E192" s="703">
        <v>1.659233411757</v>
      </c>
      <c r="F192" s="701">
        <v>0</v>
      </c>
      <c r="G192" s="702">
        <v>0</v>
      </c>
      <c r="H192" s="704">
        <v>0</v>
      </c>
      <c r="I192" s="701">
        <v>0</v>
      </c>
      <c r="J192" s="702">
        <v>0</v>
      </c>
      <c r="K192" s="712" t="s">
        <v>329</v>
      </c>
    </row>
    <row r="193" spans="1:11" ht="14.45" customHeight="1" thickBot="1" x14ac:dyDescent="0.25">
      <c r="A193" s="723" t="s">
        <v>513</v>
      </c>
      <c r="B193" s="701">
        <v>60684.534778075496</v>
      </c>
      <c r="C193" s="701">
        <v>50130.230519999997</v>
      </c>
      <c r="D193" s="702">
        <v>-10554.304258075499</v>
      </c>
      <c r="E193" s="703">
        <v>0.82607917656899998</v>
      </c>
      <c r="F193" s="701">
        <v>99633.828596930602</v>
      </c>
      <c r="G193" s="702">
        <v>74725.371447697893</v>
      </c>
      <c r="H193" s="704">
        <v>7483.6542099999997</v>
      </c>
      <c r="I193" s="701">
        <v>61871.805350000002</v>
      </c>
      <c r="J193" s="702">
        <v>-12853.5660976979</v>
      </c>
      <c r="K193" s="705">
        <v>0.62099194843000005</v>
      </c>
    </row>
    <row r="194" spans="1:11" ht="14.45" customHeight="1" thickBot="1" x14ac:dyDescent="0.25">
      <c r="A194" s="723" t="s">
        <v>514</v>
      </c>
      <c r="B194" s="701">
        <v>1748.6029274390701</v>
      </c>
      <c r="C194" s="701">
        <v>1002.99126</v>
      </c>
      <c r="D194" s="702">
        <v>-745.61166743906801</v>
      </c>
      <c r="E194" s="703">
        <v>0.57359577995699995</v>
      </c>
      <c r="F194" s="701">
        <v>0</v>
      </c>
      <c r="G194" s="702">
        <v>0</v>
      </c>
      <c r="H194" s="704">
        <v>0</v>
      </c>
      <c r="I194" s="701">
        <v>0</v>
      </c>
      <c r="J194" s="702">
        <v>0</v>
      </c>
      <c r="K194" s="712" t="s">
        <v>329</v>
      </c>
    </row>
    <row r="195" spans="1:11" ht="14.45" customHeight="1" thickBot="1" x14ac:dyDescent="0.25">
      <c r="A195" s="723" t="s">
        <v>515</v>
      </c>
      <c r="B195" s="701">
        <v>3943.6950164571299</v>
      </c>
      <c r="C195" s="701">
        <v>2812.5535</v>
      </c>
      <c r="D195" s="702">
        <v>-1131.1415164571299</v>
      </c>
      <c r="E195" s="703">
        <v>0.71317723309299996</v>
      </c>
      <c r="F195" s="701">
        <v>5325.0354796577603</v>
      </c>
      <c r="G195" s="702">
        <v>3993.77660974332</v>
      </c>
      <c r="H195" s="704">
        <v>0</v>
      </c>
      <c r="I195" s="701">
        <v>2286.38726</v>
      </c>
      <c r="J195" s="702">
        <v>-1707.3893497433201</v>
      </c>
      <c r="K195" s="705">
        <v>0.42936563873299999</v>
      </c>
    </row>
    <row r="196" spans="1:11" ht="14.45" customHeight="1" thickBot="1" x14ac:dyDescent="0.25">
      <c r="A196" s="722" t="s">
        <v>516</v>
      </c>
      <c r="B196" s="706">
        <v>0</v>
      </c>
      <c r="C196" s="706">
        <v>6162.1220599999997</v>
      </c>
      <c r="D196" s="707">
        <v>6162.1220599999997</v>
      </c>
      <c r="E196" s="708" t="s">
        <v>329</v>
      </c>
      <c r="F196" s="706">
        <v>0</v>
      </c>
      <c r="G196" s="707">
        <v>0</v>
      </c>
      <c r="H196" s="709">
        <v>0</v>
      </c>
      <c r="I196" s="706">
        <v>2062.3221199999998</v>
      </c>
      <c r="J196" s="707">
        <v>2062.3221199999998</v>
      </c>
      <c r="K196" s="710" t="s">
        <v>329</v>
      </c>
    </row>
    <row r="197" spans="1:11" ht="14.45" customHeight="1" thickBot="1" x14ac:dyDescent="0.25">
      <c r="A197" s="723" t="s">
        <v>517</v>
      </c>
      <c r="B197" s="701">
        <v>0</v>
      </c>
      <c r="C197" s="701">
        <v>1203.1749400000001</v>
      </c>
      <c r="D197" s="702">
        <v>1203.1749400000001</v>
      </c>
      <c r="E197" s="711" t="s">
        <v>329</v>
      </c>
      <c r="F197" s="701">
        <v>0</v>
      </c>
      <c r="G197" s="702">
        <v>0</v>
      </c>
      <c r="H197" s="704">
        <v>0</v>
      </c>
      <c r="I197" s="701">
        <v>0</v>
      </c>
      <c r="J197" s="702">
        <v>0</v>
      </c>
      <c r="K197" s="712" t="s">
        <v>329</v>
      </c>
    </row>
    <row r="198" spans="1:11" ht="14.45" customHeight="1" thickBot="1" x14ac:dyDescent="0.25">
      <c r="A198" s="723" t="s">
        <v>518</v>
      </c>
      <c r="B198" s="701">
        <v>0</v>
      </c>
      <c r="C198" s="701">
        <v>4958.9471199999998</v>
      </c>
      <c r="D198" s="702">
        <v>4958.9471199999998</v>
      </c>
      <c r="E198" s="711" t="s">
        <v>329</v>
      </c>
      <c r="F198" s="701">
        <v>0</v>
      </c>
      <c r="G198" s="702">
        <v>0</v>
      </c>
      <c r="H198" s="704">
        <v>0</v>
      </c>
      <c r="I198" s="701">
        <v>2062.3221199999998</v>
      </c>
      <c r="J198" s="702">
        <v>2062.3221199999998</v>
      </c>
      <c r="K198" s="712" t="s">
        <v>329</v>
      </c>
    </row>
    <row r="199" spans="1:11" ht="14.45" customHeight="1" thickBot="1" x14ac:dyDescent="0.25">
      <c r="A199" s="721" t="s">
        <v>519</v>
      </c>
      <c r="B199" s="701">
        <v>187</v>
      </c>
      <c r="C199" s="701">
        <v>224.17115000000001</v>
      </c>
      <c r="D199" s="702">
        <v>37.171149999999997</v>
      </c>
      <c r="E199" s="703">
        <v>1.198776203208</v>
      </c>
      <c r="F199" s="701">
        <v>309.12809352694802</v>
      </c>
      <c r="G199" s="702">
        <v>231.846070145211</v>
      </c>
      <c r="H199" s="704">
        <v>16.25433</v>
      </c>
      <c r="I199" s="701">
        <v>167.96292</v>
      </c>
      <c r="J199" s="702">
        <v>-63.883150145210998</v>
      </c>
      <c r="K199" s="705">
        <v>0.54334408136000001</v>
      </c>
    </row>
    <row r="200" spans="1:11" ht="14.45" customHeight="1" thickBot="1" x14ac:dyDescent="0.25">
      <c r="A200" s="722" t="s">
        <v>520</v>
      </c>
      <c r="B200" s="706">
        <v>187</v>
      </c>
      <c r="C200" s="706">
        <v>224.17115000000001</v>
      </c>
      <c r="D200" s="707">
        <v>37.171149999999997</v>
      </c>
      <c r="E200" s="713">
        <v>1.198776203208</v>
      </c>
      <c r="F200" s="706">
        <v>309.12809352694802</v>
      </c>
      <c r="G200" s="707">
        <v>231.846070145211</v>
      </c>
      <c r="H200" s="709">
        <v>16.25433</v>
      </c>
      <c r="I200" s="706">
        <v>167.96292</v>
      </c>
      <c r="J200" s="707">
        <v>-63.883150145210998</v>
      </c>
      <c r="K200" s="714">
        <v>0.54334408136000001</v>
      </c>
    </row>
    <row r="201" spans="1:11" ht="14.45" customHeight="1" thickBot="1" x14ac:dyDescent="0.25">
      <c r="A201" s="723" t="s">
        <v>521</v>
      </c>
      <c r="B201" s="701">
        <v>187</v>
      </c>
      <c r="C201" s="701">
        <v>224.17115000000001</v>
      </c>
      <c r="D201" s="702">
        <v>37.171149999999997</v>
      </c>
      <c r="E201" s="703">
        <v>1.198776203208</v>
      </c>
      <c r="F201" s="701">
        <v>309.12809352694802</v>
      </c>
      <c r="G201" s="702">
        <v>231.846070145211</v>
      </c>
      <c r="H201" s="704">
        <v>16.25433</v>
      </c>
      <c r="I201" s="701">
        <v>167.96292</v>
      </c>
      <c r="J201" s="702">
        <v>-63.883150145210998</v>
      </c>
      <c r="K201" s="705">
        <v>0.54334408136000001</v>
      </c>
    </row>
    <row r="202" spans="1:11" ht="14.45" customHeight="1" thickBot="1" x14ac:dyDescent="0.25">
      <c r="A202" s="720" t="s">
        <v>522</v>
      </c>
      <c r="B202" s="701">
        <v>119.608881951382</v>
      </c>
      <c r="C202" s="701">
        <v>713.45589000000098</v>
      </c>
      <c r="D202" s="702">
        <v>593.84700804861905</v>
      </c>
      <c r="E202" s="703">
        <v>5.9649072741099998</v>
      </c>
      <c r="F202" s="701">
        <v>0</v>
      </c>
      <c r="G202" s="702">
        <v>0</v>
      </c>
      <c r="H202" s="704">
        <v>8.25</v>
      </c>
      <c r="I202" s="701">
        <v>580.82168000000001</v>
      </c>
      <c r="J202" s="702">
        <v>580.82168000000001</v>
      </c>
      <c r="K202" s="712" t="s">
        <v>329</v>
      </c>
    </row>
    <row r="203" spans="1:11" ht="14.45" customHeight="1" thickBot="1" x14ac:dyDescent="0.25">
      <c r="A203" s="721" t="s">
        <v>523</v>
      </c>
      <c r="B203" s="701">
        <v>0</v>
      </c>
      <c r="C203" s="701">
        <v>87.9</v>
      </c>
      <c r="D203" s="702">
        <v>87.9</v>
      </c>
      <c r="E203" s="711" t="s">
        <v>329</v>
      </c>
      <c r="F203" s="701">
        <v>0</v>
      </c>
      <c r="G203" s="702">
        <v>0</v>
      </c>
      <c r="H203" s="704">
        <v>8.25</v>
      </c>
      <c r="I203" s="701">
        <v>91.4</v>
      </c>
      <c r="J203" s="702">
        <v>91.4</v>
      </c>
      <c r="K203" s="712" t="s">
        <v>329</v>
      </c>
    </row>
    <row r="204" spans="1:11" ht="14.45" customHeight="1" thickBot="1" x14ac:dyDescent="0.25">
      <c r="A204" s="722" t="s">
        <v>524</v>
      </c>
      <c r="B204" s="706">
        <v>0</v>
      </c>
      <c r="C204" s="706">
        <v>18.149999999999999</v>
      </c>
      <c r="D204" s="707">
        <v>18.149999999999999</v>
      </c>
      <c r="E204" s="708" t="s">
        <v>329</v>
      </c>
      <c r="F204" s="706">
        <v>0</v>
      </c>
      <c r="G204" s="707">
        <v>0</v>
      </c>
      <c r="H204" s="709">
        <v>0</v>
      </c>
      <c r="I204" s="706">
        <v>18.149999999999999</v>
      </c>
      <c r="J204" s="707">
        <v>18.149999999999999</v>
      </c>
      <c r="K204" s="710" t="s">
        <v>329</v>
      </c>
    </row>
    <row r="205" spans="1:11" ht="14.45" customHeight="1" thickBot="1" x14ac:dyDescent="0.25">
      <c r="A205" s="723" t="s">
        <v>525</v>
      </c>
      <c r="B205" s="701">
        <v>0</v>
      </c>
      <c r="C205" s="701">
        <v>18.149999999999999</v>
      </c>
      <c r="D205" s="702">
        <v>18.149999999999999</v>
      </c>
      <c r="E205" s="711" t="s">
        <v>329</v>
      </c>
      <c r="F205" s="701">
        <v>0</v>
      </c>
      <c r="G205" s="702">
        <v>0</v>
      </c>
      <c r="H205" s="704">
        <v>0</v>
      </c>
      <c r="I205" s="701">
        <v>18.149999999999999</v>
      </c>
      <c r="J205" s="702">
        <v>18.149999999999999</v>
      </c>
      <c r="K205" s="712" t="s">
        <v>329</v>
      </c>
    </row>
    <row r="206" spans="1:11" ht="14.45" customHeight="1" thickBot="1" x14ac:dyDescent="0.25">
      <c r="A206" s="722" t="s">
        <v>526</v>
      </c>
      <c r="B206" s="706">
        <v>0</v>
      </c>
      <c r="C206" s="706">
        <v>69.75</v>
      </c>
      <c r="D206" s="707">
        <v>69.75</v>
      </c>
      <c r="E206" s="708" t="s">
        <v>329</v>
      </c>
      <c r="F206" s="706">
        <v>0</v>
      </c>
      <c r="G206" s="707">
        <v>0</v>
      </c>
      <c r="H206" s="709">
        <v>8.25</v>
      </c>
      <c r="I206" s="706">
        <v>73.25</v>
      </c>
      <c r="J206" s="707">
        <v>73.25</v>
      </c>
      <c r="K206" s="710" t="s">
        <v>329</v>
      </c>
    </row>
    <row r="207" spans="1:11" ht="14.45" customHeight="1" thickBot="1" x14ac:dyDescent="0.25">
      <c r="A207" s="723" t="s">
        <v>527</v>
      </c>
      <c r="B207" s="701">
        <v>0</v>
      </c>
      <c r="C207" s="701">
        <v>69.75</v>
      </c>
      <c r="D207" s="702">
        <v>69.75</v>
      </c>
      <c r="E207" s="711" t="s">
        <v>329</v>
      </c>
      <c r="F207" s="701">
        <v>0</v>
      </c>
      <c r="G207" s="702">
        <v>0</v>
      </c>
      <c r="H207" s="704">
        <v>8.25</v>
      </c>
      <c r="I207" s="701">
        <v>73.25</v>
      </c>
      <c r="J207" s="702">
        <v>73.25</v>
      </c>
      <c r="K207" s="712" t="s">
        <v>329</v>
      </c>
    </row>
    <row r="208" spans="1:11" ht="14.45" customHeight="1" thickBot="1" x14ac:dyDescent="0.25">
      <c r="A208" s="726" t="s">
        <v>528</v>
      </c>
      <c r="B208" s="706">
        <v>119.608881951382</v>
      </c>
      <c r="C208" s="706">
        <v>625.555890000001</v>
      </c>
      <c r="D208" s="707">
        <v>505.94700804861901</v>
      </c>
      <c r="E208" s="713">
        <v>5.2300120174540004</v>
      </c>
      <c r="F208" s="706">
        <v>0</v>
      </c>
      <c r="G208" s="707">
        <v>0</v>
      </c>
      <c r="H208" s="709">
        <v>0</v>
      </c>
      <c r="I208" s="706">
        <v>489.42167999999998</v>
      </c>
      <c r="J208" s="707">
        <v>489.42167999999998</v>
      </c>
      <c r="K208" s="710" t="s">
        <v>329</v>
      </c>
    </row>
    <row r="209" spans="1:11" ht="14.45" customHeight="1" thickBot="1" x14ac:dyDescent="0.25">
      <c r="A209" s="722" t="s">
        <v>529</v>
      </c>
      <c r="B209" s="706">
        <v>0</v>
      </c>
      <c r="C209" s="706">
        <v>80.000299999999996</v>
      </c>
      <c r="D209" s="707">
        <v>80.000299999999996</v>
      </c>
      <c r="E209" s="708" t="s">
        <v>329</v>
      </c>
      <c r="F209" s="706">
        <v>0</v>
      </c>
      <c r="G209" s="707">
        <v>0</v>
      </c>
      <c r="H209" s="709">
        <v>0</v>
      </c>
      <c r="I209" s="706">
        <v>100.00045</v>
      </c>
      <c r="J209" s="707">
        <v>100.00045</v>
      </c>
      <c r="K209" s="710" t="s">
        <v>329</v>
      </c>
    </row>
    <row r="210" spans="1:11" ht="14.45" customHeight="1" thickBot="1" x14ac:dyDescent="0.25">
      <c r="A210" s="723" t="s">
        <v>530</v>
      </c>
      <c r="B210" s="701">
        <v>0</v>
      </c>
      <c r="C210" s="701">
        <v>2.9999999999999997E-4</v>
      </c>
      <c r="D210" s="702">
        <v>2.9999999999999997E-4</v>
      </c>
      <c r="E210" s="711" t="s">
        <v>329</v>
      </c>
      <c r="F210" s="701">
        <v>0</v>
      </c>
      <c r="G210" s="702">
        <v>0</v>
      </c>
      <c r="H210" s="704">
        <v>0</v>
      </c>
      <c r="I210" s="701">
        <v>4.4999999999999999E-4</v>
      </c>
      <c r="J210" s="702">
        <v>4.4999999999999999E-4</v>
      </c>
      <c r="K210" s="712" t="s">
        <v>329</v>
      </c>
    </row>
    <row r="211" spans="1:11" ht="14.45" customHeight="1" thickBot="1" x14ac:dyDescent="0.25">
      <c r="A211" s="723" t="s">
        <v>531</v>
      </c>
      <c r="B211" s="701">
        <v>0</v>
      </c>
      <c r="C211" s="701">
        <v>80</v>
      </c>
      <c r="D211" s="702">
        <v>80</v>
      </c>
      <c r="E211" s="711" t="s">
        <v>329</v>
      </c>
      <c r="F211" s="701">
        <v>0</v>
      </c>
      <c r="G211" s="702">
        <v>0</v>
      </c>
      <c r="H211" s="704">
        <v>0</v>
      </c>
      <c r="I211" s="701">
        <v>100</v>
      </c>
      <c r="J211" s="702">
        <v>100</v>
      </c>
      <c r="K211" s="712" t="s">
        <v>343</v>
      </c>
    </row>
    <row r="212" spans="1:11" ht="14.45" customHeight="1" thickBot="1" x14ac:dyDescent="0.25">
      <c r="A212" s="722" t="s">
        <v>532</v>
      </c>
      <c r="B212" s="706">
        <v>119.608881951382</v>
      </c>
      <c r="C212" s="706">
        <v>220.19394</v>
      </c>
      <c r="D212" s="707">
        <v>100.585058048618</v>
      </c>
      <c r="E212" s="713">
        <v>1.840949738912</v>
      </c>
      <c r="F212" s="706">
        <v>0</v>
      </c>
      <c r="G212" s="707">
        <v>0</v>
      </c>
      <c r="H212" s="709">
        <v>0</v>
      </c>
      <c r="I212" s="706">
        <v>112.66773000000001</v>
      </c>
      <c r="J212" s="707">
        <v>112.66773000000001</v>
      </c>
      <c r="K212" s="710" t="s">
        <v>329</v>
      </c>
    </row>
    <row r="213" spans="1:11" ht="14.45" customHeight="1" thickBot="1" x14ac:dyDescent="0.25">
      <c r="A213" s="723" t="s">
        <v>533</v>
      </c>
      <c r="B213" s="701">
        <v>1.7719876921769999</v>
      </c>
      <c r="C213" s="701">
        <v>0.41699999999999998</v>
      </c>
      <c r="D213" s="702">
        <v>-1.3549876921770001</v>
      </c>
      <c r="E213" s="703">
        <v>0.235328948299</v>
      </c>
      <c r="F213" s="701">
        <v>0</v>
      </c>
      <c r="G213" s="702">
        <v>0</v>
      </c>
      <c r="H213" s="704">
        <v>0</v>
      </c>
      <c r="I213" s="701">
        <v>0</v>
      </c>
      <c r="J213" s="702">
        <v>0</v>
      </c>
      <c r="K213" s="712" t="s">
        <v>329</v>
      </c>
    </row>
    <row r="214" spans="1:11" ht="14.45" customHeight="1" thickBot="1" x14ac:dyDescent="0.25">
      <c r="A214" s="723" t="s">
        <v>534</v>
      </c>
      <c r="B214" s="701">
        <v>117.836894259204</v>
      </c>
      <c r="C214" s="701">
        <v>219.77694</v>
      </c>
      <c r="D214" s="702">
        <v>101.94004574079599</v>
      </c>
      <c r="E214" s="703">
        <v>1.865094471316</v>
      </c>
      <c r="F214" s="701">
        <v>0</v>
      </c>
      <c r="G214" s="702">
        <v>0</v>
      </c>
      <c r="H214" s="704">
        <v>0</v>
      </c>
      <c r="I214" s="701">
        <v>112.66773000000001</v>
      </c>
      <c r="J214" s="702">
        <v>112.66773000000001</v>
      </c>
      <c r="K214" s="712" t="s">
        <v>329</v>
      </c>
    </row>
    <row r="215" spans="1:11" ht="14.45" customHeight="1" thickBot="1" x14ac:dyDescent="0.25">
      <c r="A215" s="722" t="s">
        <v>535</v>
      </c>
      <c r="B215" s="706">
        <v>0</v>
      </c>
      <c r="C215" s="706">
        <v>325.36165</v>
      </c>
      <c r="D215" s="707">
        <v>325.36165</v>
      </c>
      <c r="E215" s="708" t="s">
        <v>329</v>
      </c>
      <c r="F215" s="706">
        <v>0</v>
      </c>
      <c r="G215" s="707">
        <v>0</v>
      </c>
      <c r="H215" s="709">
        <v>0</v>
      </c>
      <c r="I215" s="706">
        <v>276.75349999999997</v>
      </c>
      <c r="J215" s="707">
        <v>276.75349999999997</v>
      </c>
      <c r="K215" s="710" t="s">
        <v>329</v>
      </c>
    </row>
    <row r="216" spans="1:11" ht="14.45" customHeight="1" thickBot="1" x14ac:dyDescent="0.25">
      <c r="A216" s="723" t="s">
        <v>536</v>
      </c>
      <c r="B216" s="701">
        <v>0</v>
      </c>
      <c r="C216" s="701">
        <v>325.36165</v>
      </c>
      <c r="D216" s="702">
        <v>325.36165</v>
      </c>
      <c r="E216" s="711" t="s">
        <v>329</v>
      </c>
      <c r="F216" s="701">
        <v>0</v>
      </c>
      <c r="G216" s="702">
        <v>0</v>
      </c>
      <c r="H216" s="704">
        <v>0</v>
      </c>
      <c r="I216" s="701">
        <v>276.75349999999997</v>
      </c>
      <c r="J216" s="702">
        <v>276.75349999999997</v>
      </c>
      <c r="K216" s="712" t="s">
        <v>329</v>
      </c>
    </row>
    <row r="217" spans="1:11" ht="14.45" customHeight="1" thickBot="1" x14ac:dyDescent="0.25">
      <c r="A217" s="720" t="s">
        <v>537</v>
      </c>
      <c r="B217" s="701">
        <v>32.166662900882002</v>
      </c>
      <c r="C217" s="701">
        <v>97.856999999999999</v>
      </c>
      <c r="D217" s="702">
        <v>65.690337099117002</v>
      </c>
      <c r="E217" s="703">
        <v>3.0421868846489999</v>
      </c>
      <c r="F217" s="701">
        <v>69.559176032113001</v>
      </c>
      <c r="G217" s="702">
        <v>52.169382024085003</v>
      </c>
      <c r="H217" s="704">
        <v>2.0624899999999999</v>
      </c>
      <c r="I217" s="701">
        <v>41.633969999999998</v>
      </c>
      <c r="J217" s="702">
        <v>-10.535412024085</v>
      </c>
      <c r="K217" s="705">
        <v>0.59854029870500003</v>
      </c>
    </row>
    <row r="218" spans="1:11" ht="14.45" customHeight="1" thickBot="1" x14ac:dyDescent="0.25">
      <c r="A218" s="726" t="s">
        <v>538</v>
      </c>
      <c r="B218" s="706">
        <v>32.166662900882002</v>
      </c>
      <c r="C218" s="706">
        <v>97.856999999999999</v>
      </c>
      <c r="D218" s="707">
        <v>65.690337099117002</v>
      </c>
      <c r="E218" s="713">
        <v>3.0421868846489999</v>
      </c>
      <c r="F218" s="706">
        <v>69.559176032113001</v>
      </c>
      <c r="G218" s="707">
        <v>52.169382024085003</v>
      </c>
      <c r="H218" s="709">
        <v>2.0624899999999999</v>
      </c>
      <c r="I218" s="706">
        <v>41.633969999999998</v>
      </c>
      <c r="J218" s="707">
        <v>-10.535412024085</v>
      </c>
      <c r="K218" s="714">
        <v>0.59854029870500003</v>
      </c>
    </row>
    <row r="219" spans="1:11" ht="14.45" customHeight="1" thickBot="1" x14ac:dyDescent="0.25">
      <c r="A219" s="722" t="s">
        <v>539</v>
      </c>
      <c r="B219" s="706">
        <v>32.166662900882002</v>
      </c>
      <c r="C219" s="706">
        <v>73.106999999999999</v>
      </c>
      <c r="D219" s="707">
        <v>40.940337099117002</v>
      </c>
      <c r="E219" s="713">
        <v>2.2727567427570001</v>
      </c>
      <c r="F219" s="706">
        <v>69.559176032113001</v>
      </c>
      <c r="G219" s="707">
        <v>52.169382024085003</v>
      </c>
      <c r="H219" s="709">
        <v>0</v>
      </c>
      <c r="I219" s="706">
        <v>23.0715</v>
      </c>
      <c r="J219" s="707">
        <v>-29.097882024084999</v>
      </c>
      <c r="K219" s="714">
        <v>0.33168161723599998</v>
      </c>
    </row>
    <row r="220" spans="1:11" ht="14.45" customHeight="1" thickBot="1" x14ac:dyDescent="0.25">
      <c r="A220" s="723" t="s">
        <v>540</v>
      </c>
      <c r="B220" s="701">
        <v>32.166662900882002</v>
      </c>
      <c r="C220" s="701">
        <v>73.106999999999999</v>
      </c>
      <c r="D220" s="702">
        <v>40.940337099117002</v>
      </c>
      <c r="E220" s="703">
        <v>2.2727567427570001</v>
      </c>
      <c r="F220" s="701">
        <v>69.559176032113001</v>
      </c>
      <c r="G220" s="702">
        <v>52.169382024085003</v>
      </c>
      <c r="H220" s="704">
        <v>0</v>
      </c>
      <c r="I220" s="701">
        <v>23.0715</v>
      </c>
      <c r="J220" s="702">
        <v>-29.097882024084999</v>
      </c>
      <c r="K220" s="705">
        <v>0.33168161723599998</v>
      </c>
    </row>
    <row r="221" spans="1:11" ht="14.45" customHeight="1" thickBot="1" x14ac:dyDescent="0.25">
      <c r="A221" s="725" t="s">
        <v>541</v>
      </c>
      <c r="B221" s="701">
        <v>0</v>
      </c>
      <c r="C221" s="701">
        <v>24.75</v>
      </c>
      <c r="D221" s="702">
        <v>24.75</v>
      </c>
      <c r="E221" s="711" t="s">
        <v>329</v>
      </c>
      <c r="F221" s="701">
        <v>0</v>
      </c>
      <c r="G221" s="702">
        <v>0</v>
      </c>
      <c r="H221" s="704">
        <v>2.0624899999999999</v>
      </c>
      <c r="I221" s="701">
        <v>18.562470000000001</v>
      </c>
      <c r="J221" s="702">
        <v>18.562470000000001</v>
      </c>
      <c r="K221" s="712" t="s">
        <v>329</v>
      </c>
    </row>
    <row r="222" spans="1:11" ht="14.45" customHeight="1" thickBot="1" x14ac:dyDescent="0.25">
      <c r="A222" s="723" t="s">
        <v>542</v>
      </c>
      <c r="B222" s="701">
        <v>0</v>
      </c>
      <c r="C222" s="701">
        <v>24.75</v>
      </c>
      <c r="D222" s="702">
        <v>24.75</v>
      </c>
      <c r="E222" s="711" t="s">
        <v>329</v>
      </c>
      <c r="F222" s="701">
        <v>0</v>
      </c>
      <c r="G222" s="702">
        <v>0</v>
      </c>
      <c r="H222" s="704">
        <v>2.0624899999999999</v>
      </c>
      <c r="I222" s="701">
        <v>18.562470000000001</v>
      </c>
      <c r="J222" s="702">
        <v>18.562470000000001</v>
      </c>
      <c r="K222" s="712" t="s">
        <v>329</v>
      </c>
    </row>
    <row r="223" spans="1:11" ht="14.45" customHeight="1" thickBot="1" x14ac:dyDescent="0.25">
      <c r="A223" s="719" t="s">
        <v>543</v>
      </c>
      <c r="B223" s="701">
        <v>7207.54654609925</v>
      </c>
      <c r="C223" s="701">
        <v>9077.4202999999998</v>
      </c>
      <c r="D223" s="702">
        <v>1869.87375390075</v>
      </c>
      <c r="E223" s="703">
        <v>1.25943276841</v>
      </c>
      <c r="F223" s="701">
        <v>7499.4450186293898</v>
      </c>
      <c r="G223" s="702">
        <v>5624.5837639720403</v>
      </c>
      <c r="H223" s="704">
        <v>719.70214999999996</v>
      </c>
      <c r="I223" s="701">
        <v>7031.3206200000004</v>
      </c>
      <c r="J223" s="702">
        <v>1406.7368560279599</v>
      </c>
      <c r="K223" s="705">
        <v>0.93757879450100001</v>
      </c>
    </row>
    <row r="224" spans="1:11" ht="14.45" customHeight="1" thickBot="1" x14ac:dyDescent="0.25">
      <c r="A224" s="724" t="s">
        <v>544</v>
      </c>
      <c r="B224" s="706">
        <v>7207.54654609925</v>
      </c>
      <c r="C224" s="706">
        <v>9077.4202999999998</v>
      </c>
      <c r="D224" s="707">
        <v>1869.87375390075</v>
      </c>
      <c r="E224" s="713">
        <v>1.25943276841</v>
      </c>
      <c r="F224" s="706">
        <v>7499.4450186293898</v>
      </c>
      <c r="G224" s="707">
        <v>5624.5837639720403</v>
      </c>
      <c r="H224" s="709">
        <v>719.70214999999996</v>
      </c>
      <c r="I224" s="706">
        <v>7031.3206200000004</v>
      </c>
      <c r="J224" s="707">
        <v>1406.7368560279599</v>
      </c>
      <c r="K224" s="714">
        <v>0.93757879450100001</v>
      </c>
    </row>
    <row r="225" spans="1:11" ht="14.45" customHeight="1" thickBot="1" x14ac:dyDescent="0.25">
      <c r="A225" s="726" t="s">
        <v>54</v>
      </c>
      <c r="B225" s="706">
        <v>7207.54654609925</v>
      </c>
      <c r="C225" s="706">
        <v>9077.4202999999998</v>
      </c>
      <c r="D225" s="707">
        <v>1869.87375390075</v>
      </c>
      <c r="E225" s="713">
        <v>1.25943276841</v>
      </c>
      <c r="F225" s="706">
        <v>7499.4450186293898</v>
      </c>
      <c r="G225" s="707">
        <v>5624.5837639720403</v>
      </c>
      <c r="H225" s="709">
        <v>719.70214999999996</v>
      </c>
      <c r="I225" s="706">
        <v>7031.3206200000004</v>
      </c>
      <c r="J225" s="707">
        <v>1406.7368560279599</v>
      </c>
      <c r="K225" s="714">
        <v>0.93757879450100001</v>
      </c>
    </row>
    <row r="226" spans="1:11" ht="14.45" customHeight="1" thickBot="1" x14ac:dyDescent="0.25">
      <c r="A226" s="725" t="s">
        <v>545</v>
      </c>
      <c r="B226" s="701">
        <v>0</v>
      </c>
      <c r="C226" s="701">
        <v>51.311500000000002</v>
      </c>
      <c r="D226" s="702">
        <v>51.311500000000002</v>
      </c>
      <c r="E226" s="711" t="s">
        <v>343</v>
      </c>
      <c r="F226" s="701">
        <v>43.970383114420002</v>
      </c>
      <c r="G226" s="702">
        <v>32.977787335815002</v>
      </c>
      <c r="H226" s="704">
        <v>7.1093299999999999</v>
      </c>
      <c r="I226" s="701">
        <v>41.180729999999997</v>
      </c>
      <c r="J226" s="702">
        <v>8.2029426641840004</v>
      </c>
      <c r="K226" s="705">
        <v>0.93655608805599999</v>
      </c>
    </row>
    <row r="227" spans="1:11" ht="14.45" customHeight="1" thickBot="1" x14ac:dyDescent="0.25">
      <c r="A227" s="723" t="s">
        <v>546</v>
      </c>
      <c r="B227" s="701">
        <v>0</v>
      </c>
      <c r="C227" s="701">
        <v>51.311500000000002</v>
      </c>
      <c r="D227" s="702">
        <v>51.311500000000002</v>
      </c>
      <c r="E227" s="711" t="s">
        <v>343</v>
      </c>
      <c r="F227" s="701">
        <v>43.970383114420002</v>
      </c>
      <c r="G227" s="702">
        <v>32.977787335815002</v>
      </c>
      <c r="H227" s="704">
        <v>7.1093299999999999</v>
      </c>
      <c r="I227" s="701">
        <v>41.180729999999997</v>
      </c>
      <c r="J227" s="702">
        <v>8.2029426641840004</v>
      </c>
      <c r="K227" s="705">
        <v>0.93655608805599999</v>
      </c>
    </row>
    <row r="228" spans="1:11" ht="14.45" customHeight="1" thickBot="1" x14ac:dyDescent="0.25">
      <c r="A228" s="722" t="s">
        <v>547</v>
      </c>
      <c r="B228" s="706">
        <v>87.845379052099005</v>
      </c>
      <c r="C228" s="706">
        <v>35.563000000000002</v>
      </c>
      <c r="D228" s="707">
        <v>-52.282379052099003</v>
      </c>
      <c r="E228" s="713">
        <v>0.40483632017600002</v>
      </c>
      <c r="F228" s="706">
        <v>151.62718820769601</v>
      </c>
      <c r="G228" s="707">
        <v>113.72039115577201</v>
      </c>
      <c r="H228" s="709">
        <v>0.33</v>
      </c>
      <c r="I228" s="706">
        <v>27.8</v>
      </c>
      <c r="J228" s="707">
        <v>-85.920391155771995</v>
      </c>
      <c r="K228" s="714">
        <v>0.183344427398</v>
      </c>
    </row>
    <row r="229" spans="1:11" ht="14.45" customHeight="1" thickBot="1" x14ac:dyDescent="0.25">
      <c r="A229" s="723" t="s">
        <v>548</v>
      </c>
      <c r="B229" s="701">
        <v>87.845379052099005</v>
      </c>
      <c r="C229" s="701">
        <v>35.563000000000002</v>
      </c>
      <c r="D229" s="702">
        <v>-52.282379052099003</v>
      </c>
      <c r="E229" s="703">
        <v>0.40483632017600002</v>
      </c>
      <c r="F229" s="701">
        <v>151.62718820769601</v>
      </c>
      <c r="G229" s="702">
        <v>113.72039115577201</v>
      </c>
      <c r="H229" s="704">
        <v>0.33</v>
      </c>
      <c r="I229" s="701">
        <v>27.8</v>
      </c>
      <c r="J229" s="702">
        <v>-85.920391155771995</v>
      </c>
      <c r="K229" s="705">
        <v>0.183344427398</v>
      </c>
    </row>
    <row r="230" spans="1:11" ht="14.45" customHeight="1" thickBot="1" x14ac:dyDescent="0.25">
      <c r="A230" s="722" t="s">
        <v>549</v>
      </c>
      <c r="B230" s="706">
        <v>119.825254146242</v>
      </c>
      <c r="C230" s="706">
        <v>84.390500000000003</v>
      </c>
      <c r="D230" s="707">
        <v>-35.434754146242</v>
      </c>
      <c r="E230" s="713">
        <v>0.70427974971700003</v>
      </c>
      <c r="F230" s="706">
        <v>122.54461271535099</v>
      </c>
      <c r="G230" s="707">
        <v>91.908459536513007</v>
      </c>
      <c r="H230" s="709">
        <v>3.9781599999999999</v>
      </c>
      <c r="I230" s="706">
        <v>67.495239999999995</v>
      </c>
      <c r="J230" s="707">
        <v>-24.413219536513001</v>
      </c>
      <c r="K230" s="714">
        <v>0.55078096461699999</v>
      </c>
    </row>
    <row r="231" spans="1:11" ht="14.45" customHeight="1" thickBot="1" x14ac:dyDescent="0.25">
      <c r="A231" s="723" t="s">
        <v>550</v>
      </c>
      <c r="B231" s="701">
        <v>35.646541472651002</v>
      </c>
      <c r="C231" s="701">
        <v>15.244</v>
      </c>
      <c r="D231" s="702">
        <v>-20.402541472650999</v>
      </c>
      <c r="E231" s="703">
        <v>0.42764317014300002</v>
      </c>
      <c r="F231" s="701">
        <v>32.574320595201002</v>
      </c>
      <c r="G231" s="702">
        <v>24.430740446401</v>
      </c>
      <c r="H231" s="704">
        <v>0</v>
      </c>
      <c r="I231" s="701">
        <v>12.72</v>
      </c>
      <c r="J231" s="702">
        <v>-11.710740446400999</v>
      </c>
      <c r="K231" s="705">
        <v>0.390491643956</v>
      </c>
    </row>
    <row r="232" spans="1:11" ht="14.45" customHeight="1" thickBot="1" x14ac:dyDescent="0.25">
      <c r="A232" s="723" t="s">
        <v>551</v>
      </c>
      <c r="B232" s="701">
        <v>0</v>
      </c>
      <c r="C232" s="701">
        <v>1.2040999999999999</v>
      </c>
      <c r="D232" s="702">
        <v>1.2040999999999999</v>
      </c>
      <c r="E232" s="711" t="s">
        <v>343</v>
      </c>
      <c r="F232" s="701">
        <v>0</v>
      </c>
      <c r="G232" s="702">
        <v>0</v>
      </c>
      <c r="H232" s="704">
        <v>0</v>
      </c>
      <c r="I232" s="701">
        <v>0</v>
      </c>
      <c r="J232" s="702">
        <v>0</v>
      </c>
      <c r="K232" s="705">
        <v>0</v>
      </c>
    </row>
    <row r="233" spans="1:11" ht="14.45" customHeight="1" thickBot="1" x14ac:dyDescent="0.25">
      <c r="A233" s="723" t="s">
        <v>552</v>
      </c>
      <c r="B233" s="701">
        <v>84.178712673590994</v>
      </c>
      <c r="C233" s="701">
        <v>67.942400000000006</v>
      </c>
      <c r="D233" s="702">
        <v>-16.236312673591001</v>
      </c>
      <c r="E233" s="703">
        <v>0.80712091979099998</v>
      </c>
      <c r="F233" s="701">
        <v>89.970292120148997</v>
      </c>
      <c r="G233" s="702">
        <v>67.477719090112004</v>
      </c>
      <c r="H233" s="704">
        <v>3.9781599999999999</v>
      </c>
      <c r="I233" s="701">
        <v>54.775239999999997</v>
      </c>
      <c r="J233" s="702">
        <v>-12.702479090112</v>
      </c>
      <c r="K233" s="705">
        <v>0.60881473994599999</v>
      </c>
    </row>
    <row r="234" spans="1:11" ht="14.45" customHeight="1" thickBot="1" x14ac:dyDescent="0.25">
      <c r="A234" s="725" t="s">
        <v>553</v>
      </c>
      <c r="B234" s="701">
        <v>0</v>
      </c>
      <c r="C234" s="701">
        <v>0</v>
      </c>
      <c r="D234" s="702">
        <v>0</v>
      </c>
      <c r="E234" s="703">
        <v>1</v>
      </c>
      <c r="F234" s="701">
        <v>0</v>
      </c>
      <c r="G234" s="702">
        <v>0</v>
      </c>
      <c r="H234" s="704">
        <v>4.0285900000000003</v>
      </c>
      <c r="I234" s="701">
        <v>42.619320000000002</v>
      </c>
      <c r="J234" s="702">
        <v>42.619320000000002</v>
      </c>
      <c r="K234" s="712" t="s">
        <v>343</v>
      </c>
    </row>
    <row r="235" spans="1:11" ht="14.45" customHeight="1" thickBot="1" x14ac:dyDescent="0.25">
      <c r="A235" s="723" t="s">
        <v>554</v>
      </c>
      <c r="B235" s="701">
        <v>0</v>
      </c>
      <c r="C235" s="701">
        <v>0</v>
      </c>
      <c r="D235" s="702">
        <v>0</v>
      </c>
      <c r="E235" s="703">
        <v>1</v>
      </c>
      <c r="F235" s="701">
        <v>0</v>
      </c>
      <c r="G235" s="702">
        <v>0</v>
      </c>
      <c r="H235" s="704">
        <v>4.0285900000000003</v>
      </c>
      <c r="I235" s="701">
        <v>42.619320000000002</v>
      </c>
      <c r="J235" s="702">
        <v>42.619320000000002</v>
      </c>
      <c r="K235" s="712" t="s">
        <v>343</v>
      </c>
    </row>
    <row r="236" spans="1:11" ht="14.45" customHeight="1" thickBot="1" x14ac:dyDescent="0.25">
      <c r="A236" s="722" t="s">
        <v>555</v>
      </c>
      <c r="B236" s="706">
        <v>770.16643240455403</v>
      </c>
      <c r="C236" s="706">
        <v>865.61384999999996</v>
      </c>
      <c r="D236" s="707">
        <v>95.447417595445998</v>
      </c>
      <c r="E236" s="713">
        <v>1.1239308980230001</v>
      </c>
      <c r="F236" s="706">
        <v>729.15400545431703</v>
      </c>
      <c r="G236" s="707">
        <v>546.865504090738</v>
      </c>
      <c r="H236" s="709">
        <v>0</v>
      </c>
      <c r="I236" s="706">
        <v>186.07656</v>
      </c>
      <c r="J236" s="707">
        <v>-360.78894409073803</v>
      </c>
      <c r="K236" s="714">
        <v>0.255195142052</v>
      </c>
    </row>
    <row r="237" spans="1:11" ht="14.45" customHeight="1" thickBot="1" x14ac:dyDescent="0.25">
      <c r="A237" s="723" t="s">
        <v>556</v>
      </c>
      <c r="B237" s="701">
        <v>770.16643240455403</v>
      </c>
      <c r="C237" s="701">
        <v>865.61384999999996</v>
      </c>
      <c r="D237" s="702">
        <v>95.447417595445998</v>
      </c>
      <c r="E237" s="703">
        <v>1.1239308980230001</v>
      </c>
      <c r="F237" s="701">
        <v>729.15400545431703</v>
      </c>
      <c r="G237" s="702">
        <v>546.865504090738</v>
      </c>
      <c r="H237" s="704">
        <v>0</v>
      </c>
      <c r="I237" s="701">
        <v>186.07656</v>
      </c>
      <c r="J237" s="702">
        <v>-360.78894409073803</v>
      </c>
      <c r="K237" s="705">
        <v>0.255195142052</v>
      </c>
    </row>
    <row r="238" spans="1:11" ht="14.45" customHeight="1" thickBot="1" x14ac:dyDescent="0.25">
      <c r="A238" s="722" t="s">
        <v>557</v>
      </c>
      <c r="B238" s="706">
        <v>0</v>
      </c>
      <c r="C238" s="706">
        <v>7.7949999999999999</v>
      </c>
      <c r="D238" s="707">
        <v>7.7949999999999999</v>
      </c>
      <c r="E238" s="708" t="s">
        <v>343</v>
      </c>
      <c r="F238" s="706">
        <v>0</v>
      </c>
      <c r="G238" s="707">
        <v>0</v>
      </c>
      <c r="H238" s="709">
        <v>0.78700000000000003</v>
      </c>
      <c r="I238" s="706">
        <v>4.4370000000000003</v>
      </c>
      <c r="J238" s="707">
        <v>4.4370000000000003</v>
      </c>
      <c r="K238" s="710" t="s">
        <v>343</v>
      </c>
    </row>
    <row r="239" spans="1:11" ht="14.45" customHeight="1" thickBot="1" x14ac:dyDescent="0.25">
      <c r="A239" s="723" t="s">
        <v>558</v>
      </c>
      <c r="B239" s="701">
        <v>0</v>
      </c>
      <c r="C239" s="701">
        <v>7.7949999999999999</v>
      </c>
      <c r="D239" s="702">
        <v>7.7949999999999999</v>
      </c>
      <c r="E239" s="711" t="s">
        <v>343</v>
      </c>
      <c r="F239" s="701">
        <v>0</v>
      </c>
      <c r="G239" s="702">
        <v>0</v>
      </c>
      <c r="H239" s="704">
        <v>0.78700000000000003</v>
      </c>
      <c r="I239" s="701">
        <v>4.4370000000000003</v>
      </c>
      <c r="J239" s="702">
        <v>4.4370000000000003</v>
      </c>
      <c r="K239" s="712" t="s">
        <v>343</v>
      </c>
    </row>
    <row r="240" spans="1:11" ht="14.45" customHeight="1" thickBot="1" x14ac:dyDescent="0.25">
      <c r="A240" s="722" t="s">
        <v>559</v>
      </c>
      <c r="B240" s="706">
        <v>627.60747289915105</v>
      </c>
      <c r="C240" s="706">
        <v>525.65345000000002</v>
      </c>
      <c r="D240" s="707">
        <v>-101.954022899151</v>
      </c>
      <c r="E240" s="713">
        <v>0.83755129232500003</v>
      </c>
      <c r="F240" s="706">
        <v>705.79509365343495</v>
      </c>
      <c r="G240" s="707">
        <v>529.34632024007601</v>
      </c>
      <c r="H240" s="709">
        <v>42.979779999999998</v>
      </c>
      <c r="I240" s="706">
        <v>458.60710999999998</v>
      </c>
      <c r="J240" s="707">
        <v>-70.739210240074996</v>
      </c>
      <c r="K240" s="714">
        <v>0.64977372912300002</v>
      </c>
    </row>
    <row r="241" spans="1:11" ht="14.45" customHeight="1" thickBot="1" x14ac:dyDescent="0.25">
      <c r="A241" s="723" t="s">
        <v>560</v>
      </c>
      <c r="B241" s="701">
        <v>627.60747289915105</v>
      </c>
      <c r="C241" s="701">
        <v>525.65345000000002</v>
      </c>
      <c r="D241" s="702">
        <v>-101.954022899151</v>
      </c>
      <c r="E241" s="703">
        <v>0.83755129232500003</v>
      </c>
      <c r="F241" s="701">
        <v>705.79509365343495</v>
      </c>
      <c r="G241" s="702">
        <v>529.34632024007601</v>
      </c>
      <c r="H241" s="704">
        <v>42.979779999999998</v>
      </c>
      <c r="I241" s="701">
        <v>458.60710999999998</v>
      </c>
      <c r="J241" s="702">
        <v>-70.739210240074996</v>
      </c>
      <c r="K241" s="705">
        <v>0.64977372912300002</v>
      </c>
    </row>
    <row r="242" spans="1:11" ht="14.45" customHeight="1" thickBot="1" x14ac:dyDescent="0.25">
      <c r="A242" s="722" t="s">
        <v>561</v>
      </c>
      <c r="B242" s="706">
        <v>0</v>
      </c>
      <c r="C242" s="706">
        <v>1138.222</v>
      </c>
      <c r="D242" s="707">
        <v>1138.222</v>
      </c>
      <c r="E242" s="708" t="s">
        <v>343</v>
      </c>
      <c r="F242" s="706">
        <v>0</v>
      </c>
      <c r="G242" s="707">
        <v>0</v>
      </c>
      <c r="H242" s="709">
        <v>120.2775</v>
      </c>
      <c r="I242" s="706">
        <v>883.92827</v>
      </c>
      <c r="J242" s="707">
        <v>883.92827</v>
      </c>
      <c r="K242" s="710" t="s">
        <v>343</v>
      </c>
    </row>
    <row r="243" spans="1:11" ht="14.45" customHeight="1" thickBot="1" x14ac:dyDescent="0.25">
      <c r="A243" s="723" t="s">
        <v>562</v>
      </c>
      <c r="B243" s="701">
        <v>0</v>
      </c>
      <c r="C243" s="701">
        <v>1138.222</v>
      </c>
      <c r="D243" s="702">
        <v>1138.222</v>
      </c>
      <c r="E243" s="711" t="s">
        <v>343</v>
      </c>
      <c r="F243" s="701">
        <v>0</v>
      </c>
      <c r="G243" s="702">
        <v>0</v>
      </c>
      <c r="H243" s="704">
        <v>120.2775</v>
      </c>
      <c r="I243" s="701">
        <v>883.92827</v>
      </c>
      <c r="J243" s="702">
        <v>883.92827</v>
      </c>
      <c r="K243" s="712" t="s">
        <v>343</v>
      </c>
    </row>
    <row r="244" spans="1:11" ht="14.45" customHeight="1" thickBot="1" x14ac:dyDescent="0.25">
      <c r="A244" s="722" t="s">
        <v>563</v>
      </c>
      <c r="B244" s="706">
        <v>5602.1020075972001</v>
      </c>
      <c r="C244" s="706">
        <v>6368.8710000000001</v>
      </c>
      <c r="D244" s="707">
        <v>766.7689924028</v>
      </c>
      <c r="E244" s="713">
        <v>1.136871658417</v>
      </c>
      <c r="F244" s="706">
        <v>5746.3537354841701</v>
      </c>
      <c r="G244" s="707">
        <v>4309.7653016131299</v>
      </c>
      <c r="H244" s="709">
        <v>540.21178999999995</v>
      </c>
      <c r="I244" s="706">
        <v>5319.1763899999996</v>
      </c>
      <c r="J244" s="707">
        <v>1009.41108838688</v>
      </c>
      <c r="K244" s="714">
        <v>0.92566114702500002</v>
      </c>
    </row>
    <row r="245" spans="1:11" ht="14.45" customHeight="1" thickBot="1" x14ac:dyDescent="0.25">
      <c r="A245" s="723" t="s">
        <v>564</v>
      </c>
      <c r="B245" s="701">
        <v>5602.1020075972001</v>
      </c>
      <c r="C245" s="701">
        <v>6368.8710000000001</v>
      </c>
      <c r="D245" s="702">
        <v>766.7689924028</v>
      </c>
      <c r="E245" s="703">
        <v>1.136871658417</v>
      </c>
      <c r="F245" s="701">
        <v>5746.3537354841701</v>
      </c>
      <c r="G245" s="702">
        <v>4309.7653016131299</v>
      </c>
      <c r="H245" s="704">
        <v>540.21178999999995</v>
      </c>
      <c r="I245" s="701">
        <v>5319.1763899999996</v>
      </c>
      <c r="J245" s="702">
        <v>1009.41108838688</v>
      </c>
      <c r="K245" s="705">
        <v>0.92566114702500002</v>
      </c>
    </row>
    <row r="246" spans="1:11" ht="14.45" customHeight="1" thickBot="1" x14ac:dyDescent="0.25">
      <c r="A246" s="719" t="s">
        <v>565</v>
      </c>
      <c r="B246" s="701">
        <v>0</v>
      </c>
      <c r="C246" s="701">
        <v>1.11744</v>
      </c>
      <c r="D246" s="702">
        <v>1.11744</v>
      </c>
      <c r="E246" s="711" t="s">
        <v>329</v>
      </c>
      <c r="F246" s="701">
        <v>0</v>
      </c>
      <c r="G246" s="702">
        <v>0</v>
      </c>
      <c r="H246" s="704">
        <v>4.0059999999999998E-2</v>
      </c>
      <c r="I246" s="701">
        <v>1.69783</v>
      </c>
      <c r="J246" s="702">
        <v>1.69783</v>
      </c>
      <c r="K246" s="712" t="s">
        <v>343</v>
      </c>
    </row>
    <row r="247" spans="1:11" ht="14.45" customHeight="1" thickBot="1" x14ac:dyDescent="0.25">
      <c r="A247" s="724" t="s">
        <v>566</v>
      </c>
      <c r="B247" s="706">
        <v>0</v>
      </c>
      <c r="C247" s="706">
        <v>1.11744</v>
      </c>
      <c r="D247" s="707">
        <v>1.11744</v>
      </c>
      <c r="E247" s="708" t="s">
        <v>329</v>
      </c>
      <c r="F247" s="706">
        <v>0</v>
      </c>
      <c r="G247" s="707">
        <v>0</v>
      </c>
      <c r="H247" s="709">
        <v>4.0059999999999998E-2</v>
      </c>
      <c r="I247" s="706">
        <v>1.69783</v>
      </c>
      <c r="J247" s="707">
        <v>1.69783</v>
      </c>
      <c r="K247" s="710" t="s">
        <v>343</v>
      </c>
    </row>
    <row r="248" spans="1:11" ht="14.45" customHeight="1" thickBot="1" x14ac:dyDescent="0.25">
      <c r="A248" s="726" t="s">
        <v>567</v>
      </c>
      <c r="B248" s="706">
        <v>0</v>
      </c>
      <c r="C248" s="706">
        <v>1.11744</v>
      </c>
      <c r="D248" s="707">
        <v>1.11744</v>
      </c>
      <c r="E248" s="708" t="s">
        <v>329</v>
      </c>
      <c r="F248" s="706">
        <v>0</v>
      </c>
      <c r="G248" s="707">
        <v>0</v>
      </c>
      <c r="H248" s="709">
        <v>4.0059999999999998E-2</v>
      </c>
      <c r="I248" s="706">
        <v>1.69783</v>
      </c>
      <c r="J248" s="707">
        <v>1.69783</v>
      </c>
      <c r="K248" s="710" t="s">
        <v>343</v>
      </c>
    </row>
    <row r="249" spans="1:11" ht="14.45" customHeight="1" thickBot="1" x14ac:dyDescent="0.25">
      <c r="A249" s="722" t="s">
        <v>568</v>
      </c>
      <c r="B249" s="706">
        <v>0</v>
      </c>
      <c r="C249" s="706">
        <v>1.11744</v>
      </c>
      <c r="D249" s="707">
        <v>1.11744</v>
      </c>
      <c r="E249" s="708" t="s">
        <v>343</v>
      </c>
      <c r="F249" s="706">
        <v>0</v>
      </c>
      <c r="G249" s="707">
        <v>0</v>
      </c>
      <c r="H249" s="709">
        <v>4.0059999999999998E-2</v>
      </c>
      <c r="I249" s="706">
        <v>1.69783</v>
      </c>
      <c r="J249" s="707">
        <v>1.69783</v>
      </c>
      <c r="K249" s="710" t="s">
        <v>343</v>
      </c>
    </row>
    <row r="250" spans="1:11" ht="14.45" customHeight="1" thickBot="1" x14ac:dyDescent="0.25">
      <c r="A250" s="723" t="s">
        <v>569</v>
      </c>
      <c r="B250" s="701">
        <v>0</v>
      </c>
      <c r="C250" s="701">
        <v>1.11744</v>
      </c>
      <c r="D250" s="702">
        <v>1.11744</v>
      </c>
      <c r="E250" s="711" t="s">
        <v>343</v>
      </c>
      <c r="F250" s="701">
        <v>0</v>
      </c>
      <c r="G250" s="702">
        <v>0</v>
      </c>
      <c r="H250" s="704">
        <v>4.0059999999999998E-2</v>
      </c>
      <c r="I250" s="701">
        <v>1.69783</v>
      </c>
      <c r="J250" s="702">
        <v>1.69783</v>
      </c>
      <c r="K250" s="712" t="s">
        <v>343</v>
      </c>
    </row>
    <row r="251" spans="1:11" ht="14.45" customHeight="1" thickBot="1" x14ac:dyDescent="0.25">
      <c r="A251" s="727"/>
      <c r="B251" s="701">
        <v>-4172.51344815422</v>
      </c>
      <c r="C251" s="701">
        <v>174.929999999833</v>
      </c>
      <c r="D251" s="702">
        <v>4347.4434481540502</v>
      </c>
      <c r="E251" s="703">
        <v>-4.1924370566999998E-2</v>
      </c>
      <c r="F251" s="701">
        <v>8729.1912392158301</v>
      </c>
      <c r="G251" s="702">
        <v>6546.8934294118699</v>
      </c>
      <c r="H251" s="704">
        <v>-521.02422999996497</v>
      </c>
      <c r="I251" s="701">
        <v>-7013.0684199999396</v>
      </c>
      <c r="J251" s="702">
        <v>-13559.9618494118</v>
      </c>
      <c r="K251" s="705">
        <v>-0.80340414453200004</v>
      </c>
    </row>
    <row r="252" spans="1:11" ht="14.45" customHeight="1" thickBot="1" x14ac:dyDescent="0.25">
      <c r="A252" s="728" t="s">
        <v>66</v>
      </c>
      <c r="B252" s="715">
        <v>-4172.51344815422</v>
      </c>
      <c r="C252" s="715">
        <v>174.929999999833</v>
      </c>
      <c r="D252" s="716">
        <v>4347.4434481540402</v>
      </c>
      <c r="E252" s="717" t="s">
        <v>329</v>
      </c>
      <c r="F252" s="715">
        <v>8729.1912392158301</v>
      </c>
      <c r="G252" s="716">
        <v>6546.8934294118699</v>
      </c>
      <c r="H252" s="715">
        <v>-521.02422999996497</v>
      </c>
      <c r="I252" s="715">
        <v>-7013.0684199999396</v>
      </c>
      <c r="J252" s="716">
        <v>-13559.9618494118</v>
      </c>
      <c r="K252" s="718">
        <v>-0.80340414453200004</v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 xr:uid="{9B9F066D-E257-4C8F-A74C-27F264CED0EA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5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330" customWidth="1"/>
    <col min="2" max="2" width="61.140625" style="330" customWidth="1"/>
    <col min="3" max="3" width="9.5703125" style="247" hidden="1" customWidth="1" outlineLevel="1"/>
    <col min="4" max="4" width="9.5703125" style="331" customWidth="1" collapsed="1"/>
    <col min="5" max="5" width="2.28515625" style="331" customWidth="1"/>
    <col min="6" max="6" width="9.5703125" style="332" customWidth="1"/>
    <col min="7" max="7" width="9.5703125" style="329" customWidth="1"/>
    <col min="8" max="9" width="9.5703125" style="247" customWidth="1"/>
    <col min="10" max="10" width="0" style="247" hidden="1" customWidth="1"/>
    <col min="11" max="16384" width="8.85546875" style="247"/>
  </cols>
  <sheetData>
    <row r="1" spans="1:10" ht="18.600000000000001" customHeight="1" thickBot="1" x14ac:dyDescent="0.35">
      <c r="A1" s="542" t="s">
        <v>175</v>
      </c>
      <c r="B1" s="543"/>
      <c r="C1" s="543"/>
      <c r="D1" s="543"/>
      <c r="E1" s="543"/>
      <c r="F1" s="543"/>
      <c r="G1" s="513"/>
      <c r="H1" s="544"/>
      <c r="I1" s="544"/>
    </row>
    <row r="2" spans="1:10" ht="14.45" customHeight="1" thickBot="1" x14ac:dyDescent="0.25">
      <c r="A2" s="371" t="s">
        <v>328</v>
      </c>
      <c r="B2" s="328"/>
      <c r="C2" s="328"/>
      <c r="D2" s="328"/>
      <c r="E2" s="328"/>
      <c r="F2" s="328"/>
    </row>
    <row r="3" spans="1:10" ht="14.45" customHeight="1" thickBot="1" x14ac:dyDescent="0.25">
      <c r="A3" s="371"/>
      <c r="B3" s="437"/>
      <c r="C3" s="436">
        <v>2015</v>
      </c>
      <c r="D3" s="378">
        <v>2018</v>
      </c>
      <c r="E3" s="11"/>
      <c r="F3" s="521">
        <v>2019</v>
      </c>
      <c r="G3" s="539"/>
      <c r="H3" s="539"/>
      <c r="I3" s="522"/>
    </row>
    <row r="4" spans="1:10" ht="14.45" customHeight="1" thickBot="1" x14ac:dyDescent="0.25">
      <c r="A4" s="382" t="s">
        <v>0</v>
      </c>
      <c r="B4" s="383" t="s">
        <v>239</v>
      </c>
      <c r="C4" s="540" t="s">
        <v>93</v>
      </c>
      <c r="D4" s="541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5" customHeight="1" x14ac:dyDescent="0.2">
      <c r="A5" s="729" t="s">
        <v>570</v>
      </c>
      <c r="B5" s="730" t="s">
        <v>571</v>
      </c>
      <c r="C5" s="731" t="s">
        <v>572</v>
      </c>
      <c r="D5" s="731" t="s">
        <v>572</v>
      </c>
      <c r="E5" s="731"/>
      <c r="F5" s="731" t="s">
        <v>572</v>
      </c>
      <c r="G5" s="731" t="s">
        <v>572</v>
      </c>
      <c r="H5" s="731" t="s">
        <v>572</v>
      </c>
      <c r="I5" s="732" t="s">
        <v>572</v>
      </c>
      <c r="J5" s="733" t="s">
        <v>73</v>
      </c>
    </row>
    <row r="6" spans="1:10" ht="14.45" customHeight="1" x14ac:dyDescent="0.2">
      <c r="A6" s="729" t="s">
        <v>570</v>
      </c>
      <c r="B6" s="730" t="s">
        <v>573</v>
      </c>
      <c r="C6" s="731">
        <v>1468.9519700000005</v>
      </c>
      <c r="D6" s="731">
        <v>1571.6927000000003</v>
      </c>
      <c r="E6" s="731"/>
      <c r="F6" s="731">
        <v>1427.855150000001</v>
      </c>
      <c r="G6" s="731">
        <v>1575.3587343749998</v>
      </c>
      <c r="H6" s="731">
        <v>-147.50358437499881</v>
      </c>
      <c r="I6" s="732">
        <v>0.90636825685705247</v>
      </c>
      <c r="J6" s="733" t="s">
        <v>1</v>
      </c>
    </row>
    <row r="7" spans="1:10" ht="14.45" customHeight="1" x14ac:dyDescent="0.2">
      <c r="A7" s="729" t="s">
        <v>570</v>
      </c>
      <c r="B7" s="730" t="s">
        <v>574</v>
      </c>
      <c r="C7" s="731">
        <v>51.319400000000002</v>
      </c>
      <c r="D7" s="731">
        <v>15.752000000000001</v>
      </c>
      <c r="E7" s="731"/>
      <c r="F7" s="731">
        <v>6.8267199999999999</v>
      </c>
      <c r="G7" s="731">
        <v>18.75</v>
      </c>
      <c r="H7" s="731">
        <v>-11.92328</v>
      </c>
      <c r="I7" s="732">
        <v>0.36409173333333333</v>
      </c>
      <c r="J7" s="733" t="s">
        <v>1</v>
      </c>
    </row>
    <row r="8" spans="1:10" ht="14.45" customHeight="1" x14ac:dyDescent="0.2">
      <c r="A8" s="729" t="s">
        <v>570</v>
      </c>
      <c r="B8" s="730" t="s">
        <v>575</v>
      </c>
      <c r="C8" s="731">
        <v>151.90160999999998</v>
      </c>
      <c r="D8" s="731">
        <v>242.55588999999986</v>
      </c>
      <c r="E8" s="731"/>
      <c r="F8" s="731">
        <v>163.48893999999999</v>
      </c>
      <c r="G8" s="731">
        <v>243.75</v>
      </c>
      <c r="H8" s="731">
        <v>-80.261060000000015</v>
      </c>
      <c r="I8" s="732">
        <v>0.67072385641025634</v>
      </c>
      <c r="J8" s="733" t="s">
        <v>1</v>
      </c>
    </row>
    <row r="9" spans="1:10" ht="14.45" customHeight="1" x14ac:dyDescent="0.2">
      <c r="A9" s="729" t="s">
        <v>570</v>
      </c>
      <c r="B9" s="730" t="s">
        <v>576</v>
      </c>
      <c r="C9" s="731">
        <v>58.573779999999992</v>
      </c>
      <c r="D9" s="731">
        <v>9.4943199999999912</v>
      </c>
      <c r="E9" s="731"/>
      <c r="F9" s="731">
        <v>30.211300000000001</v>
      </c>
      <c r="G9" s="731">
        <v>14.999999267578126</v>
      </c>
      <c r="H9" s="731">
        <v>15.211300732421876</v>
      </c>
      <c r="I9" s="732">
        <v>2.014086765010747</v>
      </c>
      <c r="J9" s="733" t="s">
        <v>1</v>
      </c>
    </row>
    <row r="10" spans="1:10" ht="14.45" customHeight="1" x14ac:dyDescent="0.2">
      <c r="A10" s="729" t="s">
        <v>570</v>
      </c>
      <c r="B10" s="730" t="s">
        <v>577</v>
      </c>
      <c r="C10" s="731">
        <v>35.245010000000008</v>
      </c>
      <c r="D10" s="731">
        <v>23.771239999999999</v>
      </c>
      <c r="E10" s="731"/>
      <c r="F10" s="731">
        <v>48.621700000000004</v>
      </c>
      <c r="G10" s="731">
        <v>30.000000244140626</v>
      </c>
      <c r="H10" s="731">
        <v>18.621699755859378</v>
      </c>
      <c r="I10" s="732">
        <v>1.6207233201438533</v>
      </c>
      <c r="J10" s="733" t="s">
        <v>1</v>
      </c>
    </row>
    <row r="11" spans="1:10" ht="14.45" customHeight="1" x14ac:dyDescent="0.2">
      <c r="A11" s="729" t="s">
        <v>570</v>
      </c>
      <c r="B11" s="730" t="s">
        <v>578</v>
      </c>
      <c r="C11" s="731">
        <v>0</v>
      </c>
      <c r="D11" s="731">
        <v>0</v>
      </c>
      <c r="E11" s="731"/>
      <c r="F11" s="731">
        <v>0.45650000000000002</v>
      </c>
      <c r="G11" s="731">
        <v>0</v>
      </c>
      <c r="H11" s="731">
        <v>0.45650000000000002</v>
      </c>
      <c r="I11" s="732" t="s">
        <v>572</v>
      </c>
      <c r="J11" s="733" t="s">
        <v>1</v>
      </c>
    </row>
    <row r="12" spans="1:10" ht="14.45" customHeight="1" x14ac:dyDescent="0.2">
      <c r="A12" s="729" t="s">
        <v>570</v>
      </c>
      <c r="B12" s="730" t="s">
        <v>579</v>
      </c>
      <c r="C12" s="731">
        <v>76.421799999999976</v>
      </c>
      <c r="D12" s="731">
        <v>80.915380000000013</v>
      </c>
      <c r="E12" s="731"/>
      <c r="F12" s="731">
        <v>72.786569999999969</v>
      </c>
      <c r="G12" s="731">
        <v>82.499999755859363</v>
      </c>
      <c r="H12" s="731">
        <v>-9.7134297558593943</v>
      </c>
      <c r="I12" s="732">
        <v>0.88226145715631321</v>
      </c>
      <c r="J12" s="733" t="s">
        <v>1</v>
      </c>
    </row>
    <row r="13" spans="1:10" ht="14.45" customHeight="1" x14ac:dyDescent="0.2">
      <c r="A13" s="729" t="s">
        <v>570</v>
      </c>
      <c r="B13" s="730" t="s">
        <v>580</v>
      </c>
      <c r="C13" s="731">
        <v>29.805230000000002</v>
      </c>
      <c r="D13" s="731">
        <v>3.6938700000000004</v>
      </c>
      <c r="E13" s="731"/>
      <c r="F13" s="731">
        <v>0.88407999999999998</v>
      </c>
      <c r="G13" s="731">
        <v>7.499999755859375</v>
      </c>
      <c r="H13" s="731">
        <v>-6.615919755859375</v>
      </c>
      <c r="I13" s="732">
        <v>0.11787733717048623</v>
      </c>
      <c r="J13" s="733" t="s">
        <v>1</v>
      </c>
    </row>
    <row r="14" spans="1:10" ht="14.45" customHeight="1" x14ac:dyDescent="0.2">
      <c r="A14" s="729" t="s">
        <v>570</v>
      </c>
      <c r="B14" s="730" t="s">
        <v>581</v>
      </c>
      <c r="C14" s="731">
        <v>1622.6911499999999</v>
      </c>
      <c r="D14" s="731">
        <v>1966.9010000000001</v>
      </c>
      <c r="E14" s="731"/>
      <c r="F14" s="731">
        <v>689.39430000000004</v>
      </c>
      <c r="G14" s="731">
        <v>3000.1480000000001</v>
      </c>
      <c r="H14" s="731">
        <v>-2310.7537000000002</v>
      </c>
      <c r="I14" s="732">
        <v>0.22978676385298324</v>
      </c>
      <c r="J14" s="733" t="s">
        <v>1</v>
      </c>
    </row>
    <row r="15" spans="1:10" ht="14.45" customHeight="1" x14ac:dyDescent="0.2">
      <c r="A15" s="729" t="s">
        <v>570</v>
      </c>
      <c r="B15" s="730" t="s">
        <v>582</v>
      </c>
      <c r="C15" s="731">
        <v>343.64317</v>
      </c>
      <c r="D15" s="731">
        <v>232.33264000000003</v>
      </c>
      <c r="E15" s="731"/>
      <c r="F15" s="731">
        <v>471.2066299999999</v>
      </c>
      <c r="G15" s="731">
        <v>299.99999218749997</v>
      </c>
      <c r="H15" s="731">
        <v>171.20663781249993</v>
      </c>
      <c r="I15" s="732">
        <v>1.5706888075700209</v>
      </c>
      <c r="J15" s="733" t="s">
        <v>1</v>
      </c>
    </row>
    <row r="16" spans="1:10" ht="14.45" customHeight="1" x14ac:dyDescent="0.2">
      <c r="A16" s="729" t="s">
        <v>570</v>
      </c>
      <c r="B16" s="730" t="s">
        <v>583</v>
      </c>
      <c r="C16" s="731">
        <v>3838.55312</v>
      </c>
      <c r="D16" s="731">
        <v>4147.1090400000003</v>
      </c>
      <c r="E16" s="731"/>
      <c r="F16" s="731">
        <v>2911.7318900000009</v>
      </c>
      <c r="G16" s="731">
        <v>5273.0067255859367</v>
      </c>
      <c r="H16" s="731">
        <v>-2361.2748355859358</v>
      </c>
      <c r="I16" s="732">
        <v>0.55219574742272859</v>
      </c>
      <c r="J16" s="733" t="s">
        <v>584</v>
      </c>
    </row>
    <row r="18" spans="1:10" ht="14.45" customHeight="1" x14ac:dyDescent="0.2">
      <c r="A18" s="729" t="s">
        <v>570</v>
      </c>
      <c r="B18" s="730" t="s">
        <v>571</v>
      </c>
      <c r="C18" s="731" t="s">
        <v>572</v>
      </c>
      <c r="D18" s="731" t="s">
        <v>572</v>
      </c>
      <c r="E18" s="731"/>
      <c r="F18" s="731" t="s">
        <v>572</v>
      </c>
      <c r="G18" s="731" t="s">
        <v>572</v>
      </c>
      <c r="H18" s="731" t="s">
        <v>572</v>
      </c>
      <c r="I18" s="732" t="s">
        <v>572</v>
      </c>
      <c r="J18" s="733" t="s">
        <v>73</v>
      </c>
    </row>
    <row r="19" spans="1:10" ht="14.45" customHeight="1" x14ac:dyDescent="0.2">
      <c r="A19" s="729" t="s">
        <v>585</v>
      </c>
      <c r="B19" s="730" t="s">
        <v>586</v>
      </c>
      <c r="C19" s="731" t="s">
        <v>572</v>
      </c>
      <c r="D19" s="731" t="s">
        <v>572</v>
      </c>
      <c r="E19" s="731"/>
      <c r="F19" s="731" t="s">
        <v>572</v>
      </c>
      <c r="G19" s="731" t="s">
        <v>572</v>
      </c>
      <c r="H19" s="731" t="s">
        <v>572</v>
      </c>
      <c r="I19" s="732" t="s">
        <v>572</v>
      </c>
      <c r="J19" s="733" t="s">
        <v>0</v>
      </c>
    </row>
    <row r="20" spans="1:10" ht="14.45" customHeight="1" x14ac:dyDescent="0.2">
      <c r="A20" s="729" t="s">
        <v>585</v>
      </c>
      <c r="B20" s="730" t="s">
        <v>573</v>
      </c>
      <c r="C20" s="731">
        <v>162.59630000000004</v>
      </c>
      <c r="D20" s="731">
        <v>194.68822999999989</v>
      </c>
      <c r="E20" s="731"/>
      <c r="F20" s="731">
        <v>225.8595400000001</v>
      </c>
      <c r="G20" s="731">
        <v>209</v>
      </c>
      <c r="H20" s="731">
        <v>16.859540000000095</v>
      </c>
      <c r="I20" s="732">
        <v>1.0806676555023929</v>
      </c>
      <c r="J20" s="733" t="s">
        <v>1</v>
      </c>
    </row>
    <row r="21" spans="1:10" ht="14.45" customHeight="1" x14ac:dyDescent="0.2">
      <c r="A21" s="729" t="s">
        <v>585</v>
      </c>
      <c r="B21" s="730" t="s">
        <v>576</v>
      </c>
      <c r="C21" s="731">
        <v>0</v>
      </c>
      <c r="D21" s="731">
        <v>2.8884100000000008</v>
      </c>
      <c r="E21" s="731"/>
      <c r="F21" s="731">
        <v>1.11168</v>
      </c>
      <c r="G21" s="731">
        <v>3</v>
      </c>
      <c r="H21" s="731">
        <v>-1.88832</v>
      </c>
      <c r="I21" s="732">
        <v>0.37056</v>
      </c>
      <c r="J21" s="733" t="s">
        <v>1</v>
      </c>
    </row>
    <row r="22" spans="1:10" ht="14.45" customHeight="1" x14ac:dyDescent="0.2">
      <c r="A22" s="729" t="s">
        <v>585</v>
      </c>
      <c r="B22" s="730" t="s">
        <v>577</v>
      </c>
      <c r="C22" s="731">
        <v>5.7353999999999994</v>
      </c>
      <c r="D22" s="731">
        <v>2.8676999999999997</v>
      </c>
      <c r="E22" s="731"/>
      <c r="F22" s="731">
        <v>0</v>
      </c>
      <c r="G22" s="731">
        <v>4</v>
      </c>
      <c r="H22" s="731">
        <v>-4</v>
      </c>
      <c r="I22" s="732">
        <v>0</v>
      </c>
      <c r="J22" s="733" t="s">
        <v>1</v>
      </c>
    </row>
    <row r="23" spans="1:10" ht="14.45" customHeight="1" x14ac:dyDescent="0.2">
      <c r="A23" s="729" t="s">
        <v>585</v>
      </c>
      <c r="B23" s="730" t="s">
        <v>579</v>
      </c>
      <c r="C23" s="731">
        <v>8.8757800000000007</v>
      </c>
      <c r="D23" s="731">
        <v>11.762189999999999</v>
      </c>
      <c r="E23" s="731"/>
      <c r="F23" s="731">
        <v>10.715999999999996</v>
      </c>
      <c r="G23" s="731">
        <v>10</v>
      </c>
      <c r="H23" s="731">
        <v>0.71599999999999575</v>
      </c>
      <c r="I23" s="732">
        <v>1.0715999999999997</v>
      </c>
      <c r="J23" s="733" t="s">
        <v>1</v>
      </c>
    </row>
    <row r="24" spans="1:10" ht="14.45" customHeight="1" x14ac:dyDescent="0.2">
      <c r="A24" s="729" t="s">
        <v>585</v>
      </c>
      <c r="B24" s="730" t="s">
        <v>580</v>
      </c>
      <c r="C24" s="731">
        <v>2.5553699999999999</v>
      </c>
      <c r="D24" s="731">
        <v>1.7147000000000001</v>
      </c>
      <c r="E24" s="731"/>
      <c r="F24" s="731">
        <v>0.66789999999999994</v>
      </c>
      <c r="G24" s="731">
        <v>4</v>
      </c>
      <c r="H24" s="731">
        <v>-3.3321000000000001</v>
      </c>
      <c r="I24" s="732">
        <v>0.16697499999999998</v>
      </c>
      <c r="J24" s="733" t="s">
        <v>1</v>
      </c>
    </row>
    <row r="25" spans="1:10" ht="14.45" customHeight="1" x14ac:dyDescent="0.2">
      <c r="A25" s="729" t="s">
        <v>585</v>
      </c>
      <c r="B25" s="730" t="s">
        <v>582</v>
      </c>
      <c r="C25" s="731">
        <v>93.543960000000013</v>
      </c>
      <c r="D25" s="731">
        <v>70.913820000000001</v>
      </c>
      <c r="E25" s="731"/>
      <c r="F25" s="731">
        <v>64.779690000000016</v>
      </c>
      <c r="G25" s="731">
        <v>99</v>
      </c>
      <c r="H25" s="731">
        <v>-34.220309999999984</v>
      </c>
      <c r="I25" s="732">
        <v>0.65434030303030322</v>
      </c>
      <c r="J25" s="733" t="s">
        <v>1</v>
      </c>
    </row>
    <row r="26" spans="1:10" ht="14.45" customHeight="1" x14ac:dyDescent="0.2">
      <c r="A26" s="729" t="s">
        <v>585</v>
      </c>
      <c r="B26" s="730" t="s">
        <v>587</v>
      </c>
      <c r="C26" s="731">
        <v>273.30681000000004</v>
      </c>
      <c r="D26" s="731">
        <v>284.83504999999991</v>
      </c>
      <c r="E26" s="731"/>
      <c r="F26" s="731">
        <v>303.13481000000013</v>
      </c>
      <c r="G26" s="731">
        <v>329</v>
      </c>
      <c r="H26" s="731">
        <v>-25.86518999999987</v>
      </c>
      <c r="I26" s="732">
        <v>0.92138240121580584</v>
      </c>
      <c r="J26" s="733" t="s">
        <v>588</v>
      </c>
    </row>
    <row r="27" spans="1:10" ht="14.45" customHeight="1" x14ac:dyDescent="0.2">
      <c r="A27" s="729" t="s">
        <v>572</v>
      </c>
      <c r="B27" s="730" t="s">
        <v>572</v>
      </c>
      <c r="C27" s="731" t="s">
        <v>572</v>
      </c>
      <c r="D27" s="731" t="s">
        <v>572</v>
      </c>
      <c r="E27" s="731"/>
      <c r="F27" s="731" t="s">
        <v>572</v>
      </c>
      <c r="G27" s="731" t="s">
        <v>572</v>
      </c>
      <c r="H27" s="731" t="s">
        <v>572</v>
      </c>
      <c r="I27" s="732" t="s">
        <v>572</v>
      </c>
      <c r="J27" s="733" t="s">
        <v>589</v>
      </c>
    </row>
    <row r="28" spans="1:10" ht="14.45" customHeight="1" x14ac:dyDescent="0.2">
      <c r="A28" s="729" t="s">
        <v>590</v>
      </c>
      <c r="B28" s="730" t="s">
        <v>591</v>
      </c>
      <c r="C28" s="731" t="s">
        <v>572</v>
      </c>
      <c r="D28" s="731" t="s">
        <v>572</v>
      </c>
      <c r="E28" s="731"/>
      <c r="F28" s="731" t="s">
        <v>572</v>
      </c>
      <c r="G28" s="731" t="s">
        <v>572</v>
      </c>
      <c r="H28" s="731" t="s">
        <v>572</v>
      </c>
      <c r="I28" s="732" t="s">
        <v>572</v>
      </c>
      <c r="J28" s="733" t="s">
        <v>0</v>
      </c>
    </row>
    <row r="29" spans="1:10" ht="14.45" customHeight="1" x14ac:dyDescent="0.2">
      <c r="A29" s="729" t="s">
        <v>590</v>
      </c>
      <c r="B29" s="730" t="s">
        <v>573</v>
      </c>
      <c r="C29" s="731">
        <v>107.10971999999998</v>
      </c>
      <c r="D29" s="731">
        <v>0</v>
      </c>
      <c r="E29" s="731"/>
      <c r="F29" s="731">
        <v>0</v>
      </c>
      <c r="G29" s="731">
        <v>0</v>
      </c>
      <c r="H29" s="731">
        <v>0</v>
      </c>
      <c r="I29" s="732" t="s">
        <v>572</v>
      </c>
      <c r="J29" s="733" t="s">
        <v>1</v>
      </c>
    </row>
    <row r="30" spans="1:10" ht="14.45" customHeight="1" x14ac:dyDescent="0.2">
      <c r="A30" s="729" t="s">
        <v>590</v>
      </c>
      <c r="B30" s="730" t="s">
        <v>576</v>
      </c>
      <c r="C30" s="731">
        <v>11.08502</v>
      </c>
      <c r="D30" s="731">
        <v>0</v>
      </c>
      <c r="E30" s="731"/>
      <c r="F30" s="731">
        <v>0</v>
      </c>
      <c r="G30" s="731">
        <v>0</v>
      </c>
      <c r="H30" s="731">
        <v>0</v>
      </c>
      <c r="I30" s="732" t="s">
        <v>572</v>
      </c>
      <c r="J30" s="733" t="s">
        <v>1</v>
      </c>
    </row>
    <row r="31" spans="1:10" ht="14.45" customHeight="1" x14ac:dyDescent="0.2">
      <c r="A31" s="729" t="s">
        <v>590</v>
      </c>
      <c r="B31" s="730" t="s">
        <v>579</v>
      </c>
      <c r="C31" s="731">
        <v>4.5355199999999991</v>
      </c>
      <c r="D31" s="731">
        <v>0.91374</v>
      </c>
      <c r="E31" s="731"/>
      <c r="F31" s="731">
        <v>0</v>
      </c>
      <c r="G31" s="731">
        <v>2</v>
      </c>
      <c r="H31" s="731">
        <v>-2</v>
      </c>
      <c r="I31" s="732">
        <v>0</v>
      </c>
      <c r="J31" s="733" t="s">
        <v>1</v>
      </c>
    </row>
    <row r="32" spans="1:10" ht="14.45" customHeight="1" x14ac:dyDescent="0.2">
      <c r="A32" s="729" t="s">
        <v>590</v>
      </c>
      <c r="B32" s="730" t="s">
        <v>580</v>
      </c>
      <c r="C32" s="731">
        <v>1.0805400000000001</v>
      </c>
      <c r="D32" s="731">
        <v>0</v>
      </c>
      <c r="E32" s="731"/>
      <c r="F32" s="731">
        <v>0</v>
      </c>
      <c r="G32" s="731">
        <v>0</v>
      </c>
      <c r="H32" s="731">
        <v>0</v>
      </c>
      <c r="I32" s="732" t="s">
        <v>572</v>
      </c>
      <c r="J32" s="733" t="s">
        <v>1</v>
      </c>
    </row>
    <row r="33" spans="1:10" ht="14.45" customHeight="1" x14ac:dyDescent="0.2">
      <c r="A33" s="729" t="s">
        <v>590</v>
      </c>
      <c r="B33" s="730" t="s">
        <v>592</v>
      </c>
      <c r="C33" s="731">
        <v>123.81079999999999</v>
      </c>
      <c r="D33" s="731">
        <v>0.91374</v>
      </c>
      <c r="E33" s="731"/>
      <c r="F33" s="731">
        <v>0</v>
      </c>
      <c r="G33" s="731">
        <v>2</v>
      </c>
      <c r="H33" s="731">
        <v>-2</v>
      </c>
      <c r="I33" s="732">
        <v>0</v>
      </c>
      <c r="J33" s="733" t="s">
        <v>588</v>
      </c>
    </row>
    <row r="34" spans="1:10" ht="14.45" customHeight="1" x14ac:dyDescent="0.2">
      <c r="A34" s="729" t="s">
        <v>572</v>
      </c>
      <c r="B34" s="730" t="s">
        <v>572</v>
      </c>
      <c r="C34" s="731" t="s">
        <v>572</v>
      </c>
      <c r="D34" s="731" t="s">
        <v>572</v>
      </c>
      <c r="E34" s="731"/>
      <c r="F34" s="731" t="s">
        <v>572</v>
      </c>
      <c r="G34" s="731" t="s">
        <v>572</v>
      </c>
      <c r="H34" s="731" t="s">
        <v>572</v>
      </c>
      <c r="I34" s="732" t="s">
        <v>572</v>
      </c>
      <c r="J34" s="733" t="s">
        <v>589</v>
      </c>
    </row>
    <row r="35" spans="1:10" ht="14.45" customHeight="1" x14ac:dyDescent="0.2">
      <c r="A35" s="729" t="s">
        <v>593</v>
      </c>
      <c r="B35" s="730" t="s">
        <v>594</v>
      </c>
      <c r="C35" s="731" t="s">
        <v>572</v>
      </c>
      <c r="D35" s="731" t="s">
        <v>572</v>
      </c>
      <c r="E35" s="731"/>
      <c r="F35" s="731" t="s">
        <v>572</v>
      </c>
      <c r="G35" s="731" t="s">
        <v>572</v>
      </c>
      <c r="H35" s="731" t="s">
        <v>572</v>
      </c>
      <c r="I35" s="732" t="s">
        <v>572</v>
      </c>
      <c r="J35" s="733" t="s">
        <v>0</v>
      </c>
    </row>
    <row r="36" spans="1:10" ht="14.45" customHeight="1" x14ac:dyDescent="0.2">
      <c r="A36" s="729" t="s">
        <v>593</v>
      </c>
      <c r="B36" s="730" t="s">
        <v>573</v>
      </c>
      <c r="C36" s="731">
        <v>1.1259999999999999</v>
      </c>
      <c r="D36" s="731">
        <v>0</v>
      </c>
      <c r="E36" s="731"/>
      <c r="F36" s="731">
        <v>0</v>
      </c>
      <c r="G36" s="731">
        <v>0</v>
      </c>
      <c r="H36" s="731">
        <v>0</v>
      </c>
      <c r="I36" s="732" t="s">
        <v>572</v>
      </c>
      <c r="J36" s="733" t="s">
        <v>1</v>
      </c>
    </row>
    <row r="37" spans="1:10" ht="14.45" customHeight="1" x14ac:dyDescent="0.2">
      <c r="A37" s="729" t="s">
        <v>593</v>
      </c>
      <c r="B37" s="730" t="s">
        <v>595</v>
      </c>
      <c r="C37" s="731">
        <v>1.1259999999999999</v>
      </c>
      <c r="D37" s="731">
        <v>0</v>
      </c>
      <c r="E37" s="731"/>
      <c r="F37" s="731">
        <v>0</v>
      </c>
      <c r="G37" s="731">
        <v>0</v>
      </c>
      <c r="H37" s="731">
        <v>0</v>
      </c>
      <c r="I37" s="732" t="s">
        <v>572</v>
      </c>
      <c r="J37" s="733" t="s">
        <v>588</v>
      </c>
    </row>
    <row r="38" spans="1:10" ht="14.45" customHeight="1" x14ac:dyDescent="0.2">
      <c r="A38" s="729" t="s">
        <v>572</v>
      </c>
      <c r="B38" s="730" t="s">
        <v>572</v>
      </c>
      <c r="C38" s="731" t="s">
        <v>572</v>
      </c>
      <c r="D38" s="731" t="s">
        <v>572</v>
      </c>
      <c r="E38" s="731"/>
      <c r="F38" s="731" t="s">
        <v>572</v>
      </c>
      <c r="G38" s="731" t="s">
        <v>572</v>
      </c>
      <c r="H38" s="731" t="s">
        <v>572</v>
      </c>
      <c r="I38" s="732" t="s">
        <v>572</v>
      </c>
      <c r="J38" s="733" t="s">
        <v>589</v>
      </c>
    </row>
    <row r="39" spans="1:10" ht="14.45" customHeight="1" x14ac:dyDescent="0.2">
      <c r="A39" s="729" t="s">
        <v>596</v>
      </c>
      <c r="B39" s="730" t="s">
        <v>597</v>
      </c>
      <c r="C39" s="731" t="s">
        <v>572</v>
      </c>
      <c r="D39" s="731" t="s">
        <v>572</v>
      </c>
      <c r="E39" s="731"/>
      <c r="F39" s="731" t="s">
        <v>572</v>
      </c>
      <c r="G39" s="731" t="s">
        <v>572</v>
      </c>
      <c r="H39" s="731" t="s">
        <v>572</v>
      </c>
      <c r="I39" s="732" t="s">
        <v>572</v>
      </c>
      <c r="J39" s="733" t="s">
        <v>0</v>
      </c>
    </row>
    <row r="40" spans="1:10" ht="14.45" customHeight="1" x14ac:dyDescent="0.2">
      <c r="A40" s="729" t="s">
        <v>596</v>
      </c>
      <c r="B40" s="730" t="s">
        <v>573</v>
      </c>
      <c r="C40" s="731">
        <v>1198.1199500000005</v>
      </c>
      <c r="D40" s="731">
        <v>1377.0044700000003</v>
      </c>
      <c r="E40" s="731"/>
      <c r="F40" s="731">
        <v>1201.9956100000009</v>
      </c>
      <c r="G40" s="731">
        <v>1366</v>
      </c>
      <c r="H40" s="731">
        <v>-164.00438999999915</v>
      </c>
      <c r="I40" s="732">
        <v>0.87993822108345598</v>
      </c>
      <c r="J40" s="733" t="s">
        <v>1</v>
      </c>
    </row>
    <row r="41" spans="1:10" ht="14.45" customHeight="1" x14ac:dyDescent="0.2">
      <c r="A41" s="729" t="s">
        <v>596</v>
      </c>
      <c r="B41" s="730" t="s">
        <v>574</v>
      </c>
      <c r="C41" s="731">
        <v>51.319400000000002</v>
      </c>
      <c r="D41" s="731">
        <v>15.752000000000001</v>
      </c>
      <c r="E41" s="731"/>
      <c r="F41" s="731">
        <v>6.8267199999999999</v>
      </c>
      <c r="G41" s="731">
        <v>19</v>
      </c>
      <c r="H41" s="731">
        <v>-12.17328</v>
      </c>
      <c r="I41" s="732">
        <v>0.35930105263157897</v>
      </c>
      <c r="J41" s="733" t="s">
        <v>1</v>
      </c>
    </row>
    <row r="42" spans="1:10" ht="14.45" customHeight="1" x14ac:dyDescent="0.2">
      <c r="A42" s="729" t="s">
        <v>596</v>
      </c>
      <c r="B42" s="730" t="s">
        <v>575</v>
      </c>
      <c r="C42" s="731">
        <v>151.90160999999998</v>
      </c>
      <c r="D42" s="731">
        <v>242.55588999999986</v>
      </c>
      <c r="E42" s="731"/>
      <c r="F42" s="731">
        <v>163.48893999999999</v>
      </c>
      <c r="G42" s="731">
        <v>244</v>
      </c>
      <c r="H42" s="731">
        <v>-80.511060000000015</v>
      </c>
      <c r="I42" s="732">
        <v>0.67003663934426227</v>
      </c>
      <c r="J42" s="733" t="s">
        <v>1</v>
      </c>
    </row>
    <row r="43" spans="1:10" ht="14.45" customHeight="1" x14ac:dyDescent="0.2">
      <c r="A43" s="729" t="s">
        <v>596</v>
      </c>
      <c r="B43" s="730" t="s">
        <v>576</v>
      </c>
      <c r="C43" s="731">
        <v>47.488759999999992</v>
      </c>
      <c r="D43" s="731">
        <v>6.6059099999999908</v>
      </c>
      <c r="E43" s="731"/>
      <c r="F43" s="731">
        <v>29.099620000000002</v>
      </c>
      <c r="G43" s="731">
        <v>12</v>
      </c>
      <c r="H43" s="731">
        <v>17.099620000000002</v>
      </c>
      <c r="I43" s="732">
        <v>2.4249683333333336</v>
      </c>
      <c r="J43" s="733" t="s">
        <v>1</v>
      </c>
    </row>
    <row r="44" spans="1:10" ht="14.45" customHeight="1" x14ac:dyDescent="0.2">
      <c r="A44" s="729" t="s">
        <v>596</v>
      </c>
      <c r="B44" s="730" t="s">
        <v>577</v>
      </c>
      <c r="C44" s="731">
        <v>29.509610000000006</v>
      </c>
      <c r="D44" s="731">
        <v>20.90354</v>
      </c>
      <c r="E44" s="731"/>
      <c r="F44" s="731">
        <v>48.621700000000004</v>
      </c>
      <c r="G44" s="731">
        <v>26</v>
      </c>
      <c r="H44" s="731">
        <v>22.621700000000004</v>
      </c>
      <c r="I44" s="732">
        <v>1.8700653846153847</v>
      </c>
      <c r="J44" s="733" t="s">
        <v>1</v>
      </c>
    </row>
    <row r="45" spans="1:10" ht="14.45" customHeight="1" x14ac:dyDescent="0.2">
      <c r="A45" s="729" t="s">
        <v>596</v>
      </c>
      <c r="B45" s="730" t="s">
        <v>578</v>
      </c>
      <c r="C45" s="731">
        <v>0</v>
      </c>
      <c r="D45" s="731">
        <v>0</v>
      </c>
      <c r="E45" s="731"/>
      <c r="F45" s="731">
        <v>0.45650000000000002</v>
      </c>
      <c r="G45" s="731">
        <v>0</v>
      </c>
      <c r="H45" s="731">
        <v>0.45650000000000002</v>
      </c>
      <c r="I45" s="732" t="s">
        <v>572</v>
      </c>
      <c r="J45" s="733" t="s">
        <v>1</v>
      </c>
    </row>
    <row r="46" spans="1:10" ht="14.45" customHeight="1" x14ac:dyDescent="0.2">
      <c r="A46" s="729" t="s">
        <v>596</v>
      </c>
      <c r="B46" s="730" t="s">
        <v>579</v>
      </c>
      <c r="C46" s="731">
        <v>63.010499999999972</v>
      </c>
      <c r="D46" s="731">
        <v>68.239450000000005</v>
      </c>
      <c r="E46" s="731"/>
      <c r="F46" s="731">
        <v>62.070569999999975</v>
      </c>
      <c r="G46" s="731">
        <v>71</v>
      </c>
      <c r="H46" s="731">
        <v>-8.9294300000000248</v>
      </c>
      <c r="I46" s="732">
        <v>0.87423338028168984</v>
      </c>
      <c r="J46" s="733" t="s">
        <v>1</v>
      </c>
    </row>
    <row r="47" spans="1:10" ht="14.45" customHeight="1" x14ac:dyDescent="0.2">
      <c r="A47" s="729" t="s">
        <v>596</v>
      </c>
      <c r="B47" s="730" t="s">
        <v>580</v>
      </c>
      <c r="C47" s="731">
        <v>26.169320000000003</v>
      </c>
      <c r="D47" s="731">
        <v>1.9791700000000003</v>
      </c>
      <c r="E47" s="731"/>
      <c r="F47" s="731">
        <v>0.21618000000000001</v>
      </c>
      <c r="G47" s="731">
        <v>4</v>
      </c>
      <c r="H47" s="731">
        <v>-3.78382</v>
      </c>
      <c r="I47" s="732">
        <v>5.4045000000000003E-2</v>
      </c>
      <c r="J47" s="733" t="s">
        <v>1</v>
      </c>
    </row>
    <row r="48" spans="1:10" ht="14.45" customHeight="1" x14ac:dyDescent="0.2">
      <c r="A48" s="729" t="s">
        <v>596</v>
      </c>
      <c r="B48" s="730" t="s">
        <v>582</v>
      </c>
      <c r="C48" s="731">
        <v>250.09921</v>
      </c>
      <c r="D48" s="731">
        <v>161.41882000000001</v>
      </c>
      <c r="E48" s="731"/>
      <c r="F48" s="731">
        <v>406.42693999999989</v>
      </c>
      <c r="G48" s="731">
        <v>201</v>
      </c>
      <c r="H48" s="731">
        <v>205.42693999999989</v>
      </c>
      <c r="I48" s="732">
        <v>2.0220245771144274</v>
      </c>
      <c r="J48" s="733" t="s">
        <v>1</v>
      </c>
    </row>
    <row r="49" spans="1:10" ht="14.45" customHeight="1" x14ac:dyDescent="0.2">
      <c r="A49" s="729" t="s">
        <v>596</v>
      </c>
      <c r="B49" s="730" t="s">
        <v>598</v>
      </c>
      <c r="C49" s="731">
        <v>1817.6183600000004</v>
      </c>
      <c r="D49" s="731">
        <v>1894.4592500000003</v>
      </c>
      <c r="E49" s="731"/>
      <c r="F49" s="731">
        <v>1919.2027800000005</v>
      </c>
      <c r="G49" s="731">
        <v>1942</v>
      </c>
      <c r="H49" s="731">
        <v>-22.79721999999947</v>
      </c>
      <c r="I49" s="732">
        <v>0.9882609577754895</v>
      </c>
      <c r="J49" s="733" t="s">
        <v>588</v>
      </c>
    </row>
    <row r="50" spans="1:10" ht="14.45" customHeight="1" x14ac:dyDescent="0.2">
      <c r="A50" s="729" t="s">
        <v>572</v>
      </c>
      <c r="B50" s="730" t="s">
        <v>572</v>
      </c>
      <c r="C50" s="731" t="s">
        <v>572</v>
      </c>
      <c r="D50" s="731" t="s">
        <v>572</v>
      </c>
      <c r="E50" s="731"/>
      <c r="F50" s="731" t="s">
        <v>572</v>
      </c>
      <c r="G50" s="731" t="s">
        <v>572</v>
      </c>
      <c r="H50" s="731" t="s">
        <v>572</v>
      </c>
      <c r="I50" s="732" t="s">
        <v>572</v>
      </c>
      <c r="J50" s="733" t="s">
        <v>589</v>
      </c>
    </row>
    <row r="51" spans="1:10" ht="14.45" customHeight="1" x14ac:dyDescent="0.2">
      <c r="A51" s="729" t="s">
        <v>599</v>
      </c>
      <c r="B51" s="730" t="s">
        <v>600</v>
      </c>
      <c r="C51" s="731" t="s">
        <v>572</v>
      </c>
      <c r="D51" s="731" t="s">
        <v>572</v>
      </c>
      <c r="E51" s="731"/>
      <c r="F51" s="731" t="s">
        <v>572</v>
      </c>
      <c r="G51" s="731" t="s">
        <v>572</v>
      </c>
      <c r="H51" s="731" t="s">
        <v>572</v>
      </c>
      <c r="I51" s="732" t="s">
        <v>572</v>
      </c>
      <c r="J51" s="733" t="s">
        <v>0</v>
      </c>
    </row>
    <row r="52" spans="1:10" ht="14.45" customHeight="1" x14ac:dyDescent="0.2">
      <c r="A52" s="729" t="s">
        <v>599</v>
      </c>
      <c r="B52" s="730" t="s">
        <v>581</v>
      </c>
      <c r="C52" s="731">
        <v>1622.6911499999999</v>
      </c>
      <c r="D52" s="731">
        <v>1966.9010000000001</v>
      </c>
      <c r="E52" s="731"/>
      <c r="F52" s="731">
        <v>689.39430000000004</v>
      </c>
      <c r="G52" s="731">
        <v>3000</v>
      </c>
      <c r="H52" s="731">
        <v>-2310.6057000000001</v>
      </c>
      <c r="I52" s="732">
        <v>0.22979810000000001</v>
      </c>
      <c r="J52" s="733" t="s">
        <v>1</v>
      </c>
    </row>
    <row r="53" spans="1:10" ht="14.45" customHeight="1" x14ac:dyDescent="0.2">
      <c r="A53" s="729" t="s">
        <v>599</v>
      </c>
      <c r="B53" s="730" t="s">
        <v>601</v>
      </c>
      <c r="C53" s="731">
        <v>1622.6911499999999</v>
      </c>
      <c r="D53" s="731">
        <v>1966.9010000000001</v>
      </c>
      <c r="E53" s="731"/>
      <c r="F53" s="731">
        <v>689.39430000000004</v>
      </c>
      <c r="G53" s="731">
        <v>3000</v>
      </c>
      <c r="H53" s="731">
        <v>-2310.6057000000001</v>
      </c>
      <c r="I53" s="732">
        <v>0.22979810000000001</v>
      </c>
      <c r="J53" s="733" t="s">
        <v>588</v>
      </c>
    </row>
    <row r="54" spans="1:10" ht="14.45" customHeight="1" x14ac:dyDescent="0.2">
      <c r="A54" s="729" t="s">
        <v>572</v>
      </c>
      <c r="B54" s="730" t="s">
        <v>572</v>
      </c>
      <c r="C54" s="731" t="s">
        <v>572</v>
      </c>
      <c r="D54" s="731" t="s">
        <v>572</v>
      </c>
      <c r="E54" s="731"/>
      <c r="F54" s="731" t="s">
        <v>572</v>
      </c>
      <c r="G54" s="731" t="s">
        <v>572</v>
      </c>
      <c r="H54" s="731" t="s">
        <v>572</v>
      </c>
      <c r="I54" s="732" t="s">
        <v>572</v>
      </c>
      <c r="J54" s="733" t="s">
        <v>589</v>
      </c>
    </row>
    <row r="55" spans="1:10" ht="14.45" customHeight="1" x14ac:dyDescent="0.2">
      <c r="A55" s="729" t="s">
        <v>570</v>
      </c>
      <c r="B55" s="730" t="s">
        <v>583</v>
      </c>
      <c r="C55" s="731">
        <v>3838.5531200000005</v>
      </c>
      <c r="D55" s="731">
        <v>4147.1090400000003</v>
      </c>
      <c r="E55" s="731"/>
      <c r="F55" s="731">
        <v>2911.7318900000005</v>
      </c>
      <c r="G55" s="731">
        <v>5273</v>
      </c>
      <c r="H55" s="731">
        <v>-2361.2681099999995</v>
      </c>
      <c r="I55" s="732">
        <v>0.55219645173525511</v>
      </c>
      <c r="J55" s="733" t="s">
        <v>584</v>
      </c>
    </row>
  </sheetData>
  <mergeCells count="3">
    <mergeCell ref="F3:I3"/>
    <mergeCell ref="C4:D4"/>
    <mergeCell ref="A1:I1"/>
  </mergeCells>
  <conditionalFormatting sqref="F17 F56:F65537">
    <cfRule type="cellIs" dxfId="75" priority="18" stopIfTrue="1" operator="greaterThan">
      <formula>1</formula>
    </cfRule>
  </conditionalFormatting>
  <conditionalFormatting sqref="H5:H16">
    <cfRule type="expression" dxfId="74" priority="14">
      <formula>$H5&gt;0</formula>
    </cfRule>
  </conditionalFormatting>
  <conditionalFormatting sqref="I5:I16">
    <cfRule type="expression" dxfId="73" priority="15">
      <formula>$I5&gt;1</formula>
    </cfRule>
  </conditionalFormatting>
  <conditionalFormatting sqref="B5:B16">
    <cfRule type="expression" dxfId="72" priority="11">
      <formula>OR($J5="NS",$J5="SumaNS",$J5="Účet")</formula>
    </cfRule>
  </conditionalFormatting>
  <conditionalFormatting sqref="B5:D16 F5:I16">
    <cfRule type="expression" dxfId="71" priority="17">
      <formula>AND($J5&lt;&gt;"",$J5&lt;&gt;"mezeraKL")</formula>
    </cfRule>
  </conditionalFormatting>
  <conditionalFormatting sqref="B5:D16 F5:I16">
    <cfRule type="expression" dxfId="70" priority="12">
      <formula>OR($J5="KL",$J5="SumaKL")</formula>
    </cfRule>
    <cfRule type="expression" priority="16" stopIfTrue="1">
      <formula>OR($J5="mezeraNS",$J5="mezeraKL")</formula>
    </cfRule>
  </conditionalFormatting>
  <conditionalFormatting sqref="F5:I16 B5:D16">
    <cfRule type="expression" dxfId="69" priority="13">
      <formula>OR($J5="SumaNS",$J5="NS")</formula>
    </cfRule>
  </conditionalFormatting>
  <conditionalFormatting sqref="A5:A16">
    <cfRule type="expression" dxfId="68" priority="9">
      <formula>AND($J5&lt;&gt;"mezeraKL",$J5&lt;&gt;"")</formula>
    </cfRule>
  </conditionalFormatting>
  <conditionalFormatting sqref="A5:A16">
    <cfRule type="expression" dxfId="67" priority="10">
      <formula>AND($J5&lt;&gt;"",$J5&lt;&gt;"mezeraKL")</formula>
    </cfRule>
  </conditionalFormatting>
  <conditionalFormatting sqref="H18:H55">
    <cfRule type="expression" dxfId="66" priority="5">
      <formula>$H18&gt;0</formula>
    </cfRule>
  </conditionalFormatting>
  <conditionalFormatting sqref="A18:A55">
    <cfRule type="expression" dxfId="65" priority="2">
      <formula>AND($J18&lt;&gt;"mezeraKL",$J18&lt;&gt;"")</formula>
    </cfRule>
  </conditionalFormatting>
  <conditionalFormatting sqref="I18:I55">
    <cfRule type="expression" dxfId="64" priority="6">
      <formula>$I18&gt;1</formula>
    </cfRule>
  </conditionalFormatting>
  <conditionalFormatting sqref="B18:B55">
    <cfRule type="expression" dxfId="63" priority="1">
      <formula>OR($J18="NS",$J18="SumaNS",$J18="Účet")</formula>
    </cfRule>
  </conditionalFormatting>
  <conditionalFormatting sqref="A18:D55 F18:I55">
    <cfRule type="expression" dxfId="62" priority="8">
      <formula>AND($J18&lt;&gt;"",$J18&lt;&gt;"mezeraKL")</formula>
    </cfRule>
  </conditionalFormatting>
  <conditionalFormatting sqref="B18:D55 F18:I55">
    <cfRule type="expression" dxfId="61" priority="3">
      <formula>OR($J18="KL",$J18="SumaKL")</formula>
    </cfRule>
    <cfRule type="expression" priority="7" stopIfTrue="1">
      <formula>OR($J18="mezeraNS",$J18="mezeraKL")</formula>
    </cfRule>
  </conditionalFormatting>
  <conditionalFormatting sqref="B18:D55 F18:I55">
    <cfRule type="expression" dxfId="60" priority="4">
      <formula>OR($J18="SumaNS",$J18="NS")</formula>
    </cfRule>
  </conditionalFormatting>
  <hyperlinks>
    <hyperlink ref="A2" location="Obsah!A1" display="Zpět na Obsah  KL 01  1.-4.měsíc" xr:uid="{9A7568D6-92BC-4C7B-AC6E-C3442E1AEF20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224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247" hidden="1" customWidth="1" outlineLevel="1"/>
    <col min="2" max="2" width="28.28515625" style="247" hidden="1" customWidth="1" outlineLevel="1"/>
    <col min="3" max="3" width="5.28515625" style="331" bestFit="1" customWidth="1" collapsed="1"/>
    <col min="4" max="4" width="18.7109375" style="335" customWidth="1"/>
    <col min="5" max="5" width="9" style="458" bestFit="1" customWidth="1"/>
    <col min="6" max="6" width="18.7109375" style="335" customWidth="1"/>
    <col min="7" max="7" width="5" style="331" customWidth="1"/>
    <col min="8" max="8" width="12.42578125" style="331" hidden="1" customWidth="1" outlineLevel="1"/>
    <col min="9" max="9" width="8.5703125" style="331" hidden="1" customWidth="1" outlineLevel="1"/>
    <col min="10" max="10" width="25.7109375" style="331" customWidth="1" collapsed="1"/>
    <col min="11" max="11" width="8.7109375" style="331" customWidth="1"/>
    <col min="12" max="13" width="7.7109375" style="329" customWidth="1"/>
    <col min="14" max="14" width="12.7109375" style="329" customWidth="1"/>
    <col min="15" max="16384" width="8.85546875" style="247"/>
  </cols>
  <sheetData>
    <row r="1" spans="1:14" ht="18.600000000000001" customHeight="1" thickBot="1" x14ac:dyDescent="0.35">
      <c r="A1" s="549" t="s">
        <v>204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</row>
    <row r="2" spans="1:14" ht="14.45" customHeight="1" thickBot="1" x14ac:dyDescent="0.25">
      <c r="A2" s="371" t="s">
        <v>328</v>
      </c>
      <c r="B2" s="66"/>
      <c r="C2" s="333"/>
      <c r="D2" s="333"/>
      <c r="E2" s="457"/>
      <c r="F2" s="333"/>
      <c r="G2" s="333"/>
      <c r="H2" s="333"/>
      <c r="I2" s="333"/>
      <c r="J2" s="333"/>
      <c r="K2" s="333"/>
      <c r="L2" s="334"/>
      <c r="M2" s="334"/>
      <c r="N2" s="334"/>
    </row>
    <row r="3" spans="1:14" ht="14.45" customHeight="1" thickBot="1" x14ac:dyDescent="0.25">
      <c r="A3" s="66"/>
      <c r="B3" s="66"/>
      <c r="C3" s="545"/>
      <c r="D3" s="546"/>
      <c r="E3" s="546"/>
      <c r="F3" s="546"/>
      <c r="G3" s="546"/>
      <c r="H3" s="546"/>
      <c r="I3" s="546"/>
      <c r="J3" s="547" t="s">
        <v>158</v>
      </c>
      <c r="K3" s="548"/>
      <c r="L3" s="203">
        <f>IF(M3&lt;&gt;0,N3/M3,0)</f>
        <v>262.90864912857467</v>
      </c>
      <c r="M3" s="203">
        <f>SUBTOTAL(9,M5:M1048576)</f>
        <v>9679.9500000000007</v>
      </c>
      <c r="N3" s="204">
        <f>SUBTOTAL(9,N5:N1048576)</f>
        <v>2544942.5781321465</v>
      </c>
    </row>
    <row r="4" spans="1:14" s="330" customFormat="1" ht="14.45" customHeight="1" thickBot="1" x14ac:dyDescent="0.25">
      <c r="A4" s="734" t="s">
        <v>4</v>
      </c>
      <c r="B4" s="735" t="s">
        <v>5</v>
      </c>
      <c r="C4" s="735" t="s">
        <v>0</v>
      </c>
      <c r="D4" s="735" t="s">
        <v>6</v>
      </c>
      <c r="E4" s="736" t="s">
        <v>7</v>
      </c>
      <c r="F4" s="735" t="s">
        <v>1</v>
      </c>
      <c r="G4" s="735" t="s">
        <v>8</v>
      </c>
      <c r="H4" s="735" t="s">
        <v>9</v>
      </c>
      <c r="I4" s="735" t="s">
        <v>10</v>
      </c>
      <c r="J4" s="737" t="s">
        <v>11</v>
      </c>
      <c r="K4" s="737" t="s">
        <v>12</v>
      </c>
      <c r="L4" s="738" t="s">
        <v>183</v>
      </c>
      <c r="M4" s="738" t="s">
        <v>13</v>
      </c>
      <c r="N4" s="739" t="s">
        <v>200</v>
      </c>
    </row>
    <row r="5" spans="1:14" ht="14.45" customHeight="1" x14ac:dyDescent="0.2">
      <c r="A5" s="740" t="s">
        <v>570</v>
      </c>
      <c r="B5" s="741" t="s">
        <v>571</v>
      </c>
      <c r="C5" s="742" t="s">
        <v>585</v>
      </c>
      <c r="D5" s="743" t="s">
        <v>586</v>
      </c>
      <c r="E5" s="744">
        <v>50113001</v>
      </c>
      <c r="F5" s="743" t="s">
        <v>602</v>
      </c>
      <c r="G5" s="742" t="s">
        <v>603</v>
      </c>
      <c r="H5" s="742">
        <v>100362</v>
      </c>
      <c r="I5" s="742">
        <v>362</v>
      </c>
      <c r="J5" s="742" t="s">
        <v>604</v>
      </c>
      <c r="K5" s="742" t="s">
        <v>605</v>
      </c>
      <c r="L5" s="745">
        <v>72.600000000000009</v>
      </c>
      <c r="M5" s="745">
        <v>5</v>
      </c>
      <c r="N5" s="746">
        <v>363.00000000000006</v>
      </c>
    </row>
    <row r="6" spans="1:14" ht="14.45" customHeight="1" x14ac:dyDescent="0.2">
      <c r="A6" s="747" t="s">
        <v>570</v>
      </c>
      <c r="B6" s="748" t="s">
        <v>571</v>
      </c>
      <c r="C6" s="749" t="s">
        <v>585</v>
      </c>
      <c r="D6" s="750" t="s">
        <v>586</v>
      </c>
      <c r="E6" s="751">
        <v>50113001</v>
      </c>
      <c r="F6" s="750" t="s">
        <v>602</v>
      </c>
      <c r="G6" s="749" t="s">
        <v>603</v>
      </c>
      <c r="H6" s="749">
        <v>847713</v>
      </c>
      <c r="I6" s="749">
        <v>125526</v>
      </c>
      <c r="J6" s="749" t="s">
        <v>606</v>
      </c>
      <c r="K6" s="749" t="s">
        <v>607</v>
      </c>
      <c r="L6" s="752">
        <v>111.63</v>
      </c>
      <c r="M6" s="752">
        <v>3</v>
      </c>
      <c r="N6" s="753">
        <v>334.89</v>
      </c>
    </row>
    <row r="7" spans="1:14" ht="14.45" customHeight="1" x14ac:dyDescent="0.2">
      <c r="A7" s="747" t="s">
        <v>570</v>
      </c>
      <c r="B7" s="748" t="s">
        <v>571</v>
      </c>
      <c r="C7" s="749" t="s">
        <v>585</v>
      </c>
      <c r="D7" s="750" t="s">
        <v>586</v>
      </c>
      <c r="E7" s="751">
        <v>50113001</v>
      </c>
      <c r="F7" s="750" t="s">
        <v>602</v>
      </c>
      <c r="G7" s="749" t="s">
        <v>603</v>
      </c>
      <c r="H7" s="749">
        <v>847974</v>
      </c>
      <c r="I7" s="749">
        <v>125525</v>
      </c>
      <c r="J7" s="749" t="s">
        <v>606</v>
      </c>
      <c r="K7" s="749" t="s">
        <v>608</v>
      </c>
      <c r="L7" s="752">
        <v>47.11999999999999</v>
      </c>
      <c r="M7" s="752">
        <v>1</v>
      </c>
      <c r="N7" s="753">
        <v>47.11999999999999</v>
      </c>
    </row>
    <row r="8" spans="1:14" ht="14.45" customHeight="1" x14ac:dyDescent="0.2">
      <c r="A8" s="747" t="s">
        <v>570</v>
      </c>
      <c r="B8" s="748" t="s">
        <v>571</v>
      </c>
      <c r="C8" s="749" t="s">
        <v>585</v>
      </c>
      <c r="D8" s="750" t="s">
        <v>586</v>
      </c>
      <c r="E8" s="751">
        <v>50113001</v>
      </c>
      <c r="F8" s="750" t="s">
        <v>602</v>
      </c>
      <c r="G8" s="749" t="s">
        <v>603</v>
      </c>
      <c r="H8" s="749">
        <v>156926</v>
      </c>
      <c r="I8" s="749">
        <v>56926</v>
      </c>
      <c r="J8" s="749" t="s">
        <v>609</v>
      </c>
      <c r="K8" s="749" t="s">
        <v>610</v>
      </c>
      <c r="L8" s="752">
        <v>48.400007072590498</v>
      </c>
      <c r="M8" s="752">
        <v>50</v>
      </c>
      <c r="N8" s="753">
        <v>2420.0003536295249</v>
      </c>
    </row>
    <row r="9" spans="1:14" ht="14.45" customHeight="1" x14ac:dyDescent="0.2">
      <c r="A9" s="747" t="s">
        <v>570</v>
      </c>
      <c r="B9" s="748" t="s">
        <v>571</v>
      </c>
      <c r="C9" s="749" t="s">
        <v>585</v>
      </c>
      <c r="D9" s="750" t="s">
        <v>586</v>
      </c>
      <c r="E9" s="751">
        <v>50113001</v>
      </c>
      <c r="F9" s="750" t="s">
        <v>602</v>
      </c>
      <c r="G9" s="749" t="s">
        <v>603</v>
      </c>
      <c r="H9" s="749">
        <v>905097</v>
      </c>
      <c r="I9" s="749">
        <v>158767</v>
      </c>
      <c r="J9" s="749" t="s">
        <v>611</v>
      </c>
      <c r="K9" s="749" t="s">
        <v>612</v>
      </c>
      <c r="L9" s="752">
        <v>167.42073336425346</v>
      </c>
      <c r="M9" s="752">
        <v>48</v>
      </c>
      <c r="N9" s="753">
        <v>8036.1952014841663</v>
      </c>
    </row>
    <row r="10" spans="1:14" ht="14.45" customHeight="1" x14ac:dyDescent="0.2">
      <c r="A10" s="747" t="s">
        <v>570</v>
      </c>
      <c r="B10" s="748" t="s">
        <v>571</v>
      </c>
      <c r="C10" s="749" t="s">
        <v>585</v>
      </c>
      <c r="D10" s="750" t="s">
        <v>586</v>
      </c>
      <c r="E10" s="751">
        <v>50113001</v>
      </c>
      <c r="F10" s="750" t="s">
        <v>602</v>
      </c>
      <c r="G10" s="749" t="s">
        <v>603</v>
      </c>
      <c r="H10" s="749">
        <v>103070</v>
      </c>
      <c r="I10" s="749">
        <v>103070</v>
      </c>
      <c r="J10" s="749" t="s">
        <v>613</v>
      </c>
      <c r="K10" s="749" t="s">
        <v>614</v>
      </c>
      <c r="L10" s="752">
        <v>335.4</v>
      </c>
      <c r="M10" s="752">
        <v>2</v>
      </c>
      <c r="N10" s="753">
        <v>670.8</v>
      </c>
    </row>
    <row r="11" spans="1:14" ht="14.45" customHeight="1" x14ac:dyDescent="0.2">
      <c r="A11" s="747" t="s">
        <v>570</v>
      </c>
      <c r="B11" s="748" t="s">
        <v>571</v>
      </c>
      <c r="C11" s="749" t="s">
        <v>585</v>
      </c>
      <c r="D11" s="750" t="s">
        <v>586</v>
      </c>
      <c r="E11" s="751">
        <v>50113001</v>
      </c>
      <c r="F11" s="750" t="s">
        <v>602</v>
      </c>
      <c r="G11" s="749" t="s">
        <v>603</v>
      </c>
      <c r="H11" s="749">
        <v>51366</v>
      </c>
      <c r="I11" s="749">
        <v>51366</v>
      </c>
      <c r="J11" s="749" t="s">
        <v>615</v>
      </c>
      <c r="K11" s="749" t="s">
        <v>616</v>
      </c>
      <c r="L11" s="752">
        <v>171.59999999999997</v>
      </c>
      <c r="M11" s="752">
        <v>25</v>
      </c>
      <c r="N11" s="753">
        <v>4289.9999999999991</v>
      </c>
    </row>
    <row r="12" spans="1:14" ht="14.45" customHeight="1" x14ac:dyDescent="0.2">
      <c r="A12" s="747" t="s">
        <v>570</v>
      </c>
      <c r="B12" s="748" t="s">
        <v>571</v>
      </c>
      <c r="C12" s="749" t="s">
        <v>585</v>
      </c>
      <c r="D12" s="750" t="s">
        <v>586</v>
      </c>
      <c r="E12" s="751">
        <v>50113001</v>
      </c>
      <c r="F12" s="750" t="s">
        <v>602</v>
      </c>
      <c r="G12" s="749" t="s">
        <v>603</v>
      </c>
      <c r="H12" s="749">
        <v>157608</v>
      </c>
      <c r="I12" s="749">
        <v>57608</v>
      </c>
      <c r="J12" s="749" t="s">
        <v>617</v>
      </c>
      <c r="K12" s="749" t="s">
        <v>618</v>
      </c>
      <c r="L12" s="752">
        <v>69.339999999999989</v>
      </c>
      <c r="M12" s="752">
        <v>2</v>
      </c>
      <c r="N12" s="753">
        <v>138.67999999999998</v>
      </c>
    </row>
    <row r="13" spans="1:14" ht="14.45" customHeight="1" x14ac:dyDescent="0.2">
      <c r="A13" s="747" t="s">
        <v>570</v>
      </c>
      <c r="B13" s="748" t="s">
        <v>571</v>
      </c>
      <c r="C13" s="749" t="s">
        <v>585</v>
      </c>
      <c r="D13" s="750" t="s">
        <v>586</v>
      </c>
      <c r="E13" s="751">
        <v>50113001</v>
      </c>
      <c r="F13" s="750" t="s">
        <v>602</v>
      </c>
      <c r="G13" s="749" t="s">
        <v>603</v>
      </c>
      <c r="H13" s="749">
        <v>224964</v>
      </c>
      <c r="I13" s="749">
        <v>224964</v>
      </c>
      <c r="J13" s="749" t="s">
        <v>619</v>
      </c>
      <c r="K13" s="749" t="s">
        <v>620</v>
      </c>
      <c r="L13" s="752">
        <v>107.87</v>
      </c>
      <c r="M13" s="752">
        <v>14</v>
      </c>
      <c r="N13" s="753">
        <v>1510.18</v>
      </c>
    </row>
    <row r="14" spans="1:14" ht="14.45" customHeight="1" x14ac:dyDescent="0.2">
      <c r="A14" s="747" t="s">
        <v>570</v>
      </c>
      <c r="B14" s="748" t="s">
        <v>571</v>
      </c>
      <c r="C14" s="749" t="s">
        <v>585</v>
      </c>
      <c r="D14" s="750" t="s">
        <v>586</v>
      </c>
      <c r="E14" s="751">
        <v>50113001</v>
      </c>
      <c r="F14" s="750" t="s">
        <v>602</v>
      </c>
      <c r="G14" s="749" t="s">
        <v>603</v>
      </c>
      <c r="H14" s="749">
        <v>202878</v>
      </c>
      <c r="I14" s="749">
        <v>202878</v>
      </c>
      <c r="J14" s="749" t="s">
        <v>621</v>
      </c>
      <c r="K14" s="749" t="s">
        <v>622</v>
      </c>
      <c r="L14" s="752">
        <v>42.426363636363639</v>
      </c>
      <c r="M14" s="752">
        <v>11</v>
      </c>
      <c r="N14" s="753">
        <v>466.69000000000005</v>
      </c>
    </row>
    <row r="15" spans="1:14" ht="14.45" customHeight="1" x14ac:dyDescent="0.2">
      <c r="A15" s="747" t="s">
        <v>570</v>
      </c>
      <c r="B15" s="748" t="s">
        <v>571</v>
      </c>
      <c r="C15" s="749" t="s">
        <v>585</v>
      </c>
      <c r="D15" s="750" t="s">
        <v>586</v>
      </c>
      <c r="E15" s="751">
        <v>50113001</v>
      </c>
      <c r="F15" s="750" t="s">
        <v>602</v>
      </c>
      <c r="G15" s="749" t="s">
        <v>603</v>
      </c>
      <c r="H15" s="749">
        <v>394712</v>
      </c>
      <c r="I15" s="749">
        <v>0</v>
      </c>
      <c r="J15" s="749" t="s">
        <v>623</v>
      </c>
      <c r="K15" s="749" t="s">
        <v>624</v>
      </c>
      <c r="L15" s="752">
        <v>28.75</v>
      </c>
      <c r="M15" s="752">
        <v>810</v>
      </c>
      <c r="N15" s="753">
        <v>23287.5</v>
      </c>
    </row>
    <row r="16" spans="1:14" ht="14.45" customHeight="1" x14ac:dyDescent="0.2">
      <c r="A16" s="747" t="s">
        <v>570</v>
      </c>
      <c r="B16" s="748" t="s">
        <v>571</v>
      </c>
      <c r="C16" s="749" t="s">
        <v>585</v>
      </c>
      <c r="D16" s="750" t="s">
        <v>586</v>
      </c>
      <c r="E16" s="751">
        <v>50113001</v>
      </c>
      <c r="F16" s="750" t="s">
        <v>602</v>
      </c>
      <c r="G16" s="749" t="s">
        <v>603</v>
      </c>
      <c r="H16" s="749">
        <v>100720</v>
      </c>
      <c r="I16" s="749">
        <v>720</v>
      </c>
      <c r="J16" s="749" t="s">
        <v>625</v>
      </c>
      <c r="K16" s="749" t="s">
        <v>626</v>
      </c>
      <c r="L16" s="752">
        <v>78.25</v>
      </c>
      <c r="M16" s="752">
        <v>4</v>
      </c>
      <c r="N16" s="753">
        <v>313</v>
      </c>
    </row>
    <row r="17" spans="1:14" ht="14.45" customHeight="1" x14ac:dyDescent="0.2">
      <c r="A17" s="747" t="s">
        <v>570</v>
      </c>
      <c r="B17" s="748" t="s">
        <v>571</v>
      </c>
      <c r="C17" s="749" t="s">
        <v>585</v>
      </c>
      <c r="D17" s="750" t="s">
        <v>586</v>
      </c>
      <c r="E17" s="751">
        <v>50113001</v>
      </c>
      <c r="F17" s="750" t="s">
        <v>602</v>
      </c>
      <c r="G17" s="749" t="s">
        <v>603</v>
      </c>
      <c r="H17" s="749">
        <v>230426</v>
      </c>
      <c r="I17" s="749">
        <v>230426</v>
      </c>
      <c r="J17" s="749" t="s">
        <v>625</v>
      </c>
      <c r="K17" s="749" t="s">
        <v>626</v>
      </c>
      <c r="L17" s="752">
        <v>78.626000000000005</v>
      </c>
      <c r="M17" s="752">
        <v>35</v>
      </c>
      <c r="N17" s="753">
        <v>2751.9100000000003</v>
      </c>
    </row>
    <row r="18" spans="1:14" ht="14.45" customHeight="1" x14ac:dyDescent="0.2">
      <c r="A18" s="747" t="s">
        <v>570</v>
      </c>
      <c r="B18" s="748" t="s">
        <v>571</v>
      </c>
      <c r="C18" s="749" t="s">
        <v>585</v>
      </c>
      <c r="D18" s="750" t="s">
        <v>586</v>
      </c>
      <c r="E18" s="751">
        <v>50113001</v>
      </c>
      <c r="F18" s="750" t="s">
        <v>602</v>
      </c>
      <c r="G18" s="749" t="s">
        <v>603</v>
      </c>
      <c r="H18" s="749">
        <v>29938</v>
      </c>
      <c r="I18" s="749">
        <v>29938</v>
      </c>
      <c r="J18" s="749" t="s">
        <v>627</v>
      </c>
      <c r="K18" s="749" t="s">
        <v>628</v>
      </c>
      <c r="L18" s="752">
        <v>2078.08</v>
      </c>
      <c r="M18" s="752">
        <v>1</v>
      </c>
      <c r="N18" s="753">
        <v>2078.08</v>
      </c>
    </row>
    <row r="19" spans="1:14" ht="14.45" customHeight="1" x14ac:dyDescent="0.2">
      <c r="A19" s="747" t="s">
        <v>570</v>
      </c>
      <c r="B19" s="748" t="s">
        <v>571</v>
      </c>
      <c r="C19" s="749" t="s">
        <v>585</v>
      </c>
      <c r="D19" s="750" t="s">
        <v>586</v>
      </c>
      <c r="E19" s="751">
        <v>50113001</v>
      </c>
      <c r="F19" s="750" t="s">
        <v>602</v>
      </c>
      <c r="G19" s="749" t="s">
        <v>603</v>
      </c>
      <c r="H19" s="749">
        <v>394627</v>
      </c>
      <c r="I19" s="749">
        <v>0</v>
      </c>
      <c r="J19" s="749" t="s">
        <v>629</v>
      </c>
      <c r="K19" s="749" t="s">
        <v>572</v>
      </c>
      <c r="L19" s="752">
        <v>103.12274985202529</v>
      </c>
      <c r="M19" s="752">
        <v>29</v>
      </c>
      <c r="N19" s="753">
        <v>2990.5597457087333</v>
      </c>
    </row>
    <row r="20" spans="1:14" ht="14.45" customHeight="1" x14ac:dyDescent="0.2">
      <c r="A20" s="747" t="s">
        <v>570</v>
      </c>
      <c r="B20" s="748" t="s">
        <v>571</v>
      </c>
      <c r="C20" s="749" t="s">
        <v>585</v>
      </c>
      <c r="D20" s="750" t="s">
        <v>586</v>
      </c>
      <c r="E20" s="751">
        <v>50113001</v>
      </c>
      <c r="F20" s="750" t="s">
        <v>602</v>
      </c>
      <c r="G20" s="749" t="s">
        <v>603</v>
      </c>
      <c r="H20" s="749">
        <v>921335</v>
      </c>
      <c r="I20" s="749">
        <v>0</v>
      </c>
      <c r="J20" s="749" t="s">
        <v>630</v>
      </c>
      <c r="K20" s="749" t="s">
        <v>572</v>
      </c>
      <c r="L20" s="752">
        <v>54.820035902103335</v>
      </c>
      <c r="M20" s="752">
        <v>250</v>
      </c>
      <c r="N20" s="753">
        <v>13705.008975525834</v>
      </c>
    </row>
    <row r="21" spans="1:14" ht="14.45" customHeight="1" x14ac:dyDescent="0.2">
      <c r="A21" s="747" t="s">
        <v>570</v>
      </c>
      <c r="B21" s="748" t="s">
        <v>571</v>
      </c>
      <c r="C21" s="749" t="s">
        <v>585</v>
      </c>
      <c r="D21" s="750" t="s">
        <v>586</v>
      </c>
      <c r="E21" s="751">
        <v>50113001</v>
      </c>
      <c r="F21" s="750" t="s">
        <v>602</v>
      </c>
      <c r="G21" s="749" t="s">
        <v>603</v>
      </c>
      <c r="H21" s="749">
        <v>930317</v>
      </c>
      <c r="I21" s="749">
        <v>0</v>
      </c>
      <c r="J21" s="749" t="s">
        <v>631</v>
      </c>
      <c r="K21" s="749" t="s">
        <v>632</v>
      </c>
      <c r="L21" s="752">
        <v>612.93999999999994</v>
      </c>
      <c r="M21" s="752">
        <v>1</v>
      </c>
      <c r="N21" s="753">
        <v>612.93999999999994</v>
      </c>
    </row>
    <row r="22" spans="1:14" ht="14.45" customHeight="1" x14ac:dyDescent="0.2">
      <c r="A22" s="747" t="s">
        <v>570</v>
      </c>
      <c r="B22" s="748" t="s">
        <v>571</v>
      </c>
      <c r="C22" s="749" t="s">
        <v>585</v>
      </c>
      <c r="D22" s="750" t="s">
        <v>586</v>
      </c>
      <c r="E22" s="751">
        <v>50113001</v>
      </c>
      <c r="F22" s="750" t="s">
        <v>602</v>
      </c>
      <c r="G22" s="749" t="s">
        <v>603</v>
      </c>
      <c r="H22" s="749">
        <v>920352</v>
      </c>
      <c r="I22" s="749">
        <v>0</v>
      </c>
      <c r="J22" s="749" t="s">
        <v>633</v>
      </c>
      <c r="K22" s="749" t="s">
        <v>572</v>
      </c>
      <c r="L22" s="752">
        <v>99.594445975140474</v>
      </c>
      <c r="M22" s="752">
        <v>180</v>
      </c>
      <c r="N22" s="753">
        <v>17927.000275525286</v>
      </c>
    </row>
    <row r="23" spans="1:14" ht="14.45" customHeight="1" x14ac:dyDescent="0.2">
      <c r="A23" s="747" t="s">
        <v>570</v>
      </c>
      <c r="B23" s="748" t="s">
        <v>571</v>
      </c>
      <c r="C23" s="749" t="s">
        <v>585</v>
      </c>
      <c r="D23" s="750" t="s">
        <v>586</v>
      </c>
      <c r="E23" s="751">
        <v>50113001</v>
      </c>
      <c r="F23" s="750" t="s">
        <v>602</v>
      </c>
      <c r="G23" s="749" t="s">
        <v>603</v>
      </c>
      <c r="H23" s="749">
        <v>921017</v>
      </c>
      <c r="I23" s="749">
        <v>0</v>
      </c>
      <c r="J23" s="749" t="s">
        <v>634</v>
      </c>
      <c r="K23" s="749" t="s">
        <v>572</v>
      </c>
      <c r="L23" s="752">
        <v>42.609827914260457</v>
      </c>
      <c r="M23" s="752">
        <v>3</v>
      </c>
      <c r="N23" s="753">
        <v>127.82948374278138</v>
      </c>
    </row>
    <row r="24" spans="1:14" ht="14.45" customHeight="1" x14ac:dyDescent="0.2">
      <c r="A24" s="747" t="s">
        <v>570</v>
      </c>
      <c r="B24" s="748" t="s">
        <v>571</v>
      </c>
      <c r="C24" s="749" t="s">
        <v>585</v>
      </c>
      <c r="D24" s="750" t="s">
        <v>586</v>
      </c>
      <c r="E24" s="751">
        <v>50113001</v>
      </c>
      <c r="F24" s="750" t="s">
        <v>602</v>
      </c>
      <c r="G24" s="749" t="s">
        <v>603</v>
      </c>
      <c r="H24" s="749">
        <v>930676</v>
      </c>
      <c r="I24" s="749">
        <v>0</v>
      </c>
      <c r="J24" s="749" t="s">
        <v>635</v>
      </c>
      <c r="K24" s="749" t="s">
        <v>572</v>
      </c>
      <c r="L24" s="752">
        <v>71.379824883465844</v>
      </c>
      <c r="M24" s="752">
        <v>271</v>
      </c>
      <c r="N24" s="753">
        <v>19343.932543419243</v>
      </c>
    </row>
    <row r="25" spans="1:14" ht="14.45" customHeight="1" x14ac:dyDescent="0.2">
      <c r="A25" s="747" t="s">
        <v>570</v>
      </c>
      <c r="B25" s="748" t="s">
        <v>571</v>
      </c>
      <c r="C25" s="749" t="s">
        <v>585</v>
      </c>
      <c r="D25" s="750" t="s">
        <v>586</v>
      </c>
      <c r="E25" s="751">
        <v>50113001</v>
      </c>
      <c r="F25" s="750" t="s">
        <v>602</v>
      </c>
      <c r="G25" s="749" t="s">
        <v>603</v>
      </c>
      <c r="H25" s="749">
        <v>900071</v>
      </c>
      <c r="I25" s="749">
        <v>0</v>
      </c>
      <c r="J25" s="749" t="s">
        <v>636</v>
      </c>
      <c r="K25" s="749" t="s">
        <v>572</v>
      </c>
      <c r="L25" s="752">
        <v>158.10432113860224</v>
      </c>
      <c r="M25" s="752">
        <v>7</v>
      </c>
      <c r="N25" s="753">
        <v>1106.7302479702157</v>
      </c>
    </row>
    <row r="26" spans="1:14" ht="14.45" customHeight="1" x14ac:dyDescent="0.2">
      <c r="A26" s="747" t="s">
        <v>570</v>
      </c>
      <c r="B26" s="748" t="s">
        <v>571</v>
      </c>
      <c r="C26" s="749" t="s">
        <v>585</v>
      </c>
      <c r="D26" s="750" t="s">
        <v>586</v>
      </c>
      <c r="E26" s="751">
        <v>50113001</v>
      </c>
      <c r="F26" s="750" t="s">
        <v>602</v>
      </c>
      <c r="G26" s="749" t="s">
        <v>603</v>
      </c>
      <c r="H26" s="749">
        <v>921412</v>
      </c>
      <c r="I26" s="749">
        <v>0</v>
      </c>
      <c r="J26" s="749" t="s">
        <v>637</v>
      </c>
      <c r="K26" s="749" t="s">
        <v>572</v>
      </c>
      <c r="L26" s="752">
        <v>57.895308189579836</v>
      </c>
      <c r="M26" s="752">
        <v>1598</v>
      </c>
      <c r="N26" s="753">
        <v>92516.702486948576</v>
      </c>
    </row>
    <row r="27" spans="1:14" ht="14.45" customHeight="1" x14ac:dyDescent="0.2">
      <c r="A27" s="747" t="s">
        <v>570</v>
      </c>
      <c r="B27" s="748" t="s">
        <v>571</v>
      </c>
      <c r="C27" s="749" t="s">
        <v>585</v>
      </c>
      <c r="D27" s="750" t="s">
        <v>586</v>
      </c>
      <c r="E27" s="751">
        <v>50113001</v>
      </c>
      <c r="F27" s="750" t="s">
        <v>602</v>
      </c>
      <c r="G27" s="749" t="s">
        <v>603</v>
      </c>
      <c r="H27" s="749">
        <v>840220</v>
      </c>
      <c r="I27" s="749">
        <v>0</v>
      </c>
      <c r="J27" s="749" t="s">
        <v>638</v>
      </c>
      <c r="K27" s="749" t="s">
        <v>572</v>
      </c>
      <c r="L27" s="752">
        <v>214.18500000000006</v>
      </c>
      <c r="M27" s="752">
        <v>2</v>
      </c>
      <c r="N27" s="753">
        <v>428.37000000000012</v>
      </c>
    </row>
    <row r="28" spans="1:14" ht="14.45" customHeight="1" x14ac:dyDescent="0.2">
      <c r="A28" s="747" t="s">
        <v>570</v>
      </c>
      <c r="B28" s="748" t="s">
        <v>571</v>
      </c>
      <c r="C28" s="749" t="s">
        <v>585</v>
      </c>
      <c r="D28" s="750" t="s">
        <v>586</v>
      </c>
      <c r="E28" s="751">
        <v>50113001</v>
      </c>
      <c r="F28" s="750" t="s">
        <v>602</v>
      </c>
      <c r="G28" s="749" t="s">
        <v>603</v>
      </c>
      <c r="H28" s="749">
        <v>189997</v>
      </c>
      <c r="I28" s="749">
        <v>89997</v>
      </c>
      <c r="J28" s="749" t="s">
        <v>639</v>
      </c>
      <c r="K28" s="749" t="s">
        <v>640</v>
      </c>
      <c r="L28" s="752">
        <v>178.37659574468083</v>
      </c>
      <c r="M28" s="752">
        <v>47</v>
      </c>
      <c r="N28" s="753">
        <v>8383.6999999999989</v>
      </c>
    </row>
    <row r="29" spans="1:14" ht="14.45" customHeight="1" x14ac:dyDescent="0.2">
      <c r="A29" s="747" t="s">
        <v>570</v>
      </c>
      <c r="B29" s="748" t="s">
        <v>571</v>
      </c>
      <c r="C29" s="749" t="s">
        <v>585</v>
      </c>
      <c r="D29" s="750" t="s">
        <v>586</v>
      </c>
      <c r="E29" s="751">
        <v>50113001</v>
      </c>
      <c r="F29" s="750" t="s">
        <v>602</v>
      </c>
      <c r="G29" s="749" t="s">
        <v>603</v>
      </c>
      <c r="H29" s="749">
        <v>102684</v>
      </c>
      <c r="I29" s="749">
        <v>2684</v>
      </c>
      <c r="J29" s="749" t="s">
        <v>641</v>
      </c>
      <c r="K29" s="749" t="s">
        <v>642</v>
      </c>
      <c r="L29" s="752">
        <v>109.66000000000001</v>
      </c>
      <c r="M29" s="752">
        <v>1</v>
      </c>
      <c r="N29" s="753">
        <v>109.66000000000001</v>
      </c>
    </row>
    <row r="30" spans="1:14" ht="14.45" customHeight="1" x14ac:dyDescent="0.2">
      <c r="A30" s="747" t="s">
        <v>570</v>
      </c>
      <c r="B30" s="748" t="s">
        <v>571</v>
      </c>
      <c r="C30" s="749" t="s">
        <v>585</v>
      </c>
      <c r="D30" s="750" t="s">
        <v>586</v>
      </c>
      <c r="E30" s="751">
        <v>50113001</v>
      </c>
      <c r="F30" s="750" t="s">
        <v>602</v>
      </c>
      <c r="G30" s="749" t="s">
        <v>603</v>
      </c>
      <c r="H30" s="749">
        <v>848241</v>
      </c>
      <c r="I30" s="749">
        <v>107854</v>
      </c>
      <c r="J30" s="749" t="s">
        <v>643</v>
      </c>
      <c r="K30" s="749" t="s">
        <v>644</v>
      </c>
      <c r="L30" s="752">
        <v>1878.18</v>
      </c>
      <c r="M30" s="752">
        <v>2</v>
      </c>
      <c r="N30" s="753">
        <v>3756.36</v>
      </c>
    </row>
    <row r="31" spans="1:14" ht="14.45" customHeight="1" x14ac:dyDescent="0.2">
      <c r="A31" s="747" t="s">
        <v>570</v>
      </c>
      <c r="B31" s="748" t="s">
        <v>571</v>
      </c>
      <c r="C31" s="749" t="s">
        <v>585</v>
      </c>
      <c r="D31" s="750" t="s">
        <v>586</v>
      </c>
      <c r="E31" s="751">
        <v>50113001</v>
      </c>
      <c r="F31" s="750" t="s">
        <v>602</v>
      </c>
      <c r="G31" s="749" t="s">
        <v>603</v>
      </c>
      <c r="H31" s="749">
        <v>200863</v>
      </c>
      <c r="I31" s="749">
        <v>200863</v>
      </c>
      <c r="J31" s="749" t="s">
        <v>645</v>
      </c>
      <c r="K31" s="749" t="s">
        <v>646</v>
      </c>
      <c r="L31" s="752">
        <v>85.382051282051279</v>
      </c>
      <c r="M31" s="752">
        <v>195</v>
      </c>
      <c r="N31" s="753">
        <v>16649.5</v>
      </c>
    </row>
    <row r="32" spans="1:14" ht="14.45" customHeight="1" x14ac:dyDescent="0.2">
      <c r="A32" s="747" t="s">
        <v>570</v>
      </c>
      <c r="B32" s="748" t="s">
        <v>571</v>
      </c>
      <c r="C32" s="749" t="s">
        <v>585</v>
      </c>
      <c r="D32" s="750" t="s">
        <v>586</v>
      </c>
      <c r="E32" s="751">
        <v>50113001</v>
      </c>
      <c r="F32" s="750" t="s">
        <v>602</v>
      </c>
      <c r="G32" s="749" t="s">
        <v>603</v>
      </c>
      <c r="H32" s="749">
        <v>122629</v>
      </c>
      <c r="I32" s="749">
        <v>122629</v>
      </c>
      <c r="J32" s="749" t="s">
        <v>647</v>
      </c>
      <c r="K32" s="749" t="s">
        <v>648</v>
      </c>
      <c r="L32" s="752">
        <v>66.933684210526323</v>
      </c>
      <c r="M32" s="752">
        <v>19</v>
      </c>
      <c r="N32" s="753">
        <v>1271.7400000000002</v>
      </c>
    </row>
    <row r="33" spans="1:14" ht="14.45" customHeight="1" x14ac:dyDescent="0.2">
      <c r="A33" s="747" t="s">
        <v>570</v>
      </c>
      <c r="B33" s="748" t="s">
        <v>571</v>
      </c>
      <c r="C33" s="749" t="s">
        <v>585</v>
      </c>
      <c r="D33" s="750" t="s">
        <v>586</v>
      </c>
      <c r="E33" s="751">
        <v>50113001</v>
      </c>
      <c r="F33" s="750" t="s">
        <v>602</v>
      </c>
      <c r="G33" s="749" t="s">
        <v>603</v>
      </c>
      <c r="H33" s="749">
        <v>184325</v>
      </c>
      <c r="I33" s="749">
        <v>84325</v>
      </c>
      <c r="J33" s="749" t="s">
        <v>649</v>
      </c>
      <c r="K33" s="749" t="s">
        <v>650</v>
      </c>
      <c r="L33" s="752">
        <v>76.75</v>
      </c>
      <c r="M33" s="752">
        <v>1</v>
      </c>
      <c r="N33" s="753">
        <v>76.75</v>
      </c>
    </row>
    <row r="34" spans="1:14" ht="14.45" customHeight="1" x14ac:dyDescent="0.2">
      <c r="A34" s="747" t="s">
        <v>570</v>
      </c>
      <c r="B34" s="748" t="s">
        <v>571</v>
      </c>
      <c r="C34" s="749" t="s">
        <v>585</v>
      </c>
      <c r="D34" s="750" t="s">
        <v>586</v>
      </c>
      <c r="E34" s="751">
        <v>50113001</v>
      </c>
      <c r="F34" s="750" t="s">
        <v>602</v>
      </c>
      <c r="G34" s="749" t="s">
        <v>603</v>
      </c>
      <c r="H34" s="749">
        <v>112023</v>
      </c>
      <c r="I34" s="749">
        <v>12023</v>
      </c>
      <c r="J34" s="749" t="s">
        <v>651</v>
      </c>
      <c r="K34" s="749" t="s">
        <v>652</v>
      </c>
      <c r="L34" s="752">
        <v>72.33</v>
      </c>
      <c r="M34" s="752">
        <v>2</v>
      </c>
      <c r="N34" s="753">
        <v>144.66</v>
      </c>
    </row>
    <row r="35" spans="1:14" ht="14.45" customHeight="1" x14ac:dyDescent="0.2">
      <c r="A35" s="747" t="s">
        <v>570</v>
      </c>
      <c r="B35" s="748" t="s">
        <v>571</v>
      </c>
      <c r="C35" s="749" t="s">
        <v>585</v>
      </c>
      <c r="D35" s="750" t="s">
        <v>586</v>
      </c>
      <c r="E35" s="751">
        <v>50113006</v>
      </c>
      <c r="F35" s="750" t="s">
        <v>653</v>
      </c>
      <c r="G35" s="749" t="s">
        <v>603</v>
      </c>
      <c r="H35" s="749">
        <v>990209</v>
      </c>
      <c r="I35" s="749">
        <v>0</v>
      </c>
      <c r="J35" s="749" t="s">
        <v>654</v>
      </c>
      <c r="K35" s="749" t="s">
        <v>572</v>
      </c>
      <c r="L35" s="752">
        <v>699.43999999999994</v>
      </c>
      <c r="M35" s="752">
        <v>1</v>
      </c>
      <c r="N35" s="753">
        <v>699.43999999999994</v>
      </c>
    </row>
    <row r="36" spans="1:14" ht="14.45" customHeight="1" x14ac:dyDescent="0.2">
      <c r="A36" s="747" t="s">
        <v>570</v>
      </c>
      <c r="B36" s="748" t="s">
        <v>571</v>
      </c>
      <c r="C36" s="749" t="s">
        <v>585</v>
      </c>
      <c r="D36" s="750" t="s">
        <v>586</v>
      </c>
      <c r="E36" s="751">
        <v>50113006</v>
      </c>
      <c r="F36" s="750" t="s">
        <v>653</v>
      </c>
      <c r="G36" s="749" t="s">
        <v>603</v>
      </c>
      <c r="H36" s="749">
        <v>992994</v>
      </c>
      <c r="I36" s="749">
        <v>0</v>
      </c>
      <c r="J36" s="749" t="s">
        <v>655</v>
      </c>
      <c r="K36" s="749" t="s">
        <v>572</v>
      </c>
      <c r="L36" s="752">
        <v>412.23999999999995</v>
      </c>
      <c r="M36" s="752">
        <v>1</v>
      </c>
      <c r="N36" s="753">
        <v>412.23999999999995</v>
      </c>
    </row>
    <row r="37" spans="1:14" ht="14.45" customHeight="1" x14ac:dyDescent="0.2">
      <c r="A37" s="747" t="s">
        <v>570</v>
      </c>
      <c r="B37" s="748" t="s">
        <v>571</v>
      </c>
      <c r="C37" s="749" t="s">
        <v>585</v>
      </c>
      <c r="D37" s="750" t="s">
        <v>586</v>
      </c>
      <c r="E37" s="751">
        <v>50113013</v>
      </c>
      <c r="F37" s="750" t="s">
        <v>656</v>
      </c>
      <c r="G37" s="749" t="s">
        <v>603</v>
      </c>
      <c r="H37" s="749">
        <v>201958</v>
      </c>
      <c r="I37" s="749">
        <v>201958</v>
      </c>
      <c r="J37" s="749" t="s">
        <v>657</v>
      </c>
      <c r="K37" s="749" t="s">
        <v>658</v>
      </c>
      <c r="L37" s="752">
        <v>239.71100000000007</v>
      </c>
      <c r="M37" s="752">
        <v>10</v>
      </c>
      <c r="N37" s="753">
        <v>2397.1100000000006</v>
      </c>
    </row>
    <row r="38" spans="1:14" ht="14.45" customHeight="1" x14ac:dyDescent="0.2">
      <c r="A38" s="747" t="s">
        <v>570</v>
      </c>
      <c r="B38" s="748" t="s">
        <v>571</v>
      </c>
      <c r="C38" s="749" t="s">
        <v>585</v>
      </c>
      <c r="D38" s="750" t="s">
        <v>586</v>
      </c>
      <c r="E38" s="751">
        <v>50113013</v>
      </c>
      <c r="F38" s="750" t="s">
        <v>656</v>
      </c>
      <c r="G38" s="749" t="s">
        <v>603</v>
      </c>
      <c r="H38" s="749">
        <v>201961</v>
      </c>
      <c r="I38" s="749">
        <v>201961</v>
      </c>
      <c r="J38" s="749" t="s">
        <v>659</v>
      </c>
      <c r="K38" s="749" t="s">
        <v>660</v>
      </c>
      <c r="L38" s="752">
        <v>319.92000000000007</v>
      </c>
      <c r="M38" s="752">
        <v>9</v>
      </c>
      <c r="N38" s="753">
        <v>2879.2800000000007</v>
      </c>
    </row>
    <row r="39" spans="1:14" ht="14.45" customHeight="1" x14ac:dyDescent="0.2">
      <c r="A39" s="747" t="s">
        <v>570</v>
      </c>
      <c r="B39" s="748" t="s">
        <v>571</v>
      </c>
      <c r="C39" s="749" t="s">
        <v>585</v>
      </c>
      <c r="D39" s="750" t="s">
        <v>586</v>
      </c>
      <c r="E39" s="751">
        <v>50113013</v>
      </c>
      <c r="F39" s="750" t="s">
        <v>656</v>
      </c>
      <c r="G39" s="749" t="s">
        <v>603</v>
      </c>
      <c r="H39" s="749">
        <v>101066</v>
      </c>
      <c r="I39" s="749">
        <v>1066</v>
      </c>
      <c r="J39" s="749" t="s">
        <v>661</v>
      </c>
      <c r="K39" s="749" t="s">
        <v>662</v>
      </c>
      <c r="L39" s="752">
        <v>57.345333333333336</v>
      </c>
      <c r="M39" s="752">
        <v>15</v>
      </c>
      <c r="N39" s="753">
        <v>860.18000000000006</v>
      </c>
    </row>
    <row r="40" spans="1:14" ht="14.45" customHeight="1" x14ac:dyDescent="0.2">
      <c r="A40" s="747" t="s">
        <v>570</v>
      </c>
      <c r="B40" s="748" t="s">
        <v>571</v>
      </c>
      <c r="C40" s="749" t="s">
        <v>585</v>
      </c>
      <c r="D40" s="750" t="s">
        <v>586</v>
      </c>
      <c r="E40" s="751">
        <v>50113013</v>
      </c>
      <c r="F40" s="750" t="s">
        <v>656</v>
      </c>
      <c r="G40" s="749" t="s">
        <v>603</v>
      </c>
      <c r="H40" s="749">
        <v>96414</v>
      </c>
      <c r="I40" s="749">
        <v>96414</v>
      </c>
      <c r="J40" s="749" t="s">
        <v>663</v>
      </c>
      <c r="K40" s="749" t="s">
        <v>664</v>
      </c>
      <c r="L40" s="752">
        <v>59.042857142857144</v>
      </c>
      <c r="M40" s="752">
        <v>7</v>
      </c>
      <c r="N40" s="753">
        <v>413.3</v>
      </c>
    </row>
    <row r="41" spans="1:14" ht="14.45" customHeight="1" x14ac:dyDescent="0.2">
      <c r="A41" s="747" t="s">
        <v>570</v>
      </c>
      <c r="B41" s="748" t="s">
        <v>571</v>
      </c>
      <c r="C41" s="749" t="s">
        <v>585</v>
      </c>
      <c r="D41" s="750" t="s">
        <v>586</v>
      </c>
      <c r="E41" s="751">
        <v>50113013</v>
      </c>
      <c r="F41" s="750" t="s">
        <v>656</v>
      </c>
      <c r="G41" s="749" t="s">
        <v>603</v>
      </c>
      <c r="H41" s="749">
        <v>101076</v>
      </c>
      <c r="I41" s="749">
        <v>1076</v>
      </c>
      <c r="J41" s="749" t="s">
        <v>665</v>
      </c>
      <c r="K41" s="749" t="s">
        <v>666</v>
      </c>
      <c r="L41" s="752">
        <v>78.329999999999984</v>
      </c>
      <c r="M41" s="752">
        <v>3</v>
      </c>
      <c r="N41" s="753">
        <v>234.98999999999995</v>
      </c>
    </row>
    <row r="42" spans="1:14" ht="14.45" customHeight="1" x14ac:dyDescent="0.2">
      <c r="A42" s="747" t="s">
        <v>570</v>
      </c>
      <c r="B42" s="748" t="s">
        <v>571</v>
      </c>
      <c r="C42" s="749" t="s">
        <v>585</v>
      </c>
      <c r="D42" s="750" t="s">
        <v>586</v>
      </c>
      <c r="E42" s="751">
        <v>50113013</v>
      </c>
      <c r="F42" s="750" t="s">
        <v>656</v>
      </c>
      <c r="G42" s="749" t="s">
        <v>603</v>
      </c>
      <c r="H42" s="749">
        <v>166366</v>
      </c>
      <c r="I42" s="749">
        <v>66366</v>
      </c>
      <c r="J42" s="749" t="s">
        <v>667</v>
      </c>
      <c r="K42" s="749" t="s">
        <v>668</v>
      </c>
      <c r="L42" s="752">
        <v>23.346666666666668</v>
      </c>
      <c r="M42" s="752">
        <v>6</v>
      </c>
      <c r="N42" s="753">
        <v>140.08000000000001</v>
      </c>
    </row>
    <row r="43" spans="1:14" ht="14.45" customHeight="1" x14ac:dyDescent="0.2">
      <c r="A43" s="747" t="s">
        <v>570</v>
      </c>
      <c r="B43" s="748" t="s">
        <v>571</v>
      </c>
      <c r="C43" s="749" t="s">
        <v>585</v>
      </c>
      <c r="D43" s="750" t="s">
        <v>586</v>
      </c>
      <c r="E43" s="751">
        <v>50113013</v>
      </c>
      <c r="F43" s="750" t="s">
        <v>656</v>
      </c>
      <c r="G43" s="749" t="s">
        <v>603</v>
      </c>
      <c r="H43" s="749">
        <v>201970</v>
      </c>
      <c r="I43" s="749">
        <v>201970</v>
      </c>
      <c r="J43" s="749" t="s">
        <v>669</v>
      </c>
      <c r="K43" s="749" t="s">
        <v>670</v>
      </c>
      <c r="L43" s="752">
        <v>72.14</v>
      </c>
      <c r="M43" s="752">
        <v>6</v>
      </c>
      <c r="N43" s="753">
        <v>432.84000000000003</v>
      </c>
    </row>
    <row r="44" spans="1:14" ht="14.45" customHeight="1" x14ac:dyDescent="0.2">
      <c r="A44" s="747" t="s">
        <v>570</v>
      </c>
      <c r="B44" s="748" t="s">
        <v>571</v>
      </c>
      <c r="C44" s="749" t="s">
        <v>585</v>
      </c>
      <c r="D44" s="750" t="s">
        <v>586</v>
      </c>
      <c r="E44" s="751">
        <v>50113013</v>
      </c>
      <c r="F44" s="750" t="s">
        <v>656</v>
      </c>
      <c r="G44" s="749" t="s">
        <v>603</v>
      </c>
      <c r="H44" s="749">
        <v>225175</v>
      </c>
      <c r="I44" s="749">
        <v>225175</v>
      </c>
      <c r="J44" s="749" t="s">
        <v>671</v>
      </c>
      <c r="K44" s="749" t="s">
        <v>672</v>
      </c>
      <c r="L44" s="752">
        <v>45.609999999999992</v>
      </c>
      <c r="M44" s="752">
        <v>46</v>
      </c>
      <c r="N44" s="753">
        <v>2098.0599999999995</v>
      </c>
    </row>
    <row r="45" spans="1:14" ht="14.45" customHeight="1" x14ac:dyDescent="0.2">
      <c r="A45" s="747" t="s">
        <v>570</v>
      </c>
      <c r="B45" s="748" t="s">
        <v>571</v>
      </c>
      <c r="C45" s="749" t="s">
        <v>585</v>
      </c>
      <c r="D45" s="750" t="s">
        <v>586</v>
      </c>
      <c r="E45" s="751">
        <v>50113014</v>
      </c>
      <c r="F45" s="750" t="s">
        <v>673</v>
      </c>
      <c r="G45" s="749" t="s">
        <v>603</v>
      </c>
      <c r="H45" s="749">
        <v>113798</v>
      </c>
      <c r="I45" s="749">
        <v>13798</v>
      </c>
      <c r="J45" s="749" t="s">
        <v>674</v>
      </c>
      <c r="K45" s="749" t="s">
        <v>675</v>
      </c>
      <c r="L45" s="752">
        <v>111.31666666666671</v>
      </c>
      <c r="M45" s="752">
        <v>6</v>
      </c>
      <c r="N45" s="753">
        <v>667.9000000000002</v>
      </c>
    </row>
    <row r="46" spans="1:14" ht="14.45" customHeight="1" x14ac:dyDescent="0.2">
      <c r="A46" s="747" t="s">
        <v>570</v>
      </c>
      <c r="B46" s="748" t="s">
        <v>571</v>
      </c>
      <c r="C46" s="749" t="s">
        <v>590</v>
      </c>
      <c r="D46" s="750" t="s">
        <v>591</v>
      </c>
      <c r="E46" s="751">
        <v>50113013</v>
      </c>
      <c r="F46" s="750" t="s">
        <v>656</v>
      </c>
      <c r="G46" s="749" t="s">
        <v>676</v>
      </c>
      <c r="H46" s="749">
        <v>164835</v>
      </c>
      <c r="I46" s="749">
        <v>64835</v>
      </c>
      <c r="J46" s="749" t="s">
        <v>677</v>
      </c>
      <c r="K46" s="749" t="s">
        <v>678</v>
      </c>
      <c r="L46" s="752">
        <v>143.66</v>
      </c>
      <c r="M46" s="752">
        <v>1</v>
      </c>
      <c r="N46" s="753">
        <v>143.66</v>
      </c>
    </row>
    <row r="47" spans="1:14" ht="14.45" customHeight="1" x14ac:dyDescent="0.2">
      <c r="A47" s="747" t="s">
        <v>570</v>
      </c>
      <c r="B47" s="748" t="s">
        <v>571</v>
      </c>
      <c r="C47" s="749" t="s">
        <v>590</v>
      </c>
      <c r="D47" s="750" t="s">
        <v>591</v>
      </c>
      <c r="E47" s="751">
        <v>50113013</v>
      </c>
      <c r="F47" s="750" t="s">
        <v>656</v>
      </c>
      <c r="G47" s="749" t="s">
        <v>572</v>
      </c>
      <c r="H47" s="749">
        <v>156835</v>
      </c>
      <c r="I47" s="749">
        <v>156835</v>
      </c>
      <c r="J47" s="749" t="s">
        <v>679</v>
      </c>
      <c r="K47" s="749" t="s">
        <v>680</v>
      </c>
      <c r="L47" s="752">
        <v>1116.4999999999998</v>
      </c>
      <c r="M47" s="752">
        <v>1</v>
      </c>
      <c r="N47" s="753">
        <v>1116.4999999999998</v>
      </c>
    </row>
    <row r="48" spans="1:14" ht="14.45" customHeight="1" x14ac:dyDescent="0.2">
      <c r="A48" s="747" t="s">
        <v>570</v>
      </c>
      <c r="B48" s="748" t="s">
        <v>571</v>
      </c>
      <c r="C48" s="749" t="s">
        <v>596</v>
      </c>
      <c r="D48" s="750" t="s">
        <v>597</v>
      </c>
      <c r="E48" s="751">
        <v>50113001</v>
      </c>
      <c r="F48" s="750" t="s">
        <v>602</v>
      </c>
      <c r="G48" s="749" t="s">
        <v>603</v>
      </c>
      <c r="H48" s="749">
        <v>100362</v>
      </c>
      <c r="I48" s="749">
        <v>362</v>
      </c>
      <c r="J48" s="749" t="s">
        <v>604</v>
      </c>
      <c r="K48" s="749" t="s">
        <v>605</v>
      </c>
      <c r="L48" s="752">
        <v>72.731176470588224</v>
      </c>
      <c r="M48" s="752">
        <v>17</v>
      </c>
      <c r="N48" s="753">
        <v>1236.4299999999998</v>
      </c>
    </row>
    <row r="49" spans="1:14" ht="14.45" customHeight="1" x14ac:dyDescent="0.2">
      <c r="A49" s="747" t="s">
        <v>570</v>
      </c>
      <c r="B49" s="748" t="s">
        <v>571</v>
      </c>
      <c r="C49" s="749" t="s">
        <v>596</v>
      </c>
      <c r="D49" s="750" t="s">
        <v>597</v>
      </c>
      <c r="E49" s="751">
        <v>50113001</v>
      </c>
      <c r="F49" s="750" t="s">
        <v>602</v>
      </c>
      <c r="G49" s="749" t="s">
        <v>603</v>
      </c>
      <c r="H49" s="749">
        <v>199138</v>
      </c>
      <c r="I49" s="749">
        <v>99138</v>
      </c>
      <c r="J49" s="749" t="s">
        <v>681</v>
      </c>
      <c r="K49" s="749" t="s">
        <v>682</v>
      </c>
      <c r="L49" s="752">
        <v>33.480000000000004</v>
      </c>
      <c r="M49" s="752">
        <v>11</v>
      </c>
      <c r="N49" s="753">
        <v>368.28000000000003</v>
      </c>
    </row>
    <row r="50" spans="1:14" ht="14.45" customHeight="1" x14ac:dyDescent="0.2">
      <c r="A50" s="747" t="s">
        <v>570</v>
      </c>
      <c r="B50" s="748" t="s">
        <v>571</v>
      </c>
      <c r="C50" s="749" t="s">
        <v>596</v>
      </c>
      <c r="D50" s="750" t="s">
        <v>597</v>
      </c>
      <c r="E50" s="751">
        <v>50113001</v>
      </c>
      <c r="F50" s="750" t="s">
        <v>602</v>
      </c>
      <c r="G50" s="749" t="s">
        <v>603</v>
      </c>
      <c r="H50" s="749">
        <v>183513</v>
      </c>
      <c r="I50" s="749">
        <v>183513</v>
      </c>
      <c r="J50" s="749" t="s">
        <v>683</v>
      </c>
      <c r="K50" s="749" t="s">
        <v>684</v>
      </c>
      <c r="L50" s="752">
        <v>1900.71</v>
      </c>
      <c r="M50" s="752">
        <v>1</v>
      </c>
      <c r="N50" s="753">
        <v>1900.71</v>
      </c>
    </row>
    <row r="51" spans="1:14" ht="14.45" customHeight="1" x14ac:dyDescent="0.2">
      <c r="A51" s="747" t="s">
        <v>570</v>
      </c>
      <c r="B51" s="748" t="s">
        <v>571</v>
      </c>
      <c r="C51" s="749" t="s">
        <v>596</v>
      </c>
      <c r="D51" s="750" t="s">
        <v>597</v>
      </c>
      <c r="E51" s="751">
        <v>50113001</v>
      </c>
      <c r="F51" s="750" t="s">
        <v>602</v>
      </c>
      <c r="G51" s="749" t="s">
        <v>603</v>
      </c>
      <c r="H51" s="749">
        <v>991613</v>
      </c>
      <c r="I51" s="749">
        <v>183514</v>
      </c>
      <c r="J51" s="749" t="s">
        <v>683</v>
      </c>
      <c r="K51" s="749" t="s">
        <v>685</v>
      </c>
      <c r="L51" s="752">
        <v>2988.46</v>
      </c>
      <c r="M51" s="752">
        <v>-0.5</v>
      </c>
      <c r="N51" s="753">
        <v>-1494.23</v>
      </c>
    </row>
    <row r="52" spans="1:14" ht="14.45" customHeight="1" x14ac:dyDescent="0.2">
      <c r="A52" s="747" t="s">
        <v>570</v>
      </c>
      <c r="B52" s="748" t="s">
        <v>571</v>
      </c>
      <c r="C52" s="749" t="s">
        <v>596</v>
      </c>
      <c r="D52" s="750" t="s">
        <v>597</v>
      </c>
      <c r="E52" s="751">
        <v>50113001</v>
      </c>
      <c r="F52" s="750" t="s">
        <v>602</v>
      </c>
      <c r="G52" s="749" t="s">
        <v>603</v>
      </c>
      <c r="H52" s="749">
        <v>847713</v>
      </c>
      <c r="I52" s="749">
        <v>125526</v>
      </c>
      <c r="J52" s="749" t="s">
        <v>606</v>
      </c>
      <c r="K52" s="749" t="s">
        <v>607</v>
      </c>
      <c r="L52" s="752">
        <v>111.63</v>
      </c>
      <c r="M52" s="752">
        <v>6</v>
      </c>
      <c r="N52" s="753">
        <v>669.78</v>
      </c>
    </row>
    <row r="53" spans="1:14" ht="14.45" customHeight="1" x14ac:dyDescent="0.2">
      <c r="A53" s="747" t="s">
        <v>570</v>
      </c>
      <c r="B53" s="748" t="s">
        <v>571</v>
      </c>
      <c r="C53" s="749" t="s">
        <v>596</v>
      </c>
      <c r="D53" s="750" t="s">
        <v>597</v>
      </c>
      <c r="E53" s="751">
        <v>50113001</v>
      </c>
      <c r="F53" s="750" t="s">
        <v>602</v>
      </c>
      <c r="G53" s="749" t="s">
        <v>603</v>
      </c>
      <c r="H53" s="749">
        <v>156926</v>
      </c>
      <c r="I53" s="749">
        <v>56926</v>
      </c>
      <c r="J53" s="749" t="s">
        <v>609</v>
      </c>
      <c r="K53" s="749" t="s">
        <v>610</v>
      </c>
      <c r="L53" s="752">
        <v>48.400001204287513</v>
      </c>
      <c r="M53" s="752">
        <v>147</v>
      </c>
      <c r="N53" s="753">
        <v>7114.8001770302644</v>
      </c>
    </row>
    <row r="54" spans="1:14" ht="14.45" customHeight="1" x14ac:dyDescent="0.2">
      <c r="A54" s="747" t="s">
        <v>570</v>
      </c>
      <c r="B54" s="748" t="s">
        <v>571</v>
      </c>
      <c r="C54" s="749" t="s">
        <v>596</v>
      </c>
      <c r="D54" s="750" t="s">
        <v>597</v>
      </c>
      <c r="E54" s="751">
        <v>50113001</v>
      </c>
      <c r="F54" s="750" t="s">
        <v>602</v>
      </c>
      <c r="G54" s="749" t="s">
        <v>603</v>
      </c>
      <c r="H54" s="749">
        <v>110555</v>
      </c>
      <c r="I54" s="749">
        <v>10555</v>
      </c>
      <c r="J54" s="749" t="s">
        <v>609</v>
      </c>
      <c r="K54" s="749" t="s">
        <v>686</v>
      </c>
      <c r="L54" s="752">
        <v>254.98</v>
      </c>
      <c r="M54" s="752">
        <v>3</v>
      </c>
      <c r="N54" s="753">
        <v>764.93999999999994</v>
      </c>
    </row>
    <row r="55" spans="1:14" ht="14.45" customHeight="1" x14ac:dyDescent="0.2">
      <c r="A55" s="747" t="s">
        <v>570</v>
      </c>
      <c r="B55" s="748" t="s">
        <v>571</v>
      </c>
      <c r="C55" s="749" t="s">
        <v>596</v>
      </c>
      <c r="D55" s="750" t="s">
        <v>597</v>
      </c>
      <c r="E55" s="751">
        <v>50113001</v>
      </c>
      <c r="F55" s="750" t="s">
        <v>602</v>
      </c>
      <c r="G55" s="749" t="s">
        <v>603</v>
      </c>
      <c r="H55" s="749">
        <v>169724</v>
      </c>
      <c r="I55" s="749">
        <v>69724</v>
      </c>
      <c r="J55" s="749" t="s">
        <v>687</v>
      </c>
      <c r="K55" s="749" t="s">
        <v>688</v>
      </c>
      <c r="L55" s="752">
        <v>20.977</v>
      </c>
      <c r="M55" s="752">
        <v>32</v>
      </c>
      <c r="N55" s="753">
        <v>671.26400000000001</v>
      </c>
    </row>
    <row r="56" spans="1:14" ht="14.45" customHeight="1" x14ac:dyDescent="0.2">
      <c r="A56" s="747" t="s">
        <v>570</v>
      </c>
      <c r="B56" s="748" t="s">
        <v>571</v>
      </c>
      <c r="C56" s="749" t="s">
        <v>596</v>
      </c>
      <c r="D56" s="750" t="s">
        <v>597</v>
      </c>
      <c r="E56" s="751">
        <v>50113001</v>
      </c>
      <c r="F56" s="750" t="s">
        <v>602</v>
      </c>
      <c r="G56" s="749" t="s">
        <v>603</v>
      </c>
      <c r="H56" s="749">
        <v>172490</v>
      </c>
      <c r="I56" s="749">
        <v>172490</v>
      </c>
      <c r="J56" s="749" t="s">
        <v>689</v>
      </c>
      <c r="K56" s="749" t="s">
        <v>690</v>
      </c>
      <c r="L56" s="752">
        <v>361.24</v>
      </c>
      <c r="M56" s="752">
        <v>4.5</v>
      </c>
      <c r="N56" s="753">
        <v>1625.58</v>
      </c>
    </row>
    <row r="57" spans="1:14" ht="14.45" customHeight="1" x14ac:dyDescent="0.2">
      <c r="A57" s="747" t="s">
        <v>570</v>
      </c>
      <c r="B57" s="748" t="s">
        <v>571</v>
      </c>
      <c r="C57" s="749" t="s">
        <v>596</v>
      </c>
      <c r="D57" s="750" t="s">
        <v>597</v>
      </c>
      <c r="E57" s="751">
        <v>50113001</v>
      </c>
      <c r="F57" s="750" t="s">
        <v>602</v>
      </c>
      <c r="G57" s="749" t="s">
        <v>603</v>
      </c>
      <c r="H57" s="749">
        <v>172492</v>
      </c>
      <c r="I57" s="749">
        <v>172492</v>
      </c>
      <c r="J57" s="749" t="s">
        <v>689</v>
      </c>
      <c r="K57" s="749" t="s">
        <v>691</v>
      </c>
      <c r="L57" s="752">
        <v>203.94000148946276</v>
      </c>
      <c r="M57" s="752">
        <v>4.5</v>
      </c>
      <c r="N57" s="753">
        <v>917.73000670258239</v>
      </c>
    </row>
    <row r="58" spans="1:14" ht="14.45" customHeight="1" x14ac:dyDescent="0.2">
      <c r="A58" s="747" t="s">
        <v>570</v>
      </c>
      <c r="B58" s="748" t="s">
        <v>571</v>
      </c>
      <c r="C58" s="749" t="s">
        <v>596</v>
      </c>
      <c r="D58" s="750" t="s">
        <v>597</v>
      </c>
      <c r="E58" s="751">
        <v>50113001</v>
      </c>
      <c r="F58" s="750" t="s">
        <v>602</v>
      </c>
      <c r="G58" s="749" t="s">
        <v>603</v>
      </c>
      <c r="H58" s="749">
        <v>208451</v>
      </c>
      <c r="I58" s="749">
        <v>208451</v>
      </c>
      <c r="J58" s="749" t="s">
        <v>692</v>
      </c>
      <c r="K58" s="749" t="s">
        <v>693</v>
      </c>
      <c r="L58" s="752">
        <v>631.4</v>
      </c>
      <c r="M58" s="752">
        <v>2.25</v>
      </c>
      <c r="N58" s="753">
        <v>1420.6499999999999</v>
      </c>
    </row>
    <row r="59" spans="1:14" ht="14.45" customHeight="1" x14ac:dyDescent="0.2">
      <c r="A59" s="747" t="s">
        <v>570</v>
      </c>
      <c r="B59" s="748" t="s">
        <v>571</v>
      </c>
      <c r="C59" s="749" t="s">
        <v>596</v>
      </c>
      <c r="D59" s="750" t="s">
        <v>597</v>
      </c>
      <c r="E59" s="751">
        <v>50113001</v>
      </c>
      <c r="F59" s="750" t="s">
        <v>602</v>
      </c>
      <c r="G59" s="749" t="s">
        <v>603</v>
      </c>
      <c r="H59" s="749">
        <v>208452</v>
      </c>
      <c r="I59" s="749">
        <v>208452</v>
      </c>
      <c r="J59" s="749" t="s">
        <v>694</v>
      </c>
      <c r="K59" s="749" t="s">
        <v>695</v>
      </c>
      <c r="L59" s="752">
        <v>362.56</v>
      </c>
      <c r="M59" s="752">
        <v>3.5</v>
      </c>
      <c r="N59" s="753">
        <v>1268.96</v>
      </c>
    </row>
    <row r="60" spans="1:14" ht="14.45" customHeight="1" x14ac:dyDescent="0.2">
      <c r="A60" s="747" t="s">
        <v>570</v>
      </c>
      <c r="B60" s="748" t="s">
        <v>571</v>
      </c>
      <c r="C60" s="749" t="s">
        <v>596</v>
      </c>
      <c r="D60" s="750" t="s">
        <v>597</v>
      </c>
      <c r="E60" s="751">
        <v>50113001</v>
      </c>
      <c r="F60" s="750" t="s">
        <v>602</v>
      </c>
      <c r="G60" s="749" t="s">
        <v>603</v>
      </c>
      <c r="H60" s="749">
        <v>208456</v>
      </c>
      <c r="I60" s="749">
        <v>208456</v>
      </c>
      <c r="J60" s="749" t="s">
        <v>696</v>
      </c>
      <c r="K60" s="749" t="s">
        <v>697</v>
      </c>
      <c r="L60" s="752">
        <v>738.54</v>
      </c>
      <c r="M60" s="752">
        <v>0.8</v>
      </c>
      <c r="N60" s="753">
        <v>590.83199999999999</v>
      </c>
    </row>
    <row r="61" spans="1:14" ht="14.45" customHeight="1" x14ac:dyDescent="0.2">
      <c r="A61" s="747" t="s">
        <v>570</v>
      </c>
      <c r="B61" s="748" t="s">
        <v>571</v>
      </c>
      <c r="C61" s="749" t="s">
        <v>596</v>
      </c>
      <c r="D61" s="750" t="s">
        <v>597</v>
      </c>
      <c r="E61" s="751">
        <v>50113001</v>
      </c>
      <c r="F61" s="750" t="s">
        <v>602</v>
      </c>
      <c r="G61" s="749" t="s">
        <v>603</v>
      </c>
      <c r="H61" s="749">
        <v>187822</v>
      </c>
      <c r="I61" s="749">
        <v>87822</v>
      </c>
      <c r="J61" s="749" t="s">
        <v>698</v>
      </c>
      <c r="K61" s="749" t="s">
        <v>699</v>
      </c>
      <c r="L61" s="752">
        <v>1301.03</v>
      </c>
      <c r="M61" s="752">
        <v>1</v>
      </c>
      <c r="N61" s="753">
        <v>1301.03</v>
      </c>
    </row>
    <row r="62" spans="1:14" ht="14.45" customHeight="1" x14ac:dyDescent="0.2">
      <c r="A62" s="747" t="s">
        <v>570</v>
      </c>
      <c r="B62" s="748" t="s">
        <v>571</v>
      </c>
      <c r="C62" s="749" t="s">
        <v>596</v>
      </c>
      <c r="D62" s="750" t="s">
        <v>597</v>
      </c>
      <c r="E62" s="751">
        <v>50113001</v>
      </c>
      <c r="F62" s="750" t="s">
        <v>602</v>
      </c>
      <c r="G62" s="749" t="s">
        <v>603</v>
      </c>
      <c r="H62" s="749">
        <v>395180</v>
      </c>
      <c r="I62" s="749">
        <v>0</v>
      </c>
      <c r="J62" s="749" t="s">
        <v>700</v>
      </c>
      <c r="K62" s="749" t="s">
        <v>572</v>
      </c>
      <c r="L62" s="752">
        <v>332.83</v>
      </c>
      <c r="M62" s="752">
        <v>1</v>
      </c>
      <c r="N62" s="753">
        <v>332.83</v>
      </c>
    </row>
    <row r="63" spans="1:14" ht="14.45" customHeight="1" x14ac:dyDescent="0.2">
      <c r="A63" s="747" t="s">
        <v>570</v>
      </c>
      <c r="B63" s="748" t="s">
        <v>571</v>
      </c>
      <c r="C63" s="749" t="s">
        <v>596</v>
      </c>
      <c r="D63" s="750" t="s">
        <v>597</v>
      </c>
      <c r="E63" s="751">
        <v>50113001</v>
      </c>
      <c r="F63" s="750" t="s">
        <v>602</v>
      </c>
      <c r="G63" s="749" t="s">
        <v>603</v>
      </c>
      <c r="H63" s="749">
        <v>132992</v>
      </c>
      <c r="I63" s="749">
        <v>32992</v>
      </c>
      <c r="J63" s="749" t="s">
        <v>701</v>
      </c>
      <c r="K63" s="749" t="s">
        <v>702</v>
      </c>
      <c r="L63" s="752">
        <v>108.39</v>
      </c>
      <c r="M63" s="752">
        <v>1</v>
      </c>
      <c r="N63" s="753">
        <v>108.39</v>
      </c>
    </row>
    <row r="64" spans="1:14" ht="14.45" customHeight="1" x14ac:dyDescent="0.2">
      <c r="A64" s="747" t="s">
        <v>570</v>
      </c>
      <c r="B64" s="748" t="s">
        <v>571</v>
      </c>
      <c r="C64" s="749" t="s">
        <v>596</v>
      </c>
      <c r="D64" s="750" t="s">
        <v>597</v>
      </c>
      <c r="E64" s="751">
        <v>50113001</v>
      </c>
      <c r="F64" s="750" t="s">
        <v>602</v>
      </c>
      <c r="G64" s="749" t="s">
        <v>603</v>
      </c>
      <c r="H64" s="749">
        <v>845293</v>
      </c>
      <c r="I64" s="749">
        <v>0</v>
      </c>
      <c r="J64" s="749" t="s">
        <v>703</v>
      </c>
      <c r="K64" s="749" t="s">
        <v>572</v>
      </c>
      <c r="L64" s="752">
        <v>125.71000000000002</v>
      </c>
      <c r="M64" s="752">
        <v>2</v>
      </c>
      <c r="N64" s="753">
        <v>251.42000000000004</v>
      </c>
    </row>
    <row r="65" spans="1:14" ht="14.45" customHeight="1" x14ac:dyDescent="0.2">
      <c r="A65" s="747" t="s">
        <v>570</v>
      </c>
      <c r="B65" s="748" t="s">
        <v>571</v>
      </c>
      <c r="C65" s="749" t="s">
        <v>596</v>
      </c>
      <c r="D65" s="750" t="s">
        <v>597</v>
      </c>
      <c r="E65" s="751">
        <v>50113001</v>
      </c>
      <c r="F65" s="750" t="s">
        <v>602</v>
      </c>
      <c r="G65" s="749" t="s">
        <v>603</v>
      </c>
      <c r="H65" s="749">
        <v>120053</v>
      </c>
      <c r="I65" s="749">
        <v>20053</v>
      </c>
      <c r="J65" s="749" t="s">
        <v>704</v>
      </c>
      <c r="K65" s="749" t="s">
        <v>705</v>
      </c>
      <c r="L65" s="752">
        <v>84.337272727272733</v>
      </c>
      <c r="M65" s="752">
        <v>11</v>
      </c>
      <c r="N65" s="753">
        <v>927.71</v>
      </c>
    </row>
    <row r="66" spans="1:14" ht="14.45" customHeight="1" x14ac:dyDescent="0.2">
      <c r="A66" s="747" t="s">
        <v>570</v>
      </c>
      <c r="B66" s="748" t="s">
        <v>571</v>
      </c>
      <c r="C66" s="749" t="s">
        <v>596</v>
      </c>
      <c r="D66" s="750" t="s">
        <v>597</v>
      </c>
      <c r="E66" s="751">
        <v>50113001</v>
      </c>
      <c r="F66" s="750" t="s">
        <v>602</v>
      </c>
      <c r="G66" s="749" t="s">
        <v>603</v>
      </c>
      <c r="H66" s="749">
        <v>102679</v>
      </c>
      <c r="I66" s="749">
        <v>2679</v>
      </c>
      <c r="J66" s="749" t="s">
        <v>706</v>
      </c>
      <c r="K66" s="749" t="s">
        <v>707</v>
      </c>
      <c r="L66" s="752">
        <v>164.48</v>
      </c>
      <c r="M66" s="752">
        <v>1</v>
      </c>
      <c r="N66" s="753">
        <v>164.48</v>
      </c>
    </row>
    <row r="67" spans="1:14" ht="14.45" customHeight="1" x14ac:dyDescent="0.2">
      <c r="A67" s="747" t="s">
        <v>570</v>
      </c>
      <c r="B67" s="748" t="s">
        <v>571</v>
      </c>
      <c r="C67" s="749" t="s">
        <v>596</v>
      </c>
      <c r="D67" s="750" t="s">
        <v>597</v>
      </c>
      <c r="E67" s="751">
        <v>50113001</v>
      </c>
      <c r="F67" s="750" t="s">
        <v>602</v>
      </c>
      <c r="G67" s="749" t="s">
        <v>603</v>
      </c>
      <c r="H67" s="749">
        <v>162320</v>
      </c>
      <c r="I67" s="749">
        <v>62320</v>
      </c>
      <c r="J67" s="749" t="s">
        <v>708</v>
      </c>
      <c r="K67" s="749" t="s">
        <v>709</v>
      </c>
      <c r="L67" s="752">
        <v>75.89</v>
      </c>
      <c r="M67" s="752">
        <v>3</v>
      </c>
      <c r="N67" s="753">
        <v>227.67000000000002</v>
      </c>
    </row>
    <row r="68" spans="1:14" ht="14.45" customHeight="1" x14ac:dyDescent="0.2">
      <c r="A68" s="747" t="s">
        <v>570</v>
      </c>
      <c r="B68" s="748" t="s">
        <v>571</v>
      </c>
      <c r="C68" s="749" t="s">
        <v>596</v>
      </c>
      <c r="D68" s="750" t="s">
        <v>597</v>
      </c>
      <c r="E68" s="751">
        <v>50113001</v>
      </c>
      <c r="F68" s="750" t="s">
        <v>602</v>
      </c>
      <c r="G68" s="749" t="s">
        <v>603</v>
      </c>
      <c r="H68" s="749">
        <v>149317</v>
      </c>
      <c r="I68" s="749">
        <v>49317</v>
      </c>
      <c r="J68" s="749" t="s">
        <v>710</v>
      </c>
      <c r="K68" s="749" t="s">
        <v>711</v>
      </c>
      <c r="L68" s="752">
        <v>299.00149999999996</v>
      </c>
      <c r="M68" s="752">
        <v>4</v>
      </c>
      <c r="N68" s="753">
        <v>1196.0059999999999</v>
      </c>
    </row>
    <row r="69" spans="1:14" ht="14.45" customHeight="1" x14ac:dyDescent="0.2">
      <c r="A69" s="747" t="s">
        <v>570</v>
      </c>
      <c r="B69" s="748" t="s">
        <v>571</v>
      </c>
      <c r="C69" s="749" t="s">
        <v>596</v>
      </c>
      <c r="D69" s="750" t="s">
        <v>597</v>
      </c>
      <c r="E69" s="751">
        <v>50113001</v>
      </c>
      <c r="F69" s="750" t="s">
        <v>602</v>
      </c>
      <c r="G69" s="749" t="s">
        <v>603</v>
      </c>
      <c r="H69" s="749">
        <v>848783</v>
      </c>
      <c r="I69" s="749">
        <v>115400</v>
      </c>
      <c r="J69" s="749" t="s">
        <v>712</v>
      </c>
      <c r="K69" s="749" t="s">
        <v>713</v>
      </c>
      <c r="L69" s="752">
        <v>309.44008444170345</v>
      </c>
      <c r="M69" s="752">
        <v>8</v>
      </c>
      <c r="N69" s="753">
        <v>2475.5206755336276</v>
      </c>
    </row>
    <row r="70" spans="1:14" ht="14.45" customHeight="1" x14ac:dyDescent="0.2">
      <c r="A70" s="747" t="s">
        <v>570</v>
      </c>
      <c r="B70" s="748" t="s">
        <v>571</v>
      </c>
      <c r="C70" s="749" t="s">
        <v>596</v>
      </c>
      <c r="D70" s="750" t="s">
        <v>597</v>
      </c>
      <c r="E70" s="751">
        <v>50113001</v>
      </c>
      <c r="F70" s="750" t="s">
        <v>602</v>
      </c>
      <c r="G70" s="749" t="s">
        <v>603</v>
      </c>
      <c r="H70" s="749">
        <v>187226</v>
      </c>
      <c r="I70" s="749">
        <v>87226</v>
      </c>
      <c r="J70" s="749" t="s">
        <v>714</v>
      </c>
      <c r="K70" s="749" t="s">
        <v>715</v>
      </c>
      <c r="L70" s="752">
        <v>17248.660555555558</v>
      </c>
      <c r="M70" s="752">
        <v>18</v>
      </c>
      <c r="N70" s="753">
        <v>310475.89</v>
      </c>
    </row>
    <row r="71" spans="1:14" ht="14.45" customHeight="1" x14ac:dyDescent="0.2">
      <c r="A71" s="747" t="s">
        <v>570</v>
      </c>
      <c r="B71" s="748" t="s">
        <v>571</v>
      </c>
      <c r="C71" s="749" t="s">
        <v>596</v>
      </c>
      <c r="D71" s="750" t="s">
        <v>597</v>
      </c>
      <c r="E71" s="751">
        <v>50113001</v>
      </c>
      <c r="F71" s="750" t="s">
        <v>602</v>
      </c>
      <c r="G71" s="749" t="s">
        <v>603</v>
      </c>
      <c r="H71" s="749">
        <v>100843</v>
      </c>
      <c r="I71" s="749">
        <v>843</v>
      </c>
      <c r="J71" s="749" t="s">
        <v>716</v>
      </c>
      <c r="K71" s="749" t="s">
        <v>717</v>
      </c>
      <c r="L71" s="752">
        <v>104.15</v>
      </c>
      <c r="M71" s="752">
        <v>1</v>
      </c>
      <c r="N71" s="753">
        <v>104.15</v>
      </c>
    </row>
    <row r="72" spans="1:14" ht="14.45" customHeight="1" x14ac:dyDescent="0.2">
      <c r="A72" s="747" t="s">
        <v>570</v>
      </c>
      <c r="B72" s="748" t="s">
        <v>571</v>
      </c>
      <c r="C72" s="749" t="s">
        <v>596</v>
      </c>
      <c r="D72" s="750" t="s">
        <v>597</v>
      </c>
      <c r="E72" s="751">
        <v>50113001</v>
      </c>
      <c r="F72" s="750" t="s">
        <v>602</v>
      </c>
      <c r="G72" s="749" t="s">
        <v>603</v>
      </c>
      <c r="H72" s="749">
        <v>184090</v>
      </c>
      <c r="I72" s="749">
        <v>84090</v>
      </c>
      <c r="J72" s="749" t="s">
        <v>718</v>
      </c>
      <c r="K72" s="749" t="s">
        <v>719</v>
      </c>
      <c r="L72" s="752">
        <v>60.14</v>
      </c>
      <c r="M72" s="752">
        <v>1</v>
      </c>
      <c r="N72" s="753">
        <v>60.14</v>
      </c>
    </row>
    <row r="73" spans="1:14" ht="14.45" customHeight="1" x14ac:dyDescent="0.2">
      <c r="A73" s="747" t="s">
        <v>570</v>
      </c>
      <c r="B73" s="748" t="s">
        <v>571</v>
      </c>
      <c r="C73" s="749" t="s">
        <v>596</v>
      </c>
      <c r="D73" s="750" t="s">
        <v>597</v>
      </c>
      <c r="E73" s="751">
        <v>50113001</v>
      </c>
      <c r="F73" s="750" t="s">
        <v>602</v>
      </c>
      <c r="G73" s="749" t="s">
        <v>676</v>
      </c>
      <c r="H73" s="749">
        <v>136755</v>
      </c>
      <c r="I73" s="749">
        <v>136755</v>
      </c>
      <c r="J73" s="749" t="s">
        <v>720</v>
      </c>
      <c r="K73" s="749" t="s">
        <v>721</v>
      </c>
      <c r="L73" s="752">
        <v>8358.2000000000007</v>
      </c>
      <c r="M73" s="752">
        <v>2</v>
      </c>
      <c r="N73" s="753">
        <v>16716.400000000001</v>
      </c>
    </row>
    <row r="74" spans="1:14" ht="14.45" customHeight="1" x14ac:dyDescent="0.2">
      <c r="A74" s="747" t="s">
        <v>570</v>
      </c>
      <c r="B74" s="748" t="s">
        <v>571</v>
      </c>
      <c r="C74" s="749" t="s">
        <v>596</v>
      </c>
      <c r="D74" s="750" t="s">
        <v>597</v>
      </c>
      <c r="E74" s="751">
        <v>50113001</v>
      </c>
      <c r="F74" s="750" t="s">
        <v>602</v>
      </c>
      <c r="G74" s="749" t="s">
        <v>603</v>
      </c>
      <c r="H74" s="749">
        <v>117011</v>
      </c>
      <c r="I74" s="749">
        <v>17011</v>
      </c>
      <c r="J74" s="749" t="s">
        <v>722</v>
      </c>
      <c r="K74" s="749" t="s">
        <v>723</v>
      </c>
      <c r="L74" s="752">
        <v>145.5</v>
      </c>
      <c r="M74" s="752">
        <v>2</v>
      </c>
      <c r="N74" s="753">
        <v>291</v>
      </c>
    </row>
    <row r="75" spans="1:14" ht="14.45" customHeight="1" x14ac:dyDescent="0.2">
      <c r="A75" s="747" t="s">
        <v>570</v>
      </c>
      <c r="B75" s="748" t="s">
        <v>571</v>
      </c>
      <c r="C75" s="749" t="s">
        <v>596</v>
      </c>
      <c r="D75" s="750" t="s">
        <v>597</v>
      </c>
      <c r="E75" s="751">
        <v>50113001</v>
      </c>
      <c r="F75" s="750" t="s">
        <v>602</v>
      </c>
      <c r="G75" s="749" t="s">
        <v>603</v>
      </c>
      <c r="H75" s="749">
        <v>846599</v>
      </c>
      <c r="I75" s="749">
        <v>107754</v>
      </c>
      <c r="J75" s="749" t="s">
        <v>724</v>
      </c>
      <c r="K75" s="749" t="s">
        <v>572</v>
      </c>
      <c r="L75" s="752">
        <v>131.21714285714285</v>
      </c>
      <c r="M75" s="752">
        <v>21</v>
      </c>
      <c r="N75" s="753">
        <v>2755.5599999999995</v>
      </c>
    </row>
    <row r="76" spans="1:14" ht="14.45" customHeight="1" x14ac:dyDescent="0.2">
      <c r="A76" s="747" t="s">
        <v>570</v>
      </c>
      <c r="B76" s="748" t="s">
        <v>571</v>
      </c>
      <c r="C76" s="749" t="s">
        <v>596</v>
      </c>
      <c r="D76" s="750" t="s">
        <v>597</v>
      </c>
      <c r="E76" s="751">
        <v>50113001</v>
      </c>
      <c r="F76" s="750" t="s">
        <v>602</v>
      </c>
      <c r="G76" s="749" t="s">
        <v>603</v>
      </c>
      <c r="H76" s="749">
        <v>905097</v>
      </c>
      <c r="I76" s="749">
        <v>158767</v>
      </c>
      <c r="J76" s="749" t="s">
        <v>611</v>
      </c>
      <c r="K76" s="749" t="s">
        <v>612</v>
      </c>
      <c r="L76" s="752">
        <v>167.73752051680268</v>
      </c>
      <c r="M76" s="752">
        <v>120</v>
      </c>
      <c r="N76" s="753">
        <v>20128.50246201632</v>
      </c>
    </row>
    <row r="77" spans="1:14" ht="14.45" customHeight="1" x14ac:dyDescent="0.2">
      <c r="A77" s="747" t="s">
        <v>570</v>
      </c>
      <c r="B77" s="748" t="s">
        <v>571</v>
      </c>
      <c r="C77" s="749" t="s">
        <v>596</v>
      </c>
      <c r="D77" s="750" t="s">
        <v>597</v>
      </c>
      <c r="E77" s="751">
        <v>50113001</v>
      </c>
      <c r="F77" s="750" t="s">
        <v>602</v>
      </c>
      <c r="G77" s="749" t="s">
        <v>603</v>
      </c>
      <c r="H77" s="749">
        <v>23987</v>
      </c>
      <c r="I77" s="749">
        <v>23987</v>
      </c>
      <c r="J77" s="749" t="s">
        <v>725</v>
      </c>
      <c r="K77" s="749" t="s">
        <v>726</v>
      </c>
      <c r="L77" s="752">
        <v>167.42000000000004</v>
      </c>
      <c r="M77" s="752">
        <v>23</v>
      </c>
      <c r="N77" s="753">
        <v>3850.6600000000008</v>
      </c>
    </row>
    <row r="78" spans="1:14" ht="14.45" customHeight="1" x14ac:dyDescent="0.2">
      <c r="A78" s="747" t="s">
        <v>570</v>
      </c>
      <c r="B78" s="748" t="s">
        <v>571</v>
      </c>
      <c r="C78" s="749" t="s">
        <v>596</v>
      </c>
      <c r="D78" s="750" t="s">
        <v>597</v>
      </c>
      <c r="E78" s="751">
        <v>50113001</v>
      </c>
      <c r="F78" s="750" t="s">
        <v>602</v>
      </c>
      <c r="G78" s="749" t="s">
        <v>603</v>
      </c>
      <c r="H78" s="749">
        <v>225888</v>
      </c>
      <c r="I78" s="749">
        <v>225888</v>
      </c>
      <c r="J78" s="749" t="s">
        <v>727</v>
      </c>
      <c r="K78" s="749" t="s">
        <v>728</v>
      </c>
      <c r="L78" s="752">
        <v>674.52</v>
      </c>
      <c r="M78" s="752">
        <v>2</v>
      </c>
      <c r="N78" s="753">
        <v>1349.04</v>
      </c>
    </row>
    <row r="79" spans="1:14" ht="14.45" customHeight="1" x14ac:dyDescent="0.2">
      <c r="A79" s="747" t="s">
        <v>570</v>
      </c>
      <c r="B79" s="748" t="s">
        <v>571</v>
      </c>
      <c r="C79" s="749" t="s">
        <v>596</v>
      </c>
      <c r="D79" s="750" t="s">
        <v>597</v>
      </c>
      <c r="E79" s="751">
        <v>50113001</v>
      </c>
      <c r="F79" s="750" t="s">
        <v>602</v>
      </c>
      <c r="G79" s="749" t="s">
        <v>676</v>
      </c>
      <c r="H79" s="749">
        <v>195604</v>
      </c>
      <c r="I79" s="749">
        <v>95604</v>
      </c>
      <c r="J79" s="749" t="s">
        <v>729</v>
      </c>
      <c r="K79" s="749" t="s">
        <v>730</v>
      </c>
      <c r="L79" s="752">
        <v>89.376666666666665</v>
      </c>
      <c r="M79" s="752">
        <v>3</v>
      </c>
      <c r="N79" s="753">
        <v>268.13</v>
      </c>
    </row>
    <row r="80" spans="1:14" ht="14.45" customHeight="1" x14ac:dyDescent="0.2">
      <c r="A80" s="747" t="s">
        <v>570</v>
      </c>
      <c r="B80" s="748" t="s">
        <v>571</v>
      </c>
      <c r="C80" s="749" t="s">
        <v>596</v>
      </c>
      <c r="D80" s="750" t="s">
        <v>597</v>
      </c>
      <c r="E80" s="751">
        <v>50113001</v>
      </c>
      <c r="F80" s="750" t="s">
        <v>602</v>
      </c>
      <c r="G80" s="749" t="s">
        <v>603</v>
      </c>
      <c r="H80" s="749">
        <v>156675</v>
      </c>
      <c r="I80" s="749">
        <v>56675</v>
      </c>
      <c r="J80" s="749" t="s">
        <v>731</v>
      </c>
      <c r="K80" s="749" t="s">
        <v>732</v>
      </c>
      <c r="L80" s="752">
        <v>72.72</v>
      </c>
      <c r="M80" s="752">
        <v>6</v>
      </c>
      <c r="N80" s="753">
        <v>436.32</v>
      </c>
    </row>
    <row r="81" spans="1:14" ht="14.45" customHeight="1" x14ac:dyDescent="0.2">
      <c r="A81" s="747" t="s">
        <v>570</v>
      </c>
      <c r="B81" s="748" t="s">
        <v>571</v>
      </c>
      <c r="C81" s="749" t="s">
        <v>596</v>
      </c>
      <c r="D81" s="750" t="s">
        <v>597</v>
      </c>
      <c r="E81" s="751">
        <v>50113001</v>
      </c>
      <c r="F81" s="750" t="s">
        <v>602</v>
      </c>
      <c r="G81" s="749" t="s">
        <v>603</v>
      </c>
      <c r="H81" s="749">
        <v>126898</v>
      </c>
      <c r="I81" s="749">
        <v>126898</v>
      </c>
      <c r="J81" s="749" t="s">
        <v>733</v>
      </c>
      <c r="K81" s="749" t="s">
        <v>734</v>
      </c>
      <c r="L81" s="752">
        <v>1042.92</v>
      </c>
      <c r="M81" s="752">
        <v>1</v>
      </c>
      <c r="N81" s="753">
        <v>1042.92</v>
      </c>
    </row>
    <row r="82" spans="1:14" ht="14.45" customHeight="1" x14ac:dyDescent="0.2">
      <c r="A82" s="747" t="s">
        <v>570</v>
      </c>
      <c r="B82" s="748" t="s">
        <v>571</v>
      </c>
      <c r="C82" s="749" t="s">
        <v>596</v>
      </c>
      <c r="D82" s="750" t="s">
        <v>597</v>
      </c>
      <c r="E82" s="751">
        <v>50113001</v>
      </c>
      <c r="F82" s="750" t="s">
        <v>602</v>
      </c>
      <c r="G82" s="749" t="s">
        <v>676</v>
      </c>
      <c r="H82" s="749">
        <v>214036</v>
      </c>
      <c r="I82" s="749">
        <v>214036</v>
      </c>
      <c r="J82" s="749" t="s">
        <v>735</v>
      </c>
      <c r="K82" s="749" t="s">
        <v>736</v>
      </c>
      <c r="L82" s="752">
        <v>40.35799999999999</v>
      </c>
      <c r="M82" s="752">
        <v>5</v>
      </c>
      <c r="N82" s="753">
        <v>201.78999999999996</v>
      </c>
    </row>
    <row r="83" spans="1:14" ht="14.45" customHeight="1" x14ac:dyDescent="0.2">
      <c r="A83" s="747" t="s">
        <v>570</v>
      </c>
      <c r="B83" s="748" t="s">
        <v>571</v>
      </c>
      <c r="C83" s="749" t="s">
        <v>596</v>
      </c>
      <c r="D83" s="750" t="s">
        <v>597</v>
      </c>
      <c r="E83" s="751">
        <v>50113001</v>
      </c>
      <c r="F83" s="750" t="s">
        <v>602</v>
      </c>
      <c r="G83" s="749" t="s">
        <v>603</v>
      </c>
      <c r="H83" s="749">
        <v>31915</v>
      </c>
      <c r="I83" s="749">
        <v>31915</v>
      </c>
      <c r="J83" s="749" t="s">
        <v>737</v>
      </c>
      <c r="K83" s="749" t="s">
        <v>738</v>
      </c>
      <c r="L83" s="752">
        <v>173.69</v>
      </c>
      <c r="M83" s="752">
        <v>2</v>
      </c>
      <c r="N83" s="753">
        <v>347.38</v>
      </c>
    </row>
    <row r="84" spans="1:14" ht="14.45" customHeight="1" x14ac:dyDescent="0.2">
      <c r="A84" s="747" t="s">
        <v>570</v>
      </c>
      <c r="B84" s="748" t="s">
        <v>571</v>
      </c>
      <c r="C84" s="749" t="s">
        <v>596</v>
      </c>
      <c r="D84" s="750" t="s">
        <v>597</v>
      </c>
      <c r="E84" s="751">
        <v>50113001</v>
      </c>
      <c r="F84" s="750" t="s">
        <v>602</v>
      </c>
      <c r="G84" s="749" t="s">
        <v>603</v>
      </c>
      <c r="H84" s="749">
        <v>47256</v>
      </c>
      <c r="I84" s="749">
        <v>47256</v>
      </c>
      <c r="J84" s="749" t="s">
        <v>739</v>
      </c>
      <c r="K84" s="749" t="s">
        <v>740</v>
      </c>
      <c r="L84" s="752">
        <v>222.20000000000002</v>
      </c>
      <c r="M84" s="752">
        <v>3</v>
      </c>
      <c r="N84" s="753">
        <v>666.6</v>
      </c>
    </row>
    <row r="85" spans="1:14" ht="14.45" customHeight="1" x14ac:dyDescent="0.2">
      <c r="A85" s="747" t="s">
        <v>570</v>
      </c>
      <c r="B85" s="748" t="s">
        <v>571</v>
      </c>
      <c r="C85" s="749" t="s">
        <v>596</v>
      </c>
      <c r="D85" s="750" t="s">
        <v>597</v>
      </c>
      <c r="E85" s="751">
        <v>50113001</v>
      </c>
      <c r="F85" s="750" t="s">
        <v>602</v>
      </c>
      <c r="G85" s="749" t="s">
        <v>603</v>
      </c>
      <c r="H85" s="749">
        <v>102539</v>
      </c>
      <c r="I85" s="749">
        <v>2539</v>
      </c>
      <c r="J85" s="749" t="s">
        <v>741</v>
      </c>
      <c r="K85" s="749" t="s">
        <v>742</v>
      </c>
      <c r="L85" s="752">
        <v>52.609999999999985</v>
      </c>
      <c r="M85" s="752">
        <v>2</v>
      </c>
      <c r="N85" s="753">
        <v>105.21999999999997</v>
      </c>
    </row>
    <row r="86" spans="1:14" ht="14.45" customHeight="1" x14ac:dyDescent="0.2">
      <c r="A86" s="747" t="s">
        <v>570</v>
      </c>
      <c r="B86" s="748" t="s">
        <v>571</v>
      </c>
      <c r="C86" s="749" t="s">
        <v>596</v>
      </c>
      <c r="D86" s="750" t="s">
        <v>597</v>
      </c>
      <c r="E86" s="751">
        <v>50113001</v>
      </c>
      <c r="F86" s="750" t="s">
        <v>602</v>
      </c>
      <c r="G86" s="749" t="s">
        <v>572</v>
      </c>
      <c r="H86" s="749">
        <v>131739</v>
      </c>
      <c r="I86" s="749">
        <v>31739</v>
      </c>
      <c r="J86" s="749" t="s">
        <v>743</v>
      </c>
      <c r="K86" s="749" t="s">
        <v>572</v>
      </c>
      <c r="L86" s="752">
        <v>71.989444444444445</v>
      </c>
      <c r="M86" s="752">
        <v>36</v>
      </c>
      <c r="N86" s="753">
        <v>2591.62</v>
      </c>
    </row>
    <row r="87" spans="1:14" ht="14.45" customHeight="1" x14ac:dyDescent="0.2">
      <c r="A87" s="747" t="s">
        <v>570</v>
      </c>
      <c r="B87" s="748" t="s">
        <v>571</v>
      </c>
      <c r="C87" s="749" t="s">
        <v>596</v>
      </c>
      <c r="D87" s="750" t="s">
        <v>597</v>
      </c>
      <c r="E87" s="751">
        <v>50113001</v>
      </c>
      <c r="F87" s="750" t="s">
        <v>602</v>
      </c>
      <c r="G87" s="749" t="s">
        <v>603</v>
      </c>
      <c r="H87" s="749">
        <v>193746</v>
      </c>
      <c r="I87" s="749">
        <v>93746</v>
      </c>
      <c r="J87" s="749" t="s">
        <v>744</v>
      </c>
      <c r="K87" s="749" t="s">
        <v>745</v>
      </c>
      <c r="L87" s="752">
        <v>366.21999999999997</v>
      </c>
      <c r="M87" s="752">
        <v>12</v>
      </c>
      <c r="N87" s="753">
        <v>4394.6399999999994</v>
      </c>
    </row>
    <row r="88" spans="1:14" ht="14.45" customHeight="1" x14ac:dyDescent="0.2">
      <c r="A88" s="747" t="s">
        <v>570</v>
      </c>
      <c r="B88" s="748" t="s">
        <v>571</v>
      </c>
      <c r="C88" s="749" t="s">
        <v>596</v>
      </c>
      <c r="D88" s="750" t="s">
        <v>597</v>
      </c>
      <c r="E88" s="751">
        <v>50113001</v>
      </c>
      <c r="F88" s="750" t="s">
        <v>602</v>
      </c>
      <c r="G88" s="749" t="s">
        <v>572</v>
      </c>
      <c r="H88" s="749">
        <v>103575</v>
      </c>
      <c r="I88" s="749">
        <v>3575</v>
      </c>
      <c r="J88" s="749" t="s">
        <v>746</v>
      </c>
      <c r="K88" s="749" t="s">
        <v>717</v>
      </c>
      <c r="L88" s="752">
        <v>73.497142857142862</v>
      </c>
      <c r="M88" s="752">
        <v>7</v>
      </c>
      <c r="N88" s="753">
        <v>514.48</v>
      </c>
    </row>
    <row r="89" spans="1:14" ht="14.45" customHeight="1" x14ac:dyDescent="0.2">
      <c r="A89" s="747" t="s">
        <v>570</v>
      </c>
      <c r="B89" s="748" t="s">
        <v>571</v>
      </c>
      <c r="C89" s="749" t="s">
        <v>596</v>
      </c>
      <c r="D89" s="750" t="s">
        <v>597</v>
      </c>
      <c r="E89" s="751">
        <v>50113001</v>
      </c>
      <c r="F89" s="750" t="s">
        <v>602</v>
      </c>
      <c r="G89" s="749" t="s">
        <v>603</v>
      </c>
      <c r="H89" s="749">
        <v>214355</v>
      </c>
      <c r="I89" s="749">
        <v>214355</v>
      </c>
      <c r="J89" s="749" t="s">
        <v>747</v>
      </c>
      <c r="K89" s="749" t="s">
        <v>748</v>
      </c>
      <c r="L89" s="752">
        <v>215.07999999999998</v>
      </c>
      <c r="M89" s="752">
        <v>4</v>
      </c>
      <c r="N89" s="753">
        <v>860.31999999999994</v>
      </c>
    </row>
    <row r="90" spans="1:14" ht="14.45" customHeight="1" x14ac:dyDescent="0.2">
      <c r="A90" s="747" t="s">
        <v>570</v>
      </c>
      <c r="B90" s="748" t="s">
        <v>571</v>
      </c>
      <c r="C90" s="749" t="s">
        <v>596</v>
      </c>
      <c r="D90" s="750" t="s">
        <v>597</v>
      </c>
      <c r="E90" s="751">
        <v>50113001</v>
      </c>
      <c r="F90" s="750" t="s">
        <v>602</v>
      </c>
      <c r="G90" s="749" t="s">
        <v>603</v>
      </c>
      <c r="H90" s="749">
        <v>846745</v>
      </c>
      <c r="I90" s="749">
        <v>0</v>
      </c>
      <c r="J90" s="749" t="s">
        <v>749</v>
      </c>
      <c r="K90" s="749" t="s">
        <v>572</v>
      </c>
      <c r="L90" s="752">
        <v>121.42999999999999</v>
      </c>
      <c r="M90" s="752">
        <v>1</v>
      </c>
      <c r="N90" s="753">
        <v>121.42999999999999</v>
      </c>
    </row>
    <row r="91" spans="1:14" ht="14.45" customHeight="1" x14ac:dyDescent="0.2">
      <c r="A91" s="747" t="s">
        <v>570</v>
      </c>
      <c r="B91" s="748" t="s">
        <v>571</v>
      </c>
      <c r="C91" s="749" t="s">
        <v>596</v>
      </c>
      <c r="D91" s="750" t="s">
        <v>597</v>
      </c>
      <c r="E91" s="751">
        <v>50113001</v>
      </c>
      <c r="F91" s="750" t="s">
        <v>602</v>
      </c>
      <c r="G91" s="749" t="s">
        <v>603</v>
      </c>
      <c r="H91" s="749">
        <v>216572</v>
      </c>
      <c r="I91" s="749">
        <v>216572</v>
      </c>
      <c r="J91" s="749" t="s">
        <v>750</v>
      </c>
      <c r="K91" s="749" t="s">
        <v>751</v>
      </c>
      <c r="L91" s="752">
        <v>36.24666666666667</v>
      </c>
      <c r="M91" s="752">
        <v>30</v>
      </c>
      <c r="N91" s="753">
        <v>1087.4000000000001</v>
      </c>
    </row>
    <row r="92" spans="1:14" ht="14.45" customHeight="1" x14ac:dyDescent="0.2">
      <c r="A92" s="747" t="s">
        <v>570</v>
      </c>
      <c r="B92" s="748" t="s">
        <v>571</v>
      </c>
      <c r="C92" s="749" t="s">
        <v>596</v>
      </c>
      <c r="D92" s="750" t="s">
        <v>597</v>
      </c>
      <c r="E92" s="751">
        <v>50113001</v>
      </c>
      <c r="F92" s="750" t="s">
        <v>602</v>
      </c>
      <c r="G92" s="749" t="s">
        <v>603</v>
      </c>
      <c r="H92" s="749">
        <v>51366</v>
      </c>
      <c r="I92" s="749">
        <v>51366</v>
      </c>
      <c r="J92" s="749" t="s">
        <v>615</v>
      </c>
      <c r="K92" s="749" t="s">
        <v>616</v>
      </c>
      <c r="L92" s="752">
        <v>171.59999999999997</v>
      </c>
      <c r="M92" s="752">
        <v>15</v>
      </c>
      <c r="N92" s="753">
        <v>2573.9999999999995</v>
      </c>
    </row>
    <row r="93" spans="1:14" ht="14.45" customHeight="1" x14ac:dyDescent="0.2">
      <c r="A93" s="747" t="s">
        <v>570</v>
      </c>
      <c r="B93" s="748" t="s">
        <v>571</v>
      </c>
      <c r="C93" s="749" t="s">
        <v>596</v>
      </c>
      <c r="D93" s="750" t="s">
        <v>597</v>
      </c>
      <c r="E93" s="751">
        <v>50113001</v>
      </c>
      <c r="F93" s="750" t="s">
        <v>602</v>
      </c>
      <c r="G93" s="749" t="s">
        <v>603</v>
      </c>
      <c r="H93" s="749">
        <v>51367</v>
      </c>
      <c r="I93" s="749">
        <v>51367</v>
      </c>
      <c r="J93" s="749" t="s">
        <v>615</v>
      </c>
      <c r="K93" s="749" t="s">
        <v>752</v>
      </c>
      <c r="L93" s="752">
        <v>92.950000000000017</v>
      </c>
      <c r="M93" s="752">
        <v>13</v>
      </c>
      <c r="N93" s="753">
        <v>1208.3500000000001</v>
      </c>
    </row>
    <row r="94" spans="1:14" ht="14.45" customHeight="1" x14ac:dyDescent="0.2">
      <c r="A94" s="747" t="s">
        <v>570</v>
      </c>
      <c r="B94" s="748" t="s">
        <v>571</v>
      </c>
      <c r="C94" s="749" t="s">
        <v>596</v>
      </c>
      <c r="D94" s="750" t="s">
        <v>597</v>
      </c>
      <c r="E94" s="751">
        <v>50113001</v>
      </c>
      <c r="F94" s="750" t="s">
        <v>602</v>
      </c>
      <c r="G94" s="749" t="s">
        <v>603</v>
      </c>
      <c r="H94" s="749">
        <v>157608</v>
      </c>
      <c r="I94" s="749">
        <v>57608</v>
      </c>
      <c r="J94" s="749" t="s">
        <v>617</v>
      </c>
      <c r="K94" s="749" t="s">
        <v>618</v>
      </c>
      <c r="L94" s="752">
        <v>84.794999999999987</v>
      </c>
      <c r="M94" s="752">
        <v>2</v>
      </c>
      <c r="N94" s="753">
        <v>169.58999999999997</v>
      </c>
    </row>
    <row r="95" spans="1:14" ht="14.45" customHeight="1" x14ac:dyDescent="0.2">
      <c r="A95" s="747" t="s">
        <v>570</v>
      </c>
      <c r="B95" s="748" t="s">
        <v>571</v>
      </c>
      <c r="C95" s="749" t="s">
        <v>596</v>
      </c>
      <c r="D95" s="750" t="s">
        <v>597</v>
      </c>
      <c r="E95" s="751">
        <v>50113001</v>
      </c>
      <c r="F95" s="750" t="s">
        <v>602</v>
      </c>
      <c r="G95" s="749" t="s">
        <v>603</v>
      </c>
      <c r="H95" s="749">
        <v>224964</v>
      </c>
      <c r="I95" s="749">
        <v>224964</v>
      </c>
      <c r="J95" s="749" t="s">
        <v>619</v>
      </c>
      <c r="K95" s="749" t="s">
        <v>620</v>
      </c>
      <c r="L95" s="752">
        <v>107.48454545454548</v>
      </c>
      <c r="M95" s="752">
        <v>11</v>
      </c>
      <c r="N95" s="753">
        <v>1182.3300000000004</v>
      </c>
    </row>
    <row r="96" spans="1:14" ht="14.45" customHeight="1" x14ac:dyDescent="0.2">
      <c r="A96" s="747" t="s">
        <v>570</v>
      </c>
      <c r="B96" s="748" t="s">
        <v>571</v>
      </c>
      <c r="C96" s="749" t="s">
        <v>596</v>
      </c>
      <c r="D96" s="750" t="s">
        <v>597</v>
      </c>
      <c r="E96" s="751">
        <v>50113001</v>
      </c>
      <c r="F96" s="750" t="s">
        <v>602</v>
      </c>
      <c r="G96" s="749" t="s">
        <v>603</v>
      </c>
      <c r="H96" s="749">
        <v>224965</v>
      </c>
      <c r="I96" s="749">
        <v>224965</v>
      </c>
      <c r="J96" s="749" t="s">
        <v>753</v>
      </c>
      <c r="K96" s="749" t="s">
        <v>754</v>
      </c>
      <c r="L96" s="752">
        <v>107.83000000000004</v>
      </c>
      <c r="M96" s="752">
        <v>6</v>
      </c>
      <c r="N96" s="753">
        <v>646.98000000000025</v>
      </c>
    </row>
    <row r="97" spans="1:14" ht="14.45" customHeight="1" x14ac:dyDescent="0.2">
      <c r="A97" s="747" t="s">
        <v>570</v>
      </c>
      <c r="B97" s="748" t="s">
        <v>571</v>
      </c>
      <c r="C97" s="749" t="s">
        <v>596</v>
      </c>
      <c r="D97" s="750" t="s">
        <v>597</v>
      </c>
      <c r="E97" s="751">
        <v>50113001</v>
      </c>
      <c r="F97" s="750" t="s">
        <v>602</v>
      </c>
      <c r="G97" s="749" t="s">
        <v>603</v>
      </c>
      <c r="H97" s="749">
        <v>202878</v>
      </c>
      <c r="I97" s="749">
        <v>202878</v>
      </c>
      <c r="J97" s="749" t="s">
        <v>621</v>
      </c>
      <c r="K97" s="749" t="s">
        <v>622</v>
      </c>
      <c r="L97" s="752">
        <v>42.423999999999999</v>
      </c>
      <c r="M97" s="752">
        <v>10</v>
      </c>
      <c r="N97" s="753">
        <v>424.24</v>
      </c>
    </row>
    <row r="98" spans="1:14" ht="14.45" customHeight="1" x14ac:dyDescent="0.2">
      <c r="A98" s="747" t="s">
        <v>570</v>
      </c>
      <c r="B98" s="748" t="s">
        <v>571</v>
      </c>
      <c r="C98" s="749" t="s">
        <v>596</v>
      </c>
      <c r="D98" s="750" t="s">
        <v>597</v>
      </c>
      <c r="E98" s="751">
        <v>50113001</v>
      </c>
      <c r="F98" s="750" t="s">
        <v>602</v>
      </c>
      <c r="G98" s="749" t="s">
        <v>603</v>
      </c>
      <c r="H98" s="749">
        <v>217212</v>
      </c>
      <c r="I98" s="749">
        <v>217212</v>
      </c>
      <c r="J98" s="749" t="s">
        <v>755</v>
      </c>
      <c r="K98" s="749" t="s">
        <v>756</v>
      </c>
      <c r="L98" s="752">
        <v>1797.61</v>
      </c>
      <c r="M98" s="752">
        <v>3</v>
      </c>
      <c r="N98" s="753">
        <v>5392.83</v>
      </c>
    </row>
    <row r="99" spans="1:14" ht="14.45" customHeight="1" x14ac:dyDescent="0.2">
      <c r="A99" s="747" t="s">
        <v>570</v>
      </c>
      <c r="B99" s="748" t="s">
        <v>571</v>
      </c>
      <c r="C99" s="749" t="s">
        <v>596</v>
      </c>
      <c r="D99" s="750" t="s">
        <v>597</v>
      </c>
      <c r="E99" s="751">
        <v>50113001</v>
      </c>
      <c r="F99" s="750" t="s">
        <v>602</v>
      </c>
      <c r="G99" s="749" t="s">
        <v>603</v>
      </c>
      <c r="H99" s="749">
        <v>394712</v>
      </c>
      <c r="I99" s="749">
        <v>0</v>
      </c>
      <c r="J99" s="749" t="s">
        <v>623</v>
      </c>
      <c r="K99" s="749" t="s">
        <v>624</v>
      </c>
      <c r="L99" s="752">
        <v>28.75</v>
      </c>
      <c r="M99" s="752">
        <v>966</v>
      </c>
      <c r="N99" s="753">
        <v>27772.5</v>
      </c>
    </row>
    <row r="100" spans="1:14" ht="14.45" customHeight="1" x14ac:dyDescent="0.2">
      <c r="A100" s="747" t="s">
        <v>570</v>
      </c>
      <c r="B100" s="748" t="s">
        <v>571</v>
      </c>
      <c r="C100" s="749" t="s">
        <v>596</v>
      </c>
      <c r="D100" s="750" t="s">
        <v>597</v>
      </c>
      <c r="E100" s="751">
        <v>50113001</v>
      </c>
      <c r="F100" s="750" t="s">
        <v>602</v>
      </c>
      <c r="G100" s="749" t="s">
        <v>603</v>
      </c>
      <c r="H100" s="749">
        <v>920020</v>
      </c>
      <c r="I100" s="749">
        <v>1000</v>
      </c>
      <c r="J100" s="749" t="s">
        <v>757</v>
      </c>
      <c r="K100" s="749" t="s">
        <v>758</v>
      </c>
      <c r="L100" s="752">
        <v>186.45225118076618</v>
      </c>
      <c r="M100" s="752">
        <v>35</v>
      </c>
      <c r="N100" s="753">
        <v>6525.8287913268159</v>
      </c>
    </row>
    <row r="101" spans="1:14" ht="14.45" customHeight="1" x14ac:dyDescent="0.2">
      <c r="A101" s="747" t="s">
        <v>570</v>
      </c>
      <c r="B101" s="748" t="s">
        <v>571</v>
      </c>
      <c r="C101" s="749" t="s">
        <v>596</v>
      </c>
      <c r="D101" s="750" t="s">
        <v>597</v>
      </c>
      <c r="E101" s="751">
        <v>50113001</v>
      </c>
      <c r="F101" s="750" t="s">
        <v>602</v>
      </c>
      <c r="G101" s="749" t="s">
        <v>603</v>
      </c>
      <c r="H101" s="749">
        <v>845628</v>
      </c>
      <c r="I101" s="749">
        <v>1000</v>
      </c>
      <c r="J101" s="749" t="s">
        <v>759</v>
      </c>
      <c r="K101" s="749" t="s">
        <v>760</v>
      </c>
      <c r="L101" s="752">
        <v>547.19654319382084</v>
      </c>
      <c r="M101" s="752">
        <v>39</v>
      </c>
      <c r="N101" s="753">
        <v>21340.665184559013</v>
      </c>
    </row>
    <row r="102" spans="1:14" ht="14.45" customHeight="1" x14ac:dyDescent="0.2">
      <c r="A102" s="747" t="s">
        <v>570</v>
      </c>
      <c r="B102" s="748" t="s">
        <v>571</v>
      </c>
      <c r="C102" s="749" t="s">
        <v>596</v>
      </c>
      <c r="D102" s="750" t="s">
        <v>597</v>
      </c>
      <c r="E102" s="751">
        <v>50113001</v>
      </c>
      <c r="F102" s="750" t="s">
        <v>602</v>
      </c>
      <c r="G102" s="749" t="s">
        <v>603</v>
      </c>
      <c r="H102" s="749">
        <v>102486</v>
      </c>
      <c r="I102" s="749">
        <v>2486</v>
      </c>
      <c r="J102" s="749" t="s">
        <v>761</v>
      </c>
      <c r="K102" s="749" t="s">
        <v>762</v>
      </c>
      <c r="L102" s="752">
        <v>123.07210526315789</v>
      </c>
      <c r="M102" s="752">
        <v>19</v>
      </c>
      <c r="N102" s="753">
        <v>2338.37</v>
      </c>
    </row>
    <row r="103" spans="1:14" ht="14.45" customHeight="1" x14ac:dyDescent="0.2">
      <c r="A103" s="747" t="s">
        <v>570</v>
      </c>
      <c r="B103" s="748" t="s">
        <v>571</v>
      </c>
      <c r="C103" s="749" t="s">
        <v>596</v>
      </c>
      <c r="D103" s="750" t="s">
        <v>597</v>
      </c>
      <c r="E103" s="751">
        <v>50113001</v>
      </c>
      <c r="F103" s="750" t="s">
        <v>602</v>
      </c>
      <c r="G103" s="749" t="s">
        <v>603</v>
      </c>
      <c r="H103" s="749">
        <v>163346</v>
      </c>
      <c r="I103" s="749">
        <v>163346</v>
      </c>
      <c r="J103" s="749" t="s">
        <v>763</v>
      </c>
      <c r="K103" s="749" t="s">
        <v>764</v>
      </c>
      <c r="L103" s="752">
        <v>113.47999999999999</v>
      </c>
      <c r="M103" s="752">
        <v>1</v>
      </c>
      <c r="N103" s="753">
        <v>113.47999999999999</v>
      </c>
    </row>
    <row r="104" spans="1:14" ht="14.45" customHeight="1" x14ac:dyDescent="0.2">
      <c r="A104" s="747" t="s">
        <v>570</v>
      </c>
      <c r="B104" s="748" t="s">
        <v>571</v>
      </c>
      <c r="C104" s="749" t="s">
        <v>596</v>
      </c>
      <c r="D104" s="750" t="s">
        <v>597</v>
      </c>
      <c r="E104" s="751">
        <v>50113001</v>
      </c>
      <c r="F104" s="750" t="s">
        <v>602</v>
      </c>
      <c r="G104" s="749" t="s">
        <v>603</v>
      </c>
      <c r="H104" s="749">
        <v>230426</v>
      </c>
      <c r="I104" s="749">
        <v>230426</v>
      </c>
      <c r="J104" s="749" t="s">
        <v>625</v>
      </c>
      <c r="K104" s="749" t="s">
        <v>626</v>
      </c>
      <c r="L104" s="752">
        <v>78.595555555555549</v>
      </c>
      <c r="M104" s="752">
        <v>9</v>
      </c>
      <c r="N104" s="753">
        <v>707.3599999999999</v>
      </c>
    </row>
    <row r="105" spans="1:14" ht="14.45" customHeight="1" x14ac:dyDescent="0.2">
      <c r="A105" s="747" t="s">
        <v>570</v>
      </c>
      <c r="B105" s="748" t="s">
        <v>571</v>
      </c>
      <c r="C105" s="749" t="s">
        <v>596</v>
      </c>
      <c r="D105" s="750" t="s">
        <v>597</v>
      </c>
      <c r="E105" s="751">
        <v>50113001</v>
      </c>
      <c r="F105" s="750" t="s">
        <v>602</v>
      </c>
      <c r="G105" s="749" t="s">
        <v>603</v>
      </c>
      <c r="H105" s="749">
        <v>100489</v>
      </c>
      <c r="I105" s="749">
        <v>489</v>
      </c>
      <c r="J105" s="749" t="s">
        <v>625</v>
      </c>
      <c r="K105" s="749" t="s">
        <v>765</v>
      </c>
      <c r="L105" s="752">
        <v>47.301111111111112</v>
      </c>
      <c r="M105" s="752">
        <v>9</v>
      </c>
      <c r="N105" s="753">
        <v>425.71000000000004</v>
      </c>
    </row>
    <row r="106" spans="1:14" ht="14.45" customHeight="1" x14ac:dyDescent="0.2">
      <c r="A106" s="747" t="s">
        <v>570</v>
      </c>
      <c r="B106" s="748" t="s">
        <v>571</v>
      </c>
      <c r="C106" s="749" t="s">
        <v>596</v>
      </c>
      <c r="D106" s="750" t="s">
        <v>597</v>
      </c>
      <c r="E106" s="751">
        <v>50113001</v>
      </c>
      <c r="F106" s="750" t="s">
        <v>602</v>
      </c>
      <c r="G106" s="749" t="s">
        <v>603</v>
      </c>
      <c r="H106" s="749">
        <v>100720</v>
      </c>
      <c r="I106" s="749">
        <v>720</v>
      </c>
      <c r="J106" s="749" t="s">
        <v>625</v>
      </c>
      <c r="K106" s="749" t="s">
        <v>626</v>
      </c>
      <c r="L106" s="752">
        <v>78.63</v>
      </c>
      <c r="M106" s="752">
        <v>1</v>
      </c>
      <c r="N106" s="753">
        <v>78.63</v>
      </c>
    </row>
    <row r="107" spans="1:14" ht="14.45" customHeight="1" x14ac:dyDescent="0.2">
      <c r="A107" s="747" t="s">
        <v>570</v>
      </c>
      <c r="B107" s="748" t="s">
        <v>571</v>
      </c>
      <c r="C107" s="749" t="s">
        <v>596</v>
      </c>
      <c r="D107" s="750" t="s">
        <v>597</v>
      </c>
      <c r="E107" s="751">
        <v>50113001</v>
      </c>
      <c r="F107" s="750" t="s">
        <v>602</v>
      </c>
      <c r="G107" s="749" t="s">
        <v>603</v>
      </c>
      <c r="H107" s="749">
        <v>117996</v>
      </c>
      <c r="I107" s="749">
        <v>17996</v>
      </c>
      <c r="J107" s="749" t="s">
        <v>766</v>
      </c>
      <c r="K107" s="749" t="s">
        <v>767</v>
      </c>
      <c r="L107" s="752">
        <v>77.17</v>
      </c>
      <c r="M107" s="752">
        <v>2</v>
      </c>
      <c r="N107" s="753">
        <v>154.34</v>
      </c>
    </row>
    <row r="108" spans="1:14" ht="14.45" customHeight="1" x14ac:dyDescent="0.2">
      <c r="A108" s="747" t="s">
        <v>570</v>
      </c>
      <c r="B108" s="748" t="s">
        <v>571</v>
      </c>
      <c r="C108" s="749" t="s">
        <v>596</v>
      </c>
      <c r="D108" s="750" t="s">
        <v>597</v>
      </c>
      <c r="E108" s="751">
        <v>50113001</v>
      </c>
      <c r="F108" s="750" t="s">
        <v>602</v>
      </c>
      <c r="G108" s="749" t="s">
        <v>603</v>
      </c>
      <c r="H108" s="749">
        <v>930431</v>
      </c>
      <c r="I108" s="749">
        <v>1000</v>
      </c>
      <c r="J108" s="749" t="s">
        <v>768</v>
      </c>
      <c r="K108" s="749" t="s">
        <v>572</v>
      </c>
      <c r="L108" s="752">
        <v>117.74008955014013</v>
      </c>
      <c r="M108" s="752">
        <v>247</v>
      </c>
      <c r="N108" s="753">
        <v>29081.802118884611</v>
      </c>
    </row>
    <row r="109" spans="1:14" ht="14.45" customHeight="1" x14ac:dyDescent="0.2">
      <c r="A109" s="747" t="s">
        <v>570</v>
      </c>
      <c r="B109" s="748" t="s">
        <v>571</v>
      </c>
      <c r="C109" s="749" t="s">
        <v>596</v>
      </c>
      <c r="D109" s="750" t="s">
        <v>597</v>
      </c>
      <c r="E109" s="751">
        <v>50113001</v>
      </c>
      <c r="F109" s="750" t="s">
        <v>602</v>
      </c>
      <c r="G109" s="749" t="s">
        <v>603</v>
      </c>
      <c r="H109" s="749">
        <v>930444</v>
      </c>
      <c r="I109" s="749">
        <v>0</v>
      </c>
      <c r="J109" s="749" t="s">
        <v>769</v>
      </c>
      <c r="K109" s="749" t="s">
        <v>572</v>
      </c>
      <c r="L109" s="752">
        <v>43.262057070273329</v>
      </c>
      <c r="M109" s="752">
        <v>934</v>
      </c>
      <c r="N109" s="753">
        <v>40406.761303635292</v>
      </c>
    </row>
    <row r="110" spans="1:14" ht="14.45" customHeight="1" x14ac:dyDescent="0.2">
      <c r="A110" s="747" t="s">
        <v>570</v>
      </c>
      <c r="B110" s="748" t="s">
        <v>571</v>
      </c>
      <c r="C110" s="749" t="s">
        <v>596</v>
      </c>
      <c r="D110" s="750" t="s">
        <v>597</v>
      </c>
      <c r="E110" s="751">
        <v>50113001</v>
      </c>
      <c r="F110" s="750" t="s">
        <v>602</v>
      </c>
      <c r="G110" s="749" t="s">
        <v>603</v>
      </c>
      <c r="H110" s="749">
        <v>930224</v>
      </c>
      <c r="I110" s="749">
        <v>0</v>
      </c>
      <c r="J110" s="749" t="s">
        <v>770</v>
      </c>
      <c r="K110" s="749" t="s">
        <v>572</v>
      </c>
      <c r="L110" s="752">
        <v>88.509818493942291</v>
      </c>
      <c r="M110" s="752">
        <v>1</v>
      </c>
      <c r="N110" s="753">
        <v>88.509818493942291</v>
      </c>
    </row>
    <row r="111" spans="1:14" ht="14.45" customHeight="1" x14ac:dyDescent="0.2">
      <c r="A111" s="747" t="s">
        <v>570</v>
      </c>
      <c r="B111" s="748" t="s">
        <v>571</v>
      </c>
      <c r="C111" s="749" t="s">
        <v>596</v>
      </c>
      <c r="D111" s="750" t="s">
        <v>597</v>
      </c>
      <c r="E111" s="751">
        <v>50113001</v>
      </c>
      <c r="F111" s="750" t="s">
        <v>602</v>
      </c>
      <c r="G111" s="749" t="s">
        <v>603</v>
      </c>
      <c r="H111" s="749">
        <v>501999</v>
      </c>
      <c r="I111" s="749">
        <v>0</v>
      </c>
      <c r="J111" s="749" t="s">
        <v>771</v>
      </c>
      <c r="K111" s="749" t="s">
        <v>572</v>
      </c>
      <c r="L111" s="752">
        <v>351.81552110606953</v>
      </c>
      <c r="M111" s="752">
        <v>6</v>
      </c>
      <c r="N111" s="753">
        <v>2110.893126636417</v>
      </c>
    </row>
    <row r="112" spans="1:14" ht="14.45" customHeight="1" x14ac:dyDescent="0.2">
      <c r="A112" s="747" t="s">
        <v>570</v>
      </c>
      <c r="B112" s="748" t="s">
        <v>571</v>
      </c>
      <c r="C112" s="749" t="s">
        <v>596</v>
      </c>
      <c r="D112" s="750" t="s">
        <v>597</v>
      </c>
      <c r="E112" s="751">
        <v>50113001</v>
      </c>
      <c r="F112" s="750" t="s">
        <v>602</v>
      </c>
      <c r="G112" s="749" t="s">
        <v>603</v>
      </c>
      <c r="H112" s="749">
        <v>501606</v>
      </c>
      <c r="I112" s="749">
        <v>0</v>
      </c>
      <c r="J112" s="749" t="s">
        <v>772</v>
      </c>
      <c r="K112" s="749" t="s">
        <v>572</v>
      </c>
      <c r="L112" s="752">
        <v>492.04962248636355</v>
      </c>
      <c r="M112" s="752">
        <v>17</v>
      </c>
      <c r="N112" s="753">
        <v>8364.8435822681804</v>
      </c>
    </row>
    <row r="113" spans="1:14" ht="14.45" customHeight="1" x14ac:dyDescent="0.2">
      <c r="A113" s="747" t="s">
        <v>570</v>
      </c>
      <c r="B113" s="748" t="s">
        <v>571</v>
      </c>
      <c r="C113" s="749" t="s">
        <v>596</v>
      </c>
      <c r="D113" s="750" t="s">
        <v>597</v>
      </c>
      <c r="E113" s="751">
        <v>50113001</v>
      </c>
      <c r="F113" s="750" t="s">
        <v>602</v>
      </c>
      <c r="G113" s="749" t="s">
        <v>603</v>
      </c>
      <c r="H113" s="749">
        <v>921416</v>
      </c>
      <c r="I113" s="749">
        <v>0</v>
      </c>
      <c r="J113" s="749" t="s">
        <v>773</v>
      </c>
      <c r="K113" s="749" t="s">
        <v>572</v>
      </c>
      <c r="L113" s="752">
        <v>423.5080362016671</v>
      </c>
      <c r="M113" s="752">
        <v>1</v>
      </c>
      <c r="N113" s="753">
        <v>423.5080362016671</v>
      </c>
    </row>
    <row r="114" spans="1:14" ht="14.45" customHeight="1" x14ac:dyDescent="0.2">
      <c r="A114" s="747" t="s">
        <v>570</v>
      </c>
      <c r="B114" s="748" t="s">
        <v>571</v>
      </c>
      <c r="C114" s="749" t="s">
        <v>596</v>
      </c>
      <c r="D114" s="750" t="s">
        <v>597</v>
      </c>
      <c r="E114" s="751">
        <v>50113001</v>
      </c>
      <c r="F114" s="750" t="s">
        <v>602</v>
      </c>
      <c r="G114" s="749" t="s">
        <v>603</v>
      </c>
      <c r="H114" s="749">
        <v>920368</v>
      </c>
      <c r="I114" s="749">
        <v>0</v>
      </c>
      <c r="J114" s="749" t="s">
        <v>774</v>
      </c>
      <c r="K114" s="749" t="s">
        <v>572</v>
      </c>
      <c r="L114" s="752">
        <v>140.31702066945434</v>
      </c>
      <c r="M114" s="752">
        <v>49</v>
      </c>
      <c r="N114" s="753">
        <v>6875.5340128032622</v>
      </c>
    </row>
    <row r="115" spans="1:14" ht="14.45" customHeight="1" x14ac:dyDescent="0.2">
      <c r="A115" s="747" t="s">
        <v>570</v>
      </c>
      <c r="B115" s="748" t="s">
        <v>571</v>
      </c>
      <c r="C115" s="749" t="s">
        <v>596</v>
      </c>
      <c r="D115" s="750" t="s">
        <v>597</v>
      </c>
      <c r="E115" s="751">
        <v>50113001</v>
      </c>
      <c r="F115" s="750" t="s">
        <v>602</v>
      </c>
      <c r="G115" s="749" t="s">
        <v>603</v>
      </c>
      <c r="H115" s="749">
        <v>498472</v>
      </c>
      <c r="I115" s="749">
        <v>0</v>
      </c>
      <c r="J115" s="749" t="s">
        <v>775</v>
      </c>
      <c r="K115" s="749" t="s">
        <v>776</v>
      </c>
      <c r="L115" s="752">
        <v>209.17617114986231</v>
      </c>
      <c r="M115" s="752">
        <v>11</v>
      </c>
      <c r="N115" s="753">
        <v>2300.9378826484854</v>
      </c>
    </row>
    <row r="116" spans="1:14" ht="14.45" customHeight="1" x14ac:dyDescent="0.2">
      <c r="A116" s="747" t="s">
        <v>570</v>
      </c>
      <c r="B116" s="748" t="s">
        <v>571</v>
      </c>
      <c r="C116" s="749" t="s">
        <v>596</v>
      </c>
      <c r="D116" s="750" t="s">
        <v>597</v>
      </c>
      <c r="E116" s="751">
        <v>50113001</v>
      </c>
      <c r="F116" s="750" t="s">
        <v>602</v>
      </c>
      <c r="G116" s="749" t="s">
        <v>603</v>
      </c>
      <c r="H116" s="749">
        <v>920352</v>
      </c>
      <c r="I116" s="749">
        <v>0</v>
      </c>
      <c r="J116" s="749" t="s">
        <v>633</v>
      </c>
      <c r="K116" s="749" t="s">
        <v>572</v>
      </c>
      <c r="L116" s="752">
        <v>93.433316653294767</v>
      </c>
      <c r="M116" s="752">
        <v>20</v>
      </c>
      <c r="N116" s="753">
        <v>1868.6663330658953</v>
      </c>
    </row>
    <row r="117" spans="1:14" ht="14.45" customHeight="1" x14ac:dyDescent="0.2">
      <c r="A117" s="747" t="s">
        <v>570</v>
      </c>
      <c r="B117" s="748" t="s">
        <v>571</v>
      </c>
      <c r="C117" s="749" t="s">
        <v>596</v>
      </c>
      <c r="D117" s="750" t="s">
        <v>597</v>
      </c>
      <c r="E117" s="751">
        <v>50113001</v>
      </c>
      <c r="F117" s="750" t="s">
        <v>602</v>
      </c>
      <c r="G117" s="749" t="s">
        <v>603</v>
      </c>
      <c r="H117" s="749">
        <v>844879</v>
      </c>
      <c r="I117" s="749">
        <v>0</v>
      </c>
      <c r="J117" s="749" t="s">
        <v>777</v>
      </c>
      <c r="K117" s="749" t="s">
        <v>572</v>
      </c>
      <c r="L117" s="752">
        <v>64.807875116361217</v>
      </c>
      <c r="M117" s="752">
        <v>204</v>
      </c>
      <c r="N117" s="753">
        <v>13220.806523737687</v>
      </c>
    </row>
    <row r="118" spans="1:14" ht="14.45" customHeight="1" x14ac:dyDescent="0.2">
      <c r="A118" s="747" t="s">
        <v>570</v>
      </c>
      <c r="B118" s="748" t="s">
        <v>571</v>
      </c>
      <c r="C118" s="749" t="s">
        <v>596</v>
      </c>
      <c r="D118" s="750" t="s">
        <v>597</v>
      </c>
      <c r="E118" s="751">
        <v>50113001</v>
      </c>
      <c r="F118" s="750" t="s">
        <v>602</v>
      </c>
      <c r="G118" s="749" t="s">
        <v>603</v>
      </c>
      <c r="H118" s="749">
        <v>930608</v>
      </c>
      <c r="I118" s="749">
        <v>0</v>
      </c>
      <c r="J118" s="749" t="s">
        <v>778</v>
      </c>
      <c r="K118" s="749" t="s">
        <v>572</v>
      </c>
      <c r="L118" s="752">
        <v>155.27096261081695</v>
      </c>
      <c r="M118" s="752">
        <v>71</v>
      </c>
      <c r="N118" s="753">
        <v>11024.238345368003</v>
      </c>
    </row>
    <row r="119" spans="1:14" ht="14.45" customHeight="1" x14ac:dyDescent="0.2">
      <c r="A119" s="747" t="s">
        <v>570</v>
      </c>
      <c r="B119" s="748" t="s">
        <v>571</v>
      </c>
      <c r="C119" s="749" t="s">
        <v>596</v>
      </c>
      <c r="D119" s="750" t="s">
        <v>597</v>
      </c>
      <c r="E119" s="751">
        <v>50113001</v>
      </c>
      <c r="F119" s="750" t="s">
        <v>602</v>
      </c>
      <c r="G119" s="749" t="s">
        <v>603</v>
      </c>
      <c r="H119" s="749">
        <v>394072</v>
      </c>
      <c r="I119" s="749">
        <v>1000</v>
      </c>
      <c r="J119" s="749" t="s">
        <v>779</v>
      </c>
      <c r="K119" s="749" t="s">
        <v>572</v>
      </c>
      <c r="L119" s="752">
        <v>466.0760719513417</v>
      </c>
      <c r="M119" s="752">
        <v>10</v>
      </c>
      <c r="N119" s="753">
        <v>4660.7607195134169</v>
      </c>
    </row>
    <row r="120" spans="1:14" ht="14.45" customHeight="1" x14ac:dyDescent="0.2">
      <c r="A120" s="747" t="s">
        <v>570</v>
      </c>
      <c r="B120" s="748" t="s">
        <v>571</v>
      </c>
      <c r="C120" s="749" t="s">
        <v>596</v>
      </c>
      <c r="D120" s="750" t="s">
        <v>597</v>
      </c>
      <c r="E120" s="751">
        <v>50113001</v>
      </c>
      <c r="F120" s="750" t="s">
        <v>602</v>
      </c>
      <c r="G120" s="749" t="s">
        <v>603</v>
      </c>
      <c r="H120" s="749">
        <v>501062</v>
      </c>
      <c r="I120" s="749">
        <v>1000</v>
      </c>
      <c r="J120" s="749" t="s">
        <v>780</v>
      </c>
      <c r="K120" s="749" t="s">
        <v>781</v>
      </c>
      <c r="L120" s="752">
        <v>168.0878836971963</v>
      </c>
      <c r="M120" s="752">
        <v>7</v>
      </c>
      <c r="N120" s="753">
        <v>1176.6151858803742</v>
      </c>
    </row>
    <row r="121" spans="1:14" ht="14.45" customHeight="1" x14ac:dyDescent="0.2">
      <c r="A121" s="747" t="s">
        <v>570</v>
      </c>
      <c r="B121" s="748" t="s">
        <v>571</v>
      </c>
      <c r="C121" s="749" t="s">
        <v>596</v>
      </c>
      <c r="D121" s="750" t="s">
        <v>597</v>
      </c>
      <c r="E121" s="751">
        <v>50113001</v>
      </c>
      <c r="F121" s="750" t="s">
        <v>602</v>
      </c>
      <c r="G121" s="749" t="s">
        <v>603</v>
      </c>
      <c r="H121" s="749">
        <v>397576</v>
      </c>
      <c r="I121" s="749">
        <v>0</v>
      </c>
      <c r="J121" s="749" t="s">
        <v>782</v>
      </c>
      <c r="K121" s="749" t="s">
        <v>572</v>
      </c>
      <c r="L121" s="752">
        <v>124.87062532080631</v>
      </c>
      <c r="M121" s="752">
        <v>1</v>
      </c>
      <c r="N121" s="753">
        <v>124.87062532080631</v>
      </c>
    </row>
    <row r="122" spans="1:14" ht="14.45" customHeight="1" x14ac:dyDescent="0.2">
      <c r="A122" s="747" t="s">
        <v>570</v>
      </c>
      <c r="B122" s="748" t="s">
        <v>571</v>
      </c>
      <c r="C122" s="749" t="s">
        <v>596</v>
      </c>
      <c r="D122" s="750" t="s">
        <v>597</v>
      </c>
      <c r="E122" s="751">
        <v>50113001</v>
      </c>
      <c r="F122" s="750" t="s">
        <v>602</v>
      </c>
      <c r="G122" s="749" t="s">
        <v>603</v>
      </c>
      <c r="H122" s="749">
        <v>900034</v>
      </c>
      <c r="I122" s="749">
        <v>0</v>
      </c>
      <c r="J122" s="749" t="s">
        <v>783</v>
      </c>
      <c r="K122" s="749" t="s">
        <v>572</v>
      </c>
      <c r="L122" s="752">
        <v>107.76164403617963</v>
      </c>
      <c r="M122" s="752">
        <v>6</v>
      </c>
      <c r="N122" s="753">
        <v>646.56986421707779</v>
      </c>
    </row>
    <row r="123" spans="1:14" ht="14.45" customHeight="1" x14ac:dyDescent="0.2">
      <c r="A123" s="747" t="s">
        <v>570</v>
      </c>
      <c r="B123" s="748" t="s">
        <v>571</v>
      </c>
      <c r="C123" s="749" t="s">
        <v>596</v>
      </c>
      <c r="D123" s="750" t="s">
        <v>597</v>
      </c>
      <c r="E123" s="751">
        <v>50113001</v>
      </c>
      <c r="F123" s="750" t="s">
        <v>602</v>
      </c>
      <c r="G123" s="749" t="s">
        <v>603</v>
      </c>
      <c r="H123" s="749">
        <v>900321</v>
      </c>
      <c r="I123" s="749">
        <v>0</v>
      </c>
      <c r="J123" s="749" t="s">
        <v>784</v>
      </c>
      <c r="K123" s="749" t="s">
        <v>572</v>
      </c>
      <c r="L123" s="752">
        <v>231.15210442768804</v>
      </c>
      <c r="M123" s="752">
        <v>4</v>
      </c>
      <c r="N123" s="753">
        <v>924.60841771075218</v>
      </c>
    </row>
    <row r="124" spans="1:14" ht="14.45" customHeight="1" x14ac:dyDescent="0.2">
      <c r="A124" s="747" t="s">
        <v>570</v>
      </c>
      <c r="B124" s="748" t="s">
        <v>571</v>
      </c>
      <c r="C124" s="749" t="s">
        <v>596</v>
      </c>
      <c r="D124" s="750" t="s">
        <v>597</v>
      </c>
      <c r="E124" s="751">
        <v>50113001</v>
      </c>
      <c r="F124" s="750" t="s">
        <v>602</v>
      </c>
      <c r="G124" s="749" t="s">
        <v>603</v>
      </c>
      <c r="H124" s="749">
        <v>501990</v>
      </c>
      <c r="I124" s="749">
        <v>0</v>
      </c>
      <c r="J124" s="749" t="s">
        <v>785</v>
      </c>
      <c r="K124" s="749" t="s">
        <v>572</v>
      </c>
      <c r="L124" s="752">
        <v>243.95095829842018</v>
      </c>
      <c r="M124" s="752">
        <v>1</v>
      </c>
      <c r="N124" s="753">
        <v>243.95095829842018</v>
      </c>
    </row>
    <row r="125" spans="1:14" ht="14.45" customHeight="1" x14ac:dyDescent="0.2">
      <c r="A125" s="747" t="s">
        <v>570</v>
      </c>
      <c r="B125" s="748" t="s">
        <v>571</v>
      </c>
      <c r="C125" s="749" t="s">
        <v>596</v>
      </c>
      <c r="D125" s="750" t="s">
        <v>597</v>
      </c>
      <c r="E125" s="751">
        <v>50113001</v>
      </c>
      <c r="F125" s="750" t="s">
        <v>602</v>
      </c>
      <c r="G125" s="749" t="s">
        <v>603</v>
      </c>
      <c r="H125" s="749">
        <v>930676</v>
      </c>
      <c r="I125" s="749">
        <v>0</v>
      </c>
      <c r="J125" s="749" t="s">
        <v>635</v>
      </c>
      <c r="K125" s="749" t="s">
        <v>572</v>
      </c>
      <c r="L125" s="752">
        <v>72.005464913847874</v>
      </c>
      <c r="M125" s="752">
        <v>552</v>
      </c>
      <c r="N125" s="753">
        <v>39747.016632444029</v>
      </c>
    </row>
    <row r="126" spans="1:14" ht="14.45" customHeight="1" x14ac:dyDescent="0.2">
      <c r="A126" s="747" t="s">
        <v>570</v>
      </c>
      <c r="B126" s="748" t="s">
        <v>571</v>
      </c>
      <c r="C126" s="749" t="s">
        <v>596</v>
      </c>
      <c r="D126" s="750" t="s">
        <v>597</v>
      </c>
      <c r="E126" s="751">
        <v>50113001</v>
      </c>
      <c r="F126" s="750" t="s">
        <v>602</v>
      </c>
      <c r="G126" s="749" t="s">
        <v>603</v>
      </c>
      <c r="H126" s="749">
        <v>921342</v>
      </c>
      <c r="I126" s="749">
        <v>0</v>
      </c>
      <c r="J126" s="749" t="s">
        <v>786</v>
      </c>
      <c r="K126" s="749" t="s">
        <v>572</v>
      </c>
      <c r="L126" s="752">
        <v>121.23711903719907</v>
      </c>
      <c r="M126" s="752">
        <v>86</v>
      </c>
      <c r="N126" s="753">
        <v>10426.392237199119</v>
      </c>
    </row>
    <row r="127" spans="1:14" ht="14.45" customHeight="1" x14ac:dyDescent="0.2">
      <c r="A127" s="747" t="s">
        <v>570</v>
      </c>
      <c r="B127" s="748" t="s">
        <v>571</v>
      </c>
      <c r="C127" s="749" t="s">
        <v>596</v>
      </c>
      <c r="D127" s="750" t="s">
        <v>597</v>
      </c>
      <c r="E127" s="751">
        <v>50113001</v>
      </c>
      <c r="F127" s="750" t="s">
        <v>602</v>
      </c>
      <c r="G127" s="749" t="s">
        <v>603</v>
      </c>
      <c r="H127" s="749">
        <v>900892</v>
      </c>
      <c r="I127" s="749">
        <v>0</v>
      </c>
      <c r="J127" s="749" t="s">
        <v>787</v>
      </c>
      <c r="K127" s="749" t="s">
        <v>572</v>
      </c>
      <c r="L127" s="752">
        <v>236.32974959075582</v>
      </c>
      <c r="M127" s="752">
        <v>3</v>
      </c>
      <c r="N127" s="753">
        <v>708.9892487722675</v>
      </c>
    </row>
    <row r="128" spans="1:14" ht="14.45" customHeight="1" x14ac:dyDescent="0.2">
      <c r="A128" s="747" t="s">
        <v>570</v>
      </c>
      <c r="B128" s="748" t="s">
        <v>571</v>
      </c>
      <c r="C128" s="749" t="s">
        <v>596</v>
      </c>
      <c r="D128" s="750" t="s">
        <v>597</v>
      </c>
      <c r="E128" s="751">
        <v>50113001</v>
      </c>
      <c r="F128" s="750" t="s">
        <v>602</v>
      </c>
      <c r="G128" s="749" t="s">
        <v>603</v>
      </c>
      <c r="H128" s="749">
        <v>921296</v>
      </c>
      <c r="I128" s="749">
        <v>0</v>
      </c>
      <c r="J128" s="749" t="s">
        <v>788</v>
      </c>
      <c r="K128" s="749" t="s">
        <v>572</v>
      </c>
      <c r="L128" s="752">
        <v>351.70266684380829</v>
      </c>
      <c r="M128" s="752">
        <v>9</v>
      </c>
      <c r="N128" s="753">
        <v>3165.3240015942747</v>
      </c>
    </row>
    <row r="129" spans="1:14" ht="14.45" customHeight="1" x14ac:dyDescent="0.2">
      <c r="A129" s="747" t="s">
        <v>570</v>
      </c>
      <c r="B129" s="748" t="s">
        <v>571</v>
      </c>
      <c r="C129" s="749" t="s">
        <v>596</v>
      </c>
      <c r="D129" s="750" t="s">
        <v>597</v>
      </c>
      <c r="E129" s="751">
        <v>50113001</v>
      </c>
      <c r="F129" s="750" t="s">
        <v>602</v>
      </c>
      <c r="G129" s="749" t="s">
        <v>603</v>
      </c>
      <c r="H129" s="749">
        <v>921404</v>
      </c>
      <c r="I129" s="749">
        <v>0</v>
      </c>
      <c r="J129" s="749" t="s">
        <v>789</v>
      </c>
      <c r="K129" s="749" t="s">
        <v>572</v>
      </c>
      <c r="L129" s="752">
        <v>305.21968313516811</v>
      </c>
      <c r="M129" s="752">
        <v>2</v>
      </c>
      <c r="N129" s="753">
        <v>610.43936627033622</v>
      </c>
    </row>
    <row r="130" spans="1:14" ht="14.45" customHeight="1" x14ac:dyDescent="0.2">
      <c r="A130" s="747" t="s">
        <v>570</v>
      </c>
      <c r="B130" s="748" t="s">
        <v>571</v>
      </c>
      <c r="C130" s="749" t="s">
        <v>596</v>
      </c>
      <c r="D130" s="750" t="s">
        <v>597</v>
      </c>
      <c r="E130" s="751">
        <v>50113001</v>
      </c>
      <c r="F130" s="750" t="s">
        <v>602</v>
      </c>
      <c r="G130" s="749" t="s">
        <v>603</v>
      </c>
      <c r="H130" s="749">
        <v>921573</v>
      </c>
      <c r="I130" s="749">
        <v>0</v>
      </c>
      <c r="J130" s="749" t="s">
        <v>790</v>
      </c>
      <c r="K130" s="749" t="s">
        <v>572</v>
      </c>
      <c r="L130" s="752">
        <v>333.54497010487461</v>
      </c>
      <c r="M130" s="752">
        <v>3</v>
      </c>
      <c r="N130" s="753">
        <v>1000.6349103146239</v>
      </c>
    </row>
    <row r="131" spans="1:14" ht="14.45" customHeight="1" x14ac:dyDescent="0.2">
      <c r="A131" s="747" t="s">
        <v>570</v>
      </c>
      <c r="B131" s="748" t="s">
        <v>571</v>
      </c>
      <c r="C131" s="749" t="s">
        <v>596</v>
      </c>
      <c r="D131" s="750" t="s">
        <v>597</v>
      </c>
      <c r="E131" s="751">
        <v>50113001</v>
      </c>
      <c r="F131" s="750" t="s">
        <v>602</v>
      </c>
      <c r="G131" s="749" t="s">
        <v>603</v>
      </c>
      <c r="H131" s="749">
        <v>921319</v>
      </c>
      <c r="I131" s="749">
        <v>0</v>
      </c>
      <c r="J131" s="749" t="s">
        <v>791</v>
      </c>
      <c r="K131" s="749" t="s">
        <v>572</v>
      </c>
      <c r="L131" s="752">
        <v>402.08883616025031</v>
      </c>
      <c r="M131" s="752">
        <v>1</v>
      </c>
      <c r="N131" s="753">
        <v>402.08883616025031</v>
      </c>
    </row>
    <row r="132" spans="1:14" ht="14.45" customHeight="1" x14ac:dyDescent="0.2">
      <c r="A132" s="747" t="s">
        <v>570</v>
      </c>
      <c r="B132" s="748" t="s">
        <v>571</v>
      </c>
      <c r="C132" s="749" t="s">
        <v>596</v>
      </c>
      <c r="D132" s="750" t="s">
        <v>597</v>
      </c>
      <c r="E132" s="751">
        <v>50113001</v>
      </c>
      <c r="F132" s="750" t="s">
        <v>602</v>
      </c>
      <c r="G132" s="749" t="s">
        <v>603</v>
      </c>
      <c r="H132" s="749">
        <v>921412</v>
      </c>
      <c r="I132" s="749">
        <v>0</v>
      </c>
      <c r="J132" s="749" t="s">
        <v>637</v>
      </c>
      <c r="K132" s="749" t="s">
        <v>572</v>
      </c>
      <c r="L132" s="752">
        <v>58.454599514820579</v>
      </c>
      <c r="M132" s="752">
        <v>52</v>
      </c>
      <c r="N132" s="753">
        <v>3039.6391747706703</v>
      </c>
    </row>
    <row r="133" spans="1:14" ht="14.45" customHeight="1" x14ac:dyDescent="0.2">
      <c r="A133" s="747" t="s">
        <v>570</v>
      </c>
      <c r="B133" s="748" t="s">
        <v>571</v>
      </c>
      <c r="C133" s="749" t="s">
        <v>596</v>
      </c>
      <c r="D133" s="750" t="s">
        <v>597</v>
      </c>
      <c r="E133" s="751">
        <v>50113001</v>
      </c>
      <c r="F133" s="750" t="s">
        <v>602</v>
      </c>
      <c r="G133" s="749" t="s">
        <v>603</v>
      </c>
      <c r="H133" s="749">
        <v>921184</v>
      </c>
      <c r="I133" s="749">
        <v>0</v>
      </c>
      <c r="J133" s="749" t="s">
        <v>792</v>
      </c>
      <c r="K133" s="749" t="s">
        <v>572</v>
      </c>
      <c r="L133" s="752">
        <v>62.07508969507824</v>
      </c>
      <c r="M133" s="752">
        <v>41</v>
      </c>
      <c r="N133" s="753">
        <v>2545.078677498208</v>
      </c>
    </row>
    <row r="134" spans="1:14" ht="14.45" customHeight="1" x14ac:dyDescent="0.2">
      <c r="A134" s="747" t="s">
        <v>570</v>
      </c>
      <c r="B134" s="748" t="s">
        <v>571</v>
      </c>
      <c r="C134" s="749" t="s">
        <v>596</v>
      </c>
      <c r="D134" s="750" t="s">
        <v>597</v>
      </c>
      <c r="E134" s="751">
        <v>50113001</v>
      </c>
      <c r="F134" s="750" t="s">
        <v>602</v>
      </c>
      <c r="G134" s="749" t="s">
        <v>603</v>
      </c>
      <c r="H134" s="749">
        <v>920254</v>
      </c>
      <c r="I134" s="749">
        <v>0</v>
      </c>
      <c r="J134" s="749" t="s">
        <v>793</v>
      </c>
      <c r="K134" s="749" t="s">
        <v>572</v>
      </c>
      <c r="L134" s="752">
        <v>61.710000000000015</v>
      </c>
      <c r="M134" s="752">
        <v>1</v>
      </c>
      <c r="N134" s="753">
        <v>61.710000000000015</v>
      </c>
    </row>
    <row r="135" spans="1:14" ht="14.45" customHeight="1" x14ac:dyDescent="0.2">
      <c r="A135" s="747" t="s">
        <v>570</v>
      </c>
      <c r="B135" s="748" t="s">
        <v>571</v>
      </c>
      <c r="C135" s="749" t="s">
        <v>596</v>
      </c>
      <c r="D135" s="750" t="s">
        <v>597</v>
      </c>
      <c r="E135" s="751">
        <v>50113001</v>
      </c>
      <c r="F135" s="750" t="s">
        <v>602</v>
      </c>
      <c r="G135" s="749" t="s">
        <v>603</v>
      </c>
      <c r="H135" s="749">
        <v>185812</v>
      </c>
      <c r="I135" s="749">
        <v>85812</v>
      </c>
      <c r="J135" s="749" t="s">
        <v>794</v>
      </c>
      <c r="K135" s="749" t="s">
        <v>795</v>
      </c>
      <c r="L135" s="752">
        <v>51.909999999999982</v>
      </c>
      <c r="M135" s="752">
        <v>1</v>
      </c>
      <c r="N135" s="753">
        <v>51.909999999999982</v>
      </c>
    </row>
    <row r="136" spans="1:14" ht="14.45" customHeight="1" x14ac:dyDescent="0.2">
      <c r="A136" s="747" t="s">
        <v>570</v>
      </c>
      <c r="B136" s="748" t="s">
        <v>571</v>
      </c>
      <c r="C136" s="749" t="s">
        <v>596</v>
      </c>
      <c r="D136" s="750" t="s">
        <v>597</v>
      </c>
      <c r="E136" s="751">
        <v>50113001</v>
      </c>
      <c r="F136" s="750" t="s">
        <v>602</v>
      </c>
      <c r="G136" s="749" t="s">
        <v>603</v>
      </c>
      <c r="H136" s="749">
        <v>189997</v>
      </c>
      <c r="I136" s="749">
        <v>89997</v>
      </c>
      <c r="J136" s="749" t="s">
        <v>639</v>
      </c>
      <c r="K136" s="749" t="s">
        <v>640</v>
      </c>
      <c r="L136" s="752">
        <v>178.77571428571426</v>
      </c>
      <c r="M136" s="752">
        <v>28</v>
      </c>
      <c r="N136" s="753">
        <v>5005.7199999999993</v>
      </c>
    </row>
    <row r="137" spans="1:14" ht="14.45" customHeight="1" x14ac:dyDescent="0.2">
      <c r="A137" s="747" t="s">
        <v>570</v>
      </c>
      <c r="B137" s="748" t="s">
        <v>571</v>
      </c>
      <c r="C137" s="749" t="s">
        <v>596</v>
      </c>
      <c r="D137" s="750" t="s">
        <v>597</v>
      </c>
      <c r="E137" s="751">
        <v>50113001</v>
      </c>
      <c r="F137" s="750" t="s">
        <v>602</v>
      </c>
      <c r="G137" s="749" t="s">
        <v>603</v>
      </c>
      <c r="H137" s="749">
        <v>184449</v>
      </c>
      <c r="I137" s="749">
        <v>84449</v>
      </c>
      <c r="J137" s="749" t="s">
        <v>796</v>
      </c>
      <c r="K137" s="749" t="s">
        <v>797</v>
      </c>
      <c r="L137" s="752">
        <v>86.990000000000009</v>
      </c>
      <c r="M137" s="752">
        <v>2</v>
      </c>
      <c r="N137" s="753">
        <v>173.98000000000002</v>
      </c>
    </row>
    <row r="138" spans="1:14" ht="14.45" customHeight="1" x14ac:dyDescent="0.2">
      <c r="A138" s="747" t="s">
        <v>570</v>
      </c>
      <c r="B138" s="748" t="s">
        <v>571</v>
      </c>
      <c r="C138" s="749" t="s">
        <v>596</v>
      </c>
      <c r="D138" s="750" t="s">
        <v>597</v>
      </c>
      <c r="E138" s="751">
        <v>50113001</v>
      </c>
      <c r="F138" s="750" t="s">
        <v>602</v>
      </c>
      <c r="G138" s="749" t="s">
        <v>603</v>
      </c>
      <c r="H138" s="749">
        <v>100498</v>
      </c>
      <c r="I138" s="749">
        <v>498</v>
      </c>
      <c r="J138" s="749" t="s">
        <v>798</v>
      </c>
      <c r="K138" s="749" t="s">
        <v>799</v>
      </c>
      <c r="L138" s="752">
        <v>108.66937499999997</v>
      </c>
      <c r="M138" s="752">
        <v>16</v>
      </c>
      <c r="N138" s="753">
        <v>1738.7099999999996</v>
      </c>
    </row>
    <row r="139" spans="1:14" ht="14.45" customHeight="1" x14ac:dyDescent="0.2">
      <c r="A139" s="747" t="s">
        <v>570</v>
      </c>
      <c r="B139" s="748" t="s">
        <v>571</v>
      </c>
      <c r="C139" s="749" t="s">
        <v>596</v>
      </c>
      <c r="D139" s="750" t="s">
        <v>597</v>
      </c>
      <c r="E139" s="751">
        <v>50113001</v>
      </c>
      <c r="F139" s="750" t="s">
        <v>602</v>
      </c>
      <c r="G139" s="749" t="s">
        <v>603</v>
      </c>
      <c r="H139" s="749">
        <v>237329</v>
      </c>
      <c r="I139" s="749">
        <v>237329</v>
      </c>
      <c r="J139" s="749" t="s">
        <v>798</v>
      </c>
      <c r="K139" s="749" t="s">
        <v>799</v>
      </c>
      <c r="L139" s="752">
        <v>108.64</v>
      </c>
      <c r="M139" s="752">
        <v>2</v>
      </c>
      <c r="N139" s="753">
        <v>217.28</v>
      </c>
    </row>
    <row r="140" spans="1:14" ht="14.45" customHeight="1" x14ac:dyDescent="0.2">
      <c r="A140" s="747" t="s">
        <v>570</v>
      </c>
      <c r="B140" s="748" t="s">
        <v>571</v>
      </c>
      <c r="C140" s="749" t="s">
        <v>596</v>
      </c>
      <c r="D140" s="750" t="s">
        <v>597</v>
      </c>
      <c r="E140" s="751">
        <v>50113001</v>
      </c>
      <c r="F140" s="750" t="s">
        <v>602</v>
      </c>
      <c r="G140" s="749" t="s">
        <v>603</v>
      </c>
      <c r="H140" s="749">
        <v>102684</v>
      </c>
      <c r="I140" s="749">
        <v>2684</v>
      </c>
      <c r="J140" s="749" t="s">
        <v>641</v>
      </c>
      <c r="K140" s="749" t="s">
        <v>642</v>
      </c>
      <c r="L140" s="752">
        <v>109.66000000000001</v>
      </c>
      <c r="M140" s="752">
        <v>6</v>
      </c>
      <c r="N140" s="753">
        <v>657.96</v>
      </c>
    </row>
    <row r="141" spans="1:14" ht="14.45" customHeight="1" x14ac:dyDescent="0.2">
      <c r="A141" s="747" t="s">
        <v>570</v>
      </c>
      <c r="B141" s="748" t="s">
        <v>571</v>
      </c>
      <c r="C141" s="749" t="s">
        <v>596</v>
      </c>
      <c r="D141" s="750" t="s">
        <v>597</v>
      </c>
      <c r="E141" s="751">
        <v>50113001</v>
      </c>
      <c r="F141" s="750" t="s">
        <v>602</v>
      </c>
      <c r="G141" s="749" t="s">
        <v>676</v>
      </c>
      <c r="H141" s="749">
        <v>127738</v>
      </c>
      <c r="I141" s="749">
        <v>127738</v>
      </c>
      <c r="J141" s="749" t="s">
        <v>800</v>
      </c>
      <c r="K141" s="749" t="s">
        <v>801</v>
      </c>
      <c r="L141" s="752">
        <v>108.09100000000001</v>
      </c>
      <c r="M141" s="752">
        <v>10</v>
      </c>
      <c r="N141" s="753">
        <v>1080.9100000000001</v>
      </c>
    </row>
    <row r="142" spans="1:14" ht="14.45" customHeight="1" x14ac:dyDescent="0.2">
      <c r="A142" s="747" t="s">
        <v>570</v>
      </c>
      <c r="B142" s="748" t="s">
        <v>571</v>
      </c>
      <c r="C142" s="749" t="s">
        <v>596</v>
      </c>
      <c r="D142" s="750" t="s">
        <v>597</v>
      </c>
      <c r="E142" s="751">
        <v>50113001</v>
      </c>
      <c r="F142" s="750" t="s">
        <v>602</v>
      </c>
      <c r="G142" s="749" t="s">
        <v>676</v>
      </c>
      <c r="H142" s="749">
        <v>127737</v>
      </c>
      <c r="I142" s="749">
        <v>127737</v>
      </c>
      <c r="J142" s="749" t="s">
        <v>802</v>
      </c>
      <c r="K142" s="749" t="s">
        <v>803</v>
      </c>
      <c r="L142" s="752">
        <v>67.320000000000007</v>
      </c>
      <c r="M142" s="752">
        <v>1</v>
      </c>
      <c r="N142" s="753">
        <v>67.320000000000007</v>
      </c>
    </row>
    <row r="143" spans="1:14" ht="14.45" customHeight="1" x14ac:dyDescent="0.2">
      <c r="A143" s="747" t="s">
        <v>570</v>
      </c>
      <c r="B143" s="748" t="s">
        <v>571</v>
      </c>
      <c r="C143" s="749" t="s">
        <v>596</v>
      </c>
      <c r="D143" s="750" t="s">
        <v>597</v>
      </c>
      <c r="E143" s="751">
        <v>50113001</v>
      </c>
      <c r="F143" s="750" t="s">
        <v>602</v>
      </c>
      <c r="G143" s="749" t="s">
        <v>603</v>
      </c>
      <c r="H143" s="749">
        <v>109493</v>
      </c>
      <c r="I143" s="749">
        <v>109493</v>
      </c>
      <c r="J143" s="749" t="s">
        <v>804</v>
      </c>
      <c r="K143" s="749" t="s">
        <v>805</v>
      </c>
      <c r="L143" s="752">
        <v>160.16</v>
      </c>
      <c r="M143" s="752">
        <v>5</v>
      </c>
      <c r="N143" s="753">
        <v>800.8</v>
      </c>
    </row>
    <row r="144" spans="1:14" ht="14.45" customHeight="1" x14ac:dyDescent="0.2">
      <c r="A144" s="747" t="s">
        <v>570</v>
      </c>
      <c r="B144" s="748" t="s">
        <v>571</v>
      </c>
      <c r="C144" s="749" t="s">
        <v>596</v>
      </c>
      <c r="D144" s="750" t="s">
        <v>597</v>
      </c>
      <c r="E144" s="751">
        <v>50113001</v>
      </c>
      <c r="F144" s="750" t="s">
        <v>602</v>
      </c>
      <c r="G144" s="749" t="s">
        <v>572</v>
      </c>
      <c r="H144" s="749">
        <v>224479</v>
      </c>
      <c r="I144" s="749">
        <v>224479</v>
      </c>
      <c r="J144" s="749" t="s">
        <v>806</v>
      </c>
      <c r="K144" s="749" t="s">
        <v>807</v>
      </c>
      <c r="L144" s="752">
        <v>224.11</v>
      </c>
      <c r="M144" s="752">
        <v>2</v>
      </c>
      <c r="N144" s="753">
        <v>448.22</v>
      </c>
    </row>
    <row r="145" spans="1:14" ht="14.45" customHeight="1" x14ac:dyDescent="0.2">
      <c r="A145" s="747" t="s">
        <v>570</v>
      </c>
      <c r="B145" s="748" t="s">
        <v>571</v>
      </c>
      <c r="C145" s="749" t="s">
        <v>596</v>
      </c>
      <c r="D145" s="750" t="s">
        <v>597</v>
      </c>
      <c r="E145" s="751">
        <v>50113001</v>
      </c>
      <c r="F145" s="750" t="s">
        <v>602</v>
      </c>
      <c r="G145" s="749" t="s">
        <v>603</v>
      </c>
      <c r="H145" s="749">
        <v>501637</v>
      </c>
      <c r="I145" s="749">
        <v>0</v>
      </c>
      <c r="J145" s="749" t="s">
        <v>808</v>
      </c>
      <c r="K145" s="749" t="s">
        <v>572</v>
      </c>
      <c r="L145" s="752">
        <v>8.3006666666666664</v>
      </c>
      <c r="M145" s="752">
        <v>1</v>
      </c>
      <c r="N145" s="753">
        <v>8.3006666666666664</v>
      </c>
    </row>
    <row r="146" spans="1:14" ht="14.45" customHeight="1" x14ac:dyDescent="0.2">
      <c r="A146" s="747" t="s">
        <v>570</v>
      </c>
      <c r="B146" s="748" t="s">
        <v>571</v>
      </c>
      <c r="C146" s="749" t="s">
        <v>596</v>
      </c>
      <c r="D146" s="750" t="s">
        <v>597</v>
      </c>
      <c r="E146" s="751">
        <v>50113001</v>
      </c>
      <c r="F146" s="750" t="s">
        <v>602</v>
      </c>
      <c r="G146" s="749" t="s">
        <v>603</v>
      </c>
      <c r="H146" s="749">
        <v>502030</v>
      </c>
      <c r="I146" s="749">
        <v>99999</v>
      </c>
      <c r="J146" s="749" t="s">
        <v>809</v>
      </c>
      <c r="K146" s="749" t="s">
        <v>810</v>
      </c>
      <c r="L146" s="752">
        <v>1342.7650000000001</v>
      </c>
      <c r="M146" s="752">
        <v>1.2</v>
      </c>
      <c r="N146" s="753">
        <v>1611.318</v>
      </c>
    </row>
    <row r="147" spans="1:14" ht="14.45" customHeight="1" x14ac:dyDescent="0.2">
      <c r="A147" s="747" t="s">
        <v>570</v>
      </c>
      <c r="B147" s="748" t="s">
        <v>571</v>
      </c>
      <c r="C147" s="749" t="s">
        <v>596</v>
      </c>
      <c r="D147" s="750" t="s">
        <v>597</v>
      </c>
      <c r="E147" s="751">
        <v>50113001</v>
      </c>
      <c r="F147" s="750" t="s">
        <v>602</v>
      </c>
      <c r="G147" s="749" t="s">
        <v>603</v>
      </c>
      <c r="H147" s="749">
        <v>119686</v>
      </c>
      <c r="I147" s="749">
        <v>119686</v>
      </c>
      <c r="J147" s="749" t="s">
        <v>811</v>
      </c>
      <c r="K147" s="749" t="s">
        <v>812</v>
      </c>
      <c r="L147" s="752">
        <v>58.509444444444433</v>
      </c>
      <c r="M147" s="752">
        <v>18</v>
      </c>
      <c r="N147" s="753">
        <v>1053.1699999999998</v>
      </c>
    </row>
    <row r="148" spans="1:14" ht="14.45" customHeight="1" x14ac:dyDescent="0.2">
      <c r="A148" s="747" t="s">
        <v>570</v>
      </c>
      <c r="B148" s="748" t="s">
        <v>571</v>
      </c>
      <c r="C148" s="749" t="s">
        <v>596</v>
      </c>
      <c r="D148" s="750" t="s">
        <v>597</v>
      </c>
      <c r="E148" s="751">
        <v>50113001</v>
      </c>
      <c r="F148" s="750" t="s">
        <v>602</v>
      </c>
      <c r="G148" s="749" t="s">
        <v>603</v>
      </c>
      <c r="H148" s="749">
        <v>100513</v>
      </c>
      <c r="I148" s="749">
        <v>513</v>
      </c>
      <c r="J148" s="749" t="s">
        <v>813</v>
      </c>
      <c r="K148" s="749" t="s">
        <v>799</v>
      </c>
      <c r="L148" s="752">
        <v>56.756874999999994</v>
      </c>
      <c r="M148" s="752">
        <v>32</v>
      </c>
      <c r="N148" s="753">
        <v>1816.2199999999998</v>
      </c>
    </row>
    <row r="149" spans="1:14" ht="14.45" customHeight="1" x14ac:dyDescent="0.2">
      <c r="A149" s="747" t="s">
        <v>570</v>
      </c>
      <c r="B149" s="748" t="s">
        <v>571</v>
      </c>
      <c r="C149" s="749" t="s">
        <v>596</v>
      </c>
      <c r="D149" s="750" t="s">
        <v>597</v>
      </c>
      <c r="E149" s="751">
        <v>50113001</v>
      </c>
      <c r="F149" s="750" t="s">
        <v>602</v>
      </c>
      <c r="G149" s="749" t="s">
        <v>603</v>
      </c>
      <c r="H149" s="749">
        <v>501605</v>
      </c>
      <c r="I149" s="749">
        <v>0</v>
      </c>
      <c r="J149" s="749" t="s">
        <v>814</v>
      </c>
      <c r="K149" s="749" t="s">
        <v>815</v>
      </c>
      <c r="L149" s="752">
        <v>2984.96</v>
      </c>
      <c r="M149" s="752">
        <v>2</v>
      </c>
      <c r="N149" s="753">
        <v>5969.92</v>
      </c>
    </row>
    <row r="150" spans="1:14" ht="14.45" customHeight="1" x14ac:dyDescent="0.2">
      <c r="A150" s="747" t="s">
        <v>570</v>
      </c>
      <c r="B150" s="748" t="s">
        <v>571</v>
      </c>
      <c r="C150" s="749" t="s">
        <v>596</v>
      </c>
      <c r="D150" s="750" t="s">
        <v>597</v>
      </c>
      <c r="E150" s="751">
        <v>50113001</v>
      </c>
      <c r="F150" s="750" t="s">
        <v>602</v>
      </c>
      <c r="G150" s="749" t="s">
        <v>603</v>
      </c>
      <c r="H150" s="749">
        <v>226003</v>
      </c>
      <c r="I150" s="749">
        <v>226003</v>
      </c>
      <c r="J150" s="749" t="s">
        <v>816</v>
      </c>
      <c r="K150" s="749" t="s">
        <v>817</v>
      </c>
      <c r="L150" s="752">
        <v>226.68</v>
      </c>
      <c r="M150" s="752">
        <v>1</v>
      </c>
      <c r="N150" s="753">
        <v>226.68</v>
      </c>
    </row>
    <row r="151" spans="1:14" ht="14.45" customHeight="1" x14ac:dyDescent="0.2">
      <c r="A151" s="747" t="s">
        <v>570</v>
      </c>
      <c r="B151" s="748" t="s">
        <v>571</v>
      </c>
      <c r="C151" s="749" t="s">
        <v>596</v>
      </c>
      <c r="D151" s="750" t="s">
        <v>597</v>
      </c>
      <c r="E151" s="751">
        <v>50113001</v>
      </c>
      <c r="F151" s="750" t="s">
        <v>602</v>
      </c>
      <c r="G151" s="749" t="s">
        <v>676</v>
      </c>
      <c r="H151" s="749">
        <v>140361</v>
      </c>
      <c r="I151" s="749">
        <v>40361</v>
      </c>
      <c r="J151" s="749" t="s">
        <v>818</v>
      </c>
      <c r="K151" s="749" t="s">
        <v>819</v>
      </c>
      <c r="L151" s="752">
        <v>226.68</v>
      </c>
      <c r="M151" s="752">
        <v>1</v>
      </c>
      <c r="N151" s="753">
        <v>226.68</v>
      </c>
    </row>
    <row r="152" spans="1:14" ht="14.45" customHeight="1" x14ac:dyDescent="0.2">
      <c r="A152" s="747" t="s">
        <v>570</v>
      </c>
      <c r="B152" s="748" t="s">
        <v>571</v>
      </c>
      <c r="C152" s="749" t="s">
        <v>596</v>
      </c>
      <c r="D152" s="750" t="s">
        <v>597</v>
      </c>
      <c r="E152" s="751">
        <v>50113001</v>
      </c>
      <c r="F152" s="750" t="s">
        <v>602</v>
      </c>
      <c r="G152" s="749" t="s">
        <v>603</v>
      </c>
      <c r="H152" s="749">
        <v>100536</v>
      </c>
      <c r="I152" s="749">
        <v>536</v>
      </c>
      <c r="J152" s="749" t="s">
        <v>820</v>
      </c>
      <c r="K152" s="749" t="s">
        <v>605</v>
      </c>
      <c r="L152" s="752">
        <v>140.10888888888888</v>
      </c>
      <c r="M152" s="752">
        <v>18</v>
      </c>
      <c r="N152" s="753">
        <v>2521.96</v>
      </c>
    </row>
    <row r="153" spans="1:14" ht="14.45" customHeight="1" x14ac:dyDescent="0.2">
      <c r="A153" s="747" t="s">
        <v>570</v>
      </c>
      <c r="B153" s="748" t="s">
        <v>571</v>
      </c>
      <c r="C153" s="749" t="s">
        <v>596</v>
      </c>
      <c r="D153" s="750" t="s">
        <v>597</v>
      </c>
      <c r="E153" s="751">
        <v>50113001</v>
      </c>
      <c r="F153" s="750" t="s">
        <v>602</v>
      </c>
      <c r="G153" s="749" t="s">
        <v>676</v>
      </c>
      <c r="H153" s="749">
        <v>107981</v>
      </c>
      <c r="I153" s="749">
        <v>7981</v>
      </c>
      <c r="J153" s="749" t="s">
        <v>821</v>
      </c>
      <c r="K153" s="749" t="s">
        <v>822</v>
      </c>
      <c r="L153" s="752">
        <v>50.639999999999979</v>
      </c>
      <c r="M153" s="752">
        <v>1</v>
      </c>
      <c r="N153" s="753">
        <v>50.639999999999979</v>
      </c>
    </row>
    <row r="154" spans="1:14" ht="14.45" customHeight="1" x14ac:dyDescent="0.2">
      <c r="A154" s="747" t="s">
        <v>570</v>
      </c>
      <c r="B154" s="748" t="s">
        <v>571</v>
      </c>
      <c r="C154" s="749" t="s">
        <v>596</v>
      </c>
      <c r="D154" s="750" t="s">
        <v>597</v>
      </c>
      <c r="E154" s="751">
        <v>50113001</v>
      </c>
      <c r="F154" s="750" t="s">
        <v>602</v>
      </c>
      <c r="G154" s="749" t="s">
        <v>603</v>
      </c>
      <c r="H154" s="749">
        <v>845031</v>
      </c>
      <c r="I154" s="749">
        <v>101113</v>
      </c>
      <c r="J154" s="749" t="s">
        <v>823</v>
      </c>
      <c r="K154" s="749" t="s">
        <v>824</v>
      </c>
      <c r="L154" s="752">
        <v>81.675000000000011</v>
      </c>
      <c r="M154" s="752">
        <v>2</v>
      </c>
      <c r="N154" s="753">
        <v>163.35000000000002</v>
      </c>
    </row>
    <row r="155" spans="1:14" ht="14.45" customHeight="1" x14ac:dyDescent="0.2">
      <c r="A155" s="747" t="s">
        <v>570</v>
      </c>
      <c r="B155" s="748" t="s">
        <v>571</v>
      </c>
      <c r="C155" s="749" t="s">
        <v>596</v>
      </c>
      <c r="D155" s="750" t="s">
        <v>597</v>
      </c>
      <c r="E155" s="751">
        <v>50113001</v>
      </c>
      <c r="F155" s="750" t="s">
        <v>602</v>
      </c>
      <c r="G155" s="749" t="s">
        <v>603</v>
      </c>
      <c r="H155" s="749">
        <v>100874</v>
      </c>
      <c r="I155" s="749">
        <v>874</v>
      </c>
      <c r="J155" s="749" t="s">
        <v>825</v>
      </c>
      <c r="K155" s="749" t="s">
        <v>666</v>
      </c>
      <c r="L155" s="752">
        <v>72.494727272727275</v>
      </c>
      <c r="M155" s="752">
        <v>11</v>
      </c>
      <c r="N155" s="753">
        <v>797.44200000000001</v>
      </c>
    </row>
    <row r="156" spans="1:14" ht="14.45" customHeight="1" x14ac:dyDescent="0.2">
      <c r="A156" s="747" t="s">
        <v>570</v>
      </c>
      <c r="B156" s="748" t="s">
        <v>571</v>
      </c>
      <c r="C156" s="749" t="s">
        <v>596</v>
      </c>
      <c r="D156" s="750" t="s">
        <v>597</v>
      </c>
      <c r="E156" s="751">
        <v>50113001</v>
      </c>
      <c r="F156" s="750" t="s">
        <v>602</v>
      </c>
      <c r="G156" s="749" t="s">
        <v>603</v>
      </c>
      <c r="H156" s="749">
        <v>102668</v>
      </c>
      <c r="I156" s="749">
        <v>2668</v>
      </c>
      <c r="J156" s="749" t="s">
        <v>826</v>
      </c>
      <c r="K156" s="749" t="s">
        <v>827</v>
      </c>
      <c r="L156" s="752">
        <v>33.464999999999996</v>
      </c>
      <c r="M156" s="752">
        <v>4</v>
      </c>
      <c r="N156" s="753">
        <v>133.85999999999999</v>
      </c>
    </row>
    <row r="157" spans="1:14" ht="14.45" customHeight="1" x14ac:dyDescent="0.2">
      <c r="A157" s="747" t="s">
        <v>570</v>
      </c>
      <c r="B157" s="748" t="s">
        <v>571</v>
      </c>
      <c r="C157" s="749" t="s">
        <v>596</v>
      </c>
      <c r="D157" s="750" t="s">
        <v>597</v>
      </c>
      <c r="E157" s="751">
        <v>50113001</v>
      </c>
      <c r="F157" s="750" t="s">
        <v>602</v>
      </c>
      <c r="G157" s="749" t="s">
        <v>603</v>
      </c>
      <c r="H157" s="749">
        <v>200863</v>
      </c>
      <c r="I157" s="749">
        <v>200863</v>
      </c>
      <c r="J157" s="749" t="s">
        <v>645</v>
      </c>
      <c r="K157" s="749" t="s">
        <v>646</v>
      </c>
      <c r="L157" s="752">
        <v>85.697652173913042</v>
      </c>
      <c r="M157" s="752">
        <v>115</v>
      </c>
      <c r="N157" s="753">
        <v>9855.23</v>
      </c>
    </row>
    <row r="158" spans="1:14" ht="14.45" customHeight="1" x14ac:dyDescent="0.2">
      <c r="A158" s="747" t="s">
        <v>570</v>
      </c>
      <c r="B158" s="748" t="s">
        <v>571</v>
      </c>
      <c r="C158" s="749" t="s">
        <v>596</v>
      </c>
      <c r="D158" s="750" t="s">
        <v>597</v>
      </c>
      <c r="E158" s="751">
        <v>50113001</v>
      </c>
      <c r="F158" s="750" t="s">
        <v>602</v>
      </c>
      <c r="G158" s="749" t="s">
        <v>603</v>
      </c>
      <c r="H158" s="749">
        <v>100876</v>
      </c>
      <c r="I158" s="749">
        <v>876</v>
      </c>
      <c r="J158" s="749" t="s">
        <v>645</v>
      </c>
      <c r="K158" s="749" t="s">
        <v>666</v>
      </c>
      <c r="L158" s="752">
        <v>73.7</v>
      </c>
      <c r="M158" s="752">
        <v>2</v>
      </c>
      <c r="N158" s="753">
        <v>147.4</v>
      </c>
    </row>
    <row r="159" spans="1:14" ht="14.45" customHeight="1" x14ac:dyDescent="0.2">
      <c r="A159" s="747" t="s">
        <v>570</v>
      </c>
      <c r="B159" s="748" t="s">
        <v>571</v>
      </c>
      <c r="C159" s="749" t="s">
        <v>596</v>
      </c>
      <c r="D159" s="750" t="s">
        <v>597</v>
      </c>
      <c r="E159" s="751">
        <v>50113001</v>
      </c>
      <c r="F159" s="750" t="s">
        <v>602</v>
      </c>
      <c r="G159" s="749" t="s">
        <v>676</v>
      </c>
      <c r="H159" s="749">
        <v>157871</v>
      </c>
      <c r="I159" s="749">
        <v>157871</v>
      </c>
      <c r="J159" s="749" t="s">
        <v>828</v>
      </c>
      <c r="K159" s="749" t="s">
        <v>829</v>
      </c>
      <c r="L159" s="752">
        <v>170.5</v>
      </c>
      <c r="M159" s="752">
        <v>8</v>
      </c>
      <c r="N159" s="753">
        <v>1364</v>
      </c>
    </row>
    <row r="160" spans="1:14" ht="14.45" customHeight="1" x14ac:dyDescent="0.2">
      <c r="A160" s="747" t="s">
        <v>570</v>
      </c>
      <c r="B160" s="748" t="s">
        <v>571</v>
      </c>
      <c r="C160" s="749" t="s">
        <v>596</v>
      </c>
      <c r="D160" s="750" t="s">
        <v>597</v>
      </c>
      <c r="E160" s="751">
        <v>50113001</v>
      </c>
      <c r="F160" s="750" t="s">
        <v>602</v>
      </c>
      <c r="G160" s="749" t="s">
        <v>603</v>
      </c>
      <c r="H160" s="749">
        <v>226693</v>
      </c>
      <c r="I160" s="749">
        <v>226693</v>
      </c>
      <c r="J160" s="749" t="s">
        <v>830</v>
      </c>
      <c r="K160" s="749" t="s">
        <v>831</v>
      </c>
      <c r="L160" s="752">
        <v>19.70333333333333</v>
      </c>
      <c r="M160" s="752">
        <v>3</v>
      </c>
      <c r="N160" s="753">
        <v>59.109999999999985</v>
      </c>
    </row>
    <row r="161" spans="1:14" ht="14.45" customHeight="1" x14ac:dyDescent="0.2">
      <c r="A161" s="747" t="s">
        <v>570</v>
      </c>
      <c r="B161" s="748" t="s">
        <v>571</v>
      </c>
      <c r="C161" s="749" t="s">
        <v>596</v>
      </c>
      <c r="D161" s="750" t="s">
        <v>597</v>
      </c>
      <c r="E161" s="751">
        <v>50113001</v>
      </c>
      <c r="F161" s="750" t="s">
        <v>602</v>
      </c>
      <c r="G161" s="749" t="s">
        <v>603</v>
      </c>
      <c r="H161" s="749">
        <v>397593</v>
      </c>
      <c r="I161" s="749">
        <v>0</v>
      </c>
      <c r="J161" s="749" t="s">
        <v>832</v>
      </c>
      <c r="K161" s="749" t="s">
        <v>572</v>
      </c>
      <c r="L161" s="752">
        <v>1471.19</v>
      </c>
      <c r="M161" s="752">
        <v>1</v>
      </c>
      <c r="N161" s="753">
        <v>1471.19</v>
      </c>
    </row>
    <row r="162" spans="1:14" ht="14.45" customHeight="1" x14ac:dyDescent="0.2">
      <c r="A162" s="747" t="s">
        <v>570</v>
      </c>
      <c r="B162" s="748" t="s">
        <v>571</v>
      </c>
      <c r="C162" s="749" t="s">
        <v>596</v>
      </c>
      <c r="D162" s="750" t="s">
        <v>597</v>
      </c>
      <c r="E162" s="751">
        <v>50113001</v>
      </c>
      <c r="F162" s="750" t="s">
        <v>602</v>
      </c>
      <c r="G162" s="749" t="s">
        <v>603</v>
      </c>
      <c r="H162" s="749">
        <v>167679</v>
      </c>
      <c r="I162" s="749">
        <v>167679</v>
      </c>
      <c r="J162" s="749" t="s">
        <v>833</v>
      </c>
      <c r="K162" s="749" t="s">
        <v>834</v>
      </c>
      <c r="L162" s="752">
        <v>7069.8229166666706</v>
      </c>
      <c r="M162" s="752">
        <v>24</v>
      </c>
      <c r="N162" s="753">
        <v>169675.75000000009</v>
      </c>
    </row>
    <row r="163" spans="1:14" ht="14.45" customHeight="1" x14ac:dyDescent="0.2">
      <c r="A163" s="747" t="s">
        <v>570</v>
      </c>
      <c r="B163" s="748" t="s">
        <v>571</v>
      </c>
      <c r="C163" s="749" t="s">
        <v>596</v>
      </c>
      <c r="D163" s="750" t="s">
        <v>597</v>
      </c>
      <c r="E163" s="751">
        <v>50113001</v>
      </c>
      <c r="F163" s="750" t="s">
        <v>602</v>
      </c>
      <c r="G163" s="749" t="s">
        <v>603</v>
      </c>
      <c r="H163" s="749">
        <v>203216</v>
      </c>
      <c r="I163" s="749">
        <v>203216</v>
      </c>
      <c r="J163" s="749" t="s">
        <v>835</v>
      </c>
      <c r="K163" s="749" t="s">
        <v>836</v>
      </c>
      <c r="L163" s="752">
        <v>88.76</v>
      </c>
      <c r="M163" s="752">
        <v>2</v>
      </c>
      <c r="N163" s="753">
        <v>177.52</v>
      </c>
    </row>
    <row r="164" spans="1:14" ht="14.45" customHeight="1" x14ac:dyDescent="0.2">
      <c r="A164" s="747" t="s">
        <v>570</v>
      </c>
      <c r="B164" s="748" t="s">
        <v>571</v>
      </c>
      <c r="C164" s="749" t="s">
        <v>596</v>
      </c>
      <c r="D164" s="750" t="s">
        <v>597</v>
      </c>
      <c r="E164" s="751">
        <v>50113001</v>
      </c>
      <c r="F164" s="750" t="s">
        <v>602</v>
      </c>
      <c r="G164" s="749" t="s">
        <v>603</v>
      </c>
      <c r="H164" s="749">
        <v>849310</v>
      </c>
      <c r="I164" s="749">
        <v>126689</v>
      </c>
      <c r="J164" s="749" t="s">
        <v>837</v>
      </c>
      <c r="K164" s="749" t="s">
        <v>838</v>
      </c>
      <c r="L164" s="752">
        <v>225.46829056558184</v>
      </c>
      <c r="M164" s="752">
        <v>11</v>
      </c>
      <c r="N164" s="753">
        <v>2480.1511962214004</v>
      </c>
    </row>
    <row r="165" spans="1:14" ht="14.45" customHeight="1" x14ac:dyDescent="0.2">
      <c r="A165" s="747" t="s">
        <v>570</v>
      </c>
      <c r="B165" s="748" t="s">
        <v>571</v>
      </c>
      <c r="C165" s="749" t="s">
        <v>596</v>
      </c>
      <c r="D165" s="750" t="s">
        <v>597</v>
      </c>
      <c r="E165" s="751">
        <v>50113001</v>
      </c>
      <c r="F165" s="750" t="s">
        <v>602</v>
      </c>
      <c r="G165" s="749" t="s">
        <v>603</v>
      </c>
      <c r="H165" s="749">
        <v>185256</v>
      </c>
      <c r="I165" s="749">
        <v>85256</v>
      </c>
      <c r="J165" s="749" t="s">
        <v>839</v>
      </c>
      <c r="K165" s="749" t="s">
        <v>840</v>
      </c>
      <c r="L165" s="752">
        <v>29.474285714285713</v>
      </c>
      <c r="M165" s="752">
        <v>7</v>
      </c>
      <c r="N165" s="753">
        <v>206.32</v>
      </c>
    </row>
    <row r="166" spans="1:14" ht="14.45" customHeight="1" x14ac:dyDescent="0.2">
      <c r="A166" s="747" t="s">
        <v>570</v>
      </c>
      <c r="B166" s="748" t="s">
        <v>571</v>
      </c>
      <c r="C166" s="749" t="s">
        <v>596</v>
      </c>
      <c r="D166" s="750" t="s">
        <v>597</v>
      </c>
      <c r="E166" s="751">
        <v>50113001</v>
      </c>
      <c r="F166" s="750" t="s">
        <v>602</v>
      </c>
      <c r="G166" s="749" t="s">
        <v>603</v>
      </c>
      <c r="H166" s="749">
        <v>122629</v>
      </c>
      <c r="I166" s="749">
        <v>122629</v>
      </c>
      <c r="J166" s="749" t="s">
        <v>647</v>
      </c>
      <c r="K166" s="749" t="s">
        <v>648</v>
      </c>
      <c r="L166" s="752">
        <v>68.504800000000003</v>
      </c>
      <c r="M166" s="752">
        <v>50</v>
      </c>
      <c r="N166" s="753">
        <v>3425.2400000000002</v>
      </c>
    </row>
    <row r="167" spans="1:14" ht="14.45" customHeight="1" x14ac:dyDescent="0.2">
      <c r="A167" s="747" t="s">
        <v>570</v>
      </c>
      <c r="B167" s="748" t="s">
        <v>571</v>
      </c>
      <c r="C167" s="749" t="s">
        <v>596</v>
      </c>
      <c r="D167" s="750" t="s">
        <v>597</v>
      </c>
      <c r="E167" s="751">
        <v>50113001</v>
      </c>
      <c r="F167" s="750" t="s">
        <v>602</v>
      </c>
      <c r="G167" s="749" t="s">
        <v>603</v>
      </c>
      <c r="H167" s="749">
        <v>847855</v>
      </c>
      <c r="I167" s="749">
        <v>107826</v>
      </c>
      <c r="J167" s="749" t="s">
        <v>841</v>
      </c>
      <c r="K167" s="749" t="s">
        <v>842</v>
      </c>
      <c r="L167" s="752">
        <v>506.64600000000007</v>
      </c>
      <c r="M167" s="752">
        <v>5</v>
      </c>
      <c r="N167" s="753">
        <v>2533.2300000000005</v>
      </c>
    </row>
    <row r="168" spans="1:14" ht="14.45" customHeight="1" x14ac:dyDescent="0.2">
      <c r="A168" s="747" t="s">
        <v>570</v>
      </c>
      <c r="B168" s="748" t="s">
        <v>571</v>
      </c>
      <c r="C168" s="749" t="s">
        <v>596</v>
      </c>
      <c r="D168" s="750" t="s">
        <v>597</v>
      </c>
      <c r="E168" s="751">
        <v>50113001</v>
      </c>
      <c r="F168" s="750" t="s">
        <v>602</v>
      </c>
      <c r="G168" s="749" t="s">
        <v>603</v>
      </c>
      <c r="H168" s="749">
        <v>194852</v>
      </c>
      <c r="I168" s="749">
        <v>94852</v>
      </c>
      <c r="J168" s="749" t="s">
        <v>843</v>
      </c>
      <c r="K168" s="749" t="s">
        <v>844</v>
      </c>
      <c r="L168" s="752">
        <v>1030.2774999999999</v>
      </c>
      <c r="M168" s="752">
        <v>8</v>
      </c>
      <c r="N168" s="753">
        <v>8242.2199999999993</v>
      </c>
    </row>
    <row r="169" spans="1:14" ht="14.45" customHeight="1" x14ac:dyDescent="0.2">
      <c r="A169" s="747" t="s">
        <v>570</v>
      </c>
      <c r="B169" s="748" t="s">
        <v>571</v>
      </c>
      <c r="C169" s="749" t="s">
        <v>596</v>
      </c>
      <c r="D169" s="750" t="s">
        <v>597</v>
      </c>
      <c r="E169" s="751">
        <v>50113001</v>
      </c>
      <c r="F169" s="750" t="s">
        <v>602</v>
      </c>
      <c r="G169" s="749" t="s">
        <v>676</v>
      </c>
      <c r="H169" s="749">
        <v>849266</v>
      </c>
      <c r="I169" s="749">
        <v>162444</v>
      </c>
      <c r="J169" s="749" t="s">
        <v>845</v>
      </c>
      <c r="K169" s="749" t="s">
        <v>846</v>
      </c>
      <c r="L169" s="752">
        <v>82.055999999999983</v>
      </c>
      <c r="M169" s="752">
        <v>100</v>
      </c>
      <c r="N169" s="753">
        <v>8205.5999999999985</v>
      </c>
    </row>
    <row r="170" spans="1:14" ht="14.45" customHeight="1" x14ac:dyDescent="0.2">
      <c r="A170" s="747" t="s">
        <v>570</v>
      </c>
      <c r="B170" s="748" t="s">
        <v>571</v>
      </c>
      <c r="C170" s="749" t="s">
        <v>596</v>
      </c>
      <c r="D170" s="750" t="s">
        <v>597</v>
      </c>
      <c r="E170" s="751">
        <v>50113001</v>
      </c>
      <c r="F170" s="750" t="s">
        <v>602</v>
      </c>
      <c r="G170" s="749" t="s">
        <v>847</v>
      </c>
      <c r="H170" s="749">
        <v>844387</v>
      </c>
      <c r="I170" s="749">
        <v>0</v>
      </c>
      <c r="J170" s="749" t="s">
        <v>848</v>
      </c>
      <c r="K170" s="749" t="s">
        <v>572</v>
      </c>
      <c r="L170" s="752">
        <v>211.17</v>
      </c>
      <c r="M170" s="752">
        <v>3</v>
      </c>
      <c r="N170" s="753">
        <v>633.51</v>
      </c>
    </row>
    <row r="171" spans="1:14" ht="14.45" customHeight="1" x14ac:dyDescent="0.2">
      <c r="A171" s="747" t="s">
        <v>570</v>
      </c>
      <c r="B171" s="748" t="s">
        <v>571</v>
      </c>
      <c r="C171" s="749" t="s">
        <v>596</v>
      </c>
      <c r="D171" s="750" t="s">
        <v>597</v>
      </c>
      <c r="E171" s="751">
        <v>50113001</v>
      </c>
      <c r="F171" s="750" t="s">
        <v>602</v>
      </c>
      <c r="G171" s="749" t="s">
        <v>603</v>
      </c>
      <c r="H171" s="749">
        <v>993703</v>
      </c>
      <c r="I171" s="749">
        <v>0</v>
      </c>
      <c r="J171" s="749" t="s">
        <v>849</v>
      </c>
      <c r="K171" s="749" t="s">
        <v>572</v>
      </c>
      <c r="L171" s="752">
        <v>152.30282828282827</v>
      </c>
      <c r="M171" s="752">
        <v>99</v>
      </c>
      <c r="N171" s="753">
        <v>15077.98</v>
      </c>
    </row>
    <row r="172" spans="1:14" ht="14.45" customHeight="1" x14ac:dyDescent="0.2">
      <c r="A172" s="747" t="s">
        <v>570</v>
      </c>
      <c r="B172" s="748" t="s">
        <v>571</v>
      </c>
      <c r="C172" s="749" t="s">
        <v>596</v>
      </c>
      <c r="D172" s="750" t="s">
        <v>597</v>
      </c>
      <c r="E172" s="751">
        <v>50113001</v>
      </c>
      <c r="F172" s="750" t="s">
        <v>602</v>
      </c>
      <c r="G172" s="749" t="s">
        <v>603</v>
      </c>
      <c r="H172" s="749">
        <v>104380</v>
      </c>
      <c r="I172" s="749">
        <v>4380</v>
      </c>
      <c r="J172" s="749" t="s">
        <v>850</v>
      </c>
      <c r="K172" s="749" t="s">
        <v>851</v>
      </c>
      <c r="L172" s="752">
        <v>356.19999999999993</v>
      </c>
      <c r="M172" s="752">
        <v>2</v>
      </c>
      <c r="N172" s="753">
        <v>712.39999999999986</v>
      </c>
    </row>
    <row r="173" spans="1:14" ht="14.45" customHeight="1" x14ac:dyDescent="0.2">
      <c r="A173" s="747" t="s">
        <v>570</v>
      </c>
      <c r="B173" s="748" t="s">
        <v>571</v>
      </c>
      <c r="C173" s="749" t="s">
        <v>596</v>
      </c>
      <c r="D173" s="750" t="s">
        <v>597</v>
      </c>
      <c r="E173" s="751">
        <v>50113001</v>
      </c>
      <c r="F173" s="750" t="s">
        <v>602</v>
      </c>
      <c r="G173" s="749" t="s">
        <v>603</v>
      </c>
      <c r="H173" s="749">
        <v>132090</v>
      </c>
      <c r="I173" s="749">
        <v>32090</v>
      </c>
      <c r="J173" s="749" t="s">
        <v>852</v>
      </c>
      <c r="K173" s="749" t="s">
        <v>853</v>
      </c>
      <c r="L173" s="752">
        <v>27.470000000000006</v>
      </c>
      <c r="M173" s="752">
        <v>1</v>
      </c>
      <c r="N173" s="753">
        <v>27.470000000000006</v>
      </c>
    </row>
    <row r="174" spans="1:14" ht="14.45" customHeight="1" x14ac:dyDescent="0.2">
      <c r="A174" s="747" t="s">
        <v>570</v>
      </c>
      <c r="B174" s="748" t="s">
        <v>571</v>
      </c>
      <c r="C174" s="749" t="s">
        <v>596</v>
      </c>
      <c r="D174" s="750" t="s">
        <v>597</v>
      </c>
      <c r="E174" s="751">
        <v>50113001</v>
      </c>
      <c r="F174" s="750" t="s">
        <v>602</v>
      </c>
      <c r="G174" s="749" t="s">
        <v>603</v>
      </c>
      <c r="H174" s="749">
        <v>201134</v>
      </c>
      <c r="I174" s="749">
        <v>201134</v>
      </c>
      <c r="J174" s="749" t="s">
        <v>854</v>
      </c>
      <c r="K174" s="749" t="s">
        <v>855</v>
      </c>
      <c r="L174" s="752">
        <v>68.48</v>
      </c>
      <c r="M174" s="752">
        <v>1</v>
      </c>
      <c r="N174" s="753">
        <v>68.48</v>
      </c>
    </row>
    <row r="175" spans="1:14" ht="14.45" customHeight="1" x14ac:dyDescent="0.2">
      <c r="A175" s="747" t="s">
        <v>570</v>
      </c>
      <c r="B175" s="748" t="s">
        <v>571</v>
      </c>
      <c r="C175" s="749" t="s">
        <v>596</v>
      </c>
      <c r="D175" s="750" t="s">
        <v>597</v>
      </c>
      <c r="E175" s="751">
        <v>50113001</v>
      </c>
      <c r="F175" s="750" t="s">
        <v>602</v>
      </c>
      <c r="G175" s="749" t="s">
        <v>603</v>
      </c>
      <c r="H175" s="749">
        <v>130610</v>
      </c>
      <c r="I175" s="749">
        <v>130610</v>
      </c>
      <c r="J175" s="749" t="s">
        <v>856</v>
      </c>
      <c r="K175" s="749" t="s">
        <v>857</v>
      </c>
      <c r="L175" s="752">
        <v>586.91999999999996</v>
      </c>
      <c r="M175" s="752">
        <v>2</v>
      </c>
      <c r="N175" s="753">
        <v>1173.8399999999999</v>
      </c>
    </row>
    <row r="176" spans="1:14" ht="14.45" customHeight="1" x14ac:dyDescent="0.2">
      <c r="A176" s="747" t="s">
        <v>570</v>
      </c>
      <c r="B176" s="748" t="s">
        <v>571</v>
      </c>
      <c r="C176" s="749" t="s">
        <v>596</v>
      </c>
      <c r="D176" s="750" t="s">
        <v>597</v>
      </c>
      <c r="E176" s="751">
        <v>50113001</v>
      </c>
      <c r="F176" s="750" t="s">
        <v>602</v>
      </c>
      <c r="G176" s="749" t="s">
        <v>676</v>
      </c>
      <c r="H176" s="749">
        <v>131934</v>
      </c>
      <c r="I176" s="749">
        <v>31934</v>
      </c>
      <c r="J176" s="749" t="s">
        <v>858</v>
      </c>
      <c r="K176" s="749" t="s">
        <v>859</v>
      </c>
      <c r="L176" s="752">
        <v>49.817142857142862</v>
      </c>
      <c r="M176" s="752">
        <v>7</v>
      </c>
      <c r="N176" s="753">
        <v>348.72</v>
      </c>
    </row>
    <row r="177" spans="1:14" ht="14.45" customHeight="1" x14ac:dyDescent="0.2">
      <c r="A177" s="747" t="s">
        <v>570</v>
      </c>
      <c r="B177" s="748" t="s">
        <v>571</v>
      </c>
      <c r="C177" s="749" t="s">
        <v>596</v>
      </c>
      <c r="D177" s="750" t="s">
        <v>597</v>
      </c>
      <c r="E177" s="751">
        <v>50113001</v>
      </c>
      <c r="F177" s="750" t="s">
        <v>602</v>
      </c>
      <c r="G177" s="749" t="s">
        <v>603</v>
      </c>
      <c r="H177" s="749">
        <v>184325</v>
      </c>
      <c r="I177" s="749">
        <v>84325</v>
      </c>
      <c r="J177" s="749" t="s">
        <v>649</v>
      </c>
      <c r="K177" s="749" t="s">
        <v>650</v>
      </c>
      <c r="L177" s="752">
        <v>76.75</v>
      </c>
      <c r="M177" s="752">
        <v>1</v>
      </c>
      <c r="N177" s="753">
        <v>76.75</v>
      </c>
    </row>
    <row r="178" spans="1:14" ht="14.45" customHeight="1" x14ac:dyDescent="0.2">
      <c r="A178" s="747" t="s">
        <v>570</v>
      </c>
      <c r="B178" s="748" t="s">
        <v>571</v>
      </c>
      <c r="C178" s="749" t="s">
        <v>596</v>
      </c>
      <c r="D178" s="750" t="s">
        <v>597</v>
      </c>
      <c r="E178" s="751">
        <v>50113001</v>
      </c>
      <c r="F178" s="750" t="s">
        <v>602</v>
      </c>
      <c r="G178" s="749" t="s">
        <v>603</v>
      </c>
      <c r="H178" s="749">
        <v>112023</v>
      </c>
      <c r="I178" s="749">
        <v>12023</v>
      </c>
      <c r="J178" s="749" t="s">
        <v>651</v>
      </c>
      <c r="K178" s="749" t="s">
        <v>652</v>
      </c>
      <c r="L178" s="752">
        <v>74.259838961038952</v>
      </c>
      <c r="M178" s="752">
        <v>25</v>
      </c>
      <c r="N178" s="753">
        <v>1856.495974025974</v>
      </c>
    </row>
    <row r="179" spans="1:14" ht="14.45" customHeight="1" x14ac:dyDescent="0.2">
      <c r="A179" s="747" t="s">
        <v>570</v>
      </c>
      <c r="B179" s="748" t="s">
        <v>571</v>
      </c>
      <c r="C179" s="749" t="s">
        <v>596</v>
      </c>
      <c r="D179" s="750" t="s">
        <v>597</v>
      </c>
      <c r="E179" s="751">
        <v>50113001</v>
      </c>
      <c r="F179" s="750" t="s">
        <v>602</v>
      </c>
      <c r="G179" s="749" t="s">
        <v>603</v>
      </c>
      <c r="H179" s="749">
        <v>840333</v>
      </c>
      <c r="I179" s="749">
        <v>0</v>
      </c>
      <c r="J179" s="749" t="s">
        <v>860</v>
      </c>
      <c r="K179" s="749" t="s">
        <v>572</v>
      </c>
      <c r="L179" s="752">
        <v>23.459999999999997</v>
      </c>
      <c r="M179" s="752">
        <v>6</v>
      </c>
      <c r="N179" s="753">
        <v>140.76</v>
      </c>
    </row>
    <row r="180" spans="1:14" ht="14.45" customHeight="1" x14ac:dyDescent="0.2">
      <c r="A180" s="747" t="s">
        <v>570</v>
      </c>
      <c r="B180" s="748" t="s">
        <v>571</v>
      </c>
      <c r="C180" s="749" t="s">
        <v>596</v>
      </c>
      <c r="D180" s="750" t="s">
        <v>597</v>
      </c>
      <c r="E180" s="751">
        <v>50113001</v>
      </c>
      <c r="F180" s="750" t="s">
        <v>602</v>
      </c>
      <c r="G180" s="749" t="s">
        <v>603</v>
      </c>
      <c r="H180" s="749">
        <v>142594</v>
      </c>
      <c r="I180" s="749">
        <v>42594</v>
      </c>
      <c r="J180" s="749" t="s">
        <v>861</v>
      </c>
      <c r="K180" s="749" t="s">
        <v>862</v>
      </c>
      <c r="L180" s="752">
        <v>900.33</v>
      </c>
      <c r="M180" s="752">
        <v>4</v>
      </c>
      <c r="N180" s="753">
        <v>3601.32</v>
      </c>
    </row>
    <row r="181" spans="1:14" ht="14.45" customHeight="1" x14ac:dyDescent="0.2">
      <c r="A181" s="747" t="s">
        <v>570</v>
      </c>
      <c r="B181" s="748" t="s">
        <v>571</v>
      </c>
      <c r="C181" s="749" t="s">
        <v>596</v>
      </c>
      <c r="D181" s="750" t="s">
        <v>597</v>
      </c>
      <c r="E181" s="751">
        <v>50113001</v>
      </c>
      <c r="F181" s="750" t="s">
        <v>602</v>
      </c>
      <c r="G181" s="749" t="s">
        <v>603</v>
      </c>
      <c r="H181" s="749">
        <v>207604</v>
      </c>
      <c r="I181" s="749">
        <v>207604</v>
      </c>
      <c r="J181" s="749" t="s">
        <v>863</v>
      </c>
      <c r="K181" s="749" t="s">
        <v>840</v>
      </c>
      <c r="L181" s="752">
        <v>75.649999999999991</v>
      </c>
      <c r="M181" s="752">
        <v>3</v>
      </c>
      <c r="N181" s="753">
        <v>226.95</v>
      </c>
    </row>
    <row r="182" spans="1:14" ht="14.45" customHeight="1" x14ac:dyDescent="0.2">
      <c r="A182" s="747" t="s">
        <v>570</v>
      </c>
      <c r="B182" s="748" t="s">
        <v>571</v>
      </c>
      <c r="C182" s="749" t="s">
        <v>596</v>
      </c>
      <c r="D182" s="750" t="s">
        <v>597</v>
      </c>
      <c r="E182" s="751">
        <v>50113001</v>
      </c>
      <c r="F182" s="750" t="s">
        <v>602</v>
      </c>
      <c r="G182" s="749" t="s">
        <v>603</v>
      </c>
      <c r="H182" s="749">
        <v>199814</v>
      </c>
      <c r="I182" s="749">
        <v>99814</v>
      </c>
      <c r="J182" s="749" t="s">
        <v>864</v>
      </c>
      <c r="K182" s="749" t="s">
        <v>865</v>
      </c>
      <c r="L182" s="752">
        <v>321.20000000000005</v>
      </c>
      <c r="M182" s="752">
        <v>34</v>
      </c>
      <c r="N182" s="753">
        <v>10920.800000000001</v>
      </c>
    </row>
    <row r="183" spans="1:14" ht="14.45" customHeight="1" x14ac:dyDescent="0.2">
      <c r="A183" s="747" t="s">
        <v>570</v>
      </c>
      <c r="B183" s="748" t="s">
        <v>571</v>
      </c>
      <c r="C183" s="749" t="s">
        <v>596</v>
      </c>
      <c r="D183" s="750" t="s">
        <v>597</v>
      </c>
      <c r="E183" s="751">
        <v>50113002</v>
      </c>
      <c r="F183" s="750" t="s">
        <v>866</v>
      </c>
      <c r="G183" s="749" t="s">
        <v>603</v>
      </c>
      <c r="H183" s="749">
        <v>116336</v>
      </c>
      <c r="I183" s="749">
        <v>16336</v>
      </c>
      <c r="J183" s="749" t="s">
        <v>867</v>
      </c>
      <c r="K183" s="749" t="s">
        <v>868</v>
      </c>
      <c r="L183" s="752">
        <v>1706.68</v>
      </c>
      <c r="M183" s="752">
        <v>4</v>
      </c>
      <c r="N183" s="753">
        <v>6826.72</v>
      </c>
    </row>
    <row r="184" spans="1:14" ht="14.45" customHeight="1" x14ac:dyDescent="0.2">
      <c r="A184" s="747" t="s">
        <v>570</v>
      </c>
      <c r="B184" s="748" t="s">
        <v>571</v>
      </c>
      <c r="C184" s="749" t="s">
        <v>596</v>
      </c>
      <c r="D184" s="750" t="s">
        <v>597</v>
      </c>
      <c r="E184" s="751">
        <v>50113004</v>
      </c>
      <c r="F184" s="750" t="s">
        <v>869</v>
      </c>
      <c r="G184" s="749" t="s">
        <v>603</v>
      </c>
      <c r="H184" s="749">
        <v>498233</v>
      </c>
      <c r="I184" s="749">
        <v>0</v>
      </c>
      <c r="J184" s="749" t="s">
        <v>870</v>
      </c>
      <c r="K184" s="749" t="s">
        <v>871</v>
      </c>
      <c r="L184" s="752">
        <v>1046.2244310490066</v>
      </c>
      <c r="M184" s="752">
        <v>107</v>
      </c>
      <c r="N184" s="753">
        <v>111946.01412224371</v>
      </c>
    </row>
    <row r="185" spans="1:14" ht="14.45" customHeight="1" x14ac:dyDescent="0.2">
      <c r="A185" s="747" t="s">
        <v>570</v>
      </c>
      <c r="B185" s="748" t="s">
        <v>571</v>
      </c>
      <c r="C185" s="749" t="s">
        <v>596</v>
      </c>
      <c r="D185" s="750" t="s">
        <v>597</v>
      </c>
      <c r="E185" s="751">
        <v>50113004</v>
      </c>
      <c r="F185" s="750" t="s">
        <v>869</v>
      </c>
      <c r="G185" s="749" t="s">
        <v>603</v>
      </c>
      <c r="H185" s="749">
        <v>501547</v>
      </c>
      <c r="I185" s="749">
        <v>0</v>
      </c>
      <c r="J185" s="749" t="s">
        <v>872</v>
      </c>
      <c r="K185" s="749" t="s">
        <v>873</v>
      </c>
      <c r="L185" s="752">
        <v>1206.0392747450978</v>
      </c>
      <c r="M185" s="752">
        <v>51</v>
      </c>
      <c r="N185" s="753">
        <v>61508.003011999994</v>
      </c>
    </row>
    <row r="186" spans="1:14" ht="14.45" customHeight="1" x14ac:dyDescent="0.2">
      <c r="A186" s="747" t="s">
        <v>570</v>
      </c>
      <c r="B186" s="748" t="s">
        <v>571</v>
      </c>
      <c r="C186" s="749" t="s">
        <v>596</v>
      </c>
      <c r="D186" s="750" t="s">
        <v>597</v>
      </c>
      <c r="E186" s="751">
        <v>50113004</v>
      </c>
      <c r="F186" s="750" t="s">
        <v>869</v>
      </c>
      <c r="G186" s="749" t="s">
        <v>603</v>
      </c>
      <c r="H186" s="749">
        <v>501533</v>
      </c>
      <c r="I186" s="749">
        <v>0</v>
      </c>
      <c r="J186" s="749" t="s">
        <v>874</v>
      </c>
      <c r="K186" s="749" t="s">
        <v>875</v>
      </c>
      <c r="L186" s="752">
        <v>579.2599817906837</v>
      </c>
      <c r="M186" s="752">
        <v>263</v>
      </c>
      <c r="N186" s="753">
        <v>152345.3752109498</v>
      </c>
    </row>
    <row r="187" spans="1:14" ht="14.45" customHeight="1" x14ac:dyDescent="0.2">
      <c r="A187" s="747" t="s">
        <v>570</v>
      </c>
      <c r="B187" s="748" t="s">
        <v>571</v>
      </c>
      <c r="C187" s="749" t="s">
        <v>596</v>
      </c>
      <c r="D187" s="750" t="s">
        <v>597</v>
      </c>
      <c r="E187" s="751">
        <v>50113004</v>
      </c>
      <c r="F187" s="750" t="s">
        <v>869</v>
      </c>
      <c r="G187" s="749" t="s">
        <v>603</v>
      </c>
      <c r="H187" s="749">
        <v>501546</v>
      </c>
      <c r="I187" s="749">
        <v>0</v>
      </c>
      <c r="J187" s="749" t="s">
        <v>874</v>
      </c>
      <c r="K187" s="749" t="s">
        <v>876</v>
      </c>
      <c r="L187" s="752">
        <v>851.29308800459773</v>
      </c>
      <c r="M187" s="752">
        <v>145</v>
      </c>
      <c r="N187" s="753">
        <v>123437.49776066667</v>
      </c>
    </row>
    <row r="188" spans="1:14" ht="14.45" customHeight="1" x14ac:dyDescent="0.2">
      <c r="A188" s="747" t="s">
        <v>570</v>
      </c>
      <c r="B188" s="748" t="s">
        <v>571</v>
      </c>
      <c r="C188" s="749" t="s">
        <v>596</v>
      </c>
      <c r="D188" s="750" t="s">
        <v>597</v>
      </c>
      <c r="E188" s="751">
        <v>50113006</v>
      </c>
      <c r="F188" s="750" t="s">
        <v>653</v>
      </c>
      <c r="G188" s="749" t="s">
        <v>603</v>
      </c>
      <c r="H188" s="749">
        <v>993999</v>
      </c>
      <c r="I188" s="749">
        <v>0</v>
      </c>
      <c r="J188" s="749" t="s">
        <v>877</v>
      </c>
      <c r="K188" s="749" t="s">
        <v>572</v>
      </c>
      <c r="L188" s="752">
        <v>1.0000000000000002E-2</v>
      </c>
      <c r="M188" s="752">
        <v>15</v>
      </c>
      <c r="N188" s="753">
        <v>0.15000000000000002</v>
      </c>
    </row>
    <row r="189" spans="1:14" ht="14.45" customHeight="1" x14ac:dyDescent="0.2">
      <c r="A189" s="747" t="s">
        <v>570</v>
      </c>
      <c r="B189" s="748" t="s">
        <v>571</v>
      </c>
      <c r="C189" s="749" t="s">
        <v>596</v>
      </c>
      <c r="D189" s="750" t="s">
        <v>597</v>
      </c>
      <c r="E189" s="751">
        <v>50113006</v>
      </c>
      <c r="F189" s="750" t="s">
        <v>653</v>
      </c>
      <c r="G189" s="749" t="s">
        <v>603</v>
      </c>
      <c r="H189" s="749">
        <v>992251</v>
      </c>
      <c r="I189" s="749">
        <v>0</v>
      </c>
      <c r="J189" s="749" t="s">
        <v>878</v>
      </c>
      <c r="K189" s="749" t="s">
        <v>572</v>
      </c>
      <c r="L189" s="752">
        <v>1195.9523529411763</v>
      </c>
      <c r="M189" s="752">
        <v>51</v>
      </c>
      <c r="N189" s="753">
        <v>60993.569999999985</v>
      </c>
    </row>
    <row r="190" spans="1:14" ht="14.45" customHeight="1" x14ac:dyDescent="0.2">
      <c r="A190" s="747" t="s">
        <v>570</v>
      </c>
      <c r="B190" s="748" t="s">
        <v>571</v>
      </c>
      <c r="C190" s="749" t="s">
        <v>596</v>
      </c>
      <c r="D190" s="750" t="s">
        <v>597</v>
      </c>
      <c r="E190" s="751">
        <v>50113006</v>
      </c>
      <c r="F190" s="750" t="s">
        <v>653</v>
      </c>
      <c r="G190" s="749" t="s">
        <v>603</v>
      </c>
      <c r="H190" s="749">
        <v>990209</v>
      </c>
      <c r="I190" s="749">
        <v>0</v>
      </c>
      <c r="J190" s="749" t="s">
        <v>654</v>
      </c>
      <c r="K190" s="749" t="s">
        <v>572</v>
      </c>
      <c r="L190" s="752">
        <v>699.71851851851841</v>
      </c>
      <c r="M190" s="752">
        <v>27</v>
      </c>
      <c r="N190" s="753">
        <v>18892.399999999998</v>
      </c>
    </row>
    <row r="191" spans="1:14" ht="14.45" customHeight="1" x14ac:dyDescent="0.2">
      <c r="A191" s="747" t="s">
        <v>570</v>
      </c>
      <c r="B191" s="748" t="s">
        <v>571</v>
      </c>
      <c r="C191" s="749" t="s">
        <v>596</v>
      </c>
      <c r="D191" s="750" t="s">
        <v>597</v>
      </c>
      <c r="E191" s="751">
        <v>50113006</v>
      </c>
      <c r="F191" s="750" t="s">
        <v>653</v>
      </c>
      <c r="G191" s="749" t="s">
        <v>603</v>
      </c>
      <c r="H191" s="749">
        <v>993159</v>
      </c>
      <c r="I191" s="749">
        <v>0</v>
      </c>
      <c r="J191" s="749" t="s">
        <v>879</v>
      </c>
      <c r="K191" s="749" t="s">
        <v>572</v>
      </c>
      <c r="L191" s="752">
        <v>456.81200000000001</v>
      </c>
      <c r="M191" s="752">
        <v>5</v>
      </c>
      <c r="N191" s="753">
        <v>2284.06</v>
      </c>
    </row>
    <row r="192" spans="1:14" ht="14.45" customHeight="1" x14ac:dyDescent="0.2">
      <c r="A192" s="747" t="s">
        <v>570</v>
      </c>
      <c r="B192" s="748" t="s">
        <v>571</v>
      </c>
      <c r="C192" s="749" t="s">
        <v>596</v>
      </c>
      <c r="D192" s="750" t="s">
        <v>597</v>
      </c>
      <c r="E192" s="751">
        <v>50113006</v>
      </c>
      <c r="F192" s="750" t="s">
        <v>653</v>
      </c>
      <c r="G192" s="749" t="s">
        <v>603</v>
      </c>
      <c r="H192" s="749">
        <v>992603</v>
      </c>
      <c r="I192" s="749">
        <v>0</v>
      </c>
      <c r="J192" s="749" t="s">
        <v>880</v>
      </c>
      <c r="K192" s="749" t="s">
        <v>572</v>
      </c>
      <c r="L192" s="752">
        <v>272.57222222222219</v>
      </c>
      <c r="M192" s="752">
        <v>90</v>
      </c>
      <c r="N192" s="753">
        <v>24531.5</v>
      </c>
    </row>
    <row r="193" spans="1:14" ht="14.45" customHeight="1" x14ac:dyDescent="0.2">
      <c r="A193" s="747" t="s">
        <v>570</v>
      </c>
      <c r="B193" s="748" t="s">
        <v>571</v>
      </c>
      <c r="C193" s="749" t="s">
        <v>596</v>
      </c>
      <c r="D193" s="750" t="s">
        <v>597</v>
      </c>
      <c r="E193" s="751">
        <v>50113006</v>
      </c>
      <c r="F193" s="750" t="s">
        <v>653</v>
      </c>
      <c r="G193" s="749" t="s">
        <v>603</v>
      </c>
      <c r="H193" s="749">
        <v>992994</v>
      </c>
      <c r="I193" s="749">
        <v>0</v>
      </c>
      <c r="J193" s="749" t="s">
        <v>655</v>
      </c>
      <c r="K193" s="749" t="s">
        <v>572</v>
      </c>
      <c r="L193" s="752">
        <v>412.33512195121938</v>
      </c>
      <c r="M193" s="752">
        <v>41</v>
      </c>
      <c r="N193" s="753">
        <v>16905.739999999994</v>
      </c>
    </row>
    <row r="194" spans="1:14" ht="14.45" customHeight="1" x14ac:dyDescent="0.2">
      <c r="A194" s="747" t="s">
        <v>570</v>
      </c>
      <c r="B194" s="748" t="s">
        <v>571</v>
      </c>
      <c r="C194" s="749" t="s">
        <v>596</v>
      </c>
      <c r="D194" s="750" t="s">
        <v>597</v>
      </c>
      <c r="E194" s="751">
        <v>50113006</v>
      </c>
      <c r="F194" s="750" t="s">
        <v>653</v>
      </c>
      <c r="G194" s="749" t="s">
        <v>603</v>
      </c>
      <c r="H194" s="749">
        <v>990683</v>
      </c>
      <c r="I194" s="749">
        <v>0</v>
      </c>
      <c r="J194" s="749" t="s">
        <v>881</v>
      </c>
      <c r="K194" s="749" t="s">
        <v>572</v>
      </c>
      <c r="L194" s="752">
        <v>407.23400000000004</v>
      </c>
      <c r="M194" s="752">
        <v>5</v>
      </c>
      <c r="N194" s="753">
        <v>2036.17</v>
      </c>
    </row>
    <row r="195" spans="1:14" ht="14.45" customHeight="1" x14ac:dyDescent="0.2">
      <c r="A195" s="747" t="s">
        <v>570</v>
      </c>
      <c r="B195" s="748" t="s">
        <v>571</v>
      </c>
      <c r="C195" s="749" t="s">
        <v>596</v>
      </c>
      <c r="D195" s="750" t="s">
        <v>597</v>
      </c>
      <c r="E195" s="751">
        <v>50113006</v>
      </c>
      <c r="F195" s="750" t="s">
        <v>653</v>
      </c>
      <c r="G195" s="749" t="s">
        <v>603</v>
      </c>
      <c r="H195" s="749">
        <v>990889</v>
      </c>
      <c r="I195" s="749">
        <v>0</v>
      </c>
      <c r="J195" s="749" t="s">
        <v>882</v>
      </c>
      <c r="K195" s="749" t="s">
        <v>572</v>
      </c>
      <c r="L195" s="752">
        <v>412.37000000000006</v>
      </c>
      <c r="M195" s="752">
        <v>12</v>
      </c>
      <c r="N195" s="753">
        <v>4948.4400000000005</v>
      </c>
    </row>
    <row r="196" spans="1:14" ht="14.45" customHeight="1" x14ac:dyDescent="0.2">
      <c r="A196" s="747" t="s">
        <v>570</v>
      </c>
      <c r="B196" s="748" t="s">
        <v>571</v>
      </c>
      <c r="C196" s="749" t="s">
        <v>596</v>
      </c>
      <c r="D196" s="750" t="s">
        <v>597</v>
      </c>
      <c r="E196" s="751">
        <v>50113006</v>
      </c>
      <c r="F196" s="750" t="s">
        <v>653</v>
      </c>
      <c r="G196" s="749" t="s">
        <v>572</v>
      </c>
      <c r="H196" s="749">
        <v>841583</v>
      </c>
      <c r="I196" s="749">
        <v>33218</v>
      </c>
      <c r="J196" s="749" t="s">
        <v>883</v>
      </c>
      <c r="K196" s="749" t="s">
        <v>572</v>
      </c>
      <c r="L196" s="752">
        <v>188.37000000000003</v>
      </c>
      <c r="M196" s="752">
        <v>1</v>
      </c>
      <c r="N196" s="753">
        <v>188.37000000000003</v>
      </c>
    </row>
    <row r="197" spans="1:14" ht="14.45" customHeight="1" x14ac:dyDescent="0.2">
      <c r="A197" s="747" t="s">
        <v>570</v>
      </c>
      <c r="B197" s="748" t="s">
        <v>571</v>
      </c>
      <c r="C197" s="749" t="s">
        <v>596</v>
      </c>
      <c r="D197" s="750" t="s">
        <v>597</v>
      </c>
      <c r="E197" s="751">
        <v>50113006</v>
      </c>
      <c r="F197" s="750" t="s">
        <v>653</v>
      </c>
      <c r="G197" s="749" t="s">
        <v>603</v>
      </c>
      <c r="H197" s="749">
        <v>991186</v>
      </c>
      <c r="I197" s="749">
        <v>0</v>
      </c>
      <c r="J197" s="749" t="s">
        <v>884</v>
      </c>
      <c r="K197" s="749" t="s">
        <v>572</v>
      </c>
      <c r="L197" s="752">
        <v>912.23</v>
      </c>
      <c r="M197" s="752">
        <v>3</v>
      </c>
      <c r="N197" s="753">
        <v>2736.69</v>
      </c>
    </row>
    <row r="198" spans="1:14" ht="14.45" customHeight="1" x14ac:dyDescent="0.2">
      <c r="A198" s="747" t="s">
        <v>570</v>
      </c>
      <c r="B198" s="748" t="s">
        <v>571</v>
      </c>
      <c r="C198" s="749" t="s">
        <v>596</v>
      </c>
      <c r="D198" s="750" t="s">
        <v>597</v>
      </c>
      <c r="E198" s="751">
        <v>50113008</v>
      </c>
      <c r="F198" s="750" t="s">
        <v>885</v>
      </c>
      <c r="G198" s="749"/>
      <c r="H198" s="749"/>
      <c r="I198" s="749">
        <v>223514</v>
      </c>
      <c r="J198" s="749" t="s">
        <v>886</v>
      </c>
      <c r="K198" s="749" t="s">
        <v>887</v>
      </c>
      <c r="L198" s="752">
        <v>137.39000108506946</v>
      </c>
      <c r="M198" s="752">
        <v>54</v>
      </c>
      <c r="N198" s="753">
        <v>7419.06005859375</v>
      </c>
    </row>
    <row r="199" spans="1:14" ht="14.45" customHeight="1" x14ac:dyDescent="0.2">
      <c r="A199" s="747" t="s">
        <v>570</v>
      </c>
      <c r="B199" s="748" t="s">
        <v>571</v>
      </c>
      <c r="C199" s="749" t="s">
        <v>596</v>
      </c>
      <c r="D199" s="750" t="s">
        <v>597</v>
      </c>
      <c r="E199" s="751">
        <v>50113008</v>
      </c>
      <c r="F199" s="750" t="s">
        <v>885</v>
      </c>
      <c r="G199" s="749"/>
      <c r="H199" s="749"/>
      <c r="I199" s="749">
        <v>129056</v>
      </c>
      <c r="J199" s="749" t="s">
        <v>888</v>
      </c>
      <c r="K199" s="749" t="s">
        <v>889</v>
      </c>
      <c r="L199" s="752">
        <v>2168.56005859375</v>
      </c>
      <c r="M199" s="752">
        <v>19</v>
      </c>
      <c r="N199" s="753">
        <v>41202.64111328125</v>
      </c>
    </row>
    <row r="200" spans="1:14" ht="14.45" customHeight="1" x14ac:dyDescent="0.2">
      <c r="A200" s="747" t="s">
        <v>570</v>
      </c>
      <c r="B200" s="748" t="s">
        <v>571</v>
      </c>
      <c r="C200" s="749" t="s">
        <v>596</v>
      </c>
      <c r="D200" s="750" t="s">
        <v>597</v>
      </c>
      <c r="E200" s="751">
        <v>50113011</v>
      </c>
      <c r="F200" s="750" t="s">
        <v>890</v>
      </c>
      <c r="G200" s="749"/>
      <c r="H200" s="749"/>
      <c r="I200" s="749">
        <v>158151</v>
      </c>
      <c r="J200" s="749" t="s">
        <v>891</v>
      </c>
      <c r="K200" s="749" t="s">
        <v>892</v>
      </c>
      <c r="L200" s="752">
        <v>456.5</v>
      </c>
      <c r="M200" s="752">
        <v>1</v>
      </c>
      <c r="N200" s="753">
        <v>456.5</v>
      </c>
    </row>
    <row r="201" spans="1:14" ht="14.45" customHeight="1" x14ac:dyDescent="0.2">
      <c r="A201" s="747" t="s">
        <v>570</v>
      </c>
      <c r="B201" s="748" t="s">
        <v>571</v>
      </c>
      <c r="C201" s="749" t="s">
        <v>596</v>
      </c>
      <c r="D201" s="750" t="s">
        <v>597</v>
      </c>
      <c r="E201" s="751">
        <v>50113013</v>
      </c>
      <c r="F201" s="750" t="s">
        <v>656</v>
      </c>
      <c r="G201" s="749" t="s">
        <v>676</v>
      </c>
      <c r="H201" s="749">
        <v>195147</v>
      </c>
      <c r="I201" s="749">
        <v>195147</v>
      </c>
      <c r="J201" s="749" t="s">
        <v>893</v>
      </c>
      <c r="K201" s="749" t="s">
        <v>894</v>
      </c>
      <c r="L201" s="752">
        <v>680.62666666666667</v>
      </c>
      <c r="M201" s="752">
        <v>3</v>
      </c>
      <c r="N201" s="753">
        <v>2041.8799999999999</v>
      </c>
    </row>
    <row r="202" spans="1:14" ht="14.45" customHeight="1" x14ac:dyDescent="0.2">
      <c r="A202" s="747" t="s">
        <v>570</v>
      </c>
      <c r="B202" s="748" t="s">
        <v>571</v>
      </c>
      <c r="C202" s="749" t="s">
        <v>596</v>
      </c>
      <c r="D202" s="750" t="s">
        <v>597</v>
      </c>
      <c r="E202" s="751">
        <v>50113013</v>
      </c>
      <c r="F202" s="750" t="s">
        <v>656</v>
      </c>
      <c r="G202" s="749" t="s">
        <v>603</v>
      </c>
      <c r="H202" s="749">
        <v>172972</v>
      </c>
      <c r="I202" s="749">
        <v>72972</v>
      </c>
      <c r="J202" s="749" t="s">
        <v>895</v>
      </c>
      <c r="K202" s="749" t="s">
        <v>896</v>
      </c>
      <c r="L202" s="752">
        <v>181.65</v>
      </c>
      <c r="M202" s="752">
        <v>2</v>
      </c>
      <c r="N202" s="753">
        <v>363.3</v>
      </c>
    </row>
    <row r="203" spans="1:14" ht="14.45" customHeight="1" x14ac:dyDescent="0.2">
      <c r="A203" s="747" t="s">
        <v>570</v>
      </c>
      <c r="B203" s="748" t="s">
        <v>571</v>
      </c>
      <c r="C203" s="749" t="s">
        <v>596</v>
      </c>
      <c r="D203" s="750" t="s">
        <v>597</v>
      </c>
      <c r="E203" s="751">
        <v>50113013</v>
      </c>
      <c r="F203" s="750" t="s">
        <v>656</v>
      </c>
      <c r="G203" s="749" t="s">
        <v>603</v>
      </c>
      <c r="H203" s="749">
        <v>72973</v>
      </c>
      <c r="I203" s="749">
        <v>72973</v>
      </c>
      <c r="J203" s="749" t="s">
        <v>897</v>
      </c>
      <c r="K203" s="749" t="s">
        <v>898</v>
      </c>
      <c r="L203" s="752">
        <v>137.56</v>
      </c>
      <c r="M203" s="752">
        <v>8.6</v>
      </c>
      <c r="N203" s="753">
        <v>1183.0160000000001</v>
      </c>
    </row>
    <row r="204" spans="1:14" ht="14.45" customHeight="1" x14ac:dyDescent="0.2">
      <c r="A204" s="747" t="s">
        <v>570</v>
      </c>
      <c r="B204" s="748" t="s">
        <v>571</v>
      </c>
      <c r="C204" s="749" t="s">
        <v>596</v>
      </c>
      <c r="D204" s="750" t="s">
        <v>597</v>
      </c>
      <c r="E204" s="751">
        <v>50113013</v>
      </c>
      <c r="F204" s="750" t="s">
        <v>656</v>
      </c>
      <c r="G204" s="749" t="s">
        <v>603</v>
      </c>
      <c r="H204" s="749">
        <v>201958</v>
      </c>
      <c r="I204" s="749">
        <v>201958</v>
      </c>
      <c r="J204" s="749" t="s">
        <v>657</v>
      </c>
      <c r="K204" s="749" t="s">
        <v>658</v>
      </c>
      <c r="L204" s="752">
        <v>239.17260869565217</v>
      </c>
      <c r="M204" s="752">
        <v>23</v>
      </c>
      <c r="N204" s="753">
        <v>5500.97</v>
      </c>
    </row>
    <row r="205" spans="1:14" ht="14.45" customHeight="1" x14ac:dyDescent="0.2">
      <c r="A205" s="747" t="s">
        <v>570</v>
      </c>
      <c r="B205" s="748" t="s">
        <v>571</v>
      </c>
      <c r="C205" s="749" t="s">
        <v>596</v>
      </c>
      <c r="D205" s="750" t="s">
        <v>597</v>
      </c>
      <c r="E205" s="751">
        <v>50113013</v>
      </c>
      <c r="F205" s="750" t="s">
        <v>656</v>
      </c>
      <c r="G205" s="749" t="s">
        <v>603</v>
      </c>
      <c r="H205" s="749">
        <v>201961</v>
      </c>
      <c r="I205" s="749">
        <v>201961</v>
      </c>
      <c r="J205" s="749" t="s">
        <v>659</v>
      </c>
      <c r="K205" s="749" t="s">
        <v>660</v>
      </c>
      <c r="L205" s="752">
        <v>319.90800000000002</v>
      </c>
      <c r="M205" s="752">
        <v>5</v>
      </c>
      <c r="N205" s="753">
        <v>1599.5400000000002</v>
      </c>
    </row>
    <row r="206" spans="1:14" ht="14.45" customHeight="1" x14ac:dyDescent="0.2">
      <c r="A206" s="747" t="s">
        <v>570</v>
      </c>
      <c r="B206" s="748" t="s">
        <v>571</v>
      </c>
      <c r="C206" s="749" t="s">
        <v>596</v>
      </c>
      <c r="D206" s="750" t="s">
        <v>597</v>
      </c>
      <c r="E206" s="751">
        <v>50113013</v>
      </c>
      <c r="F206" s="750" t="s">
        <v>656</v>
      </c>
      <c r="G206" s="749" t="s">
        <v>572</v>
      </c>
      <c r="H206" s="749">
        <v>183817</v>
      </c>
      <c r="I206" s="749">
        <v>183817</v>
      </c>
      <c r="J206" s="749" t="s">
        <v>899</v>
      </c>
      <c r="K206" s="749" t="s">
        <v>900</v>
      </c>
      <c r="L206" s="752">
        <v>1321.7433333333333</v>
      </c>
      <c r="M206" s="752">
        <v>3</v>
      </c>
      <c r="N206" s="753">
        <v>3965.23</v>
      </c>
    </row>
    <row r="207" spans="1:14" ht="14.45" customHeight="1" x14ac:dyDescent="0.2">
      <c r="A207" s="747" t="s">
        <v>570</v>
      </c>
      <c r="B207" s="748" t="s">
        <v>571</v>
      </c>
      <c r="C207" s="749" t="s">
        <v>596</v>
      </c>
      <c r="D207" s="750" t="s">
        <v>597</v>
      </c>
      <c r="E207" s="751">
        <v>50113013</v>
      </c>
      <c r="F207" s="750" t="s">
        <v>656</v>
      </c>
      <c r="G207" s="749" t="s">
        <v>603</v>
      </c>
      <c r="H207" s="749">
        <v>117171</v>
      </c>
      <c r="I207" s="749">
        <v>17171</v>
      </c>
      <c r="J207" s="749" t="s">
        <v>901</v>
      </c>
      <c r="K207" s="749" t="s">
        <v>717</v>
      </c>
      <c r="L207" s="752">
        <v>72.89</v>
      </c>
      <c r="M207" s="752">
        <v>2</v>
      </c>
      <c r="N207" s="753">
        <v>145.78</v>
      </c>
    </row>
    <row r="208" spans="1:14" ht="14.45" customHeight="1" x14ac:dyDescent="0.2">
      <c r="A208" s="747" t="s">
        <v>570</v>
      </c>
      <c r="B208" s="748" t="s">
        <v>571</v>
      </c>
      <c r="C208" s="749" t="s">
        <v>596</v>
      </c>
      <c r="D208" s="750" t="s">
        <v>597</v>
      </c>
      <c r="E208" s="751">
        <v>50113013</v>
      </c>
      <c r="F208" s="750" t="s">
        <v>656</v>
      </c>
      <c r="G208" s="749" t="s">
        <v>603</v>
      </c>
      <c r="H208" s="749">
        <v>101066</v>
      </c>
      <c r="I208" s="749">
        <v>1066</v>
      </c>
      <c r="J208" s="749" t="s">
        <v>661</v>
      </c>
      <c r="K208" s="749" t="s">
        <v>662</v>
      </c>
      <c r="L208" s="752">
        <v>57.412857142857142</v>
      </c>
      <c r="M208" s="752">
        <v>7</v>
      </c>
      <c r="N208" s="753">
        <v>401.89</v>
      </c>
    </row>
    <row r="209" spans="1:14" ht="14.45" customHeight="1" x14ac:dyDescent="0.2">
      <c r="A209" s="747" t="s">
        <v>570</v>
      </c>
      <c r="B209" s="748" t="s">
        <v>571</v>
      </c>
      <c r="C209" s="749" t="s">
        <v>596</v>
      </c>
      <c r="D209" s="750" t="s">
        <v>597</v>
      </c>
      <c r="E209" s="751">
        <v>50113013</v>
      </c>
      <c r="F209" s="750" t="s">
        <v>656</v>
      </c>
      <c r="G209" s="749" t="s">
        <v>603</v>
      </c>
      <c r="H209" s="749">
        <v>96414</v>
      </c>
      <c r="I209" s="749">
        <v>96414</v>
      </c>
      <c r="J209" s="749" t="s">
        <v>663</v>
      </c>
      <c r="K209" s="749" t="s">
        <v>664</v>
      </c>
      <c r="L209" s="752">
        <v>59.200000000000038</v>
      </c>
      <c r="M209" s="752">
        <v>23.999999999999996</v>
      </c>
      <c r="N209" s="753">
        <v>1420.8000000000006</v>
      </c>
    </row>
    <row r="210" spans="1:14" ht="14.45" customHeight="1" x14ac:dyDescent="0.2">
      <c r="A210" s="747" t="s">
        <v>570</v>
      </c>
      <c r="B210" s="748" t="s">
        <v>571</v>
      </c>
      <c r="C210" s="749" t="s">
        <v>596</v>
      </c>
      <c r="D210" s="750" t="s">
        <v>597</v>
      </c>
      <c r="E210" s="751">
        <v>50113013</v>
      </c>
      <c r="F210" s="750" t="s">
        <v>656</v>
      </c>
      <c r="G210" s="749" t="s">
        <v>603</v>
      </c>
      <c r="H210" s="749">
        <v>216183</v>
      </c>
      <c r="I210" s="749">
        <v>216183</v>
      </c>
      <c r="J210" s="749" t="s">
        <v>902</v>
      </c>
      <c r="K210" s="749" t="s">
        <v>903</v>
      </c>
      <c r="L210" s="752">
        <v>250.38571428571422</v>
      </c>
      <c r="M210" s="752">
        <v>28</v>
      </c>
      <c r="N210" s="753">
        <v>7010.7999999999984</v>
      </c>
    </row>
    <row r="211" spans="1:14" ht="14.45" customHeight="1" x14ac:dyDescent="0.2">
      <c r="A211" s="747" t="s">
        <v>570</v>
      </c>
      <c r="B211" s="748" t="s">
        <v>571</v>
      </c>
      <c r="C211" s="749" t="s">
        <v>596</v>
      </c>
      <c r="D211" s="750" t="s">
        <v>597</v>
      </c>
      <c r="E211" s="751">
        <v>50113013</v>
      </c>
      <c r="F211" s="750" t="s">
        <v>656</v>
      </c>
      <c r="G211" s="749" t="s">
        <v>572</v>
      </c>
      <c r="H211" s="749">
        <v>156835</v>
      </c>
      <c r="I211" s="749">
        <v>156835</v>
      </c>
      <c r="J211" s="749" t="s">
        <v>679</v>
      </c>
      <c r="K211" s="749" t="s">
        <v>680</v>
      </c>
      <c r="L211" s="752">
        <v>1116.5</v>
      </c>
      <c r="M211" s="752">
        <v>4</v>
      </c>
      <c r="N211" s="753">
        <v>4466</v>
      </c>
    </row>
    <row r="212" spans="1:14" ht="14.45" customHeight="1" x14ac:dyDescent="0.2">
      <c r="A212" s="747" t="s">
        <v>570</v>
      </c>
      <c r="B212" s="748" t="s">
        <v>571</v>
      </c>
      <c r="C212" s="749" t="s">
        <v>596</v>
      </c>
      <c r="D212" s="750" t="s">
        <v>597</v>
      </c>
      <c r="E212" s="751">
        <v>50113013</v>
      </c>
      <c r="F212" s="750" t="s">
        <v>656</v>
      </c>
      <c r="G212" s="749" t="s">
        <v>572</v>
      </c>
      <c r="H212" s="749">
        <v>111592</v>
      </c>
      <c r="I212" s="749">
        <v>11592</v>
      </c>
      <c r="J212" s="749" t="s">
        <v>904</v>
      </c>
      <c r="K212" s="749" t="s">
        <v>905</v>
      </c>
      <c r="L212" s="752">
        <v>371.59499346405238</v>
      </c>
      <c r="M212" s="752">
        <v>5.0999999999999996</v>
      </c>
      <c r="N212" s="753">
        <v>1895.1344666666669</v>
      </c>
    </row>
    <row r="213" spans="1:14" ht="14.45" customHeight="1" x14ac:dyDescent="0.2">
      <c r="A213" s="747" t="s">
        <v>570</v>
      </c>
      <c r="B213" s="748" t="s">
        <v>571</v>
      </c>
      <c r="C213" s="749" t="s">
        <v>596</v>
      </c>
      <c r="D213" s="750" t="s">
        <v>597</v>
      </c>
      <c r="E213" s="751">
        <v>50113013</v>
      </c>
      <c r="F213" s="750" t="s">
        <v>656</v>
      </c>
      <c r="G213" s="749" t="s">
        <v>603</v>
      </c>
      <c r="H213" s="749">
        <v>101076</v>
      </c>
      <c r="I213" s="749">
        <v>1076</v>
      </c>
      <c r="J213" s="749" t="s">
        <v>665</v>
      </c>
      <c r="K213" s="749" t="s">
        <v>666</v>
      </c>
      <c r="L213" s="752">
        <v>78.375999999999991</v>
      </c>
      <c r="M213" s="752">
        <v>5</v>
      </c>
      <c r="N213" s="753">
        <v>391.87999999999994</v>
      </c>
    </row>
    <row r="214" spans="1:14" ht="14.45" customHeight="1" x14ac:dyDescent="0.2">
      <c r="A214" s="747" t="s">
        <v>570</v>
      </c>
      <c r="B214" s="748" t="s">
        <v>571</v>
      </c>
      <c r="C214" s="749" t="s">
        <v>596</v>
      </c>
      <c r="D214" s="750" t="s">
        <v>597</v>
      </c>
      <c r="E214" s="751">
        <v>50113013</v>
      </c>
      <c r="F214" s="750" t="s">
        <v>656</v>
      </c>
      <c r="G214" s="749" t="s">
        <v>676</v>
      </c>
      <c r="H214" s="749">
        <v>113453</v>
      </c>
      <c r="I214" s="749">
        <v>113453</v>
      </c>
      <c r="J214" s="749" t="s">
        <v>906</v>
      </c>
      <c r="K214" s="749" t="s">
        <v>907</v>
      </c>
      <c r="L214" s="752">
        <v>460.35</v>
      </c>
      <c r="M214" s="752">
        <v>2</v>
      </c>
      <c r="N214" s="753">
        <v>920.7</v>
      </c>
    </row>
    <row r="215" spans="1:14" ht="14.45" customHeight="1" x14ac:dyDescent="0.2">
      <c r="A215" s="747" t="s">
        <v>570</v>
      </c>
      <c r="B215" s="748" t="s">
        <v>571</v>
      </c>
      <c r="C215" s="749" t="s">
        <v>596</v>
      </c>
      <c r="D215" s="750" t="s">
        <v>597</v>
      </c>
      <c r="E215" s="751">
        <v>50113013</v>
      </c>
      <c r="F215" s="750" t="s">
        <v>656</v>
      </c>
      <c r="G215" s="749" t="s">
        <v>603</v>
      </c>
      <c r="H215" s="749">
        <v>192359</v>
      </c>
      <c r="I215" s="749">
        <v>92359</v>
      </c>
      <c r="J215" s="749" t="s">
        <v>908</v>
      </c>
      <c r="K215" s="749" t="s">
        <v>909</v>
      </c>
      <c r="L215" s="752">
        <v>43.690000000000019</v>
      </c>
      <c r="M215" s="752">
        <v>4</v>
      </c>
      <c r="N215" s="753">
        <v>174.76000000000008</v>
      </c>
    </row>
    <row r="216" spans="1:14" ht="14.45" customHeight="1" x14ac:dyDescent="0.2">
      <c r="A216" s="747" t="s">
        <v>570</v>
      </c>
      <c r="B216" s="748" t="s">
        <v>571</v>
      </c>
      <c r="C216" s="749" t="s">
        <v>596</v>
      </c>
      <c r="D216" s="750" t="s">
        <v>597</v>
      </c>
      <c r="E216" s="751">
        <v>50113013</v>
      </c>
      <c r="F216" s="750" t="s">
        <v>656</v>
      </c>
      <c r="G216" s="749" t="s">
        <v>572</v>
      </c>
      <c r="H216" s="749">
        <v>201030</v>
      </c>
      <c r="I216" s="749">
        <v>201030</v>
      </c>
      <c r="J216" s="749" t="s">
        <v>910</v>
      </c>
      <c r="K216" s="749" t="s">
        <v>911</v>
      </c>
      <c r="L216" s="752">
        <v>26.610000000000003</v>
      </c>
      <c r="M216" s="752">
        <v>10</v>
      </c>
      <c r="N216" s="753">
        <v>266.10000000000002</v>
      </c>
    </row>
    <row r="217" spans="1:14" ht="14.45" customHeight="1" x14ac:dyDescent="0.2">
      <c r="A217" s="747" t="s">
        <v>570</v>
      </c>
      <c r="B217" s="748" t="s">
        <v>571</v>
      </c>
      <c r="C217" s="749" t="s">
        <v>596</v>
      </c>
      <c r="D217" s="750" t="s">
        <v>597</v>
      </c>
      <c r="E217" s="751">
        <v>50113013</v>
      </c>
      <c r="F217" s="750" t="s">
        <v>656</v>
      </c>
      <c r="G217" s="749" t="s">
        <v>603</v>
      </c>
      <c r="H217" s="749">
        <v>105114</v>
      </c>
      <c r="I217" s="749">
        <v>5114</v>
      </c>
      <c r="J217" s="749" t="s">
        <v>912</v>
      </c>
      <c r="K217" s="749" t="s">
        <v>913</v>
      </c>
      <c r="L217" s="752">
        <v>73.911212121212117</v>
      </c>
      <c r="M217" s="752">
        <v>66</v>
      </c>
      <c r="N217" s="753">
        <v>4878.1399999999994</v>
      </c>
    </row>
    <row r="218" spans="1:14" ht="14.45" customHeight="1" x14ac:dyDescent="0.2">
      <c r="A218" s="747" t="s">
        <v>570</v>
      </c>
      <c r="B218" s="748" t="s">
        <v>571</v>
      </c>
      <c r="C218" s="749" t="s">
        <v>596</v>
      </c>
      <c r="D218" s="750" t="s">
        <v>597</v>
      </c>
      <c r="E218" s="751">
        <v>50113013</v>
      </c>
      <c r="F218" s="750" t="s">
        <v>656</v>
      </c>
      <c r="G218" s="749" t="s">
        <v>572</v>
      </c>
      <c r="H218" s="749">
        <v>847759</v>
      </c>
      <c r="I218" s="749">
        <v>142077</v>
      </c>
      <c r="J218" s="749" t="s">
        <v>914</v>
      </c>
      <c r="K218" s="749" t="s">
        <v>915</v>
      </c>
      <c r="L218" s="752">
        <v>2254.355</v>
      </c>
      <c r="M218" s="752">
        <v>10</v>
      </c>
      <c r="N218" s="753">
        <v>22543.55</v>
      </c>
    </row>
    <row r="219" spans="1:14" ht="14.45" customHeight="1" x14ac:dyDescent="0.2">
      <c r="A219" s="747" t="s">
        <v>570</v>
      </c>
      <c r="B219" s="748" t="s">
        <v>571</v>
      </c>
      <c r="C219" s="749" t="s">
        <v>596</v>
      </c>
      <c r="D219" s="750" t="s">
        <v>597</v>
      </c>
      <c r="E219" s="751">
        <v>50113013</v>
      </c>
      <c r="F219" s="750" t="s">
        <v>656</v>
      </c>
      <c r="G219" s="749" t="s">
        <v>603</v>
      </c>
      <c r="H219" s="749">
        <v>225175</v>
      </c>
      <c r="I219" s="749">
        <v>225175</v>
      </c>
      <c r="J219" s="749" t="s">
        <v>671</v>
      </c>
      <c r="K219" s="749" t="s">
        <v>672</v>
      </c>
      <c r="L219" s="752">
        <v>45.609999999999992</v>
      </c>
      <c r="M219" s="752">
        <v>42</v>
      </c>
      <c r="N219" s="753">
        <v>1915.6199999999997</v>
      </c>
    </row>
    <row r="220" spans="1:14" ht="14.45" customHeight="1" x14ac:dyDescent="0.2">
      <c r="A220" s="747" t="s">
        <v>570</v>
      </c>
      <c r="B220" s="748" t="s">
        <v>571</v>
      </c>
      <c r="C220" s="749" t="s">
        <v>596</v>
      </c>
      <c r="D220" s="750" t="s">
        <v>597</v>
      </c>
      <c r="E220" s="751">
        <v>50113013</v>
      </c>
      <c r="F220" s="750" t="s">
        <v>656</v>
      </c>
      <c r="G220" s="749" t="s">
        <v>676</v>
      </c>
      <c r="H220" s="749">
        <v>166265</v>
      </c>
      <c r="I220" s="749">
        <v>166265</v>
      </c>
      <c r="J220" s="749" t="s">
        <v>916</v>
      </c>
      <c r="K220" s="749" t="s">
        <v>903</v>
      </c>
      <c r="L220" s="752">
        <v>33.39</v>
      </c>
      <c r="M220" s="752">
        <v>20</v>
      </c>
      <c r="N220" s="753">
        <v>667.8</v>
      </c>
    </row>
    <row r="221" spans="1:14" ht="14.45" customHeight="1" x14ac:dyDescent="0.2">
      <c r="A221" s="747" t="s">
        <v>570</v>
      </c>
      <c r="B221" s="748" t="s">
        <v>571</v>
      </c>
      <c r="C221" s="749" t="s">
        <v>596</v>
      </c>
      <c r="D221" s="750" t="s">
        <v>597</v>
      </c>
      <c r="E221" s="751">
        <v>50113013</v>
      </c>
      <c r="F221" s="750" t="s">
        <v>656</v>
      </c>
      <c r="G221" s="749" t="s">
        <v>603</v>
      </c>
      <c r="H221" s="749">
        <v>142845</v>
      </c>
      <c r="I221" s="749">
        <v>42845</v>
      </c>
      <c r="J221" s="749" t="s">
        <v>917</v>
      </c>
      <c r="K221" s="749" t="s">
        <v>918</v>
      </c>
      <c r="L221" s="752">
        <v>105.89333333333332</v>
      </c>
      <c r="M221" s="752">
        <v>3</v>
      </c>
      <c r="N221" s="753">
        <v>317.67999999999995</v>
      </c>
    </row>
    <row r="222" spans="1:14" ht="14.45" customHeight="1" x14ac:dyDescent="0.2">
      <c r="A222" s="747" t="s">
        <v>570</v>
      </c>
      <c r="B222" s="748" t="s">
        <v>571</v>
      </c>
      <c r="C222" s="749" t="s">
        <v>596</v>
      </c>
      <c r="D222" s="750" t="s">
        <v>597</v>
      </c>
      <c r="E222" s="751">
        <v>50113014</v>
      </c>
      <c r="F222" s="750" t="s">
        <v>673</v>
      </c>
      <c r="G222" s="749" t="s">
        <v>603</v>
      </c>
      <c r="H222" s="749">
        <v>116896</v>
      </c>
      <c r="I222" s="749">
        <v>16896</v>
      </c>
      <c r="J222" s="749" t="s">
        <v>753</v>
      </c>
      <c r="K222" s="749" t="s">
        <v>754</v>
      </c>
      <c r="L222" s="752">
        <v>108.09000000000003</v>
      </c>
      <c r="M222" s="752">
        <v>2</v>
      </c>
      <c r="N222" s="753">
        <v>216.18000000000006</v>
      </c>
    </row>
    <row r="223" spans="1:14" ht="14.45" customHeight="1" x14ac:dyDescent="0.2">
      <c r="A223" s="747" t="s">
        <v>570</v>
      </c>
      <c r="B223" s="748" t="s">
        <v>571</v>
      </c>
      <c r="C223" s="749" t="s">
        <v>599</v>
      </c>
      <c r="D223" s="750" t="s">
        <v>600</v>
      </c>
      <c r="E223" s="751">
        <v>50113016</v>
      </c>
      <c r="F223" s="750" t="s">
        <v>919</v>
      </c>
      <c r="G223" s="749" t="s">
        <v>603</v>
      </c>
      <c r="H223" s="749">
        <v>210114</v>
      </c>
      <c r="I223" s="749">
        <v>210114</v>
      </c>
      <c r="J223" s="749" t="s">
        <v>920</v>
      </c>
      <c r="K223" s="749" t="s">
        <v>921</v>
      </c>
      <c r="L223" s="752">
        <v>10606.07</v>
      </c>
      <c r="M223" s="752">
        <v>15</v>
      </c>
      <c r="N223" s="753">
        <v>159091.04999999999</v>
      </c>
    </row>
    <row r="224" spans="1:14" ht="14.45" customHeight="1" thickBot="1" x14ac:dyDescent="0.25">
      <c r="A224" s="754" t="s">
        <v>570</v>
      </c>
      <c r="B224" s="755" t="s">
        <v>571</v>
      </c>
      <c r="C224" s="756" t="s">
        <v>599</v>
      </c>
      <c r="D224" s="757" t="s">
        <v>600</v>
      </c>
      <c r="E224" s="758">
        <v>50113016</v>
      </c>
      <c r="F224" s="757" t="s">
        <v>919</v>
      </c>
      <c r="G224" s="756" t="s">
        <v>603</v>
      </c>
      <c r="H224" s="756">
        <v>210115</v>
      </c>
      <c r="I224" s="756">
        <v>210115</v>
      </c>
      <c r="J224" s="756" t="s">
        <v>920</v>
      </c>
      <c r="K224" s="756" t="s">
        <v>922</v>
      </c>
      <c r="L224" s="759">
        <v>21212.13</v>
      </c>
      <c r="M224" s="759">
        <v>25</v>
      </c>
      <c r="N224" s="760">
        <v>530303.25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A0C1620E-7164-4251-9394-0633699B66DC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2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247" customWidth="1"/>
    <col min="2" max="2" width="10" style="329" customWidth="1"/>
    <col min="3" max="3" width="5.5703125" style="332" customWidth="1"/>
    <col min="4" max="4" width="10.85546875" style="329" customWidth="1"/>
    <col min="5" max="5" width="5.5703125" style="332" customWidth="1"/>
    <col min="6" max="6" width="10.85546875" style="329" customWidth="1"/>
    <col min="7" max="16384" width="8.85546875" style="247"/>
  </cols>
  <sheetData>
    <row r="1" spans="1:6" ht="37.15" customHeight="1" thickBot="1" x14ac:dyDescent="0.35">
      <c r="A1" s="550" t="s">
        <v>205</v>
      </c>
      <c r="B1" s="551"/>
      <c r="C1" s="551"/>
      <c r="D1" s="551"/>
      <c r="E1" s="551"/>
      <c r="F1" s="551"/>
    </row>
    <row r="2" spans="1:6" ht="14.45" customHeight="1" thickBot="1" x14ac:dyDescent="0.25">
      <c r="A2" s="371" t="s">
        <v>328</v>
      </c>
      <c r="B2" s="67"/>
      <c r="C2" s="68"/>
      <c r="D2" s="69"/>
      <c r="E2" s="68"/>
      <c r="F2" s="69"/>
    </row>
    <row r="3" spans="1:6" ht="14.45" customHeight="1" thickBot="1" x14ac:dyDescent="0.25">
      <c r="A3" s="205"/>
      <c r="B3" s="552" t="s">
        <v>160</v>
      </c>
      <c r="C3" s="553"/>
      <c r="D3" s="554" t="s">
        <v>159</v>
      </c>
      <c r="E3" s="553"/>
      <c r="F3" s="105" t="s">
        <v>3</v>
      </c>
    </row>
    <row r="4" spans="1:6" ht="14.45" customHeight="1" thickBot="1" x14ac:dyDescent="0.25">
      <c r="A4" s="761" t="s">
        <v>184</v>
      </c>
      <c r="B4" s="762" t="s">
        <v>14</v>
      </c>
      <c r="C4" s="763" t="s">
        <v>2</v>
      </c>
      <c r="D4" s="762" t="s">
        <v>14</v>
      </c>
      <c r="E4" s="763" t="s">
        <v>2</v>
      </c>
      <c r="F4" s="764" t="s">
        <v>14</v>
      </c>
    </row>
    <row r="5" spans="1:6" ht="14.45" customHeight="1" x14ac:dyDescent="0.2">
      <c r="A5" s="775" t="s">
        <v>923</v>
      </c>
      <c r="B5" s="745">
        <v>1116.4999999999998</v>
      </c>
      <c r="C5" s="765">
        <v>0.88599860335195524</v>
      </c>
      <c r="D5" s="745">
        <v>143.66</v>
      </c>
      <c r="E5" s="765">
        <v>0.11400139664804471</v>
      </c>
      <c r="F5" s="746">
        <v>1260.1599999999999</v>
      </c>
    </row>
    <row r="6" spans="1:6" ht="14.45" customHeight="1" thickBot="1" x14ac:dyDescent="0.25">
      <c r="A6" s="776" t="s">
        <v>924</v>
      </c>
      <c r="B6" s="768">
        <v>36878.70446666667</v>
      </c>
      <c r="C6" s="769">
        <v>0.53416993083367836</v>
      </c>
      <c r="D6" s="768">
        <v>32160.57</v>
      </c>
      <c r="E6" s="769">
        <v>0.46583006916632164</v>
      </c>
      <c r="F6" s="770">
        <v>69039.274466666669</v>
      </c>
    </row>
    <row r="7" spans="1:6" ht="14.45" customHeight="1" thickBot="1" x14ac:dyDescent="0.25">
      <c r="A7" s="771" t="s">
        <v>3</v>
      </c>
      <c r="B7" s="772">
        <v>37995.20446666667</v>
      </c>
      <c r="C7" s="773">
        <v>0.54047667317555104</v>
      </c>
      <c r="D7" s="772">
        <v>32304.23</v>
      </c>
      <c r="E7" s="773">
        <v>0.45952332682444891</v>
      </c>
      <c r="F7" s="774">
        <v>70299.434466666673</v>
      </c>
    </row>
    <row r="8" spans="1:6" ht="14.45" customHeight="1" thickBot="1" x14ac:dyDescent="0.25"/>
    <row r="9" spans="1:6" ht="14.45" customHeight="1" x14ac:dyDescent="0.2">
      <c r="A9" s="775" t="s">
        <v>925</v>
      </c>
      <c r="B9" s="745">
        <v>2591.62</v>
      </c>
      <c r="C9" s="765">
        <v>1</v>
      </c>
      <c r="D9" s="745"/>
      <c r="E9" s="765">
        <v>0</v>
      </c>
      <c r="F9" s="746">
        <v>2591.62</v>
      </c>
    </row>
    <row r="10" spans="1:6" ht="14.45" customHeight="1" x14ac:dyDescent="0.2">
      <c r="A10" s="778" t="s">
        <v>926</v>
      </c>
      <c r="B10" s="752"/>
      <c r="C10" s="766">
        <v>0</v>
      </c>
      <c r="D10" s="752">
        <v>201.78999999999996</v>
      </c>
      <c r="E10" s="766">
        <v>1</v>
      </c>
      <c r="F10" s="753">
        <v>201.78999999999996</v>
      </c>
    </row>
    <row r="11" spans="1:6" ht="14.45" customHeight="1" x14ac:dyDescent="0.2">
      <c r="A11" s="778" t="s">
        <v>927</v>
      </c>
      <c r="B11" s="752">
        <v>514.48</v>
      </c>
      <c r="C11" s="766">
        <v>1</v>
      </c>
      <c r="D11" s="752"/>
      <c r="E11" s="766">
        <v>0</v>
      </c>
      <c r="F11" s="753">
        <v>514.48</v>
      </c>
    </row>
    <row r="12" spans="1:6" ht="14.45" customHeight="1" x14ac:dyDescent="0.2">
      <c r="A12" s="778" t="s">
        <v>928</v>
      </c>
      <c r="B12" s="752"/>
      <c r="C12" s="766">
        <v>0</v>
      </c>
      <c r="D12" s="752">
        <v>143.66</v>
      </c>
      <c r="E12" s="766">
        <v>1</v>
      </c>
      <c r="F12" s="753">
        <v>143.66</v>
      </c>
    </row>
    <row r="13" spans="1:6" ht="14.45" customHeight="1" x14ac:dyDescent="0.2">
      <c r="A13" s="778" t="s">
        <v>929</v>
      </c>
      <c r="B13" s="752">
        <v>266.10000000000002</v>
      </c>
      <c r="C13" s="766">
        <v>1</v>
      </c>
      <c r="D13" s="752"/>
      <c r="E13" s="766">
        <v>0</v>
      </c>
      <c r="F13" s="753">
        <v>266.10000000000002</v>
      </c>
    </row>
    <row r="14" spans="1:6" ht="14.45" customHeight="1" x14ac:dyDescent="0.2">
      <c r="A14" s="778" t="s">
        <v>930</v>
      </c>
      <c r="B14" s="752">
        <v>9547.73</v>
      </c>
      <c r="C14" s="766">
        <v>1</v>
      </c>
      <c r="D14" s="752"/>
      <c r="E14" s="766">
        <v>0</v>
      </c>
      <c r="F14" s="753">
        <v>9547.73</v>
      </c>
    </row>
    <row r="15" spans="1:6" ht="14.45" customHeight="1" x14ac:dyDescent="0.2">
      <c r="A15" s="778" t="s">
        <v>931</v>
      </c>
      <c r="B15" s="752"/>
      <c r="C15" s="766">
        <v>0</v>
      </c>
      <c r="D15" s="752">
        <v>2041.88</v>
      </c>
      <c r="E15" s="766">
        <v>1</v>
      </c>
      <c r="F15" s="753">
        <v>2041.88</v>
      </c>
    </row>
    <row r="16" spans="1:6" ht="14.45" customHeight="1" x14ac:dyDescent="0.2">
      <c r="A16" s="778" t="s">
        <v>932</v>
      </c>
      <c r="B16" s="752"/>
      <c r="C16" s="766">
        <v>0</v>
      </c>
      <c r="D16" s="752">
        <v>667.8</v>
      </c>
      <c r="E16" s="766">
        <v>1</v>
      </c>
      <c r="F16" s="753">
        <v>667.8</v>
      </c>
    </row>
    <row r="17" spans="1:6" ht="14.45" customHeight="1" x14ac:dyDescent="0.2">
      <c r="A17" s="778" t="s">
        <v>933</v>
      </c>
      <c r="B17" s="752">
        <v>1895.1344666666669</v>
      </c>
      <c r="C17" s="766">
        <v>1</v>
      </c>
      <c r="D17" s="752"/>
      <c r="E17" s="766">
        <v>0</v>
      </c>
      <c r="F17" s="753">
        <v>1895.1344666666669</v>
      </c>
    </row>
    <row r="18" spans="1:6" ht="14.45" customHeight="1" x14ac:dyDescent="0.2">
      <c r="A18" s="778" t="s">
        <v>934</v>
      </c>
      <c r="B18" s="752"/>
      <c r="C18" s="766">
        <v>0</v>
      </c>
      <c r="D18" s="752">
        <v>226.68</v>
      </c>
      <c r="E18" s="766">
        <v>1</v>
      </c>
      <c r="F18" s="753">
        <v>226.68</v>
      </c>
    </row>
    <row r="19" spans="1:6" ht="14.45" customHeight="1" x14ac:dyDescent="0.2">
      <c r="A19" s="778" t="s">
        <v>935</v>
      </c>
      <c r="B19" s="752"/>
      <c r="C19" s="766">
        <v>0</v>
      </c>
      <c r="D19" s="752">
        <v>50.639999999999979</v>
      </c>
      <c r="E19" s="766">
        <v>1</v>
      </c>
      <c r="F19" s="753">
        <v>50.639999999999979</v>
      </c>
    </row>
    <row r="20" spans="1:6" ht="14.45" customHeight="1" x14ac:dyDescent="0.2">
      <c r="A20" s="778" t="s">
        <v>936</v>
      </c>
      <c r="B20" s="752"/>
      <c r="C20" s="766">
        <v>0</v>
      </c>
      <c r="D20" s="752">
        <v>1364</v>
      </c>
      <c r="E20" s="766">
        <v>1</v>
      </c>
      <c r="F20" s="753">
        <v>1364</v>
      </c>
    </row>
    <row r="21" spans="1:6" ht="14.45" customHeight="1" x14ac:dyDescent="0.2">
      <c r="A21" s="778" t="s">
        <v>937</v>
      </c>
      <c r="B21" s="752">
        <v>448.22</v>
      </c>
      <c r="C21" s="766">
        <v>0.28076043722008209</v>
      </c>
      <c r="D21" s="752">
        <v>1148.23</v>
      </c>
      <c r="E21" s="766">
        <v>0.71923956277991796</v>
      </c>
      <c r="F21" s="753">
        <v>1596.45</v>
      </c>
    </row>
    <row r="22" spans="1:6" ht="14.45" customHeight="1" x14ac:dyDescent="0.2">
      <c r="A22" s="778" t="s">
        <v>938</v>
      </c>
      <c r="B22" s="752"/>
      <c r="C22" s="766">
        <v>0</v>
      </c>
      <c r="D22" s="752">
        <v>16716.400000000001</v>
      </c>
      <c r="E22" s="766">
        <v>1</v>
      </c>
      <c r="F22" s="753">
        <v>16716.400000000001</v>
      </c>
    </row>
    <row r="23" spans="1:6" ht="14.45" customHeight="1" x14ac:dyDescent="0.2">
      <c r="A23" s="778" t="s">
        <v>939</v>
      </c>
      <c r="B23" s="752"/>
      <c r="C23" s="766">
        <v>0</v>
      </c>
      <c r="D23" s="752">
        <v>348.72</v>
      </c>
      <c r="E23" s="766">
        <v>1</v>
      </c>
      <c r="F23" s="753">
        <v>348.72</v>
      </c>
    </row>
    <row r="24" spans="1:6" ht="14.45" customHeight="1" x14ac:dyDescent="0.2">
      <c r="A24" s="778" t="s">
        <v>940</v>
      </c>
      <c r="B24" s="752"/>
      <c r="C24" s="766">
        <v>0</v>
      </c>
      <c r="D24" s="752">
        <v>268.13</v>
      </c>
      <c r="E24" s="766">
        <v>1</v>
      </c>
      <c r="F24" s="753">
        <v>268.13</v>
      </c>
    </row>
    <row r="25" spans="1:6" ht="14.45" customHeight="1" x14ac:dyDescent="0.2">
      <c r="A25" s="778" t="s">
        <v>941</v>
      </c>
      <c r="B25" s="752"/>
      <c r="C25" s="766">
        <v>0</v>
      </c>
      <c r="D25" s="752">
        <v>8205.6</v>
      </c>
      <c r="E25" s="766">
        <v>1</v>
      </c>
      <c r="F25" s="753">
        <v>8205.6</v>
      </c>
    </row>
    <row r="26" spans="1:6" ht="14.45" customHeight="1" x14ac:dyDescent="0.2">
      <c r="A26" s="778" t="s">
        <v>942</v>
      </c>
      <c r="B26" s="752">
        <v>22543.55</v>
      </c>
      <c r="C26" s="766">
        <v>1</v>
      </c>
      <c r="D26" s="752"/>
      <c r="E26" s="766">
        <v>0</v>
      </c>
      <c r="F26" s="753">
        <v>22543.55</v>
      </c>
    </row>
    <row r="27" spans="1:6" ht="14.45" customHeight="1" x14ac:dyDescent="0.2">
      <c r="A27" s="778" t="s">
        <v>943</v>
      </c>
      <c r="B27" s="752"/>
      <c r="C27" s="766">
        <v>0</v>
      </c>
      <c r="D27" s="752">
        <v>920.7</v>
      </c>
      <c r="E27" s="766">
        <v>1</v>
      </c>
      <c r="F27" s="753">
        <v>920.7</v>
      </c>
    </row>
    <row r="28" spans="1:6" ht="14.45" customHeight="1" thickBot="1" x14ac:dyDescent="0.25">
      <c r="A28" s="776" t="s">
        <v>944</v>
      </c>
      <c r="B28" s="768">
        <v>188.37000000000003</v>
      </c>
      <c r="C28" s="769">
        <v>1</v>
      </c>
      <c r="D28" s="768"/>
      <c r="E28" s="769">
        <v>0</v>
      </c>
      <c r="F28" s="770">
        <v>188.37000000000003</v>
      </c>
    </row>
    <row r="29" spans="1:6" ht="14.45" customHeight="1" thickBot="1" x14ac:dyDescent="0.25">
      <c r="A29" s="771" t="s">
        <v>3</v>
      </c>
      <c r="B29" s="772">
        <v>37995.20446666667</v>
      </c>
      <c r="C29" s="773">
        <v>0.54047667317555115</v>
      </c>
      <c r="D29" s="772">
        <v>32304.230000000007</v>
      </c>
      <c r="E29" s="773">
        <v>0.45952332682444913</v>
      </c>
      <c r="F29" s="774">
        <v>70299.434466666658</v>
      </c>
    </row>
  </sheetData>
  <mergeCells count="3">
    <mergeCell ref="A1:F1"/>
    <mergeCell ref="B3:C3"/>
    <mergeCell ref="D3:E3"/>
  </mergeCells>
  <conditionalFormatting sqref="C5:C1048576">
    <cfRule type="cellIs" dxfId="59" priority="8" stopIfTrue="1" operator="greaterThan">
      <formula>0.1</formula>
    </cfRule>
  </conditionalFormatting>
  <hyperlinks>
    <hyperlink ref="A2" location="Obsah!A1" display="Zpět na Obsah  KL 01  1.-4.měsíc" xr:uid="{1E9EF24D-6B76-48F4-B284-343F5EE8823A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32</vt:i4>
      </vt:variant>
      <vt:variant>
        <vt:lpstr>Pojmenované oblasti</vt:lpstr>
      </vt:variant>
      <vt:variant>
        <vt:i4>5</vt:i4>
      </vt:variant>
    </vt:vector>
  </HeadingPairs>
  <TitlesOfParts>
    <vt:vector size="3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'ON Data'!Obdobi</vt:lpstr>
      <vt:lpstr>'Osobní náklady'!Obdobi</vt:lpstr>
      <vt:lpstr>ALOS!Oblast_tisku</vt:lpstr>
      <vt:lpstr>CaseMix!Oblast_tisku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2019-10-29T10:04:15Z</dcterms:modified>
</cp:coreProperties>
</file>