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  <sheet name="OD TISS" sheetId="372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7" hidden="1">'OD TISS'!$A$5:$N$5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D22" i="419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N22" i="419"/>
  <c r="R22" i="419"/>
  <c r="V22" i="419"/>
  <c r="Z22" i="419"/>
  <c r="AD22" i="419"/>
  <c r="AG22" i="419"/>
  <c r="J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3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F3" i="372" l="1"/>
  <c r="C23" i="414"/>
  <c r="E23" i="414" s="1"/>
  <c r="F13" i="339"/>
  <c r="E13" i="339"/>
  <c r="E15" i="339" s="1"/>
  <c r="J3" i="372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<sst xmlns="http://schemas.openxmlformats.org/spreadsheetml/2006/main" count="5738" uniqueCount="1408">
  <si>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</si>
  <si>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</si>
  <si>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</si>
  <si>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</si>
  <si>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</si>
  <si>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</si>
  <si>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</si>
  <si>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</si>
  <si>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</si>
  <si>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</si>
  <si>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</si>
  <si>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</si>
  <si>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</si>
  <si>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</si>
  <si>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</si>
  <si>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</si>
  <si>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</si>
  <si>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</si>
  <si>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</si>
  <si>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</si>
  <si>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</si>
  <si>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</si>
  <si>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</si>
  <si>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</si>
  <si>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</si>
  <si>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</si>
  <si>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</si>
  <si>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</si>
  <si>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</si>
  <si>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</si>
  <si>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</si>
  <si>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</si>
  <si>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</si>
  <si>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</si>
  <si>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</si>
  <si>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</si>
  <si>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</si>
  <si>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</si>
  <si>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</si>
  <si>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</si>
  <si>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</si>
  <si>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</si>
  <si>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</si>
  <si>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</si>
  <si>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</si>
  <si>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</si>
  <si>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</si>
  <si>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</si>
  <si>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</si>
  <si>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</si>
  <si>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</si>
  <si>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</si>
  <si>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</si>
  <si>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</si>
  <si>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</si>
  <si>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</si>
  <si>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</si>
  <si>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</si>
  <si>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</si>
  <si>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</si>
  <si>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</si>
  <si>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</si>
  <si>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</si>
  <si>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</si>
  <si>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</si>
  <si>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</si>
  <si>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</si>
  <si>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</si>
  <si>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</si>
  <si>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</si>
  <si>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</si>
  <si>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</si>
  <si>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</si>
  <si>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</si>
  <si>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</si>
  <si>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</si>
  <si>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</si>
  <si>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</si>
  <si>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</si>
  <si>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</si>
  <si>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</si>
  <si>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</si>
  <si>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</si>
  <si>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</si>
  <si>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</si>
  <si>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</si>
  <si>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</si>
  <si>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</si>
  <si>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</si>
  <si>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</si>
  <si>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</si>
  <si>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</si>
  <si>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</si>
  <si>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</si>
  <si>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</si>
  <si>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</si>
  <si>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</si>
  <si>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</si>
  <si>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</si>
  <si>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</si>
  <si>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</si>
  <si>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</si>
  <si>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</si>
  <si>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</si>
  <si>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</si>
  <si>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</si>
  <si>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</si>
  <si>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</si>
  <si>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</si>
  <si>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</si>
  <si>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</si>
  <si>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</si>
  <si>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</si>
  <si>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</si>
  <si>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</si>
  <si>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</si>
  <si>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</si>
  <si>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</si>
  <si>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</si>
  <si>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</si>
  <si>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</si>
  <si>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</si>
  <si>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</si>
  <si>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</si>
  <si>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</si>
  <si>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</si>
  <si>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</si>
  <si>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</si>
  <si>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</si>
  <si>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</si>
  <si>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</si>
  <si>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</si>
  <si>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</si>
  <si>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</si>
  <si>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</si>
  <si>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</si>
  <si>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</si>
  <si>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</si>
  <si>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</si>
  <si>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</si>
  <si>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</si>
  <si>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</si>
  <si>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</si>
  <si>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</si>
  <si>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</si>
  <si>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</si>
  <si>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</si>
  <si>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</si>
  <si>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</si>
  <si>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</si>
  <si>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</si>
  <si>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</si>
  <si>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</si>
  <si>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</si>
  <si>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</si>
  <si>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</si>
  <si>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</si>
  <si>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</si>
  <si>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</si>
  <si>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</si>
  <si>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</si>
  <si>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</si>
  <si>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</si>
  <si>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</si>
  <si>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</si>
  <si>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</si>
  <si>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</si>
  <si>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</si>
  <si>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</si>
  <si>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</si>
  <si>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</si>
  <si>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</si>
  <si>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</si>
  <si>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</si>
  <si>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</si>
  <si>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</si>
  <si>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</si>
  <si>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</si>
  <si>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</si>
  <si>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</si>
  <si>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</si>
  <si>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</si>
  <si>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</si>
  <si>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</si>
  <si>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</si>
  <si>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</si>
  <si>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</si>
  <si>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</si>
  <si>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</si>
  <si>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</si>
  <si>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</si>
  <si>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</si>
  <si>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</si>
  <si>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</si>
  <si>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</si>
  <si>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</si>
  <si>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</si>
  <si>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</si>
  <si>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</si>
  <si>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</si>
  <si>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</si>
  <si>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</si>
  <si>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</si>
  <si>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</si>
  <si>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</si>
  <si>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</si>
  <si>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</si>
  <si>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</si>
  <si>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</si>
  <si>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</si>
  <si>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</si>
  <si>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</si>
  <si>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</si>
  <si>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</si>
  <si>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</si>
  <si>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</si>
  <si>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</si>
  <si>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</si>
  <si>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</si>
  <si>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</si>
  <si>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</si>
  <si>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</si>
  <si>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</si>
  <si>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</si>
  <si>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</si>
  <si>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</si>
  <si>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</si>
  <si>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</si>
  <si>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</si>
  <si>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</si>
  <si>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</si>
  <si>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</si>
  <si>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</si>
  <si>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</si>
  <si>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</si>
  <si>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</si>
  <si>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</si>
  <si>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</si>
  <si>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</si>
  <si>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</si>
  <si>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</si>
  <si>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</si>
  <si>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</si>
  <si>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</si>
  <si>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</si>
  <si>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</si>
  <si>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</si>
  <si>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</si>
  <si>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</si>
  <si>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</si>
  <si>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</si>
  <si>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</si>
  <si>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</si>
  <si>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</si>
  <si>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</si>
  <si>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</si>
  <si>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</si>
  <si>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</si>
  <si>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</si>
  <si>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</si>
  <si>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</si>
  <si>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</si>
  <si>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</si>
  <si>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</si>
  <si>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</si>
  <si>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</si>
  <si>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</si>
  <si>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</si>
  <si>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</si>
  <si>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</si>
  <si>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</si>
  <si>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</si>
  <si>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</si>
  <si>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</si>
  <si>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</si>
  <si>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</si>
  <si>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</si>
  <si>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</si>
  <si>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</si>
  <si>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</si>
  <si>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</si>
  <si>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</si>
  <si>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</si>
  <si>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</si>
  <si>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</si>
  <si>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</si>
  <si>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</si>
  <si>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</si>
  <si>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</si>
  <si>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</si>
  <si>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</si>
  <si>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</si>
  <si>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</si>
  <si>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</si>
  <si>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</si>
  <si>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</si>
  <si>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</si>
  <si>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</si>
  <si>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</si>
  <si>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</si>
  <si>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</si>
  <si>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</si>
  <si>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</si>
  <si>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</si>
  <si>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</si>
  <si>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</si>
  <si>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</si>
  <si>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</si>
  <si>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</si>
  <si>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</si>
  <si>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</si>
  <si>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</si>
  <si>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</si>
  <si>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</si>
  <si>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</si>
  <si>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</si>
  <si>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</si>
  <si>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</si>
  <si>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</si>
  <si>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</si>
  <si>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</si>
  <si>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</si>
  <si>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</si>
  <si>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</si>
  <si>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</si>
  <si>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</si>
  <si>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</si>
  <si>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</si>
  <si>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</si>
  <si>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</si>
  <si>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</si>
  <si>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</si>
  <si>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</si>
  <si>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</si>
  <si>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</si>
  <si>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</si>
  <si>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</si>
  <si>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</si>
  <si>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</si>
  <si>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</si>
  <si>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</si>
  <si>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</si>
  <si>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</si>
  <si>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</si>
  <si>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</si>
  <si>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</si>
  <si>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</si>
  <si>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</si>
  <si>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</si>
  <si>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</si>
  <si>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</si>
  <si>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</si>
  <si>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</si>
  <si>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</si>
  <si>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</si>
  <si>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</si>
  <si>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</si>
  <si>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</si>
  <si>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</si>
  <si>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</si>
  <si>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</si>
  <si>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</si>
  <si>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</si>
  <si>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</si>
  <si>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</si>
  <si>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</si>
  <si>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</si>
  <si>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</si>
  <si>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</si>
  <si>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</si>
  <si>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</si>
  <si>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</si>
  <si>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</si>
  <si>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</si>
  <si>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</si>
  <si>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</si>
  <si>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</si>
  <si>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</si>
  <si>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</si>
  <si>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</si>
  <si>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</si>
  <si>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</si>
  <si>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</si>
  <si>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</si>
  <si>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</si>
  <si>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</si>
  <si>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</si>
  <si>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</si>
  <si>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</si>
  <si>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</si>
  <si>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</si>
  <si>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</si>
  <si>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</si>
  <si>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</si>
  <si>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</si>
  <si>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</si>
  <si>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</si>
  <si>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</si>
  <si>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</si>
  <si>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</si>
  <si>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</si>
  <si>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</si>
  <si>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</si>
  <si>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</si>
  <si>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</si>
  <si>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</si>
  <si>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</si>
  <si>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</si>
  <si>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</si>
  <si>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</si>
  <si>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</si>
  <si>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</si>
  <si>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</si>
  <si>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</si>
  <si>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</si>
  <si>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</si>
  <si>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</si>
  <si>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</si>
  <si>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</si>
  <si>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</si>
  <si>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</si>
  <si>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</si>
  <si>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</si>
  <si>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</si>
  <si>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</si>
  <si>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</si>
  <si>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</si>
  <si>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</si>
  <si>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</si>
  <si>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</si>
  <si>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</si>
  <si>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</si>
  <si>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</si>
  <si>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</si>
  <si>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</si>
  <si>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</si>
  <si>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</si>
  <si>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</si>
  <si>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</si>
  <si>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</si>
  <si>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</si>
  <si>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</si>
  <si>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</si>
  <si>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</si>
  <si>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</si>
  <si>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</si>
  <si>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</si>
  <si>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</si>
  <si>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</si>
  <si>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</si>
  <si>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</si>
  <si>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</si>
  <si>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</si>
  <si>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</si>
  <si>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</si>
  <si>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</si>
  <si>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</si>
  <si>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</si>
  <si>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1911</t>
  </si>
  <si>
    <t>(prázdné)</t>
  </si>
  <si>
    <t>(prázdné) Celkem</t>
  </si>
  <si>
    <t>SumaNS</t>
  </si>
  <si>
    <t>mezeraNS</t>
  </si>
  <si>
    <t>1921</t>
  </si>
  <si>
    <t>ambulance</t>
  </si>
  <si>
    <t>ambulance Celkem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</si>
  <si>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</si>
  <si>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</si>
  <si>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</si>
  <si>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</si>
  <si>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</si>
  <si>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</si>
  <si>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</si>
  <si>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</si>
  <si>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</si>
  <si>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</si>
  <si>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</si>
  <si>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</si>
  <si>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</si>
  <si>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</si>
  <si>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</si>
  <si>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</si>
  <si>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</si>
  <si>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</si>
  <si>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100527</t>
  </si>
  <si>
    <t>527</t>
  </si>
  <si>
    <t>NATRIUM SALICYLICUM BIOTIKA</t>
  </si>
  <si>
    <t>INJ 10X10ML 10%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</si>
  <si>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</si>
  <si>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</si>
  <si>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</si>
  <si>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</si>
  <si>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</si>
  <si>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</si>
  <si>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</si>
  <si>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155947</t>
  </si>
  <si>
    <t>55947</t>
  </si>
  <si>
    <t>OPHTAL LIQ 2X50ML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</si>
  <si>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</si>
  <si>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</si>
  <si>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</si>
  <si>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</si>
  <si>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</si>
  <si>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</si>
  <si>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</si>
  <si>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</si>
  <si>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</si>
  <si>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</si>
  <si>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</si>
  <si>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</si>
  <si>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</si>
  <si>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</si>
  <si>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</si>
  <si>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</si>
  <si>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</si>
  <si>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920304</t>
  </si>
  <si>
    <t>KL EKG GEL 100G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</si>
  <si>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</si>
  <si>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</si>
  <si>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</si>
  <si>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</si>
  <si>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</si>
  <si>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</si>
  <si>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</si>
  <si>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</si>
  <si>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</si>
  <si>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</si>
  <si>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841498</t>
  </si>
  <si>
    <t>Carbosorb tbl.20-blistr</t>
  </si>
  <si>
    <t>900321</t>
  </si>
  <si>
    <t>KL PRIPRAVEK</t>
  </si>
  <si>
    <t>169755</t>
  </si>
  <si>
    <t>69755</t>
  </si>
  <si>
    <t>ARDEANUTRISOL G 40</t>
  </si>
  <si>
    <t>INF 1X80ML</t>
  </si>
  <si>
    <t>845003</t>
  </si>
  <si>
    <t>107295</t>
  </si>
  <si>
    <t>0.9% SODIUM CHLORIDE IN WATER FOR INJECTION FRESEN</t>
  </si>
  <si>
    <t>INF SOL 1X100ML-PE</t>
  </si>
  <si>
    <t>P</t>
  </si>
  <si>
    <t>132087</t>
  </si>
  <si>
    <t>32087</t>
  </si>
  <si>
    <t>TRALGIT 100 INJ</t>
  </si>
  <si>
    <t>INJ SOL 5X2ML/100MG</t>
  </si>
  <si>
    <t>131934</t>
  </si>
  <si>
    <t>31934</t>
  </si>
  <si>
    <t>VENTOLIN INHALER N</t>
  </si>
  <si>
    <t>INHSUSPSS200X100RG</t>
  </si>
  <si>
    <t>28144</t>
  </si>
  <si>
    <t>DUKORAL</t>
  </si>
  <si>
    <t>POR SUS 3ML+2SAC</t>
  </si>
  <si>
    <t>100084</t>
  </si>
  <si>
    <t>VAXIGRIP</t>
  </si>
  <si>
    <t>INJ SUS 20X0.5ML/DÁV+J</t>
  </si>
  <si>
    <t>100224</t>
  </si>
  <si>
    <t>IMOVAX POLIO</t>
  </si>
  <si>
    <t>INJ SUS 1X0.5ML/DÁV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</si>
  <si>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</si>
  <si>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</si>
  <si>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</si>
  <si>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</si>
  <si>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</si>
  <si>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</si>
  <si>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</si>
  <si>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</si>
  <si>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</si>
  <si>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</si>
  <si>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</si>
  <si>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</si>
  <si>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</si>
  <si>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</si>
  <si>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</si>
  <si>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</si>
  <si>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</si>
  <si>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</si>
  <si>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</si>
  <si>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</si>
  <si>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843655</t>
  </si>
  <si>
    <t>100085</t>
  </si>
  <si>
    <t>847178</t>
  </si>
  <si>
    <t>107496</t>
  </si>
  <si>
    <t>VERORAB</t>
  </si>
  <si>
    <t>INJ PSU LQF 1DAV.+0.5ML ST</t>
  </si>
  <si>
    <t>849437</t>
  </si>
  <si>
    <t>167572</t>
  </si>
  <si>
    <t>MENVEO  INJ PSL SOL 1 + 1</t>
  </si>
  <si>
    <t xml:space="preserve">INJ PSL SOL 1+1ISP 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</si>
  <si>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</si>
  <si>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</si>
  <si>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</si>
  <si>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</si>
  <si>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</si>
  <si>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</si>
  <si>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</si>
  <si>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</si>
  <si>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</si>
  <si>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</si>
  <si>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</si>
  <si>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</si>
  <si>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</si>
  <si>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</si>
  <si>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</si>
  <si>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</si>
  <si>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</si>
  <si>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</si>
  <si>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</si>
  <si>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</si>
  <si>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</si>
  <si>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</si>
  <si>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R03AC02 - Salbutamol</t>
  </si>
  <si>
    <t>N02AX02 - Tramadol</t>
  </si>
  <si>
    <t>N02AX02</t>
  </si>
  <si>
    <t>R03AC02</t>
  </si>
  <si>
    <t>INH SUS PSS 200X100RG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</si>
  <si>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</si>
  <si>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</si>
  <si>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</si>
  <si>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</si>
  <si>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</si>
  <si>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</si>
  <si>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</si>
  <si>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</si>
  <si>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</si>
  <si>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</si>
  <si>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</si>
  <si>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</si>
  <si>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</si>
  <si>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</si>
  <si>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84128</t>
  </si>
  <si>
    <t>HERPESIN 400</t>
  </si>
  <si>
    <t>POR TBL NOB 25X400MG</t>
  </si>
  <si>
    <t>84129</t>
  </si>
  <si>
    <t>POR TBL NOB 50X400MG</t>
  </si>
  <si>
    <t>Amoxicilin a enzymový inhibitor</t>
  </si>
  <si>
    <t>12494</t>
  </si>
  <si>
    <t>AUGMENTIN 1 G</t>
  </si>
  <si>
    <t>POR TBL FLM 14X1GM</t>
  </si>
  <si>
    <t>Benzathin-fenoxymethylpenicilin</t>
  </si>
  <si>
    <t>49549</t>
  </si>
  <si>
    <t>OSPEN 400</t>
  </si>
  <si>
    <t>POR SIR 1X150ML</t>
  </si>
  <si>
    <t>Erythromycin</t>
  </si>
  <si>
    <t>97514</t>
  </si>
  <si>
    <t>AKNEMYCIN</t>
  </si>
  <si>
    <t>DRM SOL 1X25ML/500MG LAG I</t>
  </si>
  <si>
    <t>Fenoxymethylpenicilin</t>
  </si>
  <si>
    <t>45997</t>
  </si>
  <si>
    <t>OSPEN 1000</t>
  </si>
  <si>
    <t>POR TBL FLM 30X1000KU</t>
  </si>
  <si>
    <t>Jiná antibiotika pro lokální aplikaci</t>
  </si>
  <si>
    <t>1066</t>
  </si>
  <si>
    <t>FRAMYKOIN</t>
  </si>
  <si>
    <t>DRM UNG 1X10GM</t>
  </si>
  <si>
    <t>Kodein</t>
  </si>
  <si>
    <t>90</t>
  </si>
  <si>
    <t>CODEIN SLOVAKOFARMA 30 MG</t>
  </si>
  <si>
    <t>POR TBL NOB 10X30MG</t>
  </si>
  <si>
    <t>Kyanokobalamin</t>
  </si>
  <si>
    <t>643</t>
  </si>
  <si>
    <t>VITAMIN B12 LÉČIVA 1000 MCG</t>
  </si>
  <si>
    <t>INJ SOL 5X1ML/1000RG</t>
  </si>
  <si>
    <t>Makrogol</t>
  </si>
  <si>
    <t>58827</t>
  </si>
  <si>
    <t>FORTRANS</t>
  </si>
  <si>
    <t>POR PLV SOL 1X4(SÁČKY)</t>
  </si>
  <si>
    <t>Meflochin</t>
  </si>
  <si>
    <t>14946</t>
  </si>
  <si>
    <t>LARIAM</t>
  </si>
  <si>
    <t>POR TBL NOB 8X250MG</t>
  </si>
  <si>
    <t>Nimesulid</t>
  </si>
  <si>
    <t>12892</t>
  </si>
  <si>
    <t>AULIN</t>
  </si>
  <si>
    <t>POR TBL NOB 30X100MG</t>
  </si>
  <si>
    <t>Pentoxifylin</t>
  </si>
  <si>
    <t>155875</t>
  </si>
  <si>
    <t>TRENTAL</t>
  </si>
  <si>
    <t>INF SOL 5X5ML/100MG</t>
  </si>
  <si>
    <t>45008</t>
  </si>
  <si>
    <t>43709</t>
  </si>
  <si>
    <t>INF SOL 2X5X15ML/300MG</t>
  </si>
  <si>
    <t>Progvanil, kombinace</t>
  </si>
  <si>
    <t>30690</t>
  </si>
  <si>
    <t>MALARONE</t>
  </si>
  <si>
    <t>POR TBL FLM 12</t>
  </si>
  <si>
    <t>Rifaximin</t>
  </si>
  <si>
    <t>44285</t>
  </si>
  <si>
    <t>NORMIX</t>
  </si>
  <si>
    <t>POR TBL FLM 12X200MG</t>
  </si>
  <si>
    <t>Různé jiné kombinace železa</t>
  </si>
  <si>
    <t>119653</t>
  </si>
  <si>
    <t>SORBIFER DURULES</t>
  </si>
  <si>
    <t>POR TBL FLM 60X100MG</t>
  </si>
  <si>
    <t>97402</t>
  </si>
  <si>
    <t>POR TBL FLM 50X100MG</t>
  </si>
  <si>
    <t>Sumatriptan</t>
  </si>
  <si>
    <t>14786</t>
  </si>
  <si>
    <t>ROSEMIG 100 MG</t>
  </si>
  <si>
    <t>POR TBL FLM 2X100MG I</t>
  </si>
  <si>
    <t>Doxycyklin</t>
  </si>
  <si>
    <t>4013</t>
  </si>
  <si>
    <t>DOXYBENE 200 MG TABLETY</t>
  </si>
  <si>
    <t>POR TBL NOB 10X200MG</t>
  </si>
  <si>
    <t>Kyselina acetylsalicylová</t>
  </si>
  <si>
    <t>155782</t>
  </si>
  <si>
    <t>GODASAL 100</t>
  </si>
  <si>
    <t>POR TBL NOB 100</t>
  </si>
  <si>
    <t>Losartan</t>
  </si>
  <si>
    <t>13888</t>
  </si>
  <si>
    <t>LOZAP 12,5 ZENTIVA</t>
  </si>
  <si>
    <t>POR TBL FLM 90X12.5MG</t>
  </si>
  <si>
    <t>Rosuvastatin</t>
  </si>
  <si>
    <t>148068</t>
  </si>
  <si>
    <t>ROSUCARD 10 MG POTAHOVANÉ TABLETY</t>
  </si>
  <si>
    <t>POR TBL FLM 30X10MG</t>
  </si>
  <si>
    <t>148070</t>
  </si>
  <si>
    <t>POR TBL FLM 90X10MG</t>
  </si>
  <si>
    <t>Sodná sůl metamizolu</t>
  </si>
  <si>
    <t>55823</t>
  </si>
  <si>
    <t>NOVALGIN TABLETY</t>
  </si>
  <si>
    <t>POR TBL FLM 20X500MG</t>
  </si>
  <si>
    <t>Sulfamethoxazol a trimethoprim</t>
  </si>
  <si>
    <t>3377</t>
  </si>
  <si>
    <t>BISEPTOL 480</t>
  </si>
  <si>
    <t>POR TBL NOB 20X480MG</t>
  </si>
  <si>
    <t>Amlodipin</t>
  </si>
  <si>
    <t>150797</t>
  </si>
  <si>
    <t>AMLOZEK 10</t>
  </si>
  <si>
    <t>POR TBL NOB 90X10MG</t>
  </si>
  <si>
    <t>5951</t>
  </si>
  <si>
    <t>AMOKSIKLAV 1 G</t>
  </si>
  <si>
    <t>Azithromycin</t>
  </si>
  <si>
    <t>45010</t>
  </si>
  <si>
    <t>AZITROMYCIN SANDOZ 500 MG</t>
  </si>
  <si>
    <t>POR TBL FLM 3X500MG</t>
  </si>
  <si>
    <t>Diklofenak</t>
  </si>
  <si>
    <t>119672</t>
  </si>
  <si>
    <t>DICLOFENAC DUO PHARMASWISS 75 MG</t>
  </si>
  <si>
    <t>POR CPS RDR 30X75MG</t>
  </si>
  <si>
    <t>75633</t>
  </si>
  <si>
    <t>DICLOFENAC AL RETARD</t>
  </si>
  <si>
    <t>POR TBL RET 100X100MG</t>
  </si>
  <si>
    <t>Diosmin, kombinace</t>
  </si>
  <si>
    <t>132632</t>
  </si>
  <si>
    <t>DETRALEX</t>
  </si>
  <si>
    <t>POR TBL FLM 60X500MG</t>
  </si>
  <si>
    <t>185435</t>
  </si>
  <si>
    <t>POR TBL FLM 120X500MG</t>
  </si>
  <si>
    <t>Hydroxyzin</t>
  </si>
  <si>
    <t>85060</t>
  </si>
  <si>
    <t>ATARAX</t>
  </si>
  <si>
    <t>POR TBL FLM 25X25MG</t>
  </si>
  <si>
    <t>Chlorprotixen</t>
  </si>
  <si>
    <t>75424</t>
  </si>
  <si>
    <t>CHLORPROTHIXEN 50 LÉČIVA</t>
  </si>
  <si>
    <t>POR TBL FLM 50X50MG</t>
  </si>
  <si>
    <t>Indapamid</t>
  </si>
  <si>
    <t>151949</t>
  </si>
  <si>
    <t>INDAP</t>
  </si>
  <si>
    <t>POR CPS DUR 100X2.5MG</t>
  </si>
  <si>
    <t>96696</t>
  </si>
  <si>
    <t>POR CPS DUR 30X2.5MG</t>
  </si>
  <si>
    <t>48261</t>
  </si>
  <si>
    <t>PLV ADS 1X20GM</t>
  </si>
  <si>
    <t>114067</t>
  </si>
  <si>
    <t>LOZAP 50 ZENTIVA</t>
  </si>
  <si>
    <t>POR TBL FLM 90X50MG</t>
  </si>
  <si>
    <t>13892</t>
  </si>
  <si>
    <t>POR TBL FLM 30X50MG</t>
  </si>
  <si>
    <t>13894</t>
  </si>
  <si>
    <t>Losartan a diuretika</t>
  </si>
  <si>
    <t>15317</t>
  </si>
  <si>
    <t>LOZAP H</t>
  </si>
  <si>
    <t>POR TBL FLM 90</t>
  </si>
  <si>
    <t>97027</t>
  </si>
  <si>
    <t>LORISTA H 50 MG/12,5 MG</t>
  </si>
  <si>
    <t>POR TBL FLM 28X50/12.5MG</t>
  </si>
  <si>
    <t>Metoprolol</t>
  </si>
  <si>
    <t>58042</t>
  </si>
  <si>
    <t>BETALOC ZOK 200 MG</t>
  </si>
  <si>
    <t>POR TBL PRO 100X200MG</t>
  </si>
  <si>
    <t>Perindopril</t>
  </si>
  <si>
    <t>101205</t>
  </si>
  <si>
    <t>PRESTARIUM NEO</t>
  </si>
  <si>
    <t>POR TBL FLM 30X5MG</t>
  </si>
  <si>
    <t>Pitofenon a analgetika</t>
  </si>
  <si>
    <t>176954</t>
  </si>
  <si>
    <t>ALGIFEN NEO</t>
  </si>
  <si>
    <t>POR GTT SOL 1X50ML</t>
  </si>
  <si>
    <t>Ramipril a diuretika</t>
  </si>
  <si>
    <t>125099</t>
  </si>
  <si>
    <t>TRITAZIDE 5 MG/25 MG</t>
  </si>
  <si>
    <t>POR TBL NOB 28</t>
  </si>
  <si>
    <t>Salbutamol</t>
  </si>
  <si>
    <t>Sulodexid</t>
  </si>
  <si>
    <t>96118</t>
  </si>
  <si>
    <t>VESSEL DUE F</t>
  </si>
  <si>
    <t>POR CPS MOL 50X250LSU</t>
  </si>
  <si>
    <t>POR TBL FLM 2X100MG</t>
  </si>
  <si>
    <t>Zolpidem</t>
  </si>
  <si>
    <t>163145</t>
  </si>
  <si>
    <t>HYPNOGEN</t>
  </si>
  <si>
    <t>200530</t>
  </si>
  <si>
    <t>POR TBL FLM 24X1GM</t>
  </si>
  <si>
    <t>Antibiotika v kombinaci s ostatními léčivy</t>
  </si>
  <si>
    <t>1077</t>
  </si>
  <si>
    <t>OPHTHALMO-FRAMYKOIN COMP.</t>
  </si>
  <si>
    <t>UNG OPH 1X5GM</t>
  </si>
  <si>
    <t>Atorvastatin</t>
  </si>
  <si>
    <t>93019</t>
  </si>
  <si>
    <t>SORTIS 40 MG</t>
  </si>
  <si>
    <t>POR TBL FLM 30X40MG</t>
  </si>
  <si>
    <t>93021</t>
  </si>
  <si>
    <t>POR TBL FLM 100X40MG</t>
  </si>
  <si>
    <t>Erdostein</t>
  </si>
  <si>
    <t>92757</t>
  </si>
  <si>
    <t>ERDOMED</t>
  </si>
  <si>
    <t>POR CPS DUR 10X300MG</t>
  </si>
  <si>
    <t>95560</t>
  </si>
  <si>
    <t>POR CPS DUR 30X300MG</t>
  </si>
  <si>
    <t>92436</t>
  </si>
  <si>
    <t>V-PENICILIN 1,2 MEGA BIOTIKA</t>
  </si>
  <si>
    <t>POR TBL NOB 30X1.2MU</t>
  </si>
  <si>
    <t>Jiná</t>
  </si>
  <si>
    <t>132658</t>
  </si>
  <si>
    <t>Jiný</t>
  </si>
  <si>
    <t>Klarithromycin</t>
  </si>
  <si>
    <t>53853</t>
  </si>
  <si>
    <t>KLACID 500</t>
  </si>
  <si>
    <t>POR TBL FLM 14X500MG</t>
  </si>
  <si>
    <t>Klopidogrel</t>
  </si>
  <si>
    <t>TROMBEX 75 MG POTAHOVANÉ TABLETY</t>
  </si>
  <si>
    <t>POR TBL FLM 90X75MG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</si>
  <si>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</si>
  <si>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</si>
  <si>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</si>
  <si>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</si>
  <si>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</si>
  <si>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</si>
  <si>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</si>
  <si>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</si>
  <si>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Telmisartan</t>
  </si>
  <si>
    <t>167670</t>
  </si>
  <si>
    <t>TOLURA 40 MG</t>
  </si>
  <si>
    <t>POR TBL NOB 90X40MG</t>
  </si>
  <si>
    <t>16286</t>
  </si>
  <si>
    <t>STILNOX</t>
  </si>
  <si>
    <t>POR TBL FLM 20X10MG</t>
  </si>
  <si>
    <t>163146</t>
  </si>
  <si>
    <t>163149</t>
  </si>
  <si>
    <t>POR TBL FLM 100X10MG</t>
  </si>
  <si>
    <t>Cetirizin</t>
  </si>
  <si>
    <t>99600</t>
  </si>
  <si>
    <t>ZODAC</t>
  </si>
  <si>
    <t>75631</t>
  </si>
  <si>
    <t>POR TBL RET 20X100MG</t>
  </si>
  <si>
    <t>75632</t>
  </si>
  <si>
    <t>POR TBL RET 50X100MG</t>
  </si>
  <si>
    <t>14075</t>
  </si>
  <si>
    <t>Metformin</t>
  </si>
  <si>
    <t>122136</t>
  </si>
  <si>
    <t>METFIREX 1 G</t>
  </si>
  <si>
    <t>POR TBL FLM 60X1000MG</t>
  </si>
  <si>
    <t>Methylprednisolon</t>
  </si>
  <si>
    <t>40368</t>
  </si>
  <si>
    <t>MEDROL 4 MG</t>
  </si>
  <si>
    <t>POR TBL NOB 30X4MG</t>
  </si>
  <si>
    <t>46980</t>
  </si>
  <si>
    <t>BETALOC SR 200 MG</t>
  </si>
  <si>
    <t>12891</t>
  </si>
  <si>
    <t>POR TBL NOB 15X100MG</t>
  </si>
  <si>
    <t>22098</t>
  </si>
  <si>
    <t>ROSEMIG SPRINTAB 100 MG</t>
  </si>
  <si>
    <t>POR TBL SUS 2X100MG</t>
  </si>
  <si>
    <t>Telmisartan a diuretika</t>
  </si>
  <si>
    <t>26578</t>
  </si>
  <si>
    <t>MICARDISPLUS 80/12,5 MG</t>
  </si>
  <si>
    <t>Antitusika a expektorancia</t>
  </si>
  <si>
    <t>95459</t>
  </si>
  <si>
    <t>STOPTUSSIN TABLETY</t>
  </si>
  <si>
    <t>POR TBL NOB 20</t>
  </si>
  <si>
    <t>201992</t>
  </si>
  <si>
    <t>Estradiol</t>
  </si>
  <si>
    <t>53797</t>
  </si>
  <si>
    <t>ESTROFEM 1 MG</t>
  </si>
  <si>
    <t>POR TBL FLM 28X1MG</t>
  </si>
  <si>
    <t>Levocetirizin</t>
  </si>
  <si>
    <t>124346</t>
  </si>
  <si>
    <t>CEZERA 5 MG</t>
  </si>
  <si>
    <t>POR TBL FLM 90X5MG</t>
  </si>
  <si>
    <t>114059</t>
  </si>
  <si>
    <t>POR TBL FLM 30X12.5MG</t>
  </si>
  <si>
    <t>12894</t>
  </si>
  <si>
    <t>POR GRA SUS 15SÁČ I</t>
  </si>
  <si>
    <t>Přípravky pro léčbu bradavic a kuřích ok</t>
  </si>
  <si>
    <t>60890</t>
  </si>
  <si>
    <t>VERRUMAL</t>
  </si>
  <si>
    <t>DRM SOL 1X13ML</t>
  </si>
  <si>
    <t>Ramipril</t>
  </si>
  <si>
    <t>56977</t>
  </si>
  <si>
    <t>TRITACE 2,5 MG</t>
  </si>
  <si>
    <t>POR TBL NOB 30X2.5MG</t>
  </si>
  <si>
    <t>Ranitidin</t>
  </si>
  <si>
    <t>91280</t>
  </si>
  <si>
    <t>RANITAL 150 MG POTAHOVANÉ TABLETY</t>
  </si>
  <si>
    <t>POR TBL FLM 30X150MG</t>
  </si>
  <si>
    <t>146891</t>
  </si>
  <si>
    <t>ZOLPIDEM MYLAN</t>
  </si>
  <si>
    <t>POR TBL FLM 14X10MG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</si>
  <si>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</si>
  <si>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</si>
  <si>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</si>
  <si>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C09BA05 - Ramipril a diuretika</t>
  </si>
  <si>
    <t>C09CA07 - Telmisartan</t>
  </si>
  <si>
    <t>C07AB02 - Metoprolol</t>
  </si>
  <si>
    <t>C09DA01 - Losartan a diuretika</t>
  </si>
  <si>
    <t>H02AB04 - Methylprednisolon</t>
  </si>
  <si>
    <t>J01FA10 - Azithromycin</t>
  </si>
  <si>
    <t>J01CR02 - Amoxicilin a enzymový inhibitor</t>
  </si>
  <si>
    <t>B01AC04 - Klopidogrel</t>
  </si>
  <si>
    <t>N02CC01 - Sumatriptan</t>
  </si>
  <si>
    <t>C09CA01 - Losartan</t>
  </si>
  <si>
    <t>H03AA01 - Levothyroxin, sodná sůl</t>
  </si>
  <si>
    <t>A10BA02 - Metformin</t>
  </si>
  <si>
    <t>J01FA09 - Klarithromycin</t>
  </si>
  <si>
    <t>M01AX17 - Nimesulid</t>
  </si>
  <si>
    <t>R06AE07 - Cetirizin</t>
  </si>
  <si>
    <t>C09AA05 - Ramipril</t>
  </si>
  <si>
    <t>A02BA02 - Ranitidin</t>
  </si>
  <si>
    <t>R06AE09 - Levocetirizin</t>
  </si>
  <si>
    <t>C10AA05 - Atorvastatin</t>
  </si>
  <si>
    <t>C10AA07 - Rosuvastatin</t>
  </si>
  <si>
    <t>M01AX17</t>
  </si>
  <si>
    <t>N02CC01</t>
  </si>
  <si>
    <t>C09CA01</t>
  </si>
  <si>
    <t>C10AA07</t>
  </si>
  <si>
    <t>C09BA05</t>
  </si>
  <si>
    <t>C09DA01</t>
  </si>
  <si>
    <t>J01CR02</t>
  </si>
  <si>
    <t>J01FA10</t>
  </si>
  <si>
    <t>B01AC04</t>
  </si>
  <si>
    <t>C09CA07</t>
  </si>
  <si>
    <t>C10AA05</t>
  </si>
  <si>
    <t>H03AA01</t>
  </si>
  <si>
    <t>J01FA09</t>
  </si>
  <si>
    <t>A10BA02</t>
  </si>
  <si>
    <t>C07AB02</t>
  </si>
  <si>
    <t>H02AB04</t>
  </si>
  <si>
    <t>POR TBL SUS 2X100MG I</t>
  </si>
  <si>
    <t>R06AE07</t>
  </si>
  <si>
    <t>A02BA02</t>
  </si>
  <si>
    <t>C09AA05</t>
  </si>
  <si>
    <t>R06AE09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</si>
  <si>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</si>
  <si>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</si>
  <si>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</si>
  <si>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</si>
  <si>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</si>
  <si>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</si>
  <si>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</si>
  <si>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</si>
  <si>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</si>
  <si>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</si>
  <si>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</si>
  <si>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</si>
  <si>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ZA728</t>
  </si>
  <si>
    <t>Lopatka lékařská nesterilní dřevěná ústní bal. á 100 ks 1320100655</t>
  </si>
  <si>
    <t>ZA762</t>
  </si>
  <si>
    <t>Pohár na moč 100 ml UH 712252</t>
  </si>
  <si>
    <t>ZA788</t>
  </si>
  <si>
    <t>Stříkačka injekční 2-dílná 20 ml L Inject Solo 4606205V</t>
  </si>
  <si>
    <t>ZA789</t>
  </si>
  <si>
    <t>Stříkačka injekční 2-dílná 2 ml L Inject Solo 4606027V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</si>
  <si>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</si>
  <si>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</si>
  <si>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</si>
  <si>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</si>
  <si>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</si>
  <si>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</si>
  <si>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</si>
  <si>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</si>
  <si>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</si>
  <si>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</si>
  <si>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</si>
  <si>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</si>
  <si>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</si>
  <si>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</si>
  <si>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</si>
  <si>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</si>
  <si>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</si>
  <si>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</si>
  <si>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ZB776</t>
  </si>
  <si>
    <t>Zkumavka zelená 3 ml 454082</t>
  </si>
  <si>
    <t>ZB777</t>
  </si>
  <si>
    <t>Zkumavka červená 4 ml gel 454071</t>
  </si>
  <si>
    <t>ZC648</t>
  </si>
  <si>
    <t>Elektroda EKG s gelem ovál 51 x 33 mm pro dospělé H-108006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</si>
  <si>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</si>
  <si>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</si>
  <si>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</si>
  <si>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</si>
  <si>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</si>
  <si>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</si>
  <si>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</si>
  <si>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ZI179</t>
  </si>
  <si>
    <t>Zkumavka s mediem+ flovakovaný tampon eSwab růžový 490CE.A</t>
  </si>
  <si>
    <t>ZB268</t>
  </si>
  <si>
    <t>Stojan sedimentační 836 072</t>
  </si>
  <si>
    <t>ZG466</t>
  </si>
  <si>
    <t>Náústek papírový pro spirometr 26/24 flowscreen bal. á 100 ks 400847690</t>
  </si>
  <si>
    <t>ZJ673</t>
  </si>
  <si>
    <t>Pohár na moč 100 ml UH GAMA204808</t>
  </si>
  <si>
    <t>ZA715</t>
  </si>
  <si>
    <t>Set infuzní intrafix 4062957</t>
  </si>
  <si>
    <t>Set infuzní intrafix primeline classic 150 cm 4062957</t>
  </si>
  <si>
    <t>ZA360</t>
  </si>
  <si>
    <t>Jehla sterican 0,5 x 25 mm oranžová 9186158</t>
  </si>
  <si>
    <t>ZB768</t>
  </si>
  <si>
    <t>Jehla vakuová 216/38 mm zelená 450076</t>
  </si>
  <si>
    <t>ZL949</t>
  </si>
  <si>
    <t>Rukavice nitril promedica bez p. L bílé 6N á 100 ks 9399W4</t>
  </si>
  <si>
    <t>ZM293</t>
  </si>
  <si>
    <t>Rukavice nitril sempercare bez p. L bal. á 200 ks 30 804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</si>
  <si>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</si>
  <si>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</si>
  <si>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</si>
  <si>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</si>
  <si>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</si>
  <si>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Náplast cosmos 8 cm x 1 m 5403353</t>
  </si>
  <si>
    <t>ZH011</t>
  </si>
  <si>
    <t>Náplast micropore 1,25 cm x 9,14 m bal. á 24 ks 1530-0</t>
  </si>
  <si>
    <t>ZI599</t>
  </si>
  <si>
    <t>Náplast curapor 10 x   8 cm 22121 ( náhrada za cosmopor )</t>
  </si>
  <si>
    <t>ZL684</t>
  </si>
  <si>
    <t>Náplast santiband standard poinjekční jednotl. baleno 19 mm x 72 mm 652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</si>
  <si>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</si>
  <si>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</si>
  <si>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</si>
  <si>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</si>
  <si>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</si>
  <si>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</si>
  <si>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</si>
  <si>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</si>
  <si>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ZA727</t>
  </si>
  <si>
    <t>Kontejner 30 ml sterilní 331690251750</t>
  </si>
  <si>
    <t>Lopatka lékařská nesterilní 1320100655</t>
  </si>
  <si>
    <t>Lopatka lékařská nesterilní dřevěná bal. á 100 ks 1320100655</t>
  </si>
  <si>
    <t>ZA790</t>
  </si>
  <si>
    <t>Stříkačka injekční 2-dílná 5 ml L Inject Solo4606051V</t>
  </si>
  <si>
    <t>ZD809</t>
  </si>
  <si>
    <t>Kanyla vasofix 20G růžová safety 4269110S-01</t>
  </si>
  <si>
    <t>ZI182</t>
  </si>
  <si>
    <t>Zkumavka + aplikátor s chem.stabilizátorem UriSwab žlutá 802CE.A</t>
  </si>
  <si>
    <t>ZC731</t>
  </si>
  <si>
    <t>Vzduchovod ústní guedell   60 mm 24103</t>
  </si>
  <si>
    <t>ZA937</t>
  </si>
  <si>
    <t>Ambuvak pro dospělé PVC ( set ) P04223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</si>
  <si>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</si>
  <si>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</si>
  <si>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</si>
  <si>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</si>
  <si>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</si>
  <si>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</si>
  <si>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</si>
  <si>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</si>
  <si>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</si>
  <si>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</si>
  <si>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</si>
  <si>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</si>
  <si>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</si>
  <si>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</si>
  <si>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</si>
  <si>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</si>
  <si>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</si>
  <si>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</si>
  <si>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</si>
  <si>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</si>
  <si>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</si>
  <si>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Aujeský René</t>
  </si>
  <si>
    <t>beze jména</t>
  </si>
  <si>
    <t>Schusterová Bronislava</t>
  </si>
  <si>
    <t>Smolková Petra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</si>
  <si>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</si>
  <si>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</si>
  <si>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</si>
  <si>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</si>
  <si>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</si>
  <si>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0007981</t>
  </si>
  <si>
    <t>NOVALGIN INJEKCE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</si>
  <si>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</si>
  <si>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</si>
  <si>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</si>
  <si>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</si>
  <si>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</si>
  <si>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</si>
  <si>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</si>
  <si>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</si>
  <si>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0000499</t>
  </si>
  <si>
    <t>MAGNESIUM SULFURICUM BIOTIKA 20%</t>
  </si>
  <si>
    <t>0000502</t>
  </si>
  <si>
    <t>MESOCAIN 1%</t>
  </si>
  <si>
    <t>0000527</t>
  </si>
  <si>
    <t>0032087</t>
  </si>
  <si>
    <t>0000610</t>
  </si>
  <si>
    <t>SYNTOPHYLLIN</t>
  </si>
  <si>
    <t>0096873</t>
  </si>
  <si>
    <t>0091775</t>
  </si>
  <si>
    <t>ENGERIX-B 20 MCG</t>
  </si>
  <si>
    <t>V</t>
  </si>
  <si>
    <t>09511</t>
  </si>
  <si>
    <t>MINIMÁLNÍ KONTAKT LÉKAŘE S PACIENTEM</t>
  </si>
  <si>
    <t>02130</t>
  </si>
  <si>
    <t>OČKOVÁNÍ V PŘÍPADECH, KDY OČKOVACÍ LÁTKA JE HRAZEN</t>
  </si>
  <si>
    <t>09127</t>
  </si>
  <si>
    <t>EKG VYŠETŘENÍ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</si>
  <si>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</si>
  <si>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</si>
  <si>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</si>
  <si>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</si>
  <si>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</si>
  <si>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</si>
  <si>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</si>
  <si>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</si>
  <si>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12230</t>
  </si>
  <si>
    <t>PLETYSMOGRAFICKÉ METODY JEDNODUCHÉ (NA JEDNÉ KONČE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</si>
  <si>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</si>
  <si>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</si>
  <si>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</si>
  <si>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</si>
  <si>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</si>
  <si>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</si>
  <si>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</si>
  <si>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</si>
  <si>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</si>
  <si>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</si>
  <si>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</si>
  <si>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</si>
  <si>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</si>
  <si>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</si>
  <si>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</si>
  <si>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</si>
  <si>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</si>
  <si>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</si>
  <si>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</si>
  <si>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</si>
  <si>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</si>
  <si>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</si>
  <si>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</si>
  <si>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</si>
  <si>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</si>
  <si>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</si>
  <si>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</si>
  <si>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</si>
  <si>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</si>
  <si>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</si>
  <si>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</si>
  <si>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</si>
  <si>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21115</t>
  </si>
  <si>
    <t>FYZIKÁLNÍ TERAPIE III</t>
  </si>
  <si>
    <t>01195</t>
  </si>
  <si>
    <t>02110</t>
  </si>
  <si>
    <t>09215</t>
  </si>
  <si>
    <t>INJEKCE I. M., S. C., I. D.</t>
  </si>
  <si>
    <t>01193</t>
  </si>
  <si>
    <t>02156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</si>
  <si>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</si>
  <si>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</si>
  <si>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</si>
  <si>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</si>
  <si>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</si>
  <si>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</si>
  <si>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</si>
  <si>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01</t>
  </si>
  <si>
    <t>03</t>
  </si>
  <si>
    <t>05</t>
  </si>
  <si>
    <t>16</t>
  </si>
  <si>
    <t>17</t>
  </si>
  <si>
    <t>4F1</t>
  </si>
  <si>
    <t>00601</t>
  </si>
  <si>
    <t>OD TYPU 01 - PRO NEMOCNICE TYPU 3, (KATEGORIE 6)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</si>
  <si>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</si>
  <si>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</si>
  <si>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</si>
  <si>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</si>
  <si>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</si>
  <si>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</si>
  <si>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Zdravotní výkony vykázané na pracovišti pro pacienty hospitalizované ve FNOL - orientační přehled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</si>
  <si>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</si>
  <si>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</si>
  <si>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</si>
  <si>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</si>
  <si>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</si>
  <si>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</si>
  <si>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</si>
  <si>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</si>
  <si>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</si>
  <si>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</si>
  <si>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2</t>
  </si>
  <si>
    <t>0002087</t>
  </si>
  <si>
    <t>32</t>
  </si>
  <si>
    <t>818</t>
  </si>
  <si>
    <t>96167</t>
  </si>
  <si>
    <t>KREVNÍ OBRAZ S PĚTI POPULAČNÍM DIFERENCIÁLNÍM POČT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</si>
  <si>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</si>
  <si>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</si>
  <si>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</si>
  <si>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</si>
  <si>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</si>
  <si>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</si>
  <si>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</si>
  <si>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</si>
  <si>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</si>
  <si>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</si>
  <si>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96325</t>
  </si>
  <si>
    <t>FIBRINOGEN (SÉRIE)</t>
  </si>
  <si>
    <t>96889</t>
  </si>
  <si>
    <t>TROMBIN GENERAČNÍ ČAS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</si>
  <si>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</si>
  <si>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</si>
  <si>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</si>
  <si>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</si>
  <si>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</si>
  <si>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</si>
  <si>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</si>
  <si>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</si>
  <si>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</si>
  <si>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</si>
  <si>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</si>
  <si>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</si>
  <si>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</si>
  <si>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</si>
  <si>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</si>
  <si>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</si>
  <si>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</si>
  <si>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</si>
  <si>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</si>
  <si>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</si>
  <si>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</si>
  <si>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</si>
  <si>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81447</t>
  </si>
  <si>
    <t>GLYKOVANÉ PROTEINY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</si>
  <si>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</si>
  <si>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</si>
  <si>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</si>
  <si>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</si>
  <si>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</si>
  <si>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</si>
  <si>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</si>
  <si>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</si>
  <si>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91397</t>
  </si>
  <si>
    <t>ELEKTROFORESA S NÁSLEDNOU IMUNOFIXACÍ (KOMPLEX - I</t>
  </si>
  <si>
    <t>91495</t>
  </si>
  <si>
    <t>AUTOPROTILÁTKY PROTI GAD</t>
  </si>
  <si>
    <t>93161</t>
  </si>
  <si>
    <t>INZULÍN</t>
  </si>
  <si>
    <t>93187</t>
  </si>
  <si>
    <t>TYROXIN CELKOVÝ (TT4)</t>
  </si>
  <si>
    <t>81135</t>
  </si>
  <si>
    <t>SODÍK STATIM</t>
  </si>
  <si>
    <t>81473</t>
  </si>
  <si>
    <t>CHOLESTEROL HDL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</si>
  <si>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</si>
  <si>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</si>
  <si>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</si>
  <si>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</si>
  <si>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</si>
  <si>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</si>
  <si>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</si>
  <si>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</si>
  <si>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</si>
  <si>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</si>
  <si>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</si>
  <si>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</si>
  <si>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</si>
  <si>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</si>
  <si>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</si>
  <si>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</si>
  <si>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</si>
  <si>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</si>
  <si>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81495</t>
  </si>
  <si>
    <t>KREATINKINÁZA (CK)</t>
  </si>
  <si>
    <t>81449</t>
  </si>
  <si>
    <t>GLYKOVANÝ HEMOGLOBIN</t>
  </si>
  <si>
    <t>81173</t>
  </si>
  <si>
    <t>LIPÁZA STATIM</t>
  </si>
  <si>
    <t>93195</t>
  </si>
  <si>
    <t>TYREOTROPIN (TSH)</t>
  </si>
  <si>
    <t>81329</t>
  </si>
  <si>
    <t>ALBUMIN (SÉRUM)</t>
  </si>
  <si>
    <t>93115</t>
  </si>
  <si>
    <t>FOLÁTY</t>
  </si>
  <si>
    <t>81345</t>
  </si>
  <si>
    <t>AMYLÁZA</t>
  </si>
  <si>
    <t>81155</t>
  </si>
  <si>
    <t>GLUKÓZA KVANTITATIVNÍ STANOVENÍ STATIM</t>
  </si>
  <si>
    <t>81363</t>
  </si>
  <si>
    <t>BILIRUBIN KONJUGOVANÝ</t>
  </si>
  <si>
    <t>81625</t>
  </si>
  <si>
    <t>VÁPNÍK CELKOVÝ</t>
  </si>
  <si>
    <t>81465</t>
  </si>
  <si>
    <t>HOŘČÍK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</si>
  <si>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</si>
  <si>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</si>
  <si>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</si>
  <si>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</si>
  <si>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</si>
  <si>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</si>
  <si>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93145</t>
  </si>
  <si>
    <t>C-PEPTID</t>
  </si>
  <si>
    <t>81355</t>
  </si>
  <si>
    <t>APOLIPOPROTEINY AI NEBO B</t>
  </si>
  <si>
    <t>81375</t>
  </si>
  <si>
    <t>KRYOGLOBULINY KVANTITATIVNĚ</t>
  </si>
  <si>
    <t>81443</t>
  </si>
  <si>
    <t>GLUKOZOVÝ TOLERANČNÍ TEST (WHO)</t>
  </si>
  <si>
    <t>34</t>
  </si>
  <si>
    <t>809</t>
  </si>
  <si>
    <t>0077019</t>
  </si>
  <si>
    <t>ULTRAVIST 370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</si>
  <si>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</si>
  <si>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</si>
  <si>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</si>
  <si>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</si>
  <si>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</si>
  <si>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</si>
  <si>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</si>
  <si>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</si>
  <si>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</si>
  <si>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</si>
  <si>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</si>
  <si>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</si>
  <si>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</si>
  <si>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</si>
  <si>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</si>
  <si>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</si>
  <si>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</si>
  <si>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</si>
  <si>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</si>
  <si>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</si>
  <si>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89115</t>
  </si>
  <si>
    <t>RTG LEBKY, PŘEHLEDNÉ SNÍMKY</t>
  </si>
  <si>
    <t>89611</t>
  </si>
  <si>
    <t>CT VYŠETŘENÍ HLAVY NEBO TĚLA NATIVNÍ A KONTRASTNÍ</t>
  </si>
  <si>
    <t>35</t>
  </si>
  <si>
    <t>222</t>
  </si>
  <si>
    <t>22219</t>
  </si>
  <si>
    <t>SCREENING ANTIERYTROCYTÁRNÍCH PROTILÁTEK - V SÉRII</t>
  </si>
  <si>
    <t>22339</t>
  </si>
  <si>
    <t>TITRACE ANTIERYTROCYTÁRNÍCH PROTILÁTEK</t>
  </si>
  <si>
    <t>22131</t>
  </si>
  <si>
    <t>VYŠETŘENÍ CHLADOVÝCH AGLUTININŮ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</si>
  <si>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</si>
  <si>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</si>
  <si>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</si>
  <si>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</si>
  <si>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</si>
  <si>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</si>
  <si>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</si>
  <si>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</si>
  <si>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</si>
  <si>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</si>
  <si>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</si>
  <si>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</si>
  <si>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87129</t>
  </si>
  <si>
    <t>VÍCEČETNÉ MALÉ BIOPTICKÉ VZORKY: MAKROSKOPICKÉ POS</t>
  </si>
  <si>
    <t>40</t>
  </si>
  <si>
    <t>802</t>
  </si>
  <si>
    <t>82001</t>
  </si>
  <si>
    <t>KONSULTACE K MIKROBIOLOGICKÉMU, PARAZITOLOGICKÉMU,</t>
  </si>
  <si>
    <t>82057</t>
  </si>
  <si>
    <t>IDENTIFIKACE KMENE ORIENTAČNÍ JEDNODUCHÝM TESTEM</t>
  </si>
  <si>
    <t>82087</t>
  </si>
  <si>
    <t>STANOVENÍ PROTILÁTEK AGLUTINACÍ</t>
  </si>
  <si>
    <t>82065</t>
  </si>
  <si>
    <t>STANOVENÍ CITLIVOSTI NA ATB KVANTITATIVNÍ METODOU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</si>
  <si>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</si>
  <si>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</si>
  <si>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</si>
  <si>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</si>
  <si>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</si>
  <si>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</si>
  <si>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</si>
  <si>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</si>
  <si>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86217</t>
  </si>
  <si>
    <t>URČOVÁNÍ HLA-B 27</t>
  </si>
  <si>
    <t>91131</t>
  </si>
  <si>
    <t>STANOVENÍ IgA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</si>
  <si>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</si>
  <si>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</si>
  <si>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</si>
  <si>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</si>
  <si>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</si>
  <si>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</si>
  <si>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</si>
  <si>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</si>
  <si>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91501</t>
  </si>
  <si>
    <t>STANOVENÍ HLADIN REVMATOIDNÍHO FAKTORU (RF) NEFELO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</si>
  <si>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</si>
  <si>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</si>
  <si>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</si>
  <si>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</si>
  <si>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</si>
  <si>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</si>
  <si>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</si>
  <si>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</si>
  <si>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91289</t>
  </si>
  <si>
    <t>STANOVENÍ REVMATOIDNÍHO FAKTORU IgA ELISA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</si>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</sst>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0" fillId="0" borderId="0" xfId="76" applyFont="1" applyFill="1"/>
    <xf numFmtId="0" fontId="30" fillId="0" borderId="0" xfId="26" applyFont="1" applyFill="1" applyBorder="1" applyAlignment="1"/>
    <xf numFmtId="0" fontId="30" fillId="0" borderId="1" xfId="76" applyFont="1" applyFill="1" applyBorder="1" applyAlignment="1"/>
    <xf numFmtId="0" fontId="32" fillId="2" borderId="68" xfId="53" applyFont="1" applyFill="1" applyBorder="1" applyAlignment="1">
      <alignment horizontal="right"/>
    </xf>
    <xf numFmtId="165" fontId="32" fillId="0" borderId="73" xfId="53" applyNumberFormat="1" applyFont="1" applyFill="1" applyBorder="1"/>
    <xf numFmtId="165" fontId="32" fillId="0" borderId="74" xfId="53" applyNumberFormat="1" applyFont="1" applyFill="1" applyBorder="1"/>
    <xf numFmtId="9" fontId="32" fillId="0" borderId="75" xfId="83" applyNumberFormat="1" applyFont="1" applyFill="1" applyBorder="1"/>
    <xf numFmtId="3" fontId="32" fillId="0" borderId="75" xfId="83" applyNumberFormat="1" applyFont="1" applyFill="1" applyBorder="1"/>
    <xf numFmtId="3" fontId="30" fillId="0" borderId="0" xfId="76" applyNumberFormat="1" applyFont="1" applyFill="1"/>
    <xf numFmtId="9" fontId="30" fillId="0" borderId="0" xfId="76" applyNumberFormat="1" applyFont="1" applyFill="1"/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7" xfId="53" applyNumberFormat="1" applyFont="1" applyFill="1" applyBorder="1"/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81" xfId="0" applyNumberFormat="1" applyFont="1" applyFill="1" applyBorder="1"/>
    <xf numFmtId="3" fontId="54" fillId="8" borderId="82" xfId="0" applyNumberFormat="1" applyFont="1" applyFill="1" applyBorder="1"/>
    <xf numFmtId="3" fontId="54" fillId="8" borderId="81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5" xfId="0" applyNumberFormat="1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3" fontId="56" fillId="2" borderId="88" xfId="0" applyNumberFormat="1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/>
    <xf numFmtId="0" fontId="40" fillId="2" borderId="93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1" xfId="0" applyFont="1" applyFill="1" applyBorder="1" applyAlignment="1"/>
    <xf numFmtId="0" fontId="40" fillId="4" borderId="93" xfId="0" applyFont="1" applyFill="1" applyBorder="1" applyAlignment="1">
      <alignment horizontal="left" indent="1"/>
    </xf>
    <xf numFmtId="0" fontId="40" fillId="4" borderId="104" xfId="0" applyFont="1" applyFill="1" applyBorder="1" applyAlignment="1">
      <alignment horizontal="left" indent="1"/>
    </xf>
    <xf numFmtId="0" fontId="33" fillId="2" borderId="93" xfId="0" quotePrefix="1" applyFont="1" applyFill="1" applyBorder="1" applyAlignment="1">
      <alignment horizontal="left" indent="2"/>
    </xf>
    <xf numFmtId="0" fontId="33" fillId="2" borderId="99" xfId="0" quotePrefix="1" applyFont="1" applyFill="1" applyBorder="1" applyAlignment="1">
      <alignment horizontal="left" indent="2"/>
    </xf>
    <xf numFmtId="0" fontId="40" fillId="2" borderId="91" xfId="0" applyFont="1" applyFill="1" applyBorder="1" applyAlignment="1">
      <alignment horizontal="left" indent="1"/>
    </xf>
    <xf numFmtId="0" fontId="40" fillId="2" borderId="104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0" borderId="109" xfId="0" applyFont="1" applyBorder="1"/>
    <xf numFmtId="3" fontId="33" fillId="0" borderId="109" xfId="0" applyNumberFormat="1" applyFont="1" applyBorder="1"/>
    <xf numFmtId="0" fontId="40" fillId="4" borderId="83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8" xfId="0" applyNumberFormat="1" applyFont="1" applyFill="1" applyBorder="1" applyAlignment="1">
      <alignment horizontal="center" vertical="center"/>
    </xf>
    <xf numFmtId="3" fontId="56" fillId="2" borderId="106" xfId="0" applyNumberFormat="1" applyFont="1" applyFill="1" applyBorder="1" applyAlignment="1">
      <alignment horizontal="center" vertical="center" wrapText="1"/>
    </xf>
    <xf numFmtId="174" fontId="40" fillId="4" borderId="92" xfId="0" applyNumberFormat="1" applyFont="1" applyFill="1" applyBorder="1" applyAlignment="1"/>
    <xf numFmtId="174" fontId="40" fillId="4" borderId="85" xfId="0" applyNumberFormat="1" applyFont="1" applyFill="1" applyBorder="1" applyAlignment="1"/>
    <xf numFmtId="174" fontId="40" fillId="4" borderId="86" xfId="0" applyNumberFormat="1" applyFont="1" applyFill="1" applyBorder="1" applyAlignment="1"/>
    <xf numFmtId="174" fontId="40" fillId="0" borderId="94" xfId="0" applyNumberFormat="1" applyFont="1" applyBorder="1"/>
    <xf numFmtId="174" fontId="33" fillId="0" borderId="98" xfId="0" applyNumberFormat="1" applyFont="1" applyBorder="1"/>
    <xf numFmtId="174" fontId="33" fillId="0" borderId="96" xfId="0" applyNumberFormat="1" applyFont="1" applyBorder="1"/>
    <xf numFmtId="174" fontId="40" fillId="0" borderId="105" xfId="0" applyNumberFormat="1" applyFont="1" applyBorder="1"/>
    <xf numFmtId="174" fontId="33" fillId="0" borderId="106" xfId="0" applyNumberFormat="1" applyFont="1" applyBorder="1"/>
    <xf numFmtId="174" fontId="33" fillId="0" borderId="89" xfId="0" applyNumberFormat="1" applyFont="1" applyBorder="1"/>
    <xf numFmtId="174" fontId="40" fillId="2" borderId="107" xfId="0" applyNumberFormat="1" applyFont="1" applyFill="1" applyBorder="1" applyAlignment="1"/>
    <xf numFmtId="174" fontId="40" fillId="2" borderId="85" xfId="0" applyNumberFormat="1" applyFont="1" applyFill="1" applyBorder="1" applyAlignment="1"/>
    <xf numFmtId="174" fontId="40" fillId="2" borderId="86" xfId="0" applyNumberFormat="1" applyFont="1" applyFill="1" applyBorder="1" applyAlignment="1"/>
    <xf numFmtId="174" fontId="40" fillId="0" borderId="100" xfId="0" applyNumberFormat="1" applyFont="1" applyBorder="1"/>
    <xf numFmtId="174" fontId="33" fillId="0" borderId="101" xfId="0" applyNumberFormat="1" applyFont="1" applyBorder="1"/>
    <xf numFmtId="174" fontId="33" fillId="0" borderId="102" xfId="0" applyNumberFormat="1" applyFont="1" applyBorder="1"/>
    <xf numFmtId="174" fontId="40" fillId="0" borderId="92" xfId="0" applyNumberFormat="1" applyFont="1" applyBorder="1"/>
    <xf numFmtId="174" fontId="33" fillId="0" borderId="108" xfId="0" applyNumberFormat="1" applyFont="1" applyBorder="1"/>
    <xf numFmtId="174" fontId="33" fillId="0" borderId="86" xfId="0" applyNumberFormat="1" applyFont="1" applyBorder="1"/>
    <xf numFmtId="175" fontId="40" fillId="2" borderId="92" xfId="0" applyNumberFormat="1" applyFont="1" applyFill="1" applyBorder="1" applyAlignment="1"/>
    <xf numFmtId="175" fontId="33" fillId="2" borderId="85" xfId="0" applyNumberFormat="1" applyFont="1" applyFill="1" applyBorder="1" applyAlignment="1"/>
    <xf numFmtId="175" fontId="33" fillId="2" borderId="86" xfId="0" applyNumberFormat="1" applyFont="1" applyFill="1" applyBorder="1" applyAlignment="1"/>
    <xf numFmtId="175" fontId="40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175" fontId="33" fillId="0" borderId="98" xfId="0" applyNumberFormat="1" applyFont="1" applyBorder="1"/>
    <xf numFmtId="175" fontId="40" fillId="0" borderId="100" xfId="0" applyNumberFormat="1" applyFont="1" applyBorder="1"/>
    <xf numFmtId="175" fontId="33" fillId="0" borderId="101" xfId="0" applyNumberFormat="1" applyFont="1" applyBorder="1"/>
    <xf numFmtId="175" fontId="33" fillId="0" borderId="102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4" fontId="40" fillId="4" borderId="92" xfId="0" applyNumberFormat="1" applyFont="1" applyFill="1" applyBorder="1" applyAlignment="1">
      <alignment horizontal="center"/>
    </xf>
    <xf numFmtId="176" fontId="40" fillId="0" borderId="100" xfId="0" applyNumberFormat="1" applyFont="1" applyBorder="1"/>
    <xf numFmtId="0" fontId="32" fillId="2" borderId="116" xfId="74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3" fontId="30" fillId="0" borderId="0" xfId="26" applyNumberFormat="1" applyFont="1" applyFill="1" applyBorder="1" applyAlignment="1"/>
    <xf numFmtId="3" fontId="32" fillId="0" borderId="73" xfId="53" applyNumberFormat="1" applyFont="1" applyFill="1" applyBorder="1"/>
    <xf numFmtId="3" fontId="32" fillId="0" borderId="74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7" xfId="0" applyFont="1" applyFill="1" applyBorder="1"/>
    <xf numFmtId="0" fontId="33" fillId="0" borderId="98" xfId="0" applyFont="1" applyBorder="1" applyAlignment="1"/>
    <xf numFmtId="9" fontId="33" fillId="0" borderId="9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9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94" xfId="0" applyNumberFormat="1" applyFont="1" applyBorder="1"/>
    <xf numFmtId="9" fontId="33" fillId="0" borderId="98" xfId="0" applyNumberFormat="1" applyFont="1" applyBorder="1"/>
    <xf numFmtId="9" fontId="33" fillId="0" borderId="96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6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115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8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8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7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84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83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0" fontId="43" fillId="0" borderId="1" xfId="26" applyFont="1" applyFill="1" applyBorder="1" applyAlignment="1"/>
    <xf numFmtId="0" fontId="53" fillId="0" borderId="1" xfId="26" applyFont="1" applyFill="1" applyBorder="1" applyAlignment="1"/>
    <xf numFmtId="3" fontId="32" fillId="2" borderId="52" xfId="76" applyNumberFormat="1" applyFont="1" applyFill="1" applyBorder="1" applyAlignment="1">
      <alignment horizontal="center" vertical="center"/>
    </xf>
    <xf numFmtId="3" fontId="32" fillId="2" borderId="54" xfId="76" applyNumberFormat="1" applyFont="1" applyFill="1" applyBorder="1" applyAlignment="1">
      <alignment horizontal="center" vertical="center"/>
    </xf>
    <xf numFmtId="3" fontId="32" fillId="2" borderId="5" xfId="76" applyNumberFormat="1" applyFont="1" applyFill="1" applyBorder="1" applyAlignment="1">
      <alignment horizontal="center"/>
    </xf>
    <xf numFmtId="3" fontId="32" fillId="2" borderId="76" xfId="76" applyNumberFormat="1" applyFont="1" applyFill="1" applyBorder="1" applyAlignment="1">
      <alignment horizontal="center"/>
    </xf>
    <xf numFmtId="3" fontId="32" fillId="2" borderId="7" xfId="76" applyNumberFormat="1" applyFont="1" applyFill="1" applyBorder="1" applyAlignment="1">
      <alignment horizontal="center"/>
    </xf>
    <xf numFmtId="3" fontId="32" fillId="2" borderId="6" xfId="76" applyNumberFormat="1" applyFont="1" applyFill="1" applyBorder="1" applyAlignment="1">
      <alignment horizontal="center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7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7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177" fontId="36" fillId="9" borderId="128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7" fontId="36" fillId="9" borderId="129" xfId="0" applyNumberFormat="1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7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/>
    </xf>
    <xf numFmtId="0" fontId="33" fillId="10" borderId="120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34" xfId="53" applyNumberFormat="1" applyFont="1" applyFill="1" applyBorder="1" applyAlignment="1">
      <alignment horizontal="left"/>
    </xf>
    <xf numFmtId="165" fontId="32" fillId="2" borderId="135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5" fontId="33" fillId="0" borderId="86" xfId="0" applyNumberFormat="1" applyFont="1" applyFill="1" applyBorder="1"/>
    <xf numFmtId="165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95" xfId="0" applyFont="1" applyFill="1" applyBorder="1"/>
    <xf numFmtId="0" fontId="33" fillId="0" borderId="96" xfId="0" applyFont="1" applyFill="1" applyBorder="1"/>
    <xf numFmtId="165" fontId="33" fillId="0" borderId="96" xfId="0" applyNumberFormat="1" applyFont="1" applyFill="1" applyBorder="1"/>
    <xf numFmtId="165" fontId="33" fillId="0" borderId="96" xfId="0" applyNumberFormat="1" applyFont="1" applyFill="1" applyBorder="1" applyAlignment="1">
      <alignment horizontal="right"/>
    </xf>
    <xf numFmtId="3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2" borderId="134" xfId="0" applyFont="1" applyFill="1" applyBorder="1"/>
    <xf numFmtId="3" fontId="40" fillId="2" borderId="136" xfId="0" applyNumberFormat="1" applyFont="1" applyFill="1" applyBorder="1"/>
    <xf numFmtId="9" fontId="40" fillId="2" borderId="80" xfId="0" applyNumberFormat="1" applyFont="1" applyFill="1" applyBorder="1"/>
    <xf numFmtId="3" fontId="40" fillId="2" borderId="67" xfId="0" applyNumberFormat="1" applyFont="1" applyFill="1" applyBorder="1"/>
    <xf numFmtId="9" fontId="33" fillId="0" borderId="135" xfId="0" applyNumberFormat="1" applyFont="1" applyFill="1" applyBorder="1"/>
    <xf numFmtId="9" fontId="33" fillId="0" borderId="86" xfId="0" applyNumberFormat="1" applyFont="1" applyFill="1" applyBorder="1"/>
    <xf numFmtId="9" fontId="33" fillId="0" borderId="89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34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96" xfId="0" applyNumberFormat="1" applyFont="1" applyFill="1" applyBorder="1"/>
    <xf numFmtId="3" fontId="33" fillId="0" borderId="102" xfId="0" applyNumberFormat="1" applyFont="1" applyFill="1" applyBorder="1"/>
    <xf numFmtId="9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40" fillId="0" borderId="85" xfId="0" applyFont="1" applyFill="1" applyBorder="1"/>
    <xf numFmtId="0" fontId="40" fillId="0" borderId="138" xfId="0" applyFont="1" applyFill="1" applyBorder="1"/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3" fillId="0" borderId="87" xfId="0" applyNumberFormat="1" applyFont="1" applyFill="1" applyBorder="1"/>
    <xf numFmtId="9" fontId="33" fillId="0" borderId="97" xfId="0" applyNumberFormat="1" applyFont="1" applyFill="1" applyBorder="1"/>
    <xf numFmtId="9" fontId="33" fillId="0" borderId="90" xfId="0" applyNumberFormat="1" applyFont="1" applyFill="1" applyBorder="1"/>
    <xf numFmtId="0" fontId="40" fillId="0" borderId="116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115" xfId="0" applyFont="1" applyFill="1" applyBorder="1" applyAlignment="1">
      <alignment horizontal="left" indent="1"/>
    </xf>
    <xf numFmtId="9" fontId="33" fillId="0" borderId="108" xfId="0" applyNumberFormat="1" applyFont="1" applyFill="1" applyBorder="1"/>
    <xf numFmtId="9" fontId="33" fillId="0" borderId="98" xfId="0" applyNumberFormat="1" applyFont="1" applyFill="1" applyBorder="1"/>
    <xf numFmtId="9" fontId="33" fillId="0" borderId="106" xfId="0" applyNumberFormat="1" applyFont="1" applyFill="1" applyBorder="1"/>
    <xf numFmtId="3" fontId="33" fillId="0" borderId="85" xfId="0" applyNumberFormat="1" applyFont="1" applyFill="1" applyBorder="1"/>
    <xf numFmtId="3" fontId="33" fillId="0" borderId="95" xfId="0" applyNumberFormat="1" applyFont="1" applyFill="1" applyBorder="1"/>
    <xf numFmtId="3" fontId="33" fillId="0" borderId="88" xfId="0" applyNumberFormat="1" applyFont="1" applyFill="1" applyBorder="1"/>
    <xf numFmtId="9" fontId="33" fillId="0" borderId="112" xfId="0" applyNumberFormat="1" applyFont="1" applyFill="1" applyBorder="1"/>
    <xf numFmtId="9" fontId="33" fillId="0" borderId="110" xfId="0" applyNumberFormat="1" applyFont="1" applyFill="1" applyBorder="1"/>
    <xf numFmtId="9" fontId="33" fillId="0" borderId="111" xfId="0" applyNumberFormat="1" applyFont="1" applyFill="1" applyBorder="1"/>
    <xf numFmtId="9" fontId="30" fillId="0" borderId="0" xfId="0" applyNumberFormat="1" applyFont="1" applyFill="1" applyBorder="1"/>
    <xf numFmtId="0" fontId="40" fillId="10" borderId="116" xfId="0" applyFont="1" applyFill="1" applyBorder="1"/>
    <xf numFmtId="0" fontId="40" fillId="10" borderId="114" xfId="0" applyFont="1" applyFill="1" applyBorder="1"/>
    <xf numFmtId="0" fontId="40" fillId="10" borderId="115" xfId="0" applyFont="1" applyFill="1" applyBorder="1"/>
    <xf numFmtId="0" fontId="3" fillId="2" borderId="102" xfId="80" applyFont="1" applyFill="1" applyBorder="1"/>
    <xf numFmtId="3" fontId="33" fillId="0" borderId="112" xfId="0" applyNumberFormat="1" applyFont="1" applyFill="1" applyBorder="1"/>
    <xf numFmtId="3" fontId="33" fillId="0" borderId="110" xfId="0" applyNumberFormat="1" applyFont="1" applyFill="1" applyBorder="1"/>
    <xf numFmtId="3" fontId="33" fillId="0" borderId="111" xfId="0" applyNumberFormat="1" applyFont="1" applyFill="1" applyBorder="1"/>
    <xf numFmtId="0" fontId="33" fillId="0" borderId="116" xfId="0" applyFont="1" applyFill="1" applyBorder="1"/>
    <xf numFmtId="0" fontId="33" fillId="0" borderId="114" xfId="0" applyFont="1" applyFill="1" applyBorder="1"/>
    <xf numFmtId="0" fontId="33" fillId="0" borderId="115" xfId="0" applyFont="1" applyFill="1" applyBorder="1"/>
    <xf numFmtId="3" fontId="33" fillId="0" borderId="108" xfId="0" applyNumberFormat="1" applyFont="1" applyFill="1" applyBorder="1"/>
    <xf numFmtId="3" fontId="33" fillId="0" borderId="98" xfId="0" applyNumberFormat="1" applyFont="1" applyFill="1" applyBorder="1"/>
    <xf numFmtId="3" fontId="33" fillId="0" borderId="106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5" fontId="33" fillId="0" borderId="144" xfId="0" applyNumberFormat="1" applyFont="1" applyFill="1" applyBorder="1"/>
    <xf numFmtId="166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33" fillId="0" borderId="146" xfId="0" applyFont="1" applyFill="1" applyBorder="1"/>
    <xf numFmtId="0" fontId="33" fillId="0" borderId="147" xfId="0" applyFont="1" applyFill="1" applyBorder="1"/>
    <xf numFmtId="0" fontId="33" fillId="0" borderId="147" xfId="0" applyFont="1" applyFill="1" applyBorder="1" applyAlignment="1">
      <alignment horizontal="right"/>
    </xf>
    <xf numFmtId="0" fontId="33" fillId="0" borderId="147" xfId="0" applyFont="1" applyFill="1" applyBorder="1" applyAlignment="1">
      <alignment horizontal="left"/>
    </xf>
    <xf numFmtId="165" fontId="33" fillId="0" borderId="147" xfId="0" applyNumberFormat="1" applyFont="1" applyFill="1" applyBorder="1"/>
    <xf numFmtId="166" fontId="33" fillId="0" borderId="147" xfId="0" applyNumberFormat="1" applyFont="1" applyFill="1" applyBorder="1"/>
    <xf numFmtId="9" fontId="33" fillId="0" borderId="147" xfId="0" applyNumberFormat="1" applyFont="1" applyFill="1" applyBorder="1"/>
    <xf numFmtId="9" fontId="33" fillId="0" borderId="148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3" fontId="33" fillId="0" borderId="148" xfId="0" applyNumberFormat="1" applyFont="1" applyFill="1" applyBorder="1"/>
    <xf numFmtId="3" fontId="33" fillId="0" borderId="150" xfId="0" applyNumberFormat="1" applyFont="1" applyFill="1" applyBorder="1"/>
    <xf numFmtId="9" fontId="33" fillId="0" borderId="150" xfId="0" applyNumberFormat="1" applyFont="1" applyFill="1" applyBorder="1"/>
    <xf numFmtId="3" fontId="33" fillId="0" borderId="151" xfId="0" applyNumberFormat="1" applyFont="1" applyFill="1" applyBorder="1"/>
    <xf numFmtId="0" fontId="40" fillId="0" borderId="24" xfId="0" applyFont="1" applyFill="1" applyBorder="1"/>
    <xf numFmtId="0" fontId="40" fillId="0" borderId="143" xfId="0" applyFont="1" applyFill="1" applyBorder="1"/>
    <xf numFmtId="0" fontId="40" fillId="0" borderId="149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44" xfId="0" applyNumberFormat="1" applyFont="1" applyFill="1" applyBorder="1" applyAlignment="1">
      <alignment horizontal="right"/>
    </xf>
    <xf numFmtId="165" fontId="33" fillId="0" borderId="147" xfId="0" applyNumberFormat="1" applyFont="1" applyFill="1" applyBorder="1" applyAlignment="1">
      <alignment horizontal="right"/>
    </xf>
    <xf numFmtId="174" fontId="40" fillId="4" borderId="155" xfId="0" applyNumberFormat="1" applyFont="1" applyFill="1" applyBorder="1" applyAlignment="1">
      <alignment horizontal="center"/>
    </xf>
    <xf numFmtId="174" fontId="40" fillId="4" borderId="156" xfId="0" applyNumberFormat="1" applyFont="1" applyFill="1" applyBorder="1" applyAlignment="1">
      <alignment horizontal="center"/>
    </xf>
    <xf numFmtId="174" fontId="33" fillId="0" borderId="157" xfId="0" applyNumberFormat="1" applyFont="1" applyBorder="1" applyAlignment="1">
      <alignment horizontal="right"/>
    </xf>
    <xf numFmtId="174" fontId="33" fillId="0" borderId="158" xfId="0" applyNumberFormat="1" applyFont="1" applyBorder="1" applyAlignment="1">
      <alignment horizontal="right"/>
    </xf>
    <xf numFmtId="174" fontId="33" fillId="0" borderId="158" xfId="0" applyNumberFormat="1" applyFont="1" applyBorder="1" applyAlignment="1">
      <alignment horizontal="right" wrapText="1"/>
    </xf>
    <xf numFmtId="176" fontId="33" fillId="0" borderId="157" xfId="0" applyNumberFormat="1" applyFont="1" applyBorder="1" applyAlignment="1">
      <alignment horizontal="right"/>
    </xf>
    <xf numFmtId="176" fontId="33" fillId="0" borderId="158" xfId="0" applyNumberFormat="1" applyFont="1" applyBorder="1" applyAlignment="1">
      <alignment horizontal="right"/>
    </xf>
    <xf numFmtId="174" fontId="33" fillId="0" borderId="159" xfId="0" applyNumberFormat="1" applyFont="1" applyBorder="1" applyAlignment="1">
      <alignment horizontal="right"/>
    </xf>
    <xf numFmtId="174" fontId="33" fillId="0" borderId="160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54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53" xfId="0" applyNumberFormat="1" applyFont="1" applyBorder="1"/>
    <xf numFmtId="175" fontId="33" fillId="0" borderId="161" xfId="0" applyNumberFormat="1" applyFont="1" applyBorder="1"/>
    <xf numFmtId="174" fontId="40" fillId="4" borderId="57" xfId="0" applyNumberFormat="1" applyFont="1" applyFill="1" applyBorder="1" applyAlignment="1"/>
    <xf numFmtId="174" fontId="33" fillId="0" borderId="153" xfId="0" applyNumberFormat="1" applyFont="1" applyBorder="1"/>
    <xf numFmtId="174" fontId="33" fillId="0" borderId="154" xfId="0" applyNumberFormat="1" applyFont="1" applyBorder="1"/>
    <xf numFmtId="174" fontId="40" fillId="2" borderId="57" xfId="0" applyNumberFormat="1" applyFont="1" applyFill="1" applyBorder="1" applyAlignment="1"/>
    <xf numFmtId="174" fontId="33" fillId="0" borderId="161" xfId="0" applyNumberFormat="1" applyFont="1" applyBorder="1"/>
    <xf numFmtId="174" fontId="33" fillId="0" borderId="57" xfId="0" applyNumberFormat="1" applyFont="1" applyBorder="1"/>
    <xf numFmtId="9" fontId="33" fillId="0" borderId="153" xfId="0" applyNumberFormat="1" applyFont="1" applyBorder="1"/>
    <xf numFmtId="174" fontId="40" fillId="4" borderId="162" xfId="0" applyNumberFormat="1" applyFont="1" applyFill="1" applyBorder="1" applyAlignment="1">
      <alignment horizontal="center"/>
    </xf>
    <xf numFmtId="174" fontId="33" fillId="0" borderId="163" xfId="0" applyNumberFormat="1" applyFont="1" applyBorder="1" applyAlignment="1">
      <alignment horizontal="right"/>
    </xf>
    <xf numFmtId="176" fontId="33" fillId="0" borderId="163" xfId="0" applyNumberFormat="1" applyFont="1" applyBorder="1" applyAlignment="1">
      <alignment horizontal="right"/>
    </xf>
    <xf numFmtId="174" fontId="33" fillId="0" borderId="164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65" xfId="0" applyNumberFormat="1" applyFont="1" applyBorder="1" applyAlignment="1">
      <alignment horizontal="right"/>
    </xf>
    <xf numFmtId="176" fontId="33" fillId="0" borderId="165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47" xfId="0" applyNumberFormat="1" applyFont="1" applyFill="1" applyBorder="1"/>
    <xf numFmtId="0" fontId="40" fillId="0" borderId="146" xfId="0" applyFont="1" applyFill="1" applyBorder="1"/>
    <xf numFmtId="0" fontId="60" fillId="0" borderId="0" xfId="0" applyFont="1" applyFill="1"/>
    <xf numFmtId="0" fontId="61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44" xfId="0" applyNumberFormat="1" applyFont="1" applyFill="1" applyBorder="1"/>
    <xf numFmtId="170" fontId="33" fillId="0" borderId="145" xfId="0" applyNumberFormat="1" applyFont="1" applyFill="1" applyBorder="1"/>
    <xf numFmtId="170" fontId="33" fillId="0" borderId="148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3" fontId="32" fillId="2" borderId="79" xfId="76" applyNumberFormat="1" applyFont="1" applyFill="1" applyBorder="1" applyAlignment="1">
      <alignment horizontal="center" vertical="center"/>
    </xf>
    <xf numFmtId="3" fontId="32" fillId="2" borderId="59" xfId="76" applyNumberFormat="1" applyFont="1" applyFill="1" applyBorder="1" applyAlignment="1">
      <alignment horizontal="center" vertical="center"/>
    </xf>
    <xf numFmtId="0" fontId="30" fillId="0" borderId="19" xfId="76" applyFont="1" applyFill="1" applyBorder="1"/>
    <xf numFmtId="0" fontId="30" fillId="0" borderId="51" xfId="76" applyFont="1" applyFill="1" applyBorder="1"/>
    <xf numFmtId="0" fontId="32" fillId="2" borderId="150" xfId="76" applyNumberFormat="1" applyFont="1" applyFill="1" applyBorder="1" applyAlignment="1">
      <alignment horizontal="left"/>
    </xf>
    <xf numFmtId="0" fontId="32" fillId="2" borderId="166" xfId="76" applyNumberFormat="1" applyFont="1" applyFill="1" applyBorder="1" applyAlignment="1">
      <alignment horizontal="left"/>
    </xf>
    <xf numFmtId="3" fontId="30" fillId="0" borderId="19" xfId="76" applyNumberFormat="1" applyFont="1" applyFill="1" applyBorder="1"/>
    <xf numFmtId="3" fontId="30" fillId="0" borderId="27" xfId="76" applyNumberFormat="1" applyFont="1" applyFill="1" applyBorder="1"/>
    <xf numFmtId="9" fontId="30" fillId="0" borderId="51" xfId="76" applyNumberFormat="1" applyFont="1" applyFill="1" applyBorder="1"/>
    <xf numFmtId="0" fontId="32" fillId="2" borderId="167" xfId="76" applyNumberFormat="1" applyFont="1" applyFill="1" applyBorder="1" applyAlignment="1">
      <alignment horizontal="left"/>
    </xf>
    <xf numFmtId="0" fontId="32" fillId="2" borderId="151" xfId="76" applyNumberFormat="1" applyFont="1" applyFill="1" applyBorder="1" applyAlignment="1">
      <alignment horizontal="left"/>
    </xf>
    <xf numFmtId="3" fontId="30" fillId="0" borderId="20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0.28427014009755375</c:v>
                </c:pt>
                <c:pt idx="1">
                  <c:v>0.26059552191052715</c:v>
                </c:pt>
                <c:pt idx="2">
                  <c:v>0.25859755224270647</c:v>
                </c:pt>
                <c:pt idx="3">
                  <c:v>0.2505143852963187</c:v>
                </c:pt>
                <c:pt idx="4">
                  <c:v>0.25157955516553437</c:v>
                </c:pt>
                <c:pt idx="5">
                  <c:v>0.24955277880823326</c:v>
                </c:pt>
                <c:pt idx="6">
                  <c:v>0.22231206399333259</c:v>
                </c:pt>
                <c:pt idx="7">
                  <c:v>0.21873908499219155</c:v>
                </c:pt>
                <c:pt idx="8">
                  <c:v>0.22706651419657209</c:v>
                </c:pt>
                <c:pt idx="9">
                  <c:v>0.22384201201911658</c:v>
                </c:pt>
                <c:pt idx="10">
                  <c:v>0.21233474999076077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53888"/>
        <c:axId val="1176489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0.2018387689311899</c:v>
                </c:pt>
                <c:pt idx="1">
                  <c:v>0.2018387689311899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492672"/>
        <c:axId val="1325278720"/>
      </c:scatterChart>
      <c:catAx>
        <c:axId val="117645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64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489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6453888"/>
        <c:crosses val="autoZero"/>
        <c:crossBetween val="between"/>
      </c:valAx>
      <c:valAx>
        <c:axId val="1176492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278720"/>
        <c:crosses val="max"/>
        <c:crossBetween val="midCat"/>
      </c:valAx>
      <c:valAx>
        <c:axId val="1325278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76492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43" bestFit="1" customWidth="1"/>
    <col min="2" max="2" width="102.21875" style="143" bestFit="1" customWidth="1"/>
    <col min="3" max="3" width="16.109375" style="47" hidden="1" customWidth="1"/>
    <col min="4" max="16384" width="8.88671875" style="143"/>
  </cols>
  <sheetData>
    <row r="1" spans="1:3" ht="18.600000000000001" customHeight="1" thickBot="1" x14ac:dyDescent="0.4">
      <c r="A1" s="343" t="s">
        <v>112</v>
      </c>
      <c r="B1" s="343"/>
    </row>
    <row r="2" spans="1:3" ht="14.4" customHeight="1" thickBot="1" x14ac:dyDescent="0.35">
      <c r="A2" s="250" t="s">
        <v>289</v>
      </c>
      <c r="B2" s="46"/>
    </row>
    <row r="3" spans="1:3" ht="14.4" customHeight="1" thickBot="1" x14ac:dyDescent="0.35">
      <c r="A3" s="339" t="s">
        <v>150</v>
      </c>
      <c r="B3" s="340"/>
    </row>
    <row r="4" spans="1:3" ht="14.4" customHeight="1" x14ac:dyDescent="0.3">
      <c r="A4" s="158" t="str">
        <f t="shared" ref="A4:A8" si="0">HYPERLINK("#'"&amp;C4&amp;"'!A1",C4)</f>
        <v>Motivace</v>
      </c>
      <c r="B4" s="89" t="s">
        <v>128</v>
      </c>
      <c r="C4" s="47" t="s">
        <v>129</v>
      </c>
    </row>
    <row r="5" spans="1:3" ht="14.4" customHeight="1" x14ac:dyDescent="0.3">
      <c r="A5" s="159" t="str">
        <f t="shared" si="0"/>
        <v>HI</v>
      </c>
      <c r="B5" s="90" t="s">
        <v>145</v>
      </c>
      <c r="C5" s="47" t="s">
        <v>115</v>
      </c>
    </row>
    <row r="6" spans="1:3" ht="14.4" customHeight="1" x14ac:dyDescent="0.3">
      <c r="A6" s="160" t="str">
        <f t="shared" si="0"/>
        <v>HI Graf</v>
      </c>
      <c r="B6" s="91" t="s">
        <v>108</v>
      </c>
      <c r="C6" s="47" t="s">
        <v>116</v>
      </c>
    </row>
    <row r="7" spans="1:3" ht="14.4" customHeight="1" x14ac:dyDescent="0.3">
      <c r="A7" s="160" t="str">
        <f t="shared" si="0"/>
        <v>Man Tab</v>
      </c>
      <c r="B7" s="91" t="s">
        <v>291</v>
      </c>
      <c r="C7" s="47" t="s">
        <v>117</v>
      </c>
    </row>
    <row r="8" spans="1:3" ht="14.4" customHeight="1" thickBot="1" x14ac:dyDescent="0.35">
      <c r="A8" s="16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41" t="s">
        <v>113</v>
      </c>
      <c r="B10" s="340"/>
    </row>
    <row r="11" spans="1:3" ht="14.4" customHeight="1" x14ac:dyDescent="0.3">
      <c r="A11" s="162" t="str">
        <f t="shared" ref="A11" si="1">HYPERLINK("#'"&amp;C11&amp;"'!A1",C11)</f>
        <v>Léky Žádanky</v>
      </c>
      <c r="B11" s="90" t="s">
        <v>146</v>
      </c>
      <c r="C11" s="47" t="s">
        <v>118</v>
      </c>
    </row>
    <row r="12" spans="1:3" ht="14.4" customHeight="1" x14ac:dyDescent="0.3">
      <c r="A12" s="160" t="str">
        <f t="shared" ref="A12:A23" si="2">HYPERLINK("#'"&amp;C12&amp;"'!A1",C12)</f>
        <v>LŽ Detail</v>
      </c>
      <c r="B12" s="91" t="s">
        <v>174</v>
      </c>
      <c r="C12" s="47" t="s">
        <v>119</v>
      </c>
    </row>
    <row r="13" spans="1:3" ht="28.8" customHeight="1" x14ac:dyDescent="0.3">
      <c r="A13" s="160" t="str">
        <f t="shared" si="2"/>
        <v>LŽ PL</v>
      </c>
      <c r="B13" s="515" t="s">
        <v>175</v>
      </c>
      <c r="C13" s="47" t="s">
        <v>154</v>
      </c>
    </row>
    <row r="14" spans="1:3" ht="14.4" customHeight="1" x14ac:dyDescent="0.3">
      <c r="A14" s="160" t="str">
        <f t="shared" si="2"/>
        <v>LŽ PL Detail</v>
      </c>
      <c r="B14" s="91" t="s">
        <v>614</v>
      </c>
      <c r="C14" s="47" t="s">
        <v>156</v>
      </c>
    </row>
    <row r="15" spans="1:3" ht="14.4" customHeight="1" x14ac:dyDescent="0.3">
      <c r="A15" s="160" t="str">
        <f t="shared" si="2"/>
        <v>LŽ Statim</v>
      </c>
      <c r="B15" s="327" t="s">
        <v>275</v>
      </c>
      <c r="C15" s="47" t="s">
        <v>285</v>
      </c>
    </row>
    <row r="16" spans="1:3" ht="14.4" customHeight="1" x14ac:dyDescent="0.3">
      <c r="A16" s="160" t="str">
        <f t="shared" si="2"/>
        <v>Léky Recepty</v>
      </c>
      <c r="B16" s="91" t="s">
        <v>147</v>
      </c>
      <c r="C16" s="47" t="s">
        <v>120</v>
      </c>
    </row>
    <row r="17" spans="1:3" ht="14.4" customHeight="1" x14ac:dyDescent="0.3">
      <c r="A17" s="160" t="str">
        <f t="shared" si="2"/>
        <v>LRp Lékaři</v>
      </c>
      <c r="B17" s="91" t="s">
        <v>159</v>
      </c>
      <c r="C17" s="47" t="s">
        <v>160</v>
      </c>
    </row>
    <row r="18" spans="1:3" ht="14.4" customHeight="1" x14ac:dyDescent="0.3">
      <c r="A18" s="160" t="str">
        <f t="shared" si="2"/>
        <v>LRp Detail</v>
      </c>
      <c r="B18" s="91" t="s">
        <v>909</v>
      </c>
      <c r="C18" s="47" t="s">
        <v>121</v>
      </c>
    </row>
    <row r="19" spans="1:3" ht="28.8" customHeight="1" x14ac:dyDescent="0.3">
      <c r="A19" s="160" t="str">
        <f t="shared" si="2"/>
        <v>LRp PL</v>
      </c>
      <c r="B19" s="515" t="s">
        <v>910</v>
      </c>
      <c r="C19" s="47" t="s">
        <v>155</v>
      </c>
    </row>
    <row r="20" spans="1:3" ht="14.4" customHeight="1" x14ac:dyDescent="0.3">
      <c r="A20" s="160" t="str">
        <f>HYPERLINK("#'"&amp;C20&amp;"'!A1",C20)</f>
        <v>LRp PL Detail</v>
      </c>
      <c r="B20" s="91" t="s">
        <v>952</v>
      </c>
      <c r="C20" s="47" t="s">
        <v>157</v>
      </c>
    </row>
    <row r="21" spans="1:3" ht="14.4" customHeight="1" x14ac:dyDescent="0.3">
      <c r="A21" s="162" t="str">
        <f t="shared" ref="A21" si="3">HYPERLINK("#'"&amp;C21&amp;"'!A1",C21)</f>
        <v>Materiál Žádanky</v>
      </c>
      <c r="B21" s="91" t="s">
        <v>148</v>
      </c>
      <c r="C21" s="47" t="s">
        <v>122</v>
      </c>
    </row>
    <row r="22" spans="1:3" ht="14.4" customHeight="1" x14ac:dyDescent="0.3">
      <c r="A22" s="160" t="str">
        <f t="shared" si="2"/>
        <v>MŽ Detail</v>
      </c>
      <c r="B22" s="91" t="s">
        <v>1069</v>
      </c>
      <c r="C22" s="47" t="s">
        <v>123</v>
      </c>
    </row>
    <row r="23" spans="1:3" ht="14.4" customHeight="1" thickBot="1" x14ac:dyDescent="0.35">
      <c r="A23" s="162" t="str">
        <f t="shared" si="2"/>
        <v>Osobní náklady</v>
      </c>
      <c r="B23" s="91" t="s">
        <v>110</v>
      </c>
      <c r="C23" s="47" t="s">
        <v>124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42" t="s">
        <v>114</v>
      </c>
      <c r="B25" s="340"/>
    </row>
    <row r="26" spans="1:3" ht="14.4" customHeight="1" x14ac:dyDescent="0.3">
      <c r="A26" s="163" t="str">
        <f t="shared" ref="A26:A33" si="4">HYPERLINK("#'"&amp;C26&amp;"'!A1",C26)</f>
        <v>ZV Vykáz.-A</v>
      </c>
      <c r="B26" s="90" t="s">
        <v>1076</v>
      </c>
      <c r="C26" s="47" t="s">
        <v>130</v>
      </c>
    </row>
    <row r="27" spans="1:3" ht="14.4" customHeight="1" x14ac:dyDescent="0.3">
      <c r="A27" s="160" t="str">
        <f t="shared" ref="A27" si="5">HYPERLINK("#'"&amp;C27&amp;"'!A1",C27)</f>
        <v>ZV Vykáz.-A Lékaři</v>
      </c>
      <c r="B27" s="91" t="s">
        <v>1081</v>
      </c>
      <c r="C27" s="47" t="s">
        <v>288</v>
      </c>
    </row>
    <row r="28" spans="1:3" ht="14.4" customHeight="1" x14ac:dyDescent="0.3">
      <c r="A28" s="160" t="str">
        <f t="shared" si="4"/>
        <v>ZV Vykáz.-A Detail</v>
      </c>
      <c r="B28" s="91" t="s">
        <v>1165</v>
      </c>
      <c r="C28" s="47" t="s">
        <v>131</v>
      </c>
    </row>
    <row r="29" spans="1:3" ht="14.4" customHeight="1" x14ac:dyDescent="0.3">
      <c r="A29" s="160" t="str">
        <f t="shared" si="4"/>
        <v>ZV Vykáz.-H</v>
      </c>
      <c r="B29" s="91" t="s">
        <v>134</v>
      </c>
      <c r="C29" s="47" t="s">
        <v>132</v>
      </c>
    </row>
    <row r="30" spans="1:3" ht="14.4" customHeight="1" x14ac:dyDescent="0.3">
      <c r="A30" s="160" t="str">
        <f t="shared" si="4"/>
        <v>ZV Vykáz.-H Detail</v>
      </c>
      <c r="B30" s="91" t="s">
        <v>1185</v>
      </c>
      <c r="C30" s="47" t="s">
        <v>133</v>
      </c>
    </row>
    <row r="31" spans="1:3" ht="14.4" customHeight="1" x14ac:dyDescent="0.3">
      <c r="A31" s="160" t="str">
        <f t="shared" si="4"/>
        <v>ZV Vyžád.</v>
      </c>
      <c r="B31" s="91" t="s">
        <v>135</v>
      </c>
      <c r="C31" s="47" t="s">
        <v>127</v>
      </c>
    </row>
    <row r="32" spans="1:3" ht="14.4" customHeight="1" x14ac:dyDescent="0.3">
      <c r="A32" s="160" t="str">
        <f t="shared" si="4"/>
        <v>ZV Vyžád. Detail</v>
      </c>
      <c r="B32" s="91" t="s">
        <v>1406</v>
      </c>
      <c r="C32" s="47" t="s">
        <v>126</v>
      </c>
    </row>
    <row r="33" spans="1:3" ht="14.4" customHeight="1" x14ac:dyDescent="0.3">
      <c r="A33" s="160" t="str">
        <f t="shared" si="4"/>
        <v>OD TISS</v>
      </c>
      <c r="B33" s="91" t="s">
        <v>149</v>
      </c>
      <c r="C33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43" bestFit="1" customWidth="1"/>
    <col min="2" max="2" width="8.88671875" style="143" bestFit="1" customWidth="1"/>
    <col min="3" max="3" width="7" style="143" bestFit="1" customWidth="1"/>
    <col min="4" max="4" width="53.44140625" style="143" bestFit="1" customWidth="1"/>
    <col min="5" max="5" width="28.44140625" style="143" bestFit="1" customWidth="1"/>
    <col min="6" max="6" width="6.6640625" style="222" customWidth="1"/>
    <col min="7" max="7" width="10" style="222" customWidth="1"/>
    <col min="8" max="8" width="6.77734375" style="225" bestFit="1" customWidth="1"/>
    <col min="9" max="9" width="6.6640625" style="222" customWidth="1"/>
    <col min="10" max="10" width="10" style="222" customWidth="1"/>
    <col min="11" max="11" width="6.77734375" style="225" bestFit="1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614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281.11</v>
      </c>
      <c r="K3" s="44">
        <f>IF(M3=0,0,J3/M3)</f>
        <v>1</v>
      </c>
      <c r="L3" s="43">
        <f>SUBTOTAL(9,L6:L1048576)</f>
        <v>5</v>
      </c>
      <c r="M3" s="45">
        <f>SUBTOTAL(9,M6:M1048576)</f>
        <v>281.11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03" t="s">
        <v>139</v>
      </c>
      <c r="B5" s="522" t="s">
        <v>140</v>
      </c>
      <c r="C5" s="522" t="s">
        <v>71</v>
      </c>
      <c r="D5" s="522" t="s">
        <v>141</v>
      </c>
      <c r="E5" s="522" t="s">
        <v>142</v>
      </c>
      <c r="F5" s="523" t="s">
        <v>28</v>
      </c>
      <c r="G5" s="523" t="s">
        <v>14</v>
      </c>
      <c r="H5" s="505" t="s">
        <v>143</v>
      </c>
      <c r="I5" s="504" t="s">
        <v>28</v>
      </c>
      <c r="J5" s="523" t="s">
        <v>14</v>
      </c>
      <c r="K5" s="505" t="s">
        <v>143</v>
      </c>
      <c r="L5" s="504" t="s">
        <v>28</v>
      </c>
      <c r="M5" s="524" t="s">
        <v>14</v>
      </c>
    </row>
    <row r="6" spans="1:13" ht="14.4" customHeight="1" x14ac:dyDescent="0.3">
      <c r="A6" s="485" t="s">
        <v>463</v>
      </c>
      <c r="B6" s="486" t="s">
        <v>611</v>
      </c>
      <c r="C6" s="486" t="s">
        <v>541</v>
      </c>
      <c r="D6" s="486" t="s">
        <v>542</v>
      </c>
      <c r="E6" s="486" t="s">
        <v>543</v>
      </c>
      <c r="F6" s="489"/>
      <c r="G6" s="489"/>
      <c r="H6" s="508">
        <v>0</v>
      </c>
      <c r="I6" s="489">
        <v>2</v>
      </c>
      <c r="J6" s="489">
        <v>122.68000000000004</v>
      </c>
      <c r="K6" s="508">
        <v>1</v>
      </c>
      <c r="L6" s="489">
        <v>2</v>
      </c>
      <c r="M6" s="490">
        <v>122.68000000000004</v>
      </c>
    </row>
    <row r="7" spans="1:13" ht="14.4" customHeight="1" thickBot="1" x14ac:dyDescent="0.35">
      <c r="A7" s="497" t="s">
        <v>463</v>
      </c>
      <c r="B7" s="498" t="s">
        <v>612</v>
      </c>
      <c r="C7" s="498" t="s">
        <v>545</v>
      </c>
      <c r="D7" s="498" t="s">
        <v>546</v>
      </c>
      <c r="E7" s="498" t="s">
        <v>613</v>
      </c>
      <c r="F7" s="501"/>
      <c r="G7" s="501"/>
      <c r="H7" s="509">
        <v>0</v>
      </c>
      <c r="I7" s="501">
        <v>3</v>
      </c>
      <c r="J7" s="501">
        <v>158.42999999999998</v>
      </c>
      <c r="K7" s="509">
        <v>1</v>
      </c>
      <c r="L7" s="501">
        <v>3</v>
      </c>
      <c r="M7" s="502">
        <v>158.42999999999998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1" customWidth="1"/>
    <col min="2" max="2" width="5.44140625" style="222" bestFit="1" customWidth="1"/>
    <col min="3" max="3" width="6.109375" style="222" bestFit="1" customWidth="1"/>
    <col min="4" max="4" width="7.44140625" style="222" bestFit="1" customWidth="1"/>
    <col min="5" max="5" width="6.21875" style="222" bestFit="1" customWidth="1"/>
    <col min="6" max="6" width="6.33203125" style="225" bestFit="1" customWidth="1"/>
    <col min="7" max="7" width="6.109375" style="225" bestFit="1" customWidth="1"/>
    <col min="8" max="8" width="7.44140625" style="225" bestFit="1" customWidth="1"/>
    <col min="9" max="9" width="6.21875" style="225" bestFit="1" customWidth="1"/>
    <col min="10" max="10" width="5.44140625" style="222" bestFit="1" customWidth="1"/>
    <col min="11" max="11" width="6.109375" style="222" bestFit="1" customWidth="1"/>
    <col min="12" max="12" width="7.44140625" style="222" bestFit="1" customWidth="1"/>
    <col min="13" max="13" width="6.21875" style="222" bestFit="1" customWidth="1"/>
    <col min="14" max="14" width="5.33203125" style="225" bestFit="1" customWidth="1"/>
    <col min="15" max="15" width="6.109375" style="225" bestFit="1" customWidth="1"/>
    <col min="16" max="16" width="7.44140625" style="225" bestFit="1" customWidth="1"/>
    <col min="17" max="17" width="6.21875" style="225" bestFit="1" customWidth="1"/>
    <col min="18" max="16384" width="8.88671875" style="143"/>
  </cols>
  <sheetData>
    <row r="1" spans="1:17" ht="18.600000000000001" customHeight="1" thickBot="1" x14ac:dyDescent="0.4">
      <c r="A1" s="381" t="s">
        <v>275</v>
      </c>
      <c r="B1" s="381"/>
      <c r="C1" s="381"/>
      <c r="D1" s="381"/>
      <c r="E1" s="381"/>
      <c r="F1" s="344"/>
      <c r="G1" s="344"/>
      <c r="H1" s="344"/>
      <c r="I1" s="344"/>
      <c r="J1" s="374"/>
      <c r="K1" s="374"/>
      <c r="L1" s="374"/>
      <c r="M1" s="374"/>
      <c r="N1" s="374"/>
      <c r="O1" s="374"/>
      <c r="P1" s="374"/>
      <c r="Q1" s="374"/>
    </row>
    <row r="2" spans="1:17" ht="14.4" customHeight="1" thickBot="1" x14ac:dyDescent="0.35">
      <c r="A2" s="250" t="s">
        <v>289</v>
      </c>
      <c r="B2" s="229"/>
      <c r="C2" s="229"/>
      <c r="D2" s="229"/>
      <c r="E2" s="229"/>
    </row>
    <row r="3" spans="1:17" ht="14.4" customHeight="1" thickBot="1" x14ac:dyDescent="0.35">
      <c r="A3" s="320" t="s">
        <v>3</v>
      </c>
      <c r="B3" s="324">
        <f>SUM(B6:B1048576)</f>
        <v>306</v>
      </c>
      <c r="C3" s="325">
        <f>SUM(C6:C1048576)</f>
        <v>0</v>
      </c>
      <c r="D3" s="325">
        <f>SUM(D6:D1048576)</f>
        <v>0</v>
      </c>
      <c r="E3" s="326">
        <f>SUM(E6:E1048576)</f>
        <v>0</v>
      </c>
      <c r="F3" s="323">
        <f>IF(SUM($B3:$E3)=0,"",B3/SUM($B3:$E3))</f>
        <v>1</v>
      </c>
      <c r="G3" s="321">
        <f t="shared" ref="G3:I3" si="0">IF(SUM($B3:$E3)=0,"",C3/SUM($B3:$E3))</f>
        <v>0</v>
      </c>
      <c r="H3" s="321">
        <f t="shared" si="0"/>
        <v>0</v>
      </c>
      <c r="I3" s="322">
        <f t="shared" si="0"/>
        <v>0</v>
      </c>
      <c r="J3" s="325">
        <f>SUM(J6:J1048576)</f>
        <v>134</v>
      </c>
      <c r="K3" s="325">
        <f>SUM(K6:K1048576)</f>
        <v>0</v>
      </c>
      <c r="L3" s="325">
        <f>SUM(L6:L1048576)</f>
        <v>0</v>
      </c>
      <c r="M3" s="326">
        <f>SUM(M6:M1048576)</f>
        <v>0</v>
      </c>
      <c r="N3" s="323">
        <f>IF(SUM($J3:$M3)=0,"",J3/SUM($J3:$M3))</f>
        <v>1</v>
      </c>
      <c r="O3" s="321">
        <f t="shared" ref="O3:Q3" si="1">IF(SUM($J3:$M3)=0,"",K3/SUM($J3:$M3))</f>
        <v>0</v>
      </c>
      <c r="P3" s="321">
        <f t="shared" si="1"/>
        <v>0</v>
      </c>
      <c r="Q3" s="322">
        <f t="shared" si="1"/>
        <v>0</v>
      </c>
    </row>
    <row r="4" spans="1:17" ht="14.4" customHeight="1" thickBot="1" x14ac:dyDescent="0.35">
      <c r="A4" s="319"/>
      <c r="B4" s="394" t="s">
        <v>277</v>
      </c>
      <c r="C4" s="395"/>
      <c r="D4" s="395"/>
      <c r="E4" s="396"/>
      <c r="F4" s="391" t="s">
        <v>282</v>
      </c>
      <c r="G4" s="392"/>
      <c r="H4" s="392"/>
      <c r="I4" s="393"/>
      <c r="J4" s="394" t="s">
        <v>283</v>
      </c>
      <c r="K4" s="395"/>
      <c r="L4" s="395"/>
      <c r="M4" s="396"/>
      <c r="N4" s="391" t="s">
        <v>284</v>
      </c>
      <c r="O4" s="392"/>
      <c r="P4" s="392"/>
      <c r="Q4" s="393"/>
    </row>
    <row r="5" spans="1:17" ht="14.4" customHeight="1" thickBot="1" x14ac:dyDescent="0.35">
      <c r="A5" s="525" t="s">
        <v>276</v>
      </c>
      <c r="B5" s="526" t="s">
        <v>278</v>
      </c>
      <c r="C5" s="526" t="s">
        <v>279</v>
      </c>
      <c r="D5" s="526" t="s">
        <v>280</v>
      </c>
      <c r="E5" s="527" t="s">
        <v>281</v>
      </c>
      <c r="F5" s="528" t="s">
        <v>278</v>
      </c>
      <c r="G5" s="529" t="s">
        <v>279</v>
      </c>
      <c r="H5" s="529" t="s">
        <v>280</v>
      </c>
      <c r="I5" s="530" t="s">
        <v>281</v>
      </c>
      <c r="J5" s="526" t="s">
        <v>278</v>
      </c>
      <c r="K5" s="526" t="s">
        <v>279</v>
      </c>
      <c r="L5" s="526" t="s">
        <v>280</v>
      </c>
      <c r="M5" s="527" t="s">
        <v>281</v>
      </c>
      <c r="N5" s="528" t="s">
        <v>278</v>
      </c>
      <c r="O5" s="529" t="s">
        <v>279</v>
      </c>
      <c r="P5" s="529" t="s">
        <v>280</v>
      </c>
      <c r="Q5" s="530" t="s">
        <v>281</v>
      </c>
    </row>
    <row r="6" spans="1:17" ht="14.4" customHeight="1" x14ac:dyDescent="0.3">
      <c r="A6" s="534" t="s">
        <v>615</v>
      </c>
      <c r="B6" s="540"/>
      <c r="C6" s="489"/>
      <c r="D6" s="489"/>
      <c r="E6" s="490"/>
      <c r="F6" s="537"/>
      <c r="G6" s="508"/>
      <c r="H6" s="508"/>
      <c r="I6" s="543"/>
      <c r="J6" s="540"/>
      <c r="K6" s="489"/>
      <c r="L6" s="489"/>
      <c r="M6" s="490"/>
      <c r="N6" s="537"/>
      <c r="O6" s="508"/>
      <c r="P6" s="508"/>
      <c r="Q6" s="531"/>
    </row>
    <row r="7" spans="1:17" ht="14.4" customHeight="1" x14ac:dyDescent="0.3">
      <c r="A7" s="535" t="s">
        <v>616</v>
      </c>
      <c r="B7" s="541">
        <v>178</v>
      </c>
      <c r="C7" s="495"/>
      <c r="D7" s="495"/>
      <c r="E7" s="496"/>
      <c r="F7" s="538">
        <v>1</v>
      </c>
      <c r="G7" s="516">
        <v>0</v>
      </c>
      <c r="H7" s="516">
        <v>0</v>
      </c>
      <c r="I7" s="544">
        <v>0</v>
      </c>
      <c r="J7" s="541">
        <v>93</v>
      </c>
      <c r="K7" s="495"/>
      <c r="L7" s="495"/>
      <c r="M7" s="496"/>
      <c r="N7" s="538">
        <v>1</v>
      </c>
      <c r="O7" s="516">
        <v>0</v>
      </c>
      <c r="P7" s="516">
        <v>0</v>
      </c>
      <c r="Q7" s="532">
        <v>0</v>
      </c>
    </row>
    <row r="8" spans="1:17" ht="14.4" customHeight="1" thickBot="1" x14ac:dyDescent="0.35">
      <c r="A8" s="536" t="s">
        <v>617</v>
      </c>
      <c r="B8" s="542">
        <v>128</v>
      </c>
      <c r="C8" s="501"/>
      <c r="D8" s="501"/>
      <c r="E8" s="502"/>
      <c r="F8" s="539">
        <v>1</v>
      </c>
      <c r="G8" s="509">
        <v>0</v>
      </c>
      <c r="H8" s="509">
        <v>0</v>
      </c>
      <c r="I8" s="545">
        <v>0</v>
      </c>
      <c r="J8" s="542">
        <v>41</v>
      </c>
      <c r="K8" s="501"/>
      <c r="L8" s="501"/>
      <c r="M8" s="502"/>
      <c r="N8" s="539">
        <v>1</v>
      </c>
      <c r="O8" s="509">
        <v>0</v>
      </c>
      <c r="P8" s="509">
        <v>0</v>
      </c>
      <c r="Q8" s="5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43" customWidth="1"/>
    <col min="2" max="2" width="34.21875" style="143" customWidth="1"/>
    <col min="3" max="3" width="11.109375" style="143" bestFit="1" customWidth="1"/>
    <col min="4" max="4" width="7.33203125" style="143" bestFit="1" customWidth="1"/>
    <col min="5" max="5" width="11.109375" style="143" bestFit="1" customWidth="1"/>
    <col min="6" max="6" width="5.33203125" style="143" customWidth="1"/>
    <col min="7" max="7" width="7.33203125" style="143" bestFit="1" customWidth="1"/>
    <col min="8" max="8" width="5.33203125" style="143" customWidth="1"/>
    <col min="9" max="9" width="11.109375" style="143" customWidth="1"/>
    <col min="10" max="10" width="5.33203125" style="143" customWidth="1"/>
    <col min="11" max="11" width="7.33203125" style="143" customWidth="1"/>
    <col min="12" max="12" width="5.33203125" style="143" customWidth="1"/>
    <col min="13" max="13" width="0" style="143" hidden="1" customWidth="1"/>
    <col min="14" max="16384" width="8.88671875" style="143"/>
  </cols>
  <sheetData>
    <row r="1" spans="1:14" ht="18.600000000000001" customHeight="1" thickBot="1" x14ac:dyDescent="0.4">
      <c r="A1" s="381" t="s">
        <v>147</v>
      </c>
      <c r="B1" s="381"/>
      <c r="C1" s="381"/>
      <c r="D1" s="381"/>
      <c r="E1" s="381"/>
      <c r="F1" s="381"/>
      <c r="G1" s="381"/>
      <c r="H1" s="381"/>
      <c r="I1" s="344"/>
      <c r="J1" s="344"/>
      <c r="K1" s="344"/>
      <c r="L1" s="344"/>
    </row>
    <row r="2" spans="1:14" ht="14.4" customHeight="1" thickBot="1" x14ac:dyDescent="0.35">
      <c r="A2" s="250" t="s">
        <v>289</v>
      </c>
      <c r="B2" s="221"/>
      <c r="C2" s="221"/>
      <c r="D2" s="221"/>
      <c r="E2" s="221"/>
      <c r="F2" s="221"/>
      <c r="G2" s="221"/>
      <c r="H2" s="221"/>
    </row>
    <row r="3" spans="1:14" ht="14.4" customHeight="1" thickBot="1" x14ac:dyDescent="0.35">
      <c r="A3" s="157"/>
      <c r="B3" s="157"/>
      <c r="C3" s="398" t="s">
        <v>15</v>
      </c>
      <c r="D3" s="397"/>
      <c r="E3" s="397" t="s">
        <v>16</v>
      </c>
      <c r="F3" s="397"/>
      <c r="G3" s="397"/>
      <c r="H3" s="397"/>
      <c r="I3" s="397" t="s">
        <v>158</v>
      </c>
      <c r="J3" s="397"/>
      <c r="K3" s="397"/>
      <c r="L3" s="399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3">
        <v>19</v>
      </c>
      <c r="B5" s="474" t="s">
        <v>453</v>
      </c>
      <c r="C5" s="477">
        <v>41736.959999999977</v>
      </c>
      <c r="D5" s="477">
        <v>378</v>
      </c>
      <c r="E5" s="477">
        <v>27674.579999999984</v>
      </c>
      <c r="F5" s="546">
        <v>0.66307129220719474</v>
      </c>
      <c r="G5" s="477">
        <v>292</v>
      </c>
      <c r="H5" s="546">
        <v>0.77248677248677244</v>
      </c>
      <c r="I5" s="477">
        <v>14062.379999999997</v>
      </c>
      <c r="J5" s="546">
        <v>0.33692870779280537</v>
      </c>
      <c r="K5" s="477">
        <v>86</v>
      </c>
      <c r="L5" s="546">
        <v>0.2275132275132275</v>
      </c>
      <c r="M5" s="477" t="s">
        <v>69</v>
      </c>
      <c r="N5" s="164"/>
    </row>
    <row r="6" spans="1:14" ht="14.4" customHeight="1" x14ac:dyDescent="0.3">
      <c r="A6" s="473">
        <v>19</v>
      </c>
      <c r="B6" s="474" t="s">
        <v>618</v>
      </c>
      <c r="C6" s="477">
        <v>41736.959999999977</v>
      </c>
      <c r="D6" s="477">
        <v>378</v>
      </c>
      <c r="E6" s="477">
        <v>27674.579999999984</v>
      </c>
      <c r="F6" s="546">
        <v>0.66307129220719474</v>
      </c>
      <c r="G6" s="477">
        <v>292</v>
      </c>
      <c r="H6" s="546">
        <v>0.77248677248677244</v>
      </c>
      <c r="I6" s="477">
        <v>14062.379999999997</v>
      </c>
      <c r="J6" s="546">
        <v>0.33692870779280537</v>
      </c>
      <c r="K6" s="477">
        <v>86</v>
      </c>
      <c r="L6" s="546">
        <v>0.2275132275132275</v>
      </c>
      <c r="M6" s="477" t="s">
        <v>1</v>
      </c>
      <c r="N6" s="164"/>
    </row>
    <row r="7" spans="1:14" ht="14.4" customHeight="1" x14ac:dyDescent="0.3">
      <c r="A7" s="473" t="s">
        <v>452</v>
      </c>
      <c r="B7" s="474" t="s">
        <v>3</v>
      </c>
      <c r="C7" s="477">
        <v>41736.959999999977</v>
      </c>
      <c r="D7" s="477">
        <v>378</v>
      </c>
      <c r="E7" s="477">
        <v>27674.579999999984</v>
      </c>
      <c r="F7" s="546">
        <v>0.66307129220719474</v>
      </c>
      <c r="G7" s="477">
        <v>292</v>
      </c>
      <c r="H7" s="546">
        <v>0.77248677248677244</v>
      </c>
      <c r="I7" s="477">
        <v>14062.379999999997</v>
      </c>
      <c r="J7" s="546">
        <v>0.33692870779280537</v>
      </c>
      <c r="K7" s="477">
        <v>86</v>
      </c>
      <c r="L7" s="546">
        <v>0.2275132275132275</v>
      </c>
      <c r="M7" s="477" t="s">
        <v>457</v>
      </c>
      <c r="N7" s="164"/>
    </row>
    <row r="9" spans="1:14" ht="14.4" customHeight="1" x14ac:dyDescent="0.3">
      <c r="A9" s="473">
        <v>19</v>
      </c>
      <c r="B9" s="474" t="s">
        <v>453</v>
      </c>
      <c r="C9" s="477" t="s">
        <v>454</v>
      </c>
      <c r="D9" s="477" t="s">
        <v>454</v>
      </c>
      <c r="E9" s="477" t="s">
        <v>454</v>
      </c>
      <c r="F9" s="546" t="s">
        <v>454</v>
      </c>
      <c r="G9" s="477" t="s">
        <v>454</v>
      </c>
      <c r="H9" s="546" t="s">
        <v>454</v>
      </c>
      <c r="I9" s="477" t="s">
        <v>454</v>
      </c>
      <c r="J9" s="546" t="s">
        <v>454</v>
      </c>
      <c r="K9" s="477" t="s">
        <v>454</v>
      </c>
      <c r="L9" s="546" t="s">
        <v>454</v>
      </c>
      <c r="M9" s="477" t="s">
        <v>69</v>
      </c>
      <c r="N9" s="164"/>
    </row>
    <row r="10" spans="1:14" ht="14.4" customHeight="1" x14ac:dyDescent="0.3">
      <c r="A10" s="473">
        <v>89301192</v>
      </c>
      <c r="B10" s="474" t="s">
        <v>618</v>
      </c>
      <c r="C10" s="477">
        <v>41736.959999999977</v>
      </c>
      <c r="D10" s="477">
        <v>378</v>
      </c>
      <c r="E10" s="477">
        <v>27674.579999999984</v>
      </c>
      <c r="F10" s="546">
        <v>0.66307129220719474</v>
      </c>
      <c r="G10" s="477">
        <v>292</v>
      </c>
      <c r="H10" s="546">
        <v>0.77248677248677244</v>
      </c>
      <c r="I10" s="477">
        <v>14062.379999999997</v>
      </c>
      <c r="J10" s="546">
        <v>0.33692870779280537</v>
      </c>
      <c r="K10" s="477">
        <v>86</v>
      </c>
      <c r="L10" s="546">
        <v>0.2275132275132275</v>
      </c>
      <c r="M10" s="477" t="s">
        <v>1</v>
      </c>
      <c r="N10" s="164"/>
    </row>
    <row r="11" spans="1:14" ht="14.4" customHeight="1" x14ac:dyDescent="0.3">
      <c r="A11" s="473" t="s">
        <v>619</v>
      </c>
      <c r="B11" s="474" t="s">
        <v>620</v>
      </c>
      <c r="C11" s="477">
        <v>41736.959999999977</v>
      </c>
      <c r="D11" s="477">
        <v>378</v>
      </c>
      <c r="E11" s="477">
        <v>27674.579999999984</v>
      </c>
      <c r="F11" s="546">
        <v>0.66307129220719474</v>
      </c>
      <c r="G11" s="477">
        <v>292</v>
      </c>
      <c r="H11" s="546">
        <v>0.77248677248677244</v>
      </c>
      <c r="I11" s="477">
        <v>14062.379999999997</v>
      </c>
      <c r="J11" s="546">
        <v>0.33692870779280537</v>
      </c>
      <c r="K11" s="477">
        <v>86</v>
      </c>
      <c r="L11" s="546">
        <v>0.2275132275132275</v>
      </c>
      <c r="M11" s="477" t="s">
        <v>461</v>
      </c>
      <c r="N11" s="164"/>
    </row>
    <row r="12" spans="1:14" ht="14.4" customHeight="1" x14ac:dyDescent="0.3">
      <c r="A12" s="473" t="s">
        <v>454</v>
      </c>
      <c r="B12" s="474" t="s">
        <v>454</v>
      </c>
      <c r="C12" s="477" t="s">
        <v>454</v>
      </c>
      <c r="D12" s="477" t="s">
        <v>454</v>
      </c>
      <c r="E12" s="477" t="s">
        <v>454</v>
      </c>
      <c r="F12" s="546" t="s">
        <v>454</v>
      </c>
      <c r="G12" s="477" t="s">
        <v>454</v>
      </c>
      <c r="H12" s="546" t="s">
        <v>454</v>
      </c>
      <c r="I12" s="477" t="s">
        <v>454</v>
      </c>
      <c r="J12" s="546" t="s">
        <v>454</v>
      </c>
      <c r="K12" s="477" t="s">
        <v>454</v>
      </c>
      <c r="L12" s="546" t="s">
        <v>454</v>
      </c>
      <c r="M12" s="477" t="s">
        <v>462</v>
      </c>
      <c r="N12" s="164"/>
    </row>
    <row r="13" spans="1:14" ht="14.4" customHeight="1" x14ac:dyDescent="0.3">
      <c r="A13" s="473" t="s">
        <v>452</v>
      </c>
      <c r="B13" s="474" t="s">
        <v>456</v>
      </c>
      <c r="C13" s="477">
        <v>41736.959999999977</v>
      </c>
      <c r="D13" s="477">
        <v>378</v>
      </c>
      <c r="E13" s="477">
        <v>27674.579999999984</v>
      </c>
      <c r="F13" s="546">
        <v>0.66307129220719474</v>
      </c>
      <c r="G13" s="477">
        <v>292</v>
      </c>
      <c r="H13" s="546">
        <v>0.77248677248677244</v>
      </c>
      <c r="I13" s="477">
        <v>14062.379999999997</v>
      </c>
      <c r="J13" s="546">
        <v>0.33692870779280537</v>
      </c>
      <c r="K13" s="477">
        <v>86</v>
      </c>
      <c r="L13" s="546">
        <v>0.2275132275132275</v>
      </c>
      <c r="M13" s="477" t="s">
        <v>457</v>
      </c>
      <c r="N13" s="164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43" customWidth="1"/>
    <col min="2" max="2" width="11.109375" style="222" bestFit="1" customWidth="1"/>
    <col min="3" max="3" width="11.109375" style="143" hidden="1" customWidth="1"/>
    <col min="4" max="4" width="7.33203125" style="222" bestFit="1" customWidth="1"/>
    <col min="5" max="5" width="7.33203125" style="143" hidden="1" customWidth="1"/>
    <col min="6" max="6" width="11.109375" style="222" bestFit="1" customWidth="1"/>
    <col min="7" max="7" width="5.33203125" style="225" customWidth="1"/>
    <col min="8" max="8" width="7.33203125" style="222" bestFit="1" customWidth="1"/>
    <col min="9" max="9" width="5.33203125" style="225" customWidth="1"/>
    <col min="10" max="10" width="11.109375" style="222" customWidth="1"/>
    <col min="11" max="11" width="5.33203125" style="225" customWidth="1"/>
    <col min="12" max="12" width="7.33203125" style="222" customWidth="1"/>
    <col min="13" max="13" width="5.33203125" style="225" customWidth="1"/>
    <col min="14" max="14" width="0" style="143" hidden="1" customWidth="1"/>
    <col min="15" max="16384" width="8.88671875" style="143"/>
  </cols>
  <sheetData>
    <row r="1" spans="1:13" ht="18.600000000000001" customHeight="1" thickBot="1" x14ac:dyDescent="0.4">
      <c r="A1" s="381" t="s">
        <v>159</v>
      </c>
      <c r="B1" s="381"/>
      <c r="C1" s="381"/>
      <c r="D1" s="381"/>
      <c r="E1" s="381"/>
      <c r="F1" s="381"/>
      <c r="G1" s="381"/>
      <c r="H1" s="381"/>
      <c r="I1" s="381"/>
      <c r="J1" s="344"/>
      <c r="K1" s="344"/>
      <c r="L1" s="344"/>
      <c r="M1" s="344"/>
    </row>
    <row r="2" spans="1:13" ht="14.4" customHeight="1" thickBot="1" x14ac:dyDescent="0.35">
      <c r="A2" s="250" t="s">
        <v>289</v>
      </c>
      <c r="B2" s="229"/>
      <c r="C2" s="221"/>
      <c r="D2" s="229"/>
      <c r="E2" s="221"/>
      <c r="F2" s="229"/>
      <c r="G2" s="230"/>
      <c r="H2" s="229"/>
      <c r="I2" s="230"/>
    </row>
    <row r="3" spans="1:13" ht="14.4" customHeight="1" thickBot="1" x14ac:dyDescent="0.35">
      <c r="A3" s="157"/>
      <c r="B3" s="398" t="s">
        <v>15</v>
      </c>
      <c r="C3" s="400"/>
      <c r="D3" s="397"/>
      <c r="E3" s="156"/>
      <c r="F3" s="397" t="s">
        <v>16</v>
      </c>
      <c r="G3" s="397"/>
      <c r="H3" s="397"/>
      <c r="I3" s="397"/>
      <c r="J3" s="397" t="s">
        <v>158</v>
      </c>
      <c r="K3" s="397"/>
      <c r="L3" s="397"/>
      <c r="M3" s="399"/>
    </row>
    <row r="4" spans="1:13" ht="14.4" customHeight="1" thickBot="1" x14ac:dyDescent="0.35">
      <c r="A4" s="525" t="s">
        <v>144</v>
      </c>
      <c r="B4" s="526" t="s">
        <v>19</v>
      </c>
      <c r="C4" s="550"/>
      <c r="D4" s="526" t="s">
        <v>20</v>
      </c>
      <c r="E4" s="550"/>
      <c r="F4" s="526" t="s">
        <v>19</v>
      </c>
      <c r="G4" s="529" t="s">
        <v>2</v>
      </c>
      <c r="H4" s="526" t="s">
        <v>20</v>
      </c>
      <c r="I4" s="529" t="s">
        <v>2</v>
      </c>
      <c r="J4" s="526" t="s">
        <v>19</v>
      </c>
      <c r="K4" s="529" t="s">
        <v>2</v>
      </c>
      <c r="L4" s="526" t="s">
        <v>20</v>
      </c>
      <c r="M4" s="530" t="s">
        <v>2</v>
      </c>
    </row>
    <row r="5" spans="1:13" ht="14.4" customHeight="1" x14ac:dyDescent="0.3">
      <c r="A5" s="547" t="s">
        <v>621</v>
      </c>
      <c r="B5" s="540">
        <v>17719.239999999983</v>
      </c>
      <c r="C5" s="486">
        <v>1</v>
      </c>
      <c r="D5" s="551">
        <v>219</v>
      </c>
      <c r="E5" s="554" t="s">
        <v>621</v>
      </c>
      <c r="F5" s="540">
        <v>13319.439999999984</v>
      </c>
      <c r="G5" s="508">
        <v>0.7516936392305763</v>
      </c>
      <c r="H5" s="489">
        <v>176</v>
      </c>
      <c r="I5" s="531">
        <v>0.80365296803652964</v>
      </c>
      <c r="J5" s="557">
        <v>4399.8</v>
      </c>
      <c r="K5" s="508">
        <v>0.24830636076942375</v>
      </c>
      <c r="L5" s="489">
        <v>43</v>
      </c>
      <c r="M5" s="531">
        <v>0.19634703196347031</v>
      </c>
    </row>
    <row r="6" spans="1:13" ht="14.4" customHeight="1" x14ac:dyDescent="0.3">
      <c r="A6" s="548" t="s">
        <v>622</v>
      </c>
      <c r="B6" s="541">
        <v>819.42</v>
      </c>
      <c r="C6" s="492">
        <v>1</v>
      </c>
      <c r="D6" s="552">
        <v>5</v>
      </c>
      <c r="E6" s="555" t="s">
        <v>622</v>
      </c>
      <c r="F6" s="541">
        <v>819.42</v>
      </c>
      <c r="G6" s="516">
        <v>1</v>
      </c>
      <c r="H6" s="495">
        <v>5</v>
      </c>
      <c r="I6" s="532">
        <v>1</v>
      </c>
      <c r="J6" s="558"/>
      <c r="K6" s="516">
        <v>0</v>
      </c>
      <c r="L6" s="495"/>
      <c r="M6" s="532">
        <v>0</v>
      </c>
    </row>
    <row r="7" spans="1:13" ht="14.4" customHeight="1" x14ac:dyDescent="0.3">
      <c r="A7" s="548" t="s">
        <v>623</v>
      </c>
      <c r="B7" s="541">
        <v>7055.1100000000006</v>
      </c>
      <c r="C7" s="492">
        <v>1</v>
      </c>
      <c r="D7" s="552">
        <v>54</v>
      </c>
      <c r="E7" s="555" t="s">
        <v>623</v>
      </c>
      <c r="F7" s="541">
        <v>3807.87</v>
      </c>
      <c r="G7" s="516">
        <v>0.53973219411178563</v>
      </c>
      <c r="H7" s="495">
        <v>32</v>
      </c>
      <c r="I7" s="532">
        <v>0.59259259259259256</v>
      </c>
      <c r="J7" s="558">
        <v>3247.2400000000011</v>
      </c>
      <c r="K7" s="516">
        <v>0.46026780588821448</v>
      </c>
      <c r="L7" s="495">
        <v>22</v>
      </c>
      <c r="M7" s="532">
        <v>0.40740740740740738</v>
      </c>
    </row>
    <row r="8" spans="1:13" ht="14.4" customHeight="1" x14ac:dyDescent="0.3">
      <c r="A8" s="548" t="s">
        <v>624</v>
      </c>
      <c r="B8" s="541">
        <v>2722.38</v>
      </c>
      <c r="C8" s="492">
        <v>1</v>
      </c>
      <c r="D8" s="552">
        <v>16</v>
      </c>
      <c r="E8" s="555" t="s">
        <v>624</v>
      </c>
      <c r="F8" s="541">
        <v>2532.63</v>
      </c>
      <c r="G8" s="516">
        <v>0.93029995812487598</v>
      </c>
      <c r="H8" s="495">
        <v>11</v>
      </c>
      <c r="I8" s="532">
        <v>0.6875</v>
      </c>
      <c r="J8" s="558">
        <v>189.75</v>
      </c>
      <c r="K8" s="516">
        <v>6.9700041875123964E-2</v>
      </c>
      <c r="L8" s="495">
        <v>5</v>
      </c>
      <c r="M8" s="532">
        <v>0.3125</v>
      </c>
    </row>
    <row r="9" spans="1:13" ht="14.4" customHeight="1" x14ac:dyDescent="0.3">
      <c r="A9" s="548" t="s">
        <v>625</v>
      </c>
      <c r="B9" s="541">
        <v>7535.7300000000005</v>
      </c>
      <c r="C9" s="492">
        <v>1</v>
      </c>
      <c r="D9" s="552">
        <v>22</v>
      </c>
      <c r="E9" s="555" t="s">
        <v>625</v>
      </c>
      <c r="F9" s="541">
        <v>1477.4599999999998</v>
      </c>
      <c r="G9" s="516">
        <v>0.19606063380720909</v>
      </c>
      <c r="H9" s="495">
        <v>11</v>
      </c>
      <c r="I9" s="532">
        <v>0.5</v>
      </c>
      <c r="J9" s="558">
        <v>6058.27</v>
      </c>
      <c r="K9" s="516">
        <v>0.80393936619279094</v>
      </c>
      <c r="L9" s="495">
        <v>11</v>
      </c>
      <c r="M9" s="532">
        <v>0.5</v>
      </c>
    </row>
    <row r="10" spans="1:13" ht="14.4" customHeight="1" thickBot="1" x14ac:dyDescent="0.35">
      <c r="A10" s="549" t="s">
        <v>626</v>
      </c>
      <c r="B10" s="542">
        <v>5885.079999999999</v>
      </c>
      <c r="C10" s="498">
        <v>1</v>
      </c>
      <c r="D10" s="553">
        <v>62</v>
      </c>
      <c r="E10" s="556" t="s">
        <v>626</v>
      </c>
      <c r="F10" s="542">
        <v>5717.7599999999993</v>
      </c>
      <c r="G10" s="509">
        <v>0.97156878071326136</v>
      </c>
      <c r="H10" s="501">
        <v>57</v>
      </c>
      <c r="I10" s="533">
        <v>0.91935483870967738</v>
      </c>
      <c r="J10" s="559">
        <v>167.32</v>
      </c>
      <c r="K10" s="509">
        <v>2.8431219286738672E-2</v>
      </c>
      <c r="L10" s="501">
        <v>5</v>
      </c>
      <c r="M10" s="533">
        <v>8.0645161290322578E-2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43" hidden="1" customWidth="1" outlineLevel="1"/>
    <col min="2" max="2" width="28.33203125" style="143" hidden="1" customWidth="1" outlineLevel="1"/>
    <col min="3" max="3" width="9" style="143" customWidth="1" collapsed="1"/>
    <col min="4" max="4" width="18.77734375" style="233" customWidth="1"/>
    <col min="5" max="5" width="13.5546875" style="223" customWidth="1"/>
    <col min="6" max="6" width="6" style="143" bestFit="1" customWidth="1"/>
    <col min="7" max="7" width="8.77734375" style="143" customWidth="1"/>
    <col min="8" max="8" width="5" style="143" bestFit="1" customWidth="1"/>
    <col min="9" max="9" width="8.5546875" style="143" hidden="1" customWidth="1" outlineLevel="1"/>
    <col min="10" max="10" width="25.77734375" style="143" customWidth="1" collapsed="1"/>
    <col min="11" max="11" width="8.77734375" style="143" customWidth="1"/>
    <col min="12" max="12" width="7.77734375" style="224" customWidth="1"/>
    <col min="13" max="13" width="11.109375" style="224" customWidth="1"/>
    <col min="14" max="14" width="7.77734375" style="143" customWidth="1"/>
    <col min="15" max="15" width="7.77734375" style="234" customWidth="1"/>
    <col min="16" max="16" width="11.109375" style="224" customWidth="1"/>
    <col min="17" max="17" width="5.44140625" style="225" bestFit="1" customWidth="1"/>
    <col min="18" max="18" width="7.77734375" style="143" customWidth="1"/>
    <col min="19" max="19" width="5.44140625" style="225" bestFit="1" customWidth="1"/>
    <col min="20" max="20" width="7.77734375" style="234" customWidth="1"/>
    <col min="21" max="21" width="5.44140625" style="225" bestFit="1" customWidth="1"/>
    <col min="22" max="16384" width="8.88671875" style="143"/>
  </cols>
  <sheetData>
    <row r="1" spans="1:21" ht="18.600000000000001" customHeight="1" thickBot="1" x14ac:dyDescent="0.4">
      <c r="A1" s="372" t="s">
        <v>909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50" t="s">
        <v>289</v>
      </c>
      <c r="B2" s="231"/>
      <c r="C2" s="221"/>
      <c r="D2" s="221"/>
      <c r="E2" s="232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14.4" customHeight="1" thickBot="1" x14ac:dyDescent="0.35">
      <c r="A3" s="404"/>
      <c r="B3" s="405"/>
      <c r="C3" s="405"/>
      <c r="D3" s="405"/>
      <c r="E3" s="405"/>
      <c r="F3" s="405"/>
      <c r="G3" s="405"/>
      <c r="H3" s="405"/>
      <c r="I3" s="405"/>
      <c r="J3" s="405"/>
      <c r="K3" s="406" t="s">
        <v>136</v>
      </c>
      <c r="L3" s="407"/>
      <c r="M3" s="66">
        <f>SUBTOTAL(9,M7:M1048576)</f>
        <v>41736.960000000006</v>
      </c>
      <c r="N3" s="66">
        <f>SUBTOTAL(9,N7:N1048576)</f>
        <v>768</v>
      </c>
      <c r="O3" s="66">
        <f>SUBTOTAL(9,O7:O1048576)</f>
        <v>378</v>
      </c>
      <c r="P3" s="66">
        <f>SUBTOTAL(9,P7:P1048576)</f>
        <v>27674.579999999991</v>
      </c>
      <c r="Q3" s="67">
        <f>IF(M3=0,0,P3/M3)</f>
        <v>0.66307129220719441</v>
      </c>
      <c r="R3" s="66">
        <f>SUBTOTAL(9,R7:R1048576)</f>
        <v>588</v>
      </c>
      <c r="S3" s="67">
        <f>IF(N3=0,0,R3/N3)</f>
        <v>0.765625</v>
      </c>
      <c r="T3" s="66">
        <f>SUBTOTAL(9,T7:T1048576)</f>
        <v>292</v>
      </c>
      <c r="U3" s="68">
        <f>IF(O3=0,0,T3/O3)</f>
        <v>0.77248677248677244</v>
      </c>
    </row>
    <row r="4" spans="1:21" ht="14.4" customHeight="1" x14ac:dyDescent="0.3">
      <c r="A4" s="69"/>
      <c r="B4" s="70"/>
      <c r="C4" s="70"/>
      <c r="D4" s="71"/>
      <c r="E4" s="157"/>
      <c r="F4" s="70"/>
      <c r="G4" s="70"/>
      <c r="H4" s="70"/>
      <c r="I4" s="70"/>
      <c r="J4" s="70"/>
      <c r="K4" s="70"/>
      <c r="L4" s="70"/>
      <c r="M4" s="408" t="s">
        <v>15</v>
      </c>
      <c r="N4" s="409"/>
      <c r="O4" s="409"/>
      <c r="P4" s="410" t="s">
        <v>21</v>
      </c>
      <c r="Q4" s="409"/>
      <c r="R4" s="409"/>
      <c r="S4" s="409"/>
      <c r="T4" s="409"/>
      <c r="U4" s="411"/>
    </row>
    <row r="5" spans="1:21" ht="14.4" customHeight="1" thickBot="1" x14ac:dyDescent="0.35">
      <c r="A5" s="72"/>
      <c r="B5" s="73"/>
      <c r="C5" s="70"/>
      <c r="D5" s="71"/>
      <c r="E5" s="15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1" t="s">
        <v>22</v>
      </c>
      <c r="Q5" s="402"/>
      <c r="R5" s="401" t="s">
        <v>13</v>
      </c>
      <c r="S5" s="402"/>
      <c r="T5" s="401" t="s">
        <v>20</v>
      </c>
      <c r="U5" s="403"/>
    </row>
    <row r="6" spans="1:21" s="223" customFormat="1" ht="14.4" customHeight="1" thickBot="1" x14ac:dyDescent="0.35">
      <c r="A6" s="560" t="s">
        <v>23</v>
      </c>
      <c r="B6" s="561" t="s">
        <v>5</v>
      </c>
      <c r="C6" s="560" t="s">
        <v>24</v>
      </c>
      <c r="D6" s="561" t="s">
        <v>6</v>
      </c>
      <c r="E6" s="561" t="s">
        <v>161</v>
      </c>
      <c r="F6" s="561" t="s">
        <v>25</v>
      </c>
      <c r="G6" s="561" t="s">
        <v>26</v>
      </c>
      <c r="H6" s="561" t="s">
        <v>8</v>
      </c>
      <c r="I6" s="561" t="s">
        <v>10</v>
      </c>
      <c r="J6" s="561" t="s">
        <v>11</v>
      </c>
      <c r="K6" s="561" t="s">
        <v>12</v>
      </c>
      <c r="L6" s="561" t="s">
        <v>27</v>
      </c>
      <c r="M6" s="562" t="s">
        <v>14</v>
      </c>
      <c r="N6" s="563" t="s">
        <v>28</v>
      </c>
      <c r="O6" s="563" t="s">
        <v>28</v>
      </c>
      <c r="P6" s="563" t="s">
        <v>14</v>
      </c>
      <c r="Q6" s="563" t="s">
        <v>2</v>
      </c>
      <c r="R6" s="563" t="s">
        <v>28</v>
      </c>
      <c r="S6" s="563" t="s">
        <v>2</v>
      </c>
      <c r="T6" s="563" t="s">
        <v>28</v>
      </c>
      <c r="U6" s="564" t="s">
        <v>2</v>
      </c>
    </row>
    <row r="7" spans="1:21" ht="14.4" customHeight="1" x14ac:dyDescent="0.3">
      <c r="A7" s="565">
        <v>19</v>
      </c>
      <c r="B7" s="566" t="s">
        <v>453</v>
      </c>
      <c r="C7" s="566">
        <v>89301192</v>
      </c>
      <c r="D7" s="567" t="s">
        <v>908</v>
      </c>
      <c r="E7" s="568" t="s">
        <v>621</v>
      </c>
      <c r="F7" s="566" t="s">
        <v>618</v>
      </c>
      <c r="G7" s="566" t="s">
        <v>627</v>
      </c>
      <c r="H7" s="566" t="s">
        <v>454</v>
      </c>
      <c r="I7" s="566" t="s">
        <v>628</v>
      </c>
      <c r="J7" s="566" t="s">
        <v>629</v>
      </c>
      <c r="K7" s="566" t="s">
        <v>630</v>
      </c>
      <c r="L7" s="569">
        <v>483.76</v>
      </c>
      <c r="M7" s="569">
        <v>967.52</v>
      </c>
      <c r="N7" s="566">
        <v>2</v>
      </c>
      <c r="O7" s="570">
        <v>1</v>
      </c>
      <c r="P7" s="569"/>
      <c r="Q7" s="571">
        <v>0</v>
      </c>
      <c r="R7" s="566"/>
      <c r="S7" s="571">
        <v>0</v>
      </c>
      <c r="T7" s="570"/>
      <c r="U7" s="135">
        <v>0</v>
      </c>
    </row>
    <row r="8" spans="1:21" ht="14.4" customHeight="1" x14ac:dyDescent="0.3">
      <c r="A8" s="572">
        <v>19</v>
      </c>
      <c r="B8" s="573" t="s">
        <v>453</v>
      </c>
      <c r="C8" s="573">
        <v>89301192</v>
      </c>
      <c r="D8" s="574" t="s">
        <v>908</v>
      </c>
      <c r="E8" s="575" t="s">
        <v>621</v>
      </c>
      <c r="F8" s="573" t="s">
        <v>618</v>
      </c>
      <c r="G8" s="573" t="s">
        <v>627</v>
      </c>
      <c r="H8" s="573" t="s">
        <v>454</v>
      </c>
      <c r="I8" s="573" t="s">
        <v>631</v>
      </c>
      <c r="J8" s="573" t="s">
        <v>629</v>
      </c>
      <c r="K8" s="573" t="s">
        <v>632</v>
      </c>
      <c r="L8" s="576">
        <v>0</v>
      </c>
      <c r="M8" s="576">
        <v>0</v>
      </c>
      <c r="N8" s="573">
        <v>1</v>
      </c>
      <c r="O8" s="577">
        <v>1</v>
      </c>
      <c r="P8" s="576">
        <v>0</v>
      </c>
      <c r="Q8" s="578"/>
      <c r="R8" s="573">
        <v>1</v>
      </c>
      <c r="S8" s="578">
        <v>1</v>
      </c>
      <c r="T8" s="577">
        <v>1</v>
      </c>
      <c r="U8" s="579">
        <v>1</v>
      </c>
    </row>
    <row r="9" spans="1:21" ht="14.4" customHeight="1" x14ac:dyDescent="0.3">
      <c r="A9" s="572">
        <v>19</v>
      </c>
      <c r="B9" s="573" t="s">
        <v>453</v>
      </c>
      <c r="C9" s="573">
        <v>89301192</v>
      </c>
      <c r="D9" s="574" t="s">
        <v>908</v>
      </c>
      <c r="E9" s="575" t="s">
        <v>621</v>
      </c>
      <c r="F9" s="573" t="s">
        <v>618</v>
      </c>
      <c r="G9" s="573" t="s">
        <v>633</v>
      </c>
      <c r="H9" s="573" t="s">
        <v>454</v>
      </c>
      <c r="I9" s="573" t="s">
        <v>634</v>
      </c>
      <c r="J9" s="573" t="s">
        <v>635</v>
      </c>
      <c r="K9" s="573" t="s">
        <v>636</v>
      </c>
      <c r="L9" s="576">
        <v>156.86000000000001</v>
      </c>
      <c r="M9" s="576">
        <v>156.86000000000001</v>
      </c>
      <c r="N9" s="573">
        <v>1</v>
      </c>
      <c r="O9" s="577">
        <v>1</v>
      </c>
      <c r="P9" s="576">
        <v>156.86000000000001</v>
      </c>
      <c r="Q9" s="578">
        <v>1</v>
      </c>
      <c r="R9" s="573">
        <v>1</v>
      </c>
      <c r="S9" s="578">
        <v>1</v>
      </c>
      <c r="T9" s="577">
        <v>1</v>
      </c>
      <c r="U9" s="579">
        <v>1</v>
      </c>
    </row>
    <row r="10" spans="1:21" ht="14.4" customHeight="1" x14ac:dyDescent="0.3">
      <c r="A10" s="572">
        <v>19</v>
      </c>
      <c r="B10" s="573" t="s">
        <v>453</v>
      </c>
      <c r="C10" s="573">
        <v>89301192</v>
      </c>
      <c r="D10" s="574" t="s">
        <v>908</v>
      </c>
      <c r="E10" s="575" t="s">
        <v>621</v>
      </c>
      <c r="F10" s="573" t="s">
        <v>618</v>
      </c>
      <c r="G10" s="573" t="s">
        <v>637</v>
      </c>
      <c r="H10" s="573" t="s">
        <v>454</v>
      </c>
      <c r="I10" s="573" t="s">
        <v>638</v>
      </c>
      <c r="J10" s="573" t="s">
        <v>639</v>
      </c>
      <c r="K10" s="573" t="s">
        <v>640</v>
      </c>
      <c r="L10" s="576">
        <v>61.85</v>
      </c>
      <c r="M10" s="576">
        <v>61.85</v>
      </c>
      <c r="N10" s="573">
        <v>1</v>
      </c>
      <c r="O10" s="577">
        <v>1</v>
      </c>
      <c r="P10" s="576"/>
      <c r="Q10" s="578">
        <v>0</v>
      </c>
      <c r="R10" s="573"/>
      <c r="S10" s="578">
        <v>0</v>
      </c>
      <c r="T10" s="577"/>
      <c r="U10" s="579">
        <v>0</v>
      </c>
    </row>
    <row r="11" spans="1:21" ht="14.4" customHeight="1" x14ac:dyDescent="0.3">
      <c r="A11" s="572">
        <v>19</v>
      </c>
      <c r="B11" s="573" t="s">
        <v>453</v>
      </c>
      <c r="C11" s="573">
        <v>89301192</v>
      </c>
      <c r="D11" s="574" t="s">
        <v>908</v>
      </c>
      <c r="E11" s="575" t="s">
        <v>621</v>
      </c>
      <c r="F11" s="573" t="s">
        <v>618</v>
      </c>
      <c r="G11" s="573" t="s">
        <v>641</v>
      </c>
      <c r="H11" s="573" t="s">
        <v>454</v>
      </c>
      <c r="I11" s="573" t="s">
        <v>642</v>
      </c>
      <c r="J11" s="573" t="s">
        <v>643</v>
      </c>
      <c r="K11" s="573" t="s">
        <v>644</v>
      </c>
      <c r="L11" s="576">
        <v>22.59</v>
      </c>
      <c r="M11" s="576">
        <v>22.59</v>
      </c>
      <c r="N11" s="573">
        <v>1</v>
      </c>
      <c r="O11" s="577">
        <v>1</v>
      </c>
      <c r="P11" s="576"/>
      <c r="Q11" s="578">
        <v>0</v>
      </c>
      <c r="R11" s="573"/>
      <c r="S11" s="578">
        <v>0</v>
      </c>
      <c r="T11" s="577"/>
      <c r="U11" s="579">
        <v>0</v>
      </c>
    </row>
    <row r="12" spans="1:21" ht="14.4" customHeight="1" x14ac:dyDescent="0.3">
      <c r="A12" s="572">
        <v>19</v>
      </c>
      <c r="B12" s="573" t="s">
        <v>453</v>
      </c>
      <c r="C12" s="573">
        <v>89301192</v>
      </c>
      <c r="D12" s="574" t="s">
        <v>908</v>
      </c>
      <c r="E12" s="575" t="s">
        <v>621</v>
      </c>
      <c r="F12" s="573" t="s">
        <v>618</v>
      </c>
      <c r="G12" s="573" t="s">
        <v>645</v>
      </c>
      <c r="H12" s="573" t="s">
        <v>454</v>
      </c>
      <c r="I12" s="573" t="s">
        <v>646</v>
      </c>
      <c r="J12" s="573" t="s">
        <v>647</v>
      </c>
      <c r="K12" s="573" t="s">
        <v>648</v>
      </c>
      <c r="L12" s="576">
        <v>158.13</v>
      </c>
      <c r="M12" s="576">
        <v>158.13</v>
      </c>
      <c r="N12" s="573">
        <v>1</v>
      </c>
      <c r="O12" s="577">
        <v>1</v>
      </c>
      <c r="P12" s="576">
        <v>158.13</v>
      </c>
      <c r="Q12" s="578">
        <v>1</v>
      </c>
      <c r="R12" s="573">
        <v>1</v>
      </c>
      <c r="S12" s="578">
        <v>1</v>
      </c>
      <c r="T12" s="577">
        <v>1</v>
      </c>
      <c r="U12" s="579">
        <v>1</v>
      </c>
    </row>
    <row r="13" spans="1:21" ht="14.4" customHeight="1" x14ac:dyDescent="0.3">
      <c r="A13" s="572">
        <v>19</v>
      </c>
      <c r="B13" s="573" t="s">
        <v>453</v>
      </c>
      <c r="C13" s="573">
        <v>89301192</v>
      </c>
      <c r="D13" s="574" t="s">
        <v>908</v>
      </c>
      <c r="E13" s="575" t="s">
        <v>621</v>
      </c>
      <c r="F13" s="573" t="s">
        <v>618</v>
      </c>
      <c r="G13" s="573" t="s">
        <v>649</v>
      </c>
      <c r="H13" s="573" t="s">
        <v>454</v>
      </c>
      <c r="I13" s="573" t="s">
        <v>650</v>
      </c>
      <c r="J13" s="573" t="s">
        <v>651</v>
      </c>
      <c r="K13" s="573" t="s">
        <v>652</v>
      </c>
      <c r="L13" s="576">
        <v>50.27</v>
      </c>
      <c r="M13" s="576">
        <v>100.54</v>
      </c>
      <c r="N13" s="573">
        <v>2</v>
      </c>
      <c r="O13" s="577">
        <v>2</v>
      </c>
      <c r="P13" s="576">
        <v>50.27</v>
      </c>
      <c r="Q13" s="578">
        <v>0.5</v>
      </c>
      <c r="R13" s="573">
        <v>1</v>
      </c>
      <c r="S13" s="578">
        <v>0.5</v>
      </c>
      <c r="T13" s="577">
        <v>1</v>
      </c>
      <c r="U13" s="579">
        <v>0.5</v>
      </c>
    </row>
    <row r="14" spans="1:21" ht="14.4" customHeight="1" x14ac:dyDescent="0.3">
      <c r="A14" s="572">
        <v>19</v>
      </c>
      <c r="B14" s="573" t="s">
        <v>453</v>
      </c>
      <c r="C14" s="573">
        <v>89301192</v>
      </c>
      <c r="D14" s="574" t="s">
        <v>908</v>
      </c>
      <c r="E14" s="575" t="s">
        <v>621</v>
      </c>
      <c r="F14" s="573" t="s">
        <v>618</v>
      </c>
      <c r="G14" s="573" t="s">
        <v>653</v>
      </c>
      <c r="H14" s="573" t="s">
        <v>454</v>
      </c>
      <c r="I14" s="573" t="s">
        <v>654</v>
      </c>
      <c r="J14" s="573" t="s">
        <v>655</v>
      </c>
      <c r="K14" s="573" t="s">
        <v>656</v>
      </c>
      <c r="L14" s="576">
        <v>0</v>
      </c>
      <c r="M14" s="576">
        <v>0</v>
      </c>
      <c r="N14" s="573">
        <v>2</v>
      </c>
      <c r="O14" s="577">
        <v>1</v>
      </c>
      <c r="P14" s="576">
        <v>0</v>
      </c>
      <c r="Q14" s="578"/>
      <c r="R14" s="573">
        <v>2</v>
      </c>
      <c r="S14" s="578">
        <v>1</v>
      </c>
      <c r="T14" s="577">
        <v>1</v>
      </c>
      <c r="U14" s="579">
        <v>1</v>
      </c>
    </row>
    <row r="15" spans="1:21" ht="14.4" customHeight="1" x14ac:dyDescent="0.3">
      <c r="A15" s="572">
        <v>19</v>
      </c>
      <c r="B15" s="573" t="s">
        <v>453</v>
      </c>
      <c r="C15" s="573">
        <v>89301192</v>
      </c>
      <c r="D15" s="574" t="s">
        <v>908</v>
      </c>
      <c r="E15" s="575" t="s">
        <v>621</v>
      </c>
      <c r="F15" s="573" t="s">
        <v>618</v>
      </c>
      <c r="G15" s="573" t="s">
        <v>657</v>
      </c>
      <c r="H15" s="573" t="s">
        <v>454</v>
      </c>
      <c r="I15" s="573" t="s">
        <v>658</v>
      </c>
      <c r="J15" s="573" t="s">
        <v>659</v>
      </c>
      <c r="K15" s="573" t="s">
        <v>660</v>
      </c>
      <c r="L15" s="576">
        <v>41.83</v>
      </c>
      <c r="M15" s="576">
        <v>14724.159999999983</v>
      </c>
      <c r="N15" s="573">
        <v>352</v>
      </c>
      <c r="O15" s="577">
        <v>172</v>
      </c>
      <c r="P15" s="576">
        <v>12381.679999999984</v>
      </c>
      <c r="Q15" s="578">
        <v>0.84090909090909072</v>
      </c>
      <c r="R15" s="573">
        <v>296</v>
      </c>
      <c r="S15" s="578">
        <v>0.84090909090909094</v>
      </c>
      <c r="T15" s="577">
        <v>144</v>
      </c>
      <c r="U15" s="579">
        <v>0.83720930232558144</v>
      </c>
    </row>
    <row r="16" spans="1:21" ht="14.4" customHeight="1" x14ac:dyDescent="0.3">
      <c r="A16" s="572">
        <v>19</v>
      </c>
      <c r="B16" s="573" t="s">
        <v>453</v>
      </c>
      <c r="C16" s="573">
        <v>89301192</v>
      </c>
      <c r="D16" s="574" t="s">
        <v>908</v>
      </c>
      <c r="E16" s="575" t="s">
        <v>621</v>
      </c>
      <c r="F16" s="573" t="s">
        <v>618</v>
      </c>
      <c r="G16" s="573" t="s">
        <v>661</v>
      </c>
      <c r="H16" s="573" t="s">
        <v>454</v>
      </c>
      <c r="I16" s="573" t="s">
        <v>662</v>
      </c>
      <c r="J16" s="573" t="s">
        <v>663</v>
      </c>
      <c r="K16" s="573" t="s">
        <v>664</v>
      </c>
      <c r="L16" s="576">
        <v>242.93</v>
      </c>
      <c r="M16" s="576">
        <v>485.86</v>
      </c>
      <c r="N16" s="573">
        <v>2</v>
      </c>
      <c r="O16" s="577">
        <v>2</v>
      </c>
      <c r="P16" s="576">
        <v>242.93</v>
      </c>
      <c r="Q16" s="578">
        <v>0.5</v>
      </c>
      <c r="R16" s="573">
        <v>1</v>
      </c>
      <c r="S16" s="578">
        <v>0.5</v>
      </c>
      <c r="T16" s="577">
        <v>1</v>
      </c>
      <c r="U16" s="579">
        <v>0.5</v>
      </c>
    </row>
    <row r="17" spans="1:21" ht="14.4" customHeight="1" x14ac:dyDescent="0.3">
      <c r="A17" s="572">
        <v>19</v>
      </c>
      <c r="B17" s="573" t="s">
        <v>453</v>
      </c>
      <c r="C17" s="573">
        <v>89301192</v>
      </c>
      <c r="D17" s="574" t="s">
        <v>908</v>
      </c>
      <c r="E17" s="575" t="s">
        <v>621</v>
      </c>
      <c r="F17" s="573" t="s">
        <v>618</v>
      </c>
      <c r="G17" s="573" t="s">
        <v>665</v>
      </c>
      <c r="H17" s="573" t="s">
        <v>454</v>
      </c>
      <c r="I17" s="573" t="s">
        <v>666</v>
      </c>
      <c r="J17" s="573" t="s">
        <v>667</v>
      </c>
      <c r="K17" s="573" t="s">
        <v>668</v>
      </c>
      <c r="L17" s="576">
        <v>503.4</v>
      </c>
      <c r="M17" s="576">
        <v>503.4</v>
      </c>
      <c r="N17" s="573">
        <v>1</v>
      </c>
      <c r="O17" s="577">
        <v>1</v>
      </c>
      <c r="P17" s="576"/>
      <c r="Q17" s="578">
        <v>0</v>
      </c>
      <c r="R17" s="573"/>
      <c r="S17" s="578">
        <v>0</v>
      </c>
      <c r="T17" s="577"/>
      <c r="U17" s="579">
        <v>0</v>
      </c>
    </row>
    <row r="18" spans="1:21" ht="14.4" customHeight="1" x14ac:dyDescent="0.3">
      <c r="A18" s="572">
        <v>19</v>
      </c>
      <c r="B18" s="573" t="s">
        <v>453</v>
      </c>
      <c r="C18" s="573">
        <v>89301192</v>
      </c>
      <c r="D18" s="574" t="s">
        <v>908</v>
      </c>
      <c r="E18" s="575" t="s">
        <v>621</v>
      </c>
      <c r="F18" s="573" t="s">
        <v>618</v>
      </c>
      <c r="G18" s="573" t="s">
        <v>669</v>
      </c>
      <c r="H18" s="573" t="s">
        <v>539</v>
      </c>
      <c r="I18" s="573" t="s">
        <v>670</v>
      </c>
      <c r="J18" s="573" t="s">
        <v>671</v>
      </c>
      <c r="K18" s="573" t="s">
        <v>672</v>
      </c>
      <c r="L18" s="576">
        <v>96.63</v>
      </c>
      <c r="M18" s="576">
        <v>96.63</v>
      </c>
      <c r="N18" s="573">
        <v>1</v>
      </c>
      <c r="O18" s="577">
        <v>1</v>
      </c>
      <c r="P18" s="576"/>
      <c r="Q18" s="578">
        <v>0</v>
      </c>
      <c r="R18" s="573"/>
      <c r="S18" s="578">
        <v>0</v>
      </c>
      <c r="T18" s="577"/>
      <c r="U18" s="579">
        <v>0</v>
      </c>
    </row>
    <row r="19" spans="1:21" ht="14.4" customHeight="1" x14ac:dyDescent="0.3">
      <c r="A19" s="572">
        <v>19</v>
      </c>
      <c r="B19" s="573" t="s">
        <v>453</v>
      </c>
      <c r="C19" s="573">
        <v>89301192</v>
      </c>
      <c r="D19" s="574" t="s">
        <v>908</v>
      </c>
      <c r="E19" s="575" t="s">
        <v>621</v>
      </c>
      <c r="F19" s="573" t="s">
        <v>618</v>
      </c>
      <c r="G19" s="573" t="s">
        <v>673</v>
      </c>
      <c r="H19" s="573" t="s">
        <v>454</v>
      </c>
      <c r="I19" s="573" t="s">
        <v>674</v>
      </c>
      <c r="J19" s="573" t="s">
        <v>675</v>
      </c>
      <c r="K19" s="573" t="s">
        <v>676</v>
      </c>
      <c r="L19" s="576">
        <v>0</v>
      </c>
      <c r="M19" s="576">
        <v>0</v>
      </c>
      <c r="N19" s="573">
        <v>16</v>
      </c>
      <c r="O19" s="577">
        <v>7.5</v>
      </c>
      <c r="P19" s="576">
        <v>0</v>
      </c>
      <c r="Q19" s="578"/>
      <c r="R19" s="573">
        <v>16</v>
      </c>
      <c r="S19" s="578">
        <v>1</v>
      </c>
      <c r="T19" s="577">
        <v>7.5</v>
      </c>
      <c r="U19" s="579">
        <v>1</v>
      </c>
    </row>
    <row r="20" spans="1:21" ht="14.4" customHeight="1" x14ac:dyDescent="0.3">
      <c r="A20" s="572">
        <v>19</v>
      </c>
      <c r="B20" s="573" t="s">
        <v>453</v>
      </c>
      <c r="C20" s="573">
        <v>89301192</v>
      </c>
      <c r="D20" s="574" t="s">
        <v>908</v>
      </c>
      <c r="E20" s="575" t="s">
        <v>621</v>
      </c>
      <c r="F20" s="573" t="s">
        <v>618</v>
      </c>
      <c r="G20" s="573" t="s">
        <v>673</v>
      </c>
      <c r="H20" s="573" t="s">
        <v>454</v>
      </c>
      <c r="I20" s="573" t="s">
        <v>677</v>
      </c>
      <c r="J20" s="573" t="s">
        <v>675</v>
      </c>
      <c r="K20" s="573" t="s">
        <v>676</v>
      </c>
      <c r="L20" s="576">
        <v>0</v>
      </c>
      <c r="M20" s="576">
        <v>0</v>
      </c>
      <c r="N20" s="573">
        <v>36</v>
      </c>
      <c r="O20" s="577">
        <v>15</v>
      </c>
      <c r="P20" s="576">
        <v>0</v>
      </c>
      <c r="Q20" s="578"/>
      <c r="R20" s="573">
        <v>32</v>
      </c>
      <c r="S20" s="578">
        <v>0.88888888888888884</v>
      </c>
      <c r="T20" s="577">
        <v>13</v>
      </c>
      <c r="U20" s="579">
        <v>0.8666666666666667</v>
      </c>
    </row>
    <row r="21" spans="1:21" ht="14.4" customHeight="1" x14ac:dyDescent="0.3">
      <c r="A21" s="572">
        <v>19</v>
      </c>
      <c r="B21" s="573" t="s">
        <v>453</v>
      </c>
      <c r="C21" s="573">
        <v>89301192</v>
      </c>
      <c r="D21" s="574" t="s">
        <v>908</v>
      </c>
      <c r="E21" s="575" t="s">
        <v>621</v>
      </c>
      <c r="F21" s="573" t="s">
        <v>618</v>
      </c>
      <c r="G21" s="573" t="s">
        <v>673</v>
      </c>
      <c r="H21" s="573" t="s">
        <v>454</v>
      </c>
      <c r="I21" s="573" t="s">
        <v>678</v>
      </c>
      <c r="J21" s="573" t="s">
        <v>675</v>
      </c>
      <c r="K21" s="573" t="s">
        <v>679</v>
      </c>
      <c r="L21" s="576">
        <v>0</v>
      </c>
      <c r="M21" s="576">
        <v>0</v>
      </c>
      <c r="N21" s="573">
        <v>4</v>
      </c>
      <c r="O21" s="577">
        <v>1.5</v>
      </c>
      <c r="P21" s="576">
        <v>0</v>
      </c>
      <c r="Q21" s="578"/>
      <c r="R21" s="573">
        <v>2</v>
      </c>
      <c r="S21" s="578">
        <v>0.5</v>
      </c>
      <c r="T21" s="577">
        <v>0.5</v>
      </c>
      <c r="U21" s="579">
        <v>0.33333333333333331</v>
      </c>
    </row>
    <row r="22" spans="1:21" ht="14.4" customHeight="1" x14ac:dyDescent="0.3">
      <c r="A22" s="572">
        <v>19</v>
      </c>
      <c r="B22" s="573" t="s">
        <v>453</v>
      </c>
      <c r="C22" s="573">
        <v>89301192</v>
      </c>
      <c r="D22" s="574" t="s">
        <v>908</v>
      </c>
      <c r="E22" s="575" t="s">
        <v>621</v>
      </c>
      <c r="F22" s="573" t="s">
        <v>618</v>
      </c>
      <c r="G22" s="573" t="s">
        <v>680</v>
      </c>
      <c r="H22" s="573" t="s">
        <v>454</v>
      </c>
      <c r="I22" s="573" t="s">
        <v>681</v>
      </c>
      <c r="J22" s="573" t="s">
        <v>682</v>
      </c>
      <c r="K22" s="573" t="s">
        <v>683</v>
      </c>
      <c r="L22" s="576">
        <v>0</v>
      </c>
      <c r="M22" s="576">
        <v>0</v>
      </c>
      <c r="N22" s="573">
        <v>7</v>
      </c>
      <c r="O22" s="577">
        <v>6</v>
      </c>
      <c r="P22" s="576">
        <v>0</v>
      </c>
      <c r="Q22" s="578"/>
      <c r="R22" s="573">
        <v>2</v>
      </c>
      <c r="S22" s="578">
        <v>0.2857142857142857</v>
      </c>
      <c r="T22" s="577">
        <v>2</v>
      </c>
      <c r="U22" s="579">
        <v>0.33333333333333331</v>
      </c>
    </row>
    <row r="23" spans="1:21" ht="14.4" customHeight="1" x14ac:dyDescent="0.3">
      <c r="A23" s="572">
        <v>19</v>
      </c>
      <c r="B23" s="573" t="s">
        <v>453</v>
      </c>
      <c r="C23" s="573">
        <v>89301192</v>
      </c>
      <c r="D23" s="574" t="s">
        <v>908</v>
      </c>
      <c r="E23" s="575" t="s">
        <v>621</v>
      </c>
      <c r="F23" s="573" t="s">
        <v>618</v>
      </c>
      <c r="G23" s="573" t="s">
        <v>684</v>
      </c>
      <c r="H23" s="573" t="s">
        <v>454</v>
      </c>
      <c r="I23" s="573" t="s">
        <v>685</v>
      </c>
      <c r="J23" s="573" t="s">
        <v>686</v>
      </c>
      <c r="K23" s="573" t="s">
        <v>687</v>
      </c>
      <c r="L23" s="576">
        <v>203.33</v>
      </c>
      <c r="M23" s="576">
        <v>203.33</v>
      </c>
      <c r="N23" s="573">
        <v>1</v>
      </c>
      <c r="O23" s="577">
        <v>1</v>
      </c>
      <c r="P23" s="576">
        <v>203.33</v>
      </c>
      <c r="Q23" s="578">
        <v>1</v>
      </c>
      <c r="R23" s="573">
        <v>1</v>
      </c>
      <c r="S23" s="578">
        <v>1</v>
      </c>
      <c r="T23" s="577">
        <v>1</v>
      </c>
      <c r="U23" s="579">
        <v>1</v>
      </c>
    </row>
    <row r="24" spans="1:21" ht="14.4" customHeight="1" x14ac:dyDescent="0.3">
      <c r="A24" s="572">
        <v>19</v>
      </c>
      <c r="B24" s="573" t="s">
        <v>453</v>
      </c>
      <c r="C24" s="573">
        <v>89301192</v>
      </c>
      <c r="D24" s="574" t="s">
        <v>908</v>
      </c>
      <c r="E24" s="575" t="s">
        <v>621</v>
      </c>
      <c r="F24" s="573" t="s">
        <v>618</v>
      </c>
      <c r="G24" s="573" t="s">
        <v>688</v>
      </c>
      <c r="H24" s="573" t="s">
        <v>454</v>
      </c>
      <c r="I24" s="573" t="s">
        <v>689</v>
      </c>
      <c r="J24" s="573" t="s">
        <v>690</v>
      </c>
      <c r="K24" s="573" t="s">
        <v>691</v>
      </c>
      <c r="L24" s="576">
        <v>0</v>
      </c>
      <c r="M24" s="576">
        <v>0</v>
      </c>
      <c r="N24" s="573">
        <v>1</v>
      </c>
      <c r="O24" s="577">
        <v>1</v>
      </c>
      <c r="P24" s="576">
        <v>0</v>
      </c>
      <c r="Q24" s="578"/>
      <c r="R24" s="573">
        <v>1</v>
      </c>
      <c r="S24" s="578">
        <v>1</v>
      </c>
      <c r="T24" s="577">
        <v>1</v>
      </c>
      <c r="U24" s="579">
        <v>1</v>
      </c>
    </row>
    <row r="25" spans="1:21" ht="14.4" customHeight="1" x14ac:dyDescent="0.3">
      <c r="A25" s="572">
        <v>19</v>
      </c>
      <c r="B25" s="573" t="s">
        <v>453</v>
      </c>
      <c r="C25" s="573">
        <v>89301192</v>
      </c>
      <c r="D25" s="574" t="s">
        <v>908</v>
      </c>
      <c r="E25" s="575" t="s">
        <v>621</v>
      </c>
      <c r="F25" s="573" t="s">
        <v>618</v>
      </c>
      <c r="G25" s="573" t="s">
        <v>688</v>
      </c>
      <c r="H25" s="573" t="s">
        <v>454</v>
      </c>
      <c r="I25" s="573" t="s">
        <v>692</v>
      </c>
      <c r="J25" s="573" t="s">
        <v>690</v>
      </c>
      <c r="K25" s="573" t="s">
        <v>693</v>
      </c>
      <c r="L25" s="576">
        <v>112.13</v>
      </c>
      <c r="M25" s="576">
        <v>112.13</v>
      </c>
      <c r="N25" s="573">
        <v>1</v>
      </c>
      <c r="O25" s="577">
        <v>1</v>
      </c>
      <c r="P25" s="576"/>
      <c r="Q25" s="578">
        <v>0</v>
      </c>
      <c r="R25" s="573"/>
      <c r="S25" s="578">
        <v>0</v>
      </c>
      <c r="T25" s="577"/>
      <c r="U25" s="579">
        <v>0</v>
      </c>
    </row>
    <row r="26" spans="1:21" ht="14.4" customHeight="1" x14ac:dyDescent="0.3">
      <c r="A26" s="572">
        <v>19</v>
      </c>
      <c r="B26" s="573" t="s">
        <v>453</v>
      </c>
      <c r="C26" s="573">
        <v>89301192</v>
      </c>
      <c r="D26" s="574" t="s">
        <v>908</v>
      </c>
      <c r="E26" s="575" t="s">
        <v>621</v>
      </c>
      <c r="F26" s="573" t="s">
        <v>618</v>
      </c>
      <c r="G26" s="573" t="s">
        <v>694</v>
      </c>
      <c r="H26" s="573" t="s">
        <v>539</v>
      </c>
      <c r="I26" s="573" t="s">
        <v>695</v>
      </c>
      <c r="J26" s="573" t="s">
        <v>696</v>
      </c>
      <c r="K26" s="573" t="s">
        <v>697</v>
      </c>
      <c r="L26" s="576">
        <v>42.08</v>
      </c>
      <c r="M26" s="576">
        <v>126.24</v>
      </c>
      <c r="N26" s="573">
        <v>3</v>
      </c>
      <c r="O26" s="577">
        <v>1</v>
      </c>
      <c r="P26" s="576">
        <v>126.24</v>
      </c>
      <c r="Q26" s="578">
        <v>1</v>
      </c>
      <c r="R26" s="573">
        <v>3</v>
      </c>
      <c r="S26" s="578">
        <v>1</v>
      </c>
      <c r="T26" s="577">
        <v>1</v>
      </c>
      <c r="U26" s="579">
        <v>1</v>
      </c>
    </row>
    <row r="27" spans="1:21" ht="14.4" customHeight="1" x14ac:dyDescent="0.3">
      <c r="A27" s="572">
        <v>19</v>
      </c>
      <c r="B27" s="573" t="s">
        <v>453</v>
      </c>
      <c r="C27" s="573">
        <v>89301192</v>
      </c>
      <c r="D27" s="574" t="s">
        <v>908</v>
      </c>
      <c r="E27" s="575" t="s">
        <v>622</v>
      </c>
      <c r="F27" s="573" t="s">
        <v>618</v>
      </c>
      <c r="G27" s="573" t="s">
        <v>698</v>
      </c>
      <c r="H27" s="573" t="s">
        <v>454</v>
      </c>
      <c r="I27" s="573" t="s">
        <v>699</v>
      </c>
      <c r="J27" s="573" t="s">
        <v>700</v>
      </c>
      <c r="K27" s="573" t="s">
        <v>701</v>
      </c>
      <c r="L27" s="576">
        <v>83.09</v>
      </c>
      <c r="M27" s="576">
        <v>83.09</v>
      </c>
      <c r="N27" s="573">
        <v>1</v>
      </c>
      <c r="O27" s="577">
        <v>1</v>
      </c>
      <c r="P27" s="576">
        <v>83.09</v>
      </c>
      <c r="Q27" s="578">
        <v>1</v>
      </c>
      <c r="R27" s="573">
        <v>1</v>
      </c>
      <c r="S27" s="578">
        <v>1</v>
      </c>
      <c r="T27" s="577">
        <v>1</v>
      </c>
      <c r="U27" s="579">
        <v>1</v>
      </c>
    </row>
    <row r="28" spans="1:21" ht="14.4" customHeight="1" x14ac:dyDescent="0.3">
      <c r="A28" s="572">
        <v>19</v>
      </c>
      <c r="B28" s="573" t="s">
        <v>453</v>
      </c>
      <c r="C28" s="573">
        <v>89301192</v>
      </c>
      <c r="D28" s="574" t="s">
        <v>908</v>
      </c>
      <c r="E28" s="575" t="s">
        <v>622</v>
      </c>
      <c r="F28" s="573" t="s">
        <v>618</v>
      </c>
      <c r="G28" s="573" t="s">
        <v>702</v>
      </c>
      <c r="H28" s="573" t="s">
        <v>454</v>
      </c>
      <c r="I28" s="573" t="s">
        <v>703</v>
      </c>
      <c r="J28" s="573" t="s">
        <v>704</v>
      </c>
      <c r="K28" s="573" t="s">
        <v>705</v>
      </c>
      <c r="L28" s="576">
        <v>61.29</v>
      </c>
      <c r="M28" s="576">
        <v>61.29</v>
      </c>
      <c r="N28" s="573">
        <v>1</v>
      </c>
      <c r="O28" s="577">
        <v>0.5</v>
      </c>
      <c r="P28" s="576">
        <v>61.29</v>
      </c>
      <c r="Q28" s="578">
        <v>1</v>
      </c>
      <c r="R28" s="573">
        <v>1</v>
      </c>
      <c r="S28" s="578">
        <v>1</v>
      </c>
      <c r="T28" s="577">
        <v>0.5</v>
      </c>
      <c r="U28" s="579">
        <v>1</v>
      </c>
    </row>
    <row r="29" spans="1:21" ht="14.4" customHeight="1" x14ac:dyDescent="0.3">
      <c r="A29" s="572">
        <v>19</v>
      </c>
      <c r="B29" s="573" t="s">
        <v>453</v>
      </c>
      <c r="C29" s="573">
        <v>89301192</v>
      </c>
      <c r="D29" s="574" t="s">
        <v>908</v>
      </c>
      <c r="E29" s="575" t="s">
        <v>622</v>
      </c>
      <c r="F29" s="573" t="s">
        <v>618</v>
      </c>
      <c r="G29" s="573" t="s">
        <v>702</v>
      </c>
      <c r="H29" s="573" t="s">
        <v>454</v>
      </c>
      <c r="I29" s="573" t="s">
        <v>703</v>
      </c>
      <c r="J29" s="573" t="s">
        <v>704</v>
      </c>
      <c r="K29" s="573" t="s">
        <v>705</v>
      </c>
      <c r="L29" s="576">
        <v>55.14</v>
      </c>
      <c r="M29" s="576">
        <v>55.14</v>
      </c>
      <c r="N29" s="573">
        <v>1</v>
      </c>
      <c r="O29" s="577">
        <v>0.5</v>
      </c>
      <c r="P29" s="576">
        <v>55.14</v>
      </c>
      <c r="Q29" s="578">
        <v>1</v>
      </c>
      <c r="R29" s="573">
        <v>1</v>
      </c>
      <c r="S29" s="578">
        <v>1</v>
      </c>
      <c r="T29" s="577">
        <v>0.5</v>
      </c>
      <c r="U29" s="579">
        <v>1</v>
      </c>
    </row>
    <row r="30" spans="1:21" ht="14.4" customHeight="1" x14ac:dyDescent="0.3">
      <c r="A30" s="572">
        <v>19</v>
      </c>
      <c r="B30" s="573" t="s">
        <v>453</v>
      </c>
      <c r="C30" s="573">
        <v>89301192</v>
      </c>
      <c r="D30" s="574" t="s">
        <v>908</v>
      </c>
      <c r="E30" s="575" t="s">
        <v>622</v>
      </c>
      <c r="F30" s="573" t="s">
        <v>618</v>
      </c>
      <c r="G30" s="573" t="s">
        <v>706</v>
      </c>
      <c r="H30" s="573" t="s">
        <v>539</v>
      </c>
      <c r="I30" s="573" t="s">
        <v>707</v>
      </c>
      <c r="J30" s="573" t="s">
        <v>708</v>
      </c>
      <c r="K30" s="573" t="s">
        <v>709</v>
      </c>
      <c r="L30" s="576">
        <v>0</v>
      </c>
      <c r="M30" s="576">
        <v>0</v>
      </c>
      <c r="N30" s="573">
        <v>1</v>
      </c>
      <c r="O30" s="577">
        <v>0.5</v>
      </c>
      <c r="P30" s="576">
        <v>0</v>
      </c>
      <c r="Q30" s="578"/>
      <c r="R30" s="573">
        <v>1</v>
      </c>
      <c r="S30" s="578">
        <v>1</v>
      </c>
      <c r="T30" s="577">
        <v>0.5</v>
      </c>
      <c r="U30" s="579">
        <v>1</v>
      </c>
    </row>
    <row r="31" spans="1:21" ht="14.4" customHeight="1" x14ac:dyDescent="0.3">
      <c r="A31" s="572">
        <v>19</v>
      </c>
      <c r="B31" s="573" t="s">
        <v>453</v>
      </c>
      <c r="C31" s="573">
        <v>89301192</v>
      </c>
      <c r="D31" s="574" t="s">
        <v>908</v>
      </c>
      <c r="E31" s="575" t="s">
        <v>622</v>
      </c>
      <c r="F31" s="573" t="s">
        <v>618</v>
      </c>
      <c r="G31" s="573" t="s">
        <v>669</v>
      </c>
      <c r="H31" s="573" t="s">
        <v>539</v>
      </c>
      <c r="I31" s="573" t="s">
        <v>670</v>
      </c>
      <c r="J31" s="573" t="s">
        <v>671</v>
      </c>
      <c r="K31" s="573" t="s">
        <v>672</v>
      </c>
      <c r="L31" s="576">
        <v>50.62</v>
      </c>
      <c r="M31" s="576">
        <v>50.62</v>
      </c>
      <c r="N31" s="573">
        <v>1</v>
      </c>
      <c r="O31" s="577">
        <v>0.5</v>
      </c>
      <c r="P31" s="576">
        <v>50.62</v>
      </c>
      <c r="Q31" s="578">
        <v>1</v>
      </c>
      <c r="R31" s="573">
        <v>1</v>
      </c>
      <c r="S31" s="578">
        <v>1</v>
      </c>
      <c r="T31" s="577">
        <v>0.5</v>
      </c>
      <c r="U31" s="579">
        <v>1</v>
      </c>
    </row>
    <row r="32" spans="1:21" ht="14.4" customHeight="1" x14ac:dyDescent="0.3">
      <c r="A32" s="572">
        <v>19</v>
      </c>
      <c r="B32" s="573" t="s">
        <v>453</v>
      </c>
      <c r="C32" s="573">
        <v>89301192</v>
      </c>
      <c r="D32" s="574" t="s">
        <v>908</v>
      </c>
      <c r="E32" s="575" t="s">
        <v>622</v>
      </c>
      <c r="F32" s="573" t="s">
        <v>618</v>
      </c>
      <c r="G32" s="573" t="s">
        <v>710</v>
      </c>
      <c r="H32" s="573" t="s">
        <v>539</v>
      </c>
      <c r="I32" s="573" t="s">
        <v>711</v>
      </c>
      <c r="J32" s="573" t="s">
        <v>712</v>
      </c>
      <c r="K32" s="573" t="s">
        <v>713</v>
      </c>
      <c r="L32" s="576">
        <v>130.59</v>
      </c>
      <c r="M32" s="576">
        <v>130.59</v>
      </c>
      <c r="N32" s="573">
        <v>1</v>
      </c>
      <c r="O32" s="577">
        <v>0.5</v>
      </c>
      <c r="P32" s="576">
        <v>130.59</v>
      </c>
      <c r="Q32" s="578">
        <v>1</v>
      </c>
      <c r="R32" s="573">
        <v>1</v>
      </c>
      <c r="S32" s="578">
        <v>1</v>
      </c>
      <c r="T32" s="577">
        <v>0.5</v>
      </c>
      <c r="U32" s="579">
        <v>1</v>
      </c>
    </row>
    <row r="33" spans="1:21" ht="14.4" customHeight="1" x14ac:dyDescent="0.3">
      <c r="A33" s="572">
        <v>19</v>
      </c>
      <c r="B33" s="573" t="s">
        <v>453</v>
      </c>
      <c r="C33" s="573">
        <v>89301192</v>
      </c>
      <c r="D33" s="574" t="s">
        <v>908</v>
      </c>
      <c r="E33" s="575" t="s">
        <v>622</v>
      </c>
      <c r="F33" s="573" t="s">
        <v>618</v>
      </c>
      <c r="G33" s="573" t="s">
        <v>710</v>
      </c>
      <c r="H33" s="573" t="s">
        <v>539</v>
      </c>
      <c r="I33" s="573" t="s">
        <v>714</v>
      </c>
      <c r="J33" s="573" t="s">
        <v>712</v>
      </c>
      <c r="K33" s="573" t="s">
        <v>715</v>
      </c>
      <c r="L33" s="576">
        <v>391.77</v>
      </c>
      <c r="M33" s="576">
        <v>391.77</v>
      </c>
      <c r="N33" s="573">
        <v>1</v>
      </c>
      <c r="O33" s="577">
        <v>0.5</v>
      </c>
      <c r="P33" s="576">
        <v>391.77</v>
      </c>
      <c r="Q33" s="578">
        <v>1</v>
      </c>
      <c r="R33" s="573">
        <v>1</v>
      </c>
      <c r="S33" s="578">
        <v>1</v>
      </c>
      <c r="T33" s="577">
        <v>0.5</v>
      </c>
      <c r="U33" s="579">
        <v>1</v>
      </c>
    </row>
    <row r="34" spans="1:21" ht="14.4" customHeight="1" x14ac:dyDescent="0.3">
      <c r="A34" s="572">
        <v>19</v>
      </c>
      <c r="B34" s="573" t="s">
        <v>453</v>
      </c>
      <c r="C34" s="573">
        <v>89301192</v>
      </c>
      <c r="D34" s="574" t="s">
        <v>908</v>
      </c>
      <c r="E34" s="575" t="s">
        <v>622</v>
      </c>
      <c r="F34" s="573" t="s">
        <v>618</v>
      </c>
      <c r="G34" s="573" t="s">
        <v>716</v>
      </c>
      <c r="H34" s="573" t="s">
        <v>454</v>
      </c>
      <c r="I34" s="573" t="s">
        <v>717</v>
      </c>
      <c r="J34" s="573" t="s">
        <v>718</v>
      </c>
      <c r="K34" s="573" t="s">
        <v>719</v>
      </c>
      <c r="L34" s="576">
        <v>0</v>
      </c>
      <c r="M34" s="576">
        <v>0</v>
      </c>
      <c r="N34" s="573">
        <v>2</v>
      </c>
      <c r="O34" s="577">
        <v>0.5</v>
      </c>
      <c r="P34" s="576">
        <v>0</v>
      </c>
      <c r="Q34" s="578"/>
      <c r="R34" s="573">
        <v>2</v>
      </c>
      <c r="S34" s="578">
        <v>1</v>
      </c>
      <c r="T34" s="577">
        <v>0.5</v>
      </c>
      <c r="U34" s="579">
        <v>1</v>
      </c>
    </row>
    <row r="35" spans="1:21" ht="14.4" customHeight="1" x14ac:dyDescent="0.3">
      <c r="A35" s="572">
        <v>19</v>
      </c>
      <c r="B35" s="573" t="s">
        <v>453</v>
      </c>
      <c r="C35" s="573">
        <v>89301192</v>
      </c>
      <c r="D35" s="574" t="s">
        <v>908</v>
      </c>
      <c r="E35" s="575" t="s">
        <v>622</v>
      </c>
      <c r="F35" s="573" t="s">
        <v>618</v>
      </c>
      <c r="G35" s="573" t="s">
        <v>720</v>
      </c>
      <c r="H35" s="573" t="s">
        <v>454</v>
      </c>
      <c r="I35" s="573" t="s">
        <v>721</v>
      </c>
      <c r="J35" s="573" t="s">
        <v>722</v>
      </c>
      <c r="K35" s="573" t="s">
        <v>723</v>
      </c>
      <c r="L35" s="576">
        <v>23.46</v>
      </c>
      <c r="M35" s="576">
        <v>46.92</v>
      </c>
      <c r="N35" s="573">
        <v>2</v>
      </c>
      <c r="O35" s="577">
        <v>0.5</v>
      </c>
      <c r="P35" s="576">
        <v>46.92</v>
      </c>
      <c r="Q35" s="578">
        <v>1</v>
      </c>
      <c r="R35" s="573">
        <v>2</v>
      </c>
      <c r="S35" s="578">
        <v>1</v>
      </c>
      <c r="T35" s="577">
        <v>0.5</v>
      </c>
      <c r="U35" s="579">
        <v>1</v>
      </c>
    </row>
    <row r="36" spans="1:21" ht="14.4" customHeight="1" x14ac:dyDescent="0.3">
      <c r="A36" s="572">
        <v>19</v>
      </c>
      <c r="B36" s="573" t="s">
        <v>453</v>
      </c>
      <c r="C36" s="573">
        <v>89301192</v>
      </c>
      <c r="D36" s="574" t="s">
        <v>908</v>
      </c>
      <c r="E36" s="575" t="s">
        <v>623</v>
      </c>
      <c r="F36" s="573" t="s">
        <v>618</v>
      </c>
      <c r="G36" s="573" t="s">
        <v>724</v>
      </c>
      <c r="H36" s="573" t="s">
        <v>454</v>
      </c>
      <c r="I36" s="573" t="s">
        <v>725</v>
      </c>
      <c r="J36" s="573" t="s">
        <v>726</v>
      </c>
      <c r="K36" s="573" t="s">
        <v>727</v>
      </c>
      <c r="L36" s="576">
        <v>243.62</v>
      </c>
      <c r="M36" s="576">
        <v>243.62</v>
      </c>
      <c r="N36" s="573">
        <v>1</v>
      </c>
      <c r="O36" s="577">
        <v>1</v>
      </c>
      <c r="P36" s="576">
        <v>243.62</v>
      </c>
      <c r="Q36" s="578">
        <v>1</v>
      </c>
      <c r="R36" s="573">
        <v>1</v>
      </c>
      <c r="S36" s="578">
        <v>1</v>
      </c>
      <c r="T36" s="577">
        <v>1</v>
      </c>
      <c r="U36" s="579">
        <v>1</v>
      </c>
    </row>
    <row r="37" spans="1:21" ht="14.4" customHeight="1" x14ac:dyDescent="0.3">
      <c r="A37" s="572">
        <v>19</v>
      </c>
      <c r="B37" s="573" t="s">
        <v>453</v>
      </c>
      <c r="C37" s="573">
        <v>89301192</v>
      </c>
      <c r="D37" s="574" t="s">
        <v>908</v>
      </c>
      <c r="E37" s="575" t="s">
        <v>623</v>
      </c>
      <c r="F37" s="573" t="s">
        <v>618</v>
      </c>
      <c r="G37" s="573" t="s">
        <v>633</v>
      </c>
      <c r="H37" s="573" t="s">
        <v>454</v>
      </c>
      <c r="I37" s="573" t="s">
        <v>634</v>
      </c>
      <c r="J37" s="573" t="s">
        <v>635</v>
      </c>
      <c r="K37" s="573" t="s">
        <v>636</v>
      </c>
      <c r="L37" s="576">
        <v>156.86000000000001</v>
      </c>
      <c r="M37" s="576">
        <v>156.86000000000001</v>
      </c>
      <c r="N37" s="573">
        <v>1</v>
      </c>
      <c r="O37" s="577">
        <v>1</v>
      </c>
      <c r="P37" s="576"/>
      <c r="Q37" s="578">
        <v>0</v>
      </c>
      <c r="R37" s="573"/>
      <c r="S37" s="578">
        <v>0</v>
      </c>
      <c r="T37" s="577"/>
      <c r="U37" s="579">
        <v>0</v>
      </c>
    </row>
    <row r="38" spans="1:21" ht="14.4" customHeight="1" x14ac:dyDescent="0.3">
      <c r="A38" s="572">
        <v>19</v>
      </c>
      <c r="B38" s="573" t="s">
        <v>453</v>
      </c>
      <c r="C38" s="573">
        <v>89301192</v>
      </c>
      <c r="D38" s="574" t="s">
        <v>908</v>
      </c>
      <c r="E38" s="575" t="s">
        <v>623</v>
      </c>
      <c r="F38" s="573" t="s">
        <v>618</v>
      </c>
      <c r="G38" s="573" t="s">
        <v>633</v>
      </c>
      <c r="H38" s="573" t="s">
        <v>454</v>
      </c>
      <c r="I38" s="573" t="s">
        <v>728</v>
      </c>
      <c r="J38" s="573" t="s">
        <v>729</v>
      </c>
      <c r="K38" s="573" t="s">
        <v>636</v>
      </c>
      <c r="L38" s="576">
        <v>333.31</v>
      </c>
      <c r="M38" s="576">
        <v>333.31</v>
      </c>
      <c r="N38" s="573">
        <v>1</v>
      </c>
      <c r="O38" s="577">
        <v>0.5</v>
      </c>
      <c r="P38" s="576">
        <v>333.31</v>
      </c>
      <c r="Q38" s="578">
        <v>1</v>
      </c>
      <c r="R38" s="573">
        <v>1</v>
      </c>
      <c r="S38" s="578">
        <v>1</v>
      </c>
      <c r="T38" s="577">
        <v>0.5</v>
      </c>
      <c r="U38" s="579">
        <v>1</v>
      </c>
    </row>
    <row r="39" spans="1:21" ht="14.4" customHeight="1" x14ac:dyDescent="0.3">
      <c r="A39" s="572">
        <v>19</v>
      </c>
      <c r="B39" s="573" t="s">
        <v>453</v>
      </c>
      <c r="C39" s="573">
        <v>89301192</v>
      </c>
      <c r="D39" s="574" t="s">
        <v>908</v>
      </c>
      <c r="E39" s="575" t="s">
        <v>623</v>
      </c>
      <c r="F39" s="573" t="s">
        <v>618</v>
      </c>
      <c r="G39" s="573" t="s">
        <v>633</v>
      </c>
      <c r="H39" s="573" t="s">
        <v>454</v>
      </c>
      <c r="I39" s="573" t="s">
        <v>728</v>
      </c>
      <c r="J39" s="573" t="s">
        <v>729</v>
      </c>
      <c r="K39" s="573" t="s">
        <v>636</v>
      </c>
      <c r="L39" s="576">
        <v>156.86000000000001</v>
      </c>
      <c r="M39" s="576">
        <v>313.72000000000003</v>
      </c>
      <c r="N39" s="573">
        <v>2</v>
      </c>
      <c r="O39" s="577">
        <v>2</v>
      </c>
      <c r="P39" s="576">
        <v>156.86000000000001</v>
      </c>
      <c r="Q39" s="578">
        <v>0.5</v>
      </c>
      <c r="R39" s="573">
        <v>1</v>
      </c>
      <c r="S39" s="578">
        <v>0.5</v>
      </c>
      <c r="T39" s="577">
        <v>1</v>
      </c>
      <c r="U39" s="579">
        <v>0.5</v>
      </c>
    </row>
    <row r="40" spans="1:21" ht="14.4" customHeight="1" x14ac:dyDescent="0.3">
      <c r="A40" s="572">
        <v>19</v>
      </c>
      <c r="B40" s="573" t="s">
        <v>453</v>
      </c>
      <c r="C40" s="573">
        <v>89301192</v>
      </c>
      <c r="D40" s="574" t="s">
        <v>908</v>
      </c>
      <c r="E40" s="575" t="s">
        <v>623</v>
      </c>
      <c r="F40" s="573" t="s">
        <v>618</v>
      </c>
      <c r="G40" s="573" t="s">
        <v>730</v>
      </c>
      <c r="H40" s="573" t="s">
        <v>539</v>
      </c>
      <c r="I40" s="573" t="s">
        <v>731</v>
      </c>
      <c r="J40" s="573" t="s">
        <v>732</v>
      </c>
      <c r="K40" s="573" t="s">
        <v>733</v>
      </c>
      <c r="L40" s="576">
        <v>222.25</v>
      </c>
      <c r="M40" s="576">
        <v>222.25</v>
      </c>
      <c r="N40" s="573">
        <v>1</v>
      </c>
      <c r="O40" s="577">
        <v>1</v>
      </c>
      <c r="P40" s="576">
        <v>222.25</v>
      </c>
      <c r="Q40" s="578">
        <v>1</v>
      </c>
      <c r="R40" s="573">
        <v>1</v>
      </c>
      <c r="S40" s="578">
        <v>1</v>
      </c>
      <c r="T40" s="577">
        <v>1</v>
      </c>
      <c r="U40" s="579">
        <v>1</v>
      </c>
    </row>
    <row r="41" spans="1:21" ht="14.4" customHeight="1" x14ac:dyDescent="0.3">
      <c r="A41" s="572">
        <v>19</v>
      </c>
      <c r="B41" s="573" t="s">
        <v>453</v>
      </c>
      <c r="C41" s="573">
        <v>89301192</v>
      </c>
      <c r="D41" s="574" t="s">
        <v>908</v>
      </c>
      <c r="E41" s="575" t="s">
        <v>623</v>
      </c>
      <c r="F41" s="573" t="s">
        <v>618</v>
      </c>
      <c r="G41" s="573" t="s">
        <v>734</v>
      </c>
      <c r="H41" s="573" t="s">
        <v>454</v>
      </c>
      <c r="I41" s="573" t="s">
        <v>735</v>
      </c>
      <c r="J41" s="573" t="s">
        <v>736</v>
      </c>
      <c r="K41" s="573" t="s">
        <v>737</v>
      </c>
      <c r="L41" s="576">
        <v>84.78</v>
      </c>
      <c r="M41" s="576">
        <v>593.46</v>
      </c>
      <c r="N41" s="573">
        <v>7</v>
      </c>
      <c r="O41" s="577">
        <v>4</v>
      </c>
      <c r="P41" s="576">
        <v>169.56</v>
      </c>
      <c r="Q41" s="578">
        <v>0.2857142857142857</v>
      </c>
      <c r="R41" s="573">
        <v>2</v>
      </c>
      <c r="S41" s="578">
        <v>0.2857142857142857</v>
      </c>
      <c r="T41" s="577">
        <v>1</v>
      </c>
      <c r="U41" s="579">
        <v>0.25</v>
      </c>
    </row>
    <row r="42" spans="1:21" ht="14.4" customHeight="1" x14ac:dyDescent="0.3">
      <c r="A42" s="572">
        <v>19</v>
      </c>
      <c r="B42" s="573" t="s">
        <v>453</v>
      </c>
      <c r="C42" s="573">
        <v>89301192</v>
      </c>
      <c r="D42" s="574" t="s">
        <v>908</v>
      </c>
      <c r="E42" s="575" t="s">
        <v>623</v>
      </c>
      <c r="F42" s="573" t="s">
        <v>618</v>
      </c>
      <c r="G42" s="573" t="s">
        <v>734</v>
      </c>
      <c r="H42" s="573" t="s">
        <v>454</v>
      </c>
      <c r="I42" s="573" t="s">
        <v>735</v>
      </c>
      <c r="J42" s="573" t="s">
        <v>736</v>
      </c>
      <c r="K42" s="573" t="s">
        <v>737</v>
      </c>
      <c r="L42" s="576">
        <v>105.7</v>
      </c>
      <c r="M42" s="576">
        <v>211.4</v>
      </c>
      <c r="N42" s="573">
        <v>2</v>
      </c>
      <c r="O42" s="577">
        <v>1</v>
      </c>
      <c r="P42" s="576">
        <v>211.4</v>
      </c>
      <c r="Q42" s="578">
        <v>1</v>
      </c>
      <c r="R42" s="573">
        <v>2</v>
      </c>
      <c r="S42" s="578">
        <v>1</v>
      </c>
      <c r="T42" s="577">
        <v>1</v>
      </c>
      <c r="U42" s="579">
        <v>1</v>
      </c>
    </row>
    <row r="43" spans="1:21" ht="14.4" customHeight="1" x14ac:dyDescent="0.3">
      <c r="A43" s="572">
        <v>19</v>
      </c>
      <c r="B43" s="573" t="s">
        <v>453</v>
      </c>
      <c r="C43" s="573">
        <v>89301192</v>
      </c>
      <c r="D43" s="574" t="s">
        <v>908</v>
      </c>
      <c r="E43" s="575" t="s">
        <v>623</v>
      </c>
      <c r="F43" s="573" t="s">
        <v>618</v>
      </c>
      <c r="G43" s="573" t="s">
        <v>734</v>
      </c>
      <c r="H43" s="573" t="s">
        <v>454</v>
      </c>
      <c r="I43" s="573" t="s">
        <v>735</v>
      </c>
      <c r="J43" s="573" t="s">
        <v>736</v>
      </c>
      <c r="K43" s="573" t="s">
        <v>737</v>
      </c>
      <c r="L43" s="576">
        <v>75.94</v>
      </c>
      <c r="M43" s="576">
        <v>151.88</v>
      </c>
      <c r="N43" s="573">
        <v>2</v>
      </c>
      <c r="O43" s="577">
        <v>1</v>
      </c>
      <c r="P43" s="576"/>
      <c r="Q43" s="578">
        <v>0</v>
      </c>
      <c r="R43" s="573"/>
      <c r="S43" s="578">
        <v>0</v>
      </c>
      <c r="T43" s="577"/>
      <c r="U43" s="579">
        <v>0</v>
      </c>
    </row>
    <row r="44" spans="1:21" ht="14.4" customHeight="1" x14ac:dyDescent="0.3">
      <c r="A44" s="572">
        <v>19</v>
      </c>
      <c r="B44" s="573" t="s">
        <v>453</v>
      </c>
      <c r="C44" s="573">
        <v>89301192</v>
      </c>
      <c r="D44" s="574" t="s">
        <v>908</v>
      </c>
      <c r="E44" s="575" t="s">
        <v>623</v>
      </c>
      <c r="F44" s="573" t="s">
        <v>618</v>
      </c>
      <c r="G44" s="573" t="s">
        <v>734</v>
      </c>
      <c r="H44" s="573" t="s">
        <v>454</v>
      </c>
      <c r="I44" s="573" t="s">
        <v>738</v>
      </c>
      <c r="J44" s="573" t="s">
        <v>739</v>
      </c>
      <c r="K44" s="573" t="s">
        <v>740</v>
      </c>
      <c r="L44" s="576">
        <v>337.47</v>
      </c>
      <c r="M44" s="576">
        <v>337.47</v>
      </c>
      <c r="N44" s="573">
        <v>1</v>
      </c>
      <c r="O44" s="577">
        <v>0.5</v>
      </c>
      <c r="P44" s="576">
        <v>337.47</v>
      </c>
      <c r="Q44" s="578">
        <v>1</v>
      </c>
      <c r="R44" s="573">
        <v>1</v>
      </c>
      <c r="S44" s="578">
        <v>1</v>
      </c>
      <c r="T44" s="577">
        <v>0.5</v>
      </c>
      <c r="U44" s="579">
        <v>1</v>
      </c>
    </row>
    <row r="45" spans="1:21" ht="14.4" customHeight="1" x14ac:dyDescent="0.3">
      <c r="A45" s="572">
        <v>19</v>
      </c>
      <c r="B45" s="573" t="s">
        <v>453</v>
      </c>
      <c r="C45" s="573">
        <v>89301192</v>
      </c>
      <c r="D45" s="574" t="s">
        <v>908</v>
      </c>
      <c r="E45" s="575" t="s">
        <v>623</v>
      </c>
      <c r="F45" s="573" t="s">
        <v>618</v>
      </c>
      <c r="G45" s="573" t="s">
        <v>741</v>
      </c>
      <c r="H45" s="573" t="s">
        <v>454</v>
      </c>
      <c r="I45" s="573" t="s">
        <v>742</v>
      </c>
      <c r="J45" s="573" t="s">
        <v>743</v>
      </c>
      <c r="K45" s="573" t="s">
        <v>744</v>
      </c>
      <c r="L45" s="576">
        <v>115.3</v>
      </c>
      <c r="M45" s="576">
        <v>115.3</v>
      </c>
      <c r="N45" s="573">
        <v>1</v>
      </c>
      <c r="O45" s="577">
        <v>0.5</v>
      </c>
      <c r="P45" s="576">
        <v>115.3</v>
      </c>
      <c r="Q45" s="578">
        <v>1</v>
      </c>
      <c r="R45" s="573">
        <v>1</v>
      </c>
      <c r="S45" s="578">
        <v>1</v>
      </c>
      <c r="T45" s="577">
        <v>0.5</v>
      </c>
      <c r="U45" s="579">
        <v>1</v>
      </c>
    </row>
    <row r="46" spans="1:21" ht="14.4" customHeight="1" x14ac:dyDescent="0.3">
      <c r="A46" s="572">
        <v>19</v>
      </c>
      <c r="B46" s="573" t="s">
        <v>453</v>
      </c>
      <c r="C46" s="573">
        <v>89301192</v>
      </c>
      <c r="D46" s="574" t="s">
        <v>908</v>
      </c>
      <c r="E46" s="575" t="s">
        <v>623</v>
      </c>
      <c r="F46" s="573" t="s">
        <v>618</v>
      </c>
      <c r="G46" s="573" t="s">
        <v>741</v>
      </c>
      <c r="H46" s="573" t="s">
        <v>454</v>
      </c>
      <c r="I46" s="573" t="s">
        <v>745</v>
      </c>
      <c r="J46" s="573" t="s">
        <v>743</v>
      </c>
      <c r="K46" s="573" t="s">
        <v>746</v>
      </c>
      <c r="L46" s="576">
        <v>0</v>
      </c>
      <c r="M46" s="576">
        <v>0</v>
      </c>
      <c r="N46" s="573">
        <v>1</v>
      </c>
      <c r="O46" s="577">
        <v>0.5</v>
      </c>
      <c r="P46" s="576">
        <v>0</v>
      </c>
      <c r="Q46" s="578"/>
      <c r="R46" s="573">
        <v>1</v>
      </c>
      <c r="S46" s="578">
        <v>1</v>
      </c>
      <c r="T46" s="577">
        <v>0.5</v>
      </c>
      <c r="U46" s="579">
        <v>1</v>
      </c>
    </row>
    <row r="47" spans="1:21" ht="14.4" customHeight="1" x14ac:dyDescent="0.3">
      <c r="A47" s="572">
        <v>19</v>
      </c>
      <c r="B47" s="573" t="s">
        <v>453</v>
      </c>
      <c r="C47" s="573">
        <v>89301192</v>
      </c>
      <c r="D47" s="574" t="s">
        <v>908</v>
      </c>
      <c r="E47" s="575" t="s">
        <v>623</v>
      </c>
      <c r="F47" s="573" t="s">
        <v>618</v>
      </c>
      <c r="G47" s="573" t="s">
        <v>747</v>
      </c>
      <c r="H47" s="573" t="s">
        <v>454</v>
      </c>
      <c r="I47" s="573" t="s">
        <v>748</v>
      </c>
      <c r="J47" s="573" t="s">
        <v>749</v>
      </c>
      <c r="K47" s="573" t="s">
        <v>750</v>
      </c>
      <c r="L47" s="576">
        <v>0</v>
      </c>
      <c r="M47" s="576">
        <v>0</v>
      </c>
      <c r="N47" s="573">
        <v>4</v>
      </c>
      <c r="O47" s="577">
        <v>4</v>
      </c>
      <c r="P47" s="576">
        <v>0</v>
      </c>
      <c r="Q47" s="578"/>
      <c r="R47" s="573">
        <v>3</v>
      </c>
      <c r="S47" s="578">
        <v>0.75</v>
      </c>
      <c r="T47" s="577">
        <v>3</v>
      </c>
      <c r="U47" s="579">
        <v>0.75</v>
      </c>
    </row>
    <row r="48" spans="1:21" ht="14.4" customHeight="1" x14ac:dyDescent="0.3">
      <c r="A48" s="572">
        <v>19</v>
      </c>
      <c r="B48" s="573" t="s">
        <v>453</v>
      </c>
      <c r="C48" s="573">
        <v>89301192</v>
      </c>
      <c r="D48" s="574" t="s">
        <v>908</v>
      </c>
      <c r="E48" s="575" t="s">
        <v>623</v>
      </c>
      <c r="F48" s="573" t="s">
        <v>618</v>
      </c>
      <c r="G48" s="573" t="s">
        <v>751</v>
      </c>
      <c r="H48" s="573" t="s">
        <v>454</v>
      </c>
      <c r="I48" s="573" t="s">
        <v>752</v>
      </c>
      <c r="J48" s="573" t="s">
        <v>753</v>
      </c>
      <c r="K48" s="573" t="s">
        <v>754</v>
      </c>
      <c r="L48" s="576">
        <v>0</v>
      </c>
      <c r="M48" s="576">
        <v>0</v>
      </c>
      <c r="N48" s="573">
        <v>1</v>
      </c>
      <c r="O48" s="577">
        <v>1</v>
      </c>
      <c r="P48" s="576">
        <v>0</v>
      </c>
      <c r="Q48" s="578"/>
      <c r="R48" s="573">
        <v>1</v>
      </c>
      <c r="S48" s="578">
        <v>1</v>
      </c>
      <c r="T48" s="577">
        <v>1</v>
      </c>
      <c r="U48" s="579">
        <v>1</v>
      </c>
    </row>
    <row r="49" spans="1:21" ht="14.4" customHeight="1" x14ac:dyDescent="0.3">
      <c r="A49" s="572">
        <v>19</v>
      </c>
      <c r="B49" s="573" t="s">
        <v>453</v>
      </c>
      <c r="C49" s="573">
        <v>89301192</v>
      </c>
      <c r="D49" s="574" t="s">
        <v>908</v>
      </c>
      <c r="E49" s="575" t="s">
        <v>623</v>
      </c>
      <c r="F49" s="573" t="s">
        <v>618</v>
      </c>
      <c r="G49" s="573" t="s">
        <v>755</v>
      </c>
      <c r="H49" s="573" t="s">
        <v>454</v>
      </c>
      <c r="I49" s="573" t="s">
        <v>756</v>
      </c>
      <c r="J49" s="573" t="s">
        <v>757</v>
      </c>
      <c r="K49" s="573" t="s">
        <v>758</v>
      </c>
      <c r="L49" s="576">
        <v>134.86000000000001</v>
      </c>
      <c r="M49" s="576">
        <v>134.86000000000001</v>
      </c>
      <c r="N49" s="573">
        <v>1</v>
      </c>
      <c r="O49" s="577">
        <v>0.5</v>
      </c>
      <c r="P49" s="576"/>
      <c r="Q49" s="578">
        <v>0</v>
      </c>
      <c r="R49" s="573"/>
      <c r="S49" s="578">
        <v>0</v>
      </c>
      <c r="T49" s="577"/>
      <c r="U49" s="579">
        <v>0</v>
      </c>
    </row>
    <row r="50" spans="1:21" ht="14.4" customHeight="1" x14ac:dyDescent="0.3">
      <c r="A50" s="572">
        <v>19</v>
      </c>
      <c r="B50" s="573" t="s">
        <v>453</v>
      </c>
      <c r="C50" s="573">
        <v>89301192</v>
      </c>
      <c r="D50" s="574" t="s">
        <v>908</v>
      </c>
      <c r="E50" s="575" t="s">
        <v>623</v>
      </c>
      <c r="F50" s="573" t="s">
        <v>618</v>
      </c>
      <c r="G50" s="573" t="s">
        <v>755</v>
      </c>
      <c r="H50" s="573" t="s">
        <v>454</v>
      </c>
      <c r="I50" s="573" t="s">
        <v>759</v>
      </c>
      <c r="J50" s="573" t="s">
        <v>757</v>
      </c>
      <c r="K50" s="573" t="s">
        <v>760</v>
      </c>
      <c r="L50" s="576">
        <v>47.94</v>
      </c>
      <c r="M50" s="576">
        <v>95.88</v>
      </c>
      <c r="N50" s="573">
        <v>2</v>
      </c>
      <c r="O50" s="577">
        <v>0.5</v>
      </c>
      <c r="P50" s="576"/>
      <c r="Q50" s="578">
        <v>0</v>
      </c>
      <c r="R50" s="573"/>
      <c r="S50" s="578">
        <v>0</v>
      </c>
      <c r="T50" s="577"/>
      <c r="U50" s="579">
        <v>0</v>
      </c>
    </row>
    <row r="51" spans="1:21" ht="14.4" customHeight="1" x14ac:dyDescent="0.3">
      <c r="A51" s="572">
        <v>19</v>
      </c>
      <c r="B51" s="573" t="s">
        <v>453</v>
      </c>
      <c r="C51" s="573">
        <v>89301192</v>
      </c>
      <c r="D51" s="574" t="s">
        <v>908</v>
      </c>
      <c r="E51" s="575" t="s">
        <v>623</v>
      </c>
      <c r="F51" s="573" t="s">
        <v>618</v>
      </c>
      <c r="G51" s="573" t="s">
        <v>649</v>
      </c>
      <c r="H51" s="573" t="s">
        <v>454</v>
      </c>
      <c r="I51" s="573" t="s">
        <v>650</v>
      </c>
      <c r="J51" s="573" t="s">
        <v>651</v>
      </c>
      <c r="K51" s="573" t="s">
        <v>652</v>
      </c>
      <c r="L51" s="576">
        <v>50.27</v>
      </c>
      <c r="M51" s="576">
        <v>50.27</v>
      </c>
      <c r="N51" s="573">
        <v>1</v>
      </c>
      <c r="O51" s="577">
        <v>1</v>
      </c>
      <c r="P51" s="576">
        <v>50.27</v>
      </c>
      <c r="Q51" s="578">
        <v>1</v>
      </c>
      <c r="R51" s="573">
        <v>1</v>
      </c>
      <c r="S51" s="578">
        <v>1</v>
      </c>
      <c r="T51" s="577">
        <v>1</v>
      </c>
      <c r="U51" s="579">
        <v>1</v>
      </c>
    </row>
    <row r="52" spans="1:21" ht="14.4" customHeight="1" x14ac:dyDescent="0.3">
      <c r="A52" s="572">
        <v>19</v>
      </c>
      <c r="B52" s="573" t="s">
        <v>453</v>
      </c>
      <c r="C52" s="573">
        <v>89301192</v>
      </c>
      <c r="D52" s="574" t="s">
        <v>908</v>
      </c>
      <c r="E52" s="575" t="s">
        <v>623</v>
      </c>
      <c r="F52" s="573" t="s">
        <v>618</v>
      </c>
      <c r="G52" s="573" t="s">
        <v>649</v>
      </c>
      <c r="H52" s="573" t="s">
        <v>454</v>
      </c>
      <c r="I52" s="573" t="s">
        <v>761</v>
      </c>
      <c r="J52" s="573" t="s">
        <v>651</v>
      </c>
      <c r="K52" s="573" t="s">
        <v>762</v>
      </c>
      <c r="L52" s="576">
        <v>58.1</v>
      </c>
      <c r="M52" s="576">
        <v>58.1</v>
      </c>
      <c r="N52" s="573">
        <v>1</v>
      </c>
      <c r="O52" s="577">
        <v>1</v>
      </c>
      <c r="P52" s="576">
        <v>58.1</v>
      </c>
      <c r="Q52" s="578">
        <v>1</v>
      </c>
      <c r="R52" s="573">
        <v>1</v>
      </c>
      <c r="S52" s="578">
        <v>1</v>
      </c>
      <c r="T52" s="577">
        <v>1</v>
      </c>
      <c r="U52" s="579">
        <v>1</v>
      </c>
    </row>
    <row r="53" spans="1:21" ht="14.4" customHeight="1" x14ac:dyDescent="0.3">
      <c r="A53" s="572">
        <v>19</v>
      </c>
      <c r="B53" s="573" t="s">
        <v>453</v>
      </c>
      <c r="C53" s="573">
        <v>89301192</v>
      </c>
      <c r="D53" s="574" t="s">
        <v>908</v>
      </c>
      <c r="E53" s="575" t="s">
        <v>623</v>
      </c>
      <c r="F53" s="573" t="s">
        <v>618</v>
      </c>
      <c r="G53" s="573" t="s">
        <v>657</v>
      </c>
      <c r="H53" s="573" t="s">
        <v>454</v>
      </c>
      <c r="I53" s="573" t="s">
        <v>658</v>
      </c>
      <c r="J53" s="573" t="s">
        <v>659</v>
      </c>
      <c r="K53" s="573" t="s">
        <v>660</v>
      </c>
      <c r="L53" s="576">
        <v>41.83</v>
      </c>
      <c r="M53" s="576">
        <v>1422.2199999999998</v>
      </c>
      <c r="N53" s="573">
        <v>34</v>
      </c>
      <c r="O53" s="577">
        <v>17</v>
      </c>
      <c r="P53" s="576">
        <v>1254.8999999999999</v>
      </c>
      <c r="Q53" s="578">
        <v>0.88235294117647056</v>
      </c>
      <c r="R53" s="573">
        <v>30</v>
      </c>
      <c r="S53" s="578">
        <v>0.88235294117647056</v>
      </c>
      <c r="T53" s="577">
        <v>15</v>
      </c>
      <c r="U53" s="579">
        <v>0.88235294117647056</v>
      </c>
    </row>
    <row r="54" spans="1:21" ht="14.4" customHeight="1" x14ac:dyDescent="0.3">
      <c r="A54" s="572">
        <v>19</v>
      </c>
      <c r="B54" s="573" t="s">
        <v>453</v>
      </c>
      <c r="C54" s="573">
        <v>89301192</v>
      </c>
      <c r="D54" s="574" t="s">
        <v>908</v>
      </c>
      <c r="E54" s="575" t="s">
        <v>623</v>
      </c>
      <c r="F54" s="573" t="s">
        <v>618</v>
      </c>
      <c r="G54" s="573" t="s">
        <v>702</v>
      </c>
      <c r="H54" s="573" t="s">
        <v>454</v>
      </c>
      <c r="I54" s="573" t="s">
        <v>703</v>
      </c>
      <c r="J54" s="573" t="s">
        <v>704</v>
      </c>
      <c r="K54" s="573" t="s">
        <v>705</v>
      </c>
      <c r="L54" s="576">
        <v>61.29</v>
      </c>
      <c r="M54" s="576">
        <v>61.29</v>
      </c>
      <c r="N54" s="573">
        <v>1</v>
      </c>
      <c r="O54" s="577">
        <v>1</v>
      </c>
      <c r="P54" s="576"/>
      <c r="Q54" s="578">
        <v>0</v>
      </c>
      <c r="R54" s="573"/>
      <c r="S54" s="578">
        <v>0</v>
      </c>
      <c r="T54" s="577"/>
      <c r="U54" s="579">
        <v>0</v>
      </c>
    </row>
    <row r="55" spans="1:21" ht="14.4" customHeight="1" x14ac:dyDescent="0.3">
      <c r="A55" s="572">
        <v>19</v>
      </c>
      <c r="B55" s="573" t="s">
        <v>453</v>
      </c>
      <c r="C55" s="573">
        <v>89301192</v>
      </c>
      <c r="D55" s="574" t="s">
        <v>908</v>
      </c>
      <c r="E55" s="575" t="s">
        <v>623</v>
      </c>
      <c r="F55" s="573" t="s">
        <v>618</v>
      </c>
      <c r="G55" s="573" t="s">
        <v>706</v>
      </c>
      <c r="H55" s="573" t="s">
        <v>539</v>
      </c>
      <c r="I55" s="573" t="s">
        <v>763</v>
      </c>
      <c r="J55" s="573" t="s">
        <v>764</v>
      </c>
      <c r="K55" s="573" t="s">
        <v>765</v>
      </c>
      <c r="L55" s="576">
        <v>215.56</v>
      </c>
      <c r="M55" s="576">
        <v>215.56</v>
      </c>
      <c r="N55" s="573">
        <v>1</v>
      </c>
      <c r="O55" s="577">
        <v>1</v>
      </c>
      <c r="P55" s="576"/>
      <c r="Q55" s="578">
        <v>0</v>
      </c>
      <c r="R55" s="573"/>
      <c r="S55" s="578">
        <v>0</v>
      </c>
      <c r="T55" s="577"/>
      <c r="U55" s="579">
        <v>0</v>
      </c>
    </row>
    <row r="56" spans="1:21" ht="14.4" customHeight="1" x14ac:dyDescent="0.3">
      <c r="A56" s="572">
        <v>19</v>
      </c>
      <c r="B56" s="573" t="s">
        <v>453</v>
      </c>
      <c r="C56" s="573">
        <v>89301192</v>
      </c>
      <c r="D56" s="574" t="s">
        <v>908</v>
      </c>
      <c r="E56" s="575" t="s">
        <v>623</v>
      </c>
      <c r="F56" s="573" t="s">
        <v>618</v>
      </c>
      <c r="G56" s="573" t="s">
        <v>706</v>
      </c>
      <c r="H56" s="573" t="s">
        <v>539</v>
      </c>
      <c r="I56" s="573" t="s">
        <v>766</v>
      </c>
      <c r="J56" s="573" t="s">
        <v>764</v>
      </c>
      <c r="K56" s="573" t="s">
        <v>767</v>
      </c>
      <c r="L56" s="576">
        <v>71.86</v>
      </c>
      <c r="M56" s="576">
        <v>215.57999999999998</v>
      </c>
      <c r="N56" s="573">
        <v>3</v>
      </c>
      <c r="O56" s="577">
        <v>1.5</v>
      </c>
      <c r="P56" s="576"/>
      <c r="Q56" s="578">
        <v>0</v>
      </c>
      <c r="R56" s="573"/>
      <c r="S56" s="578">
        <v>0</v>
      </c>
      <c r="T56" s="577"/>
      <c r="U56" s="579">
        <v>0</v>
      </c>
    </row>
    <row r="57" spans="1:21" ht="14.4" customHeight="1" x14ac:dyDescent="0.3">
      <c r="A57" s="572">
        <v>19</v>
      </c>
      <c r="B57" s="573" t="s">
        <v>453</v>
      </c>
      <c r="C57" s="573">
        <v>89301192</v>
      </c>
      <c r="D57" s="574" t="s">
        <v>908</v>
      </c>
      <c r="E57" s="575" t="s">
        <v>623</v>
      </c>
      <c r="F57" s="573" t="s">
        <v>618</v>
      </c>
      <c r="G57" s="573" t="s">
        <v>706</v>
      </c>
      <c r="H57" s="573" t="s">
        <v>539</v>
      </c>
      <c r="I57" s="573" t="s">
        <v>768</v>
      </c>
      <c r="J57" s="573" t="s">
        <v>764</v>
      </c>
      <c r="K57" s="573" t="s">
        <v>765</v>
      </c>
      <c r="L57" s="576">
        <v>0</v>
      </c>
      <c r="M57" s="576">
        <v>0</v>
      </c>
      <c r="N57" s="573">
        <v>1</v>
      </c>
      <c r="O57" s="577">
        <v>0.5</v>
      </c>
      <c r="P57" s="576"/>
      <c r="Q57" s="578"/>
      <c r="R57" s="573"/>
      <c r="S57" s="578">
        <v>0</v>
      </c>
      <c r="T57" s="577"/>
      <c r="U57" s="579">
        <v>0</v>
      </c>
    </row>
    <row r="58" spans="1:21" ht="14.4" customHeight="1" x14ac:dyDescent="0.3">
      <c r="A58" s="572">
        <v>19</v>
      </c>
      <c r="B58" s="573" t="s">
        <v>453</v>
      </c>
      <c r="C58" s="573">
        <v>89301192</v>
      </c>
      <c r="D58" s="574" t="s">
        <v>908</v>
      </c>
      <c r="E58" s="575" t="s">
        <v>623</v>
      </c>
      <c r="F58" s="573" t="s">
        <v>618</v>
      </c>
      <c r="G58" s="573" t="s">
        <v>769</v>
      </c>
      <c r="H58" s="573" t="s">
        <v>539</v>
      </c>
      <c r="I58" s="573" t="s">
        <v>770</v>
      </c>
      <c r="J58" s="573" t="s">
        <v>771</v>
      </c>
      <c r="K58" s="573" t="s">
        <v>772</v>
      </c>
      <c r="L58" s="576">
        <v>81.33</v>
      </c>
      <c r="M58" s="576">
        <v>162.66</v>
      </c>
      <c r="N58" s="573">
        <v>2</v>
      </c>
      <c r="O58" s="577">
        <v>1.5</v>
      </c>
      <c r="P58" s="576"/>
      <c r="Q58" s="578">
        <v>0</v>
      </c>
      <c r="R58" s="573"/>
      <c r="S58" s="578">
        <v>0</v>
      </c>
      <c r="T58" s="577"/>
      <c r="U58" s="579">
        <v>0</v>
      </c>
    </row>
    <row r="59" spans="1:21" ht="14.4" customHeight="1" x14ac:dyDescent="0.3">
      <c r="A59" s="572">
        <v>19</v>
      </c>
      <c r="B59" s="573" t="s">
        <v>453</v>
      </c>
      <c r="C59" s="573">
        <v>89301192</v>
      </c>
      <c r="D59" s="574" t="s">
        <v>908</v>
      </c>
      <c r="E59" s="575" t="s">
        <v>623</v>
      </c>
      <c r="F59" s="573" t="s">
        <v>618</v>
      </c>
      <c r="G59" s="573" t="s">
        <v>769</v>
      </c>
      <c r="H59" s="573" t="s">
        <v>454</v>
      </c>
      <c r="I59" s="573" t="s">
        <v>773</v>
      </c>
      <c r="J59" s="573" t="s">
        <v>774</v>
      </c>
      <c r="K59" s="573" t="s">
        <v>775</v>
      </c>
      <c r="L59" s="576">
        <v>25.3</v>
      </c>
      <c r="M59" s="576">
        <v>25.3</v>
      </c>
      <c r="N59" s="573">
        <v>1</v>
      </c>
      <c r="O59" s="577">
        <v>1</v>
      </c>
      <c r="P59" s="576">
        <v>25.3</v>
      </c>
      <c r="Q59" s="578">
        <v>1</v>
      </c>
      <c r="R59" s="573">
        <v>1</v>
      </c>
      <c r="S59" s="578">
        <v>1</v>
      </c>
      <c r="T59" s="577">
        <v>1</v>
      </c>
      <c r="U59" s="579">
        <v>1</v>
      </c>
    </row>
    <row r="60" spans="1:21" ht="14.4" customHeight="1" x14ac:dyDescent="0.3">
      <c r="A60" s="572">
        <v>19</v>
      </c>
      <c r="B60" s="573" t="s">
        <v>453</v>
      </c>
      <c r="C60" s="573">
        <v>89301192</v>
      </c>
      <c r="D60" s="574" t="s">
        <v>908</v>
      </c>
      <c r="E60" s="575" t="s">
        <v>623</v>
      </c>
      <c r="F60" s="573" t="s">
        <v>618</v>
      </c>
      <c r="G60" s="573" t="s">
        <v>776</v>
      </c>
      <c r="H60" s="573" t="s">
        <v>454</v>
      </c>
      <c r="I60" s="573" t="s">
        <v>777</v>
      </c>
      <c r="J60" s="573" t="s">
        <v>778</v>
      </c>
      <c r="K60" s="573" t="s">
        <v>779</v>
      </c>
      <c r="L60" s="576">
        <v>200.07</v>
      </c>
      <c r="M60" s="576">
        <v>200.07</v>
      </c>
      <c r="N60" s="573">
        <v>1</v>
      </c>
      <c r="O60" s="577">
        <v>0.5</v>
      </c>
      <c r="P60" s="576"/>
      <c r="Q60" s="578">
        <v>0</v>
      </c>
      <c r="R60" s="573"/>
      <c r="S60" s="578">
        <v>0</v>
      </c>
      <c r="T60" s="577"/>
      <c r="U60" s="579">
        <v>0</v>
      </c>
    </row>
    <row r="61" spans="1:21" ht="14.4" customHeight="1" x14ac:dyDescent="0.3">
      <c r="A61" s="572">
        <v>19</v>
      </c>
      <c r="B61" s="573" t="s">
        <v>453</v>
      </c>
      <c r="C61" s="573">
        <v>89301192</v>
      </c>
      <c r="D61" s="574" t="s">
        <v>908</v>
      </c>
      <c r="E61" s="575" t="s">
        <v>623</v>
      </c>
      <c r="F61" s="573" t="s">
        <v>618</v>
      </c>
      <c r="G61" s="573" t="s">
        <v>669</v>
      </c>
      <c r="H61" s="573" t="s">
        <v>539</v>
      </c>
      <c r="I61" s="573" t="s">
        <v>670</v>
      </c>
      <c r="J61" s="573" t="s">
        <v>671</v>
      </c>
      <c r="K61" s="573" t="s">
        <v>672</v>
      </c>
      <c r="L61" s="576">
        <v>96.63</v>
      </c>
      <c r="M61" s="576">
        <v>193.26</v>
      </c>
      <c r="N61" s="573">
        <v>2</v>
      </c>
      <c r="O61" s="577">
        <v>1.5</v>
      </c>
      <c r="P61" s="576">
        <v>96.63</v>
      </c>
      <c r="Q61" s="578">
        <v>0.5</v>
      </c>
      <c r="R61" s="573">
        <v>1</v>
      </c>
      <c r="S61" s="578">
        <v>0.5</v>
      </c>
      <c r="T61" s="577">
        <v>1</v>
      </c>
      <c r="U61" s="579">
        <v>0.66666666666666663</v>
      </c>
    </row>
    <row r="62" spans="1:21" ht="14.4" customHeight="1" x14ac:dyDescent="0.3">
      <c r="A62" s="572">
        <v>19</v>
      </c>
      <c r="B62" s="573" t="s">
        <v>453</v>
      </c>
      <c r="C62" s="573">
        <v>89301192</v>
      </c>
      <c r="D62" s="574" t="s">
        <v>908</v>
      </c>
      <c r="E62" s="575" t="s">
        <v>623</v>
      </c>
      <c r="F62" s="573" t="s">
        <v>618</v>
      </c>
      <c r="G62" s="573" t="s">
        <v>780</v>
      </c>
      <c r="H62" s="573" t="s">
        <v>454</v>
      </c>
      <c r="I62" s="573" t="s">
        <v>781</v>
      </c>
      <c r="J62" s="573" t="s">
        <v>782</v>
      </c>
      <c r="K62" s="573" t="s">
        <v>783</v>
      </c>
      <c r="L62" s="576">
        <v>50.47</v>
      </c>
      <c r="M62" s="576">
        <v>50.47</v>
      </c>
      <c r="N62" s="573">
        <v>1</v>
      </c>
      <c r="O62" s="577">
        <v>0.5</v>
      </c>
      <c r="P62" s="576"/>
      <c r="Q62" s="578">
        <v>0</v>
      </c>
      <c r="R62" s="573"/>
      <c r="S62" s="578">
        <v>0</v>
      </c>
      <c r="T62" s="577"/>
      <c r="U62" s="579">
        <v>0</v>
      </c>
    </row>
    <row r="63" spans="1:21" ht="14.4" customHeight="1" x14ac:dyDescent="0.3">
      <c r="A63" s="572">
        <v>19</v>
      </c>
      <c r="B63" s="573" t="s">
        <v>453</v>
      </c>
      <c r="C63" s="573">
        <v>89301192</v>
      </c>
      <c r="D63" s="574" t="s">
        <v>908</v>
      </c>
      <c r="E63" s="575" t="s">
        <v>623</v>
      </c>
      <c r="F63" s="573" t="s">
        <v>618</v>
      </c>
      <c r="G63" s="573" t="s">
        <v>784</v>
      </c>
      <c r="H63" s="573" t="s">
        <v>454</v>
      </c>
      <c r="I63" s="573" t="s">
        <v>785</v>
      </c>
      <c r="J63" s="573" t="s">
        <v>786</v>
      </c>
      <c r="K63" s="573" t="s">
        <v>787</v>
      </c>
      <c r="L63" s="576">
        <v>113.37</v>
      </c>
      <c r="M63" s="576">
        <v>113.37</v>
      </c>
      <c r="N63" s="573">
        <v>1</v>
      </c>
      <c r="O63" s="577">
        <v>1</v>
      </c>
      <c r="P63" s="576"/>
      <c r="Q63" s="578">
        <v>0</v>
      </c>
      <c r="R63" s="573"/>
      <c r="S63" s="578">
        <v>0</v>
      </c>
      <c r="T63" s="577"/>
      <c r="U63" s="579">
        <v>0</v>
      </c>
    </row>
    <row r="64" spans="1:21" ht="14.4" customHeight="1" x14ac:dyDescent="0.3">
      <c r="A64" s="572">
        <v>19</v>
      </c>
      <c r="B64" s="573" t="s">
        <v>453</v>
      </c>
      <c r="C64" s="573">
        <v>89301192</v>
      </c>
      <c r="D64" s="574" t="s">
        <v>908</v>
      </c>
      <c r="E64" s="575" t="s">
        <v>623</v>
      </c>
      <c r="F64" s="573" t="s">
        <v>618</v>
      </c>
      <c r="G64" s="573" t="s">
        <v>788</v>
      </c>
      <c r="H64" s="573" t="s">
        <v>454</v>
      </c>
      <c r="I64" s="573" t="s">
        <v>789</v>
      </c>
      <c r="J64" s="573" t="s">
        <v>790</v>
      </c>
      <c r="K64" s="573" t="s">
        <v>791</v>
      </c>
      <c r="L64" s="576">
        <v>126.54</v>
      </c>
      <c r="M64" s="576">
        <v>253.08</v>
      </c>
      <c r="N64" s="573">
        <v>2</v>
      </c>
      <c r="O64" s="577">
        <v>1</v>
      </c>
      <c r="P64" s="576"/>
      <c r="Q64" s="578">
        <v>0</v>
      </c>
      <c r="R64" s="573"/>
      <c r="S64" s="578">
        <v>0</v>
      </c>
      <c r="T64" s="577"/>
      <c r="U64" s="579">
        <v>0</v>
      </c>
    </row>
    <row r="65" spans="1:21" ht="14.4" customHeight="1" x14ac:dyDescent="0.3">
      <c r="A65" s="572">
        <v>19</v>
      </c>
      <c r="B65" s="573" t="s">
        <v>453</v>
      </c>
      <c r="C65" s="573">
        <v>89301192</v>
      </c>
      <c r="D65" s="574" t="s">
        <v>908</v>
      </c>
      <c r="E65" s="575" t="s">
        <v>623</v>
      </c>
      <c r="F65" s="573" t="s">
        <v>618</v>
      </c>
      <c r="G65" s="573" t="s">
        <v>684</v>
      </c>
      <c r="H65" s="573" t="s">
        <v>454</v>
      </c>
      <c r="I65" s="573" t="s">
        <v>685</v>
      </c>
      <c r="J65" s="573" t="s">
        <v>686</v>
      </c>
      <c r="K65" s="573" t="s">
        <v>687</v>
      </c>
      <c r="L65" s="576">
        <v>203.33</v>
      </c>
      <c r="M65" s="576">
        <v>406.66</v>
      </c>
      <c r="N65" s="573">
        <v>2</v>
      </c>
      <c r="O65" s="577">
        <v>1.5</v>
      </c>
      <c r="P65" s="576">
        <v>406.66</v>
      </c>
      <c r="Q65" s="578">
        <v>1</v>
      </c>
      <c r="R65" s="573">
        <v>2</v>
      </c>
      <c r="S65" s="578">
        <v>1</v>
      </c>
      <c r="T65" s="577">
        <v>1.5</v>
      </c>
      <c r="U65" s="579">
        <v>1</v>
      </c>
    </row>
    <row r="66" spans="1:21" ht="14.4" customHeight="1" x14ac:dyDescent="0.3">
      <c r="A66" s="572">
        <v>19</v>
      </c>
      <c r="B66" s="573" t="s">
        <v>453</v>
      </c>
      <c r="C66" s="573">
        <v>89301192</v>
      </c>
      <c r="D66" s="574" t="s">
        <v>908</v>
      </c>
      <c r="E66" s="575" t="s">
        <v>623</v>
      </c>
      <c r="F66" s="573" t="s">
        <v>618</v>
      </c>
      <c r="G66" s="573" t="s">
        <v>792</v>
      </c>
      <c r="H66" s="573" t="s">
        <v>539</v>
      </c>
      <c r="I66" s="573" t="s">
        <v>545</v>
      </c>
      <c r="J66" s="573" t="s">
        <v>546</v>
      </c>
      <c r="K66" s="573" t="s">
        <v>613</v>
      </c>
      <c r="L66" s="576">
        <v>94.8</v>
      </c>
      <c r="M66" s="576">
        <v>94.8</v>
      </c>
      <c r="N66" s="573">
        <v>1</v>
      </c>
      <c r="O66" s="577">
        <v>0.5</v>
      </c>
      <c r="P66" s="576"/>
      <c r="Q66" s="578">
        <v>0</v>
      </c>
      <c r="R66" s="573"/>
      <c r="S66" s="578">
        <v>0</v>
      </c>
      <c r="T66" s="577"/>
      <c r="U66" s="579">
        <v>0</v>
      </c>
    </row>
    <row r="67" spans="1:21" ht="14.4" customHeight="1" x14ac:dyDescent="0.3">
      <c r="A67" s="572">
        <v>19</v>
      </c>
      <c r="B67" s="573" t="s">
        <v>453</v>
      </c>
      <c r="C67" s="573">
        <v>89301192</v>
      </c>
      <c r="D67" s="574" t="s">
        <v>908</v>
      </c>
      <c r="E67" s="575" t="s">
        <v>623</v>
      </c>
      <c r="F67" s="573" t="s">
        <v>618</v>
      </c>
      <c r="G67" s="573" t="s">
        <v>720</v>
      </c>
      <c r="H67" s="573" t="s">
        <v>454</v>
      </c>
      <c r="I67" s="573" t="s">
        <v>721</v>
      </c>
      <c r="J67" s="573" t="s">
        <v>722</v>
      </c>
      <c r="K67" s="573" t="s">
        <v>723</v>
      </c>
      <c r="L67" s="576">
        <v>23.46</v>
      </c>
      <c r="M67" s="576">
        <v>23.46</v>
      </c>
      <c r="N67" s="573">
        <v>1</v>
      </c>
      <c r="O67" s="577">
        <v>1</v>
      </c>
      <c r="P67" s="576"/>
      <c r="Q67" s="578">
        <v>0</v>
      </c>
      <c r="R67" s="573"/>
      <c r="S67" s="578">
        <v>0</v>
      </c>
      <c r="T67" s="577"/>
      <c r="U67" s="579">
        <v>0</v>
      </c>
    </row>
    <row r="68" spans="1:21" ht="14.4" customHeight="1" x14ac:dyDescent="0.3">
      <c r="A68" s="572">
        <v>19</v>
      </c>
      <c r="B68" s="573" t="s">
        <v>453</v>
      </c>
      <c r="C68" s="573">
        <v>89301192</v>
      </c>
      <c r="D68" s="574" t="s">
        <v>908</v>
      </c>
      <c r="E68" s="575" t="s">
        <v>623</v>
      </c>
      <c r="F68" s="573" t="s">
        <v>618</v>
      </c>
      <c r="G68" s="573" t="s">
        <v>793</v>
      </c>
      <c r="H68" s="573" t="s">
        <v>454</v>
      </c>
      <c r="I68" s="573" t="s">
        <v>794</v>
      </c>
      <c r="J68" s="573" t="s">
        <v>795</v>
      </c>
      <c r="K68" s="573" t="s">
        <v>796</v>
      </c>
      <c r="L68" s="576">
        <v>472.71</v>
      </c>
      <c r="M68" s="576">
        <v>472.71</v>
      </c>
      <c r="N68" s="573">
        <v>1</v>
      </c>
      <c r="O68" s="577">
        <v>0.5</v>
      </c>
      <c r="P68" s="576"/>
      <c r="Q68" s="578">
        <v>0</v>
      </c>
      <c r="R68" s="573"/>
      <c r="S68" s="578">
        <v>0</v>
      </c>
      <c r="T68" s="577"/>
      <c r="U68" s="579">
        <v>0</v>
      </c>
    </row>
    <row r="69" spans="1:21" ht="14.4" customHeight="1" x14ac:dyDescent="0.3">
      <c r="A69" s="572">
        <v>19</v>
      </c>
      <c r="B69" s="573" t="s">
        <v>453</v>
      </c>
      <c r="C69" s="573">
        <v>89301192</v>
      </c>
      <c r="D69" s="574" t="s">
        <v>908</v>
      </c>
      <c r="E69" s="575" t="s">
        <v>623</v>
      </c>
      <c r="F69" s="573" t="s">
        <v>618</v>
      </c>
      <c r="G69" s="573" t="s">
        <v>694</v>
      </c>
      <c r="H69" s="573" t="s">
        <v>539</v>
      </c>
      <c r="I69" s="573" t="s">
        <v>695</v>
      </c>
      <c r="J69" s="573" t="s">
        <v>696</v>
      </c>
      <c r="K69" s="573" t="s">
        <v>797</v>
      </c>
      <c r="L69" s="576">
        <v>42.08</v>
      </c>
      <c r="M69" s="576">
        <v>126.24</v>
      </c>
      <c r="N69" s="573">
        <v>3</v>
      </c>
      <c r="O69" s="577">
        <v>0.5</v>
      </c>
      <c r="P69" s="576">
        <v>126.24</v>
      </c>
      <c r="Q69" s="578">
        <v>1</v>
      </c>
      <c r="R69" s="573">
        <v>3</v>
      </c>
      <c r="S69" s="578">
        <v>1</v>
      </c>
      <c r="T69" s="577">
        <v>0.5</v>
      </c>
      <c r="U69" s="579">
        <v>1</v>
      </c>
    </row>
    <row r="70" spans="1:21" ht="14.4" customHeight="1" x14ac:dyDescent="0.3">
      <c r="A70" s="572">
        <v>19</v>
      </c>
      <c r="B70" s="573" t="s">
        <v>453</v>
      </c>
      <c r="C70" s="573">
        <v>89301192</v>
      </c>
      <c r="D70" s="574" t="s">
        <v>908</v>
      </c>
      <c r="E70" s="575" t="s">
        <v>623</v>
      </c>
      <c r="F70" s="573" t="s">
        <v>618</v>
      </c>
      <c r="G70" s="573" t="s">
        <v>798</v>
      </c>
      <c r="H70" s="573" t="s">
        <v>454</v>
      </c>
      <c r="I70" s="573" t="s">
        <v>799</v>
      </c>
      <c r="J70" s="573" t="s">
        <v>800</v>
      </c>
      <c r="K70" s="573" t="s">
        <v>713</v>
      </c>
      <c r="L70" s="576">
        <v>0</v>
      </c>
      <c r="M70" s="576">
        <v>0</v>
      </c>
      <c r="N70" s="573">
        <v>2</v>
      </c>
      <c r="O70" s="577">
        <v>1</v>
      </c>
      <c r="P70" s="576"/>
      <c r="Q70" s="578"/>
      <c r="R70" s="573"/>
      <c r="S70" s="578">
        <v>0</v>
      </c>
      <c r="T70" s="577"/>
      <c r="U70" s="579">
        <v>0</v>
      </c>
    </row>
    <row r="71" spans="1:21" ht="14.4" customHeight="1" x14ac:dyDescent="0.3">
      <c r="A71" s="572">
        <v>19</v>
      </c>
      <c r="B71" s="573" t="s">
        <v>453</v>
      </c>
      <c r="C71" s="573">
        <v>89301192</v>
      </c>
      <c r="D71" s="574" t="s">
        <v>908</v>
      </c>
      <c r="E71" s="575" t="s">
        <v>624</v>
      </c>
      <c r="F71" s="573" t="s">
        <v>618</v>
      </c>
      <c r="G71" s="573" t="s">
        <v>633</v>
      </c>
      <c r="H71" s="573" t="s">
        <v>454</v>
      </c>
      <c r="I71" s="573" t="s">
        <v>801</v>
      </c>
      <c r="J71" s="573" t="s">
        <v>635</v>
      </c>
      <c r="K71" s="573" t="s">
        <v>802</v>
      </c>
      <c r="L71" s="576">
        <v>0</v>
      </c>
      <c r="M71" s="576">
        <v>0</v>
      </c>
      <c r="N71" s="573">
        <v>2</v>
      </c>
      <c r="O71" s="577">
        <v>0.5</v>
      </c>
      <c r="P71" s="576">
        <v>0</v>
      </c>
      <c r="Q71" s="578"/>
      <c r="R71" s="573">
        <v>2</v>
      </c>
      <c r="S71" s="578">
        <v>1</v>
      </c>
      <c r="T71" s="577">
        <v>0.5</v>
      </c>
      <c r="U71" s="579">
        <v>1</v>
      </c>
    </row>
    <row r="72" spans="1:21" ht="14.4" customHeight="1" x14ac:dyDescent="0.3">
      <c r="A72" s="572">
        <v>19</v>
      </c>
      <c r="B72" s="573" t="s">
        <v>453</v>
      </c>
      <c r="C72" s="573">
        <v>89301192</v>
      </c>
      <c r="D72" s="574" t="s">
        <v>908</v>
      </c>
      <c r="E72" s="575" t="s">
        <v>624</v>
      </c>
      <c r="F72" s="573" t="s">
        <v>618</v>
      </c>
      <c r="G72" s="573" t="s">
        <v>803</v>
      </c>
      <c r="H72" s="573" t="s">
        <v>454</v>
      </c>
      <c r="I72" s="573" t="s">
        <v>804</v>
      </c>
      <c r="J72" s="573" t="s">
        <v>805</v>
      </c>
      <c r="K72" s="573" t="s">
        <v>806</v>
      </c>
      <c r="L72" s="576">
        <v>45.75</v>
      </c>
      <c r="M72" s="576">
        <v>91.5</v>
      </c>
      <c r="N72" s="573">
        <v>2</v>
      </c>
      <c r="O72" s="577">
        <v>0.5</v>
      </c>
      <c r="P72" s="576">
        <v>91.5</v>
      </c>
      <c r="Q72" s="578">
        <v>1</v>
      </c>
      <c r="R72" s="573">
        <v>2</v>
      </c>
      <c r="S72" s="578">
        <v>1</v>
      </c>
      <c r="T72" s="577">
        <v>0.5</v>
      </c>
      <c r="U72" s="579">
        <v>1</v>
      </c>
    </row>
    <row r="73" spans="1:21" ht="14.4" customHeight="1" x14ac:dyDescent="0.3">
      <c r="A73" s="572">
        <v>19</v>
      </c>
      <c r="B73" s="573" t="s">
        <v>453</v>
      </c>
      <c r="C73" s="573">
        <v>89301192</v>
      </c>
      <c r="D73" s="574" t="s">
        <v>908</v>
      </c>
      <c r="E73" s="575" t="s">
        <v>624</v>
      </c>
      <c r="F73" s="573" t="s">
        <v>618</v>
      </c>
      <c r="G73" s="573" t="s">
        <v>807</v>
      </c>
      <c r="H73" s="573" t="s">
        <v>539</v>
      </c>
      <c r="I73" s="573" t="s">
        <v>808</v>
      </c>
      <c r="J73" s="573" t="s">
        <v>809</v>
      </c>
      <c r="K73" s="573" t="s">
        <v>810</v>
      </c>
      <c r="L73" s="576">
        <v>201.88</v>
      </c>
      <c r="M73" s="576">
        <v>605.64</v>
      </c>
      <c r="N73" s="573">
        <v>3</v>
      </c>
      <c r="O73" s="577">
        <v>1</v>
      </c>
      <c r="P73" s="576">
        <v>605.64</v>
      </c>
      <c r="Q73" s="578">
        <v>1</v>
      </c>
      <c r="R73" s="573">
        <v>3</v>
      </c>
      <c r="S73" s="578">
        <v>1</v>
      </c>
      <c r="T73" s="577">
        <v>1</v>
      </c>
      <c r="U73" s="579">
        <v>1</v>
      </c>
    </row>
    <row r="74" spans="1:21" ht="14.4" customHeight="1" x14ac:dyDescent="0.3">
      <c r="A74" s="572">
        <v>19</v>
      </c>
      <c r="B74" s="573" t="s">
        <v>453</v>
      </c>
      <c r="C74" s="573">
        <v>89301192</v>
      </c>
      <c r="D74" s="574" t="s">
        <v>908</v>
      </c>
      <c r="E74" s="575" t="s">
        <v>624</v>
      </c>
      <c r="F74" s="573" t="s">
        <v>618</v>
      </c>
      <c r="G74" s="573" t="s">
        <v>807</v>
      </c>
      <c r="H74" s="573" t="s">
        <v>539</v>
      </c>
      <c r="I74" s="573" t="s">
        <v>811</v>
      </c>
      <c r="J74" s="573" t="s">
        <v>809</v>
      </c>
      <c r="K74" s="573" t="s">
        <v>812</v>
      </c>
      <c r="L74" s="576">
        <v>672.94</v>
      </c>
      <c r="M74" s="576">
        <v>672.94</v>
      </c>
      <c r="N74" s="573">
        <v>1</v>
      </c>
      <c r="O74" s="577">
        <v>0.5</v>
      </c>
      <c r="P74" s="576">
        <v>672.94</v>
      </c>
      <c r="Q74" s="578">
        <v>1</v>
      </c>
      <c r="R74" s="573">
        <v>1</v>
      </c>
      <c r="S74" s="578">
        <v>1</v>
      </c>
      <c r="T74" s="577">
        <v>0.5</v>
      </c>
      <c r="U74" s="579">
        <v>1</v>
      </c>
    </row>
    <row r="75" spans="1:21" ht="14.4" customHeight="1" x14ac:dyDescent="0.3">
      <c r="A75" s="572">
        <v>19</v>
      </c>
      <c r="B75" s="573" t="s">
        <v>453</v>
      </c>
      <c r="C75" s="573">
        <v>89301192</v>
      </c>
      <c r="D75" s="574" t="s">
        <v>908</v>
      </c>
      <c r="E75" s="575" t="s">
        <v>624</v>
      </c>
      <c r="F75" s="573" t="s">
        <v>618</v>
      </c>
      <c r="G75" s="573" t="s">
        <v>813</v>
      </c>
      <c r="H75" s="573" t="s">
        <v>454</v>
      </c>
      <c r="I75" s="573" t="s">
        <v>814</v>
      </c>
      <c r="J75" s="573" t="s">
        <v>815</v>
      </c>
      <c r="K75" s="573" t="s">
        <v>816</v>
      </c>
      <c r="L75" s="576">
        <v>64.45</v>
      </c>
      <c r="M75" s="576">
        <v>64.45</v>
      </c>
      <c r="N75" s="573">
        <v>1</v>
      </c>
      <c r="O75" s="577">
        <v>1</v>
      </c>
      <c r="P75" s="576">
        <v>64.45</v>
      </c>
      <c r="Q75" s="578">
        <v>1</v>
      </c>
      <c r="R75" s="573">
        <v>1</v>
      </c>
      <c r="S75" s="578">
        <v>1</v>
      </c>
      <c r="T75" s="577">
        <v>1</v>
      </c>
      <c r="U75" s="579">
        <v>1</v>
      </c>
    </row>
    <row r="76" spans="1:21" ht="14.4" customHeight="1" x14ac:dyDescent="0.3">
      <c r="A76" s="572">
        <v>19</v>
      </c>
      <c r="B76" s="573" t="s">
        <v>453</v>
      </c>
      <c r="C76" s="573">
        <v>89301192</v>
      </c>
      <c r="D76" s="574" t="s">
        <v>908</v>
      </c>
      <c r="E76" s="575" t="s">
        <v>624</v>
      </c>
      <c r="F76" s="573" t="s">
        <v>618</v>
      </c>
      <c r="G76" s="573" t="s">
        <v>813</v>
      </c>
      <c r="H76" s="573" t="s">
        <v>454</v>
      </c>
      <c r="I76" s="573" t="s">
        <v>817</v>
      </c>
      <c r="J76" s="573" t="s">
        <v>815</v>
      </c>
      <c r="K76" s="573" t="s">
        <v>818</v>
      </c>
      <c r="L76" s="576">
        <v>0</v>
      </c>
      <c r="M76" s="576">
        <v>0</v>
      </c>
      <c r="N76" s="573">
        <v>1</v>
      </c>
      <c r="O76" s="577">
        <v>0.5</v>
      </c>
      <c r="P76" s="576">
        <v>0</v>
      </c>
      <c r="Q76" s="578"/>
      <c r="R76" s="573">
        <v>1</v>
      </c>
      <c r="S76" s="578">
        <v>1</v>
      </c>
      <c r="T76" s="577">
        <v>0.5</v>
      </c>
      <c r="U76" s="579">
        <v>1</v>
      </c>
    </row>
    <row r="77" spans="1:21" ht="14.4" customHeight="1" x14ac:dyDescent="0.3">
      <c r="A77" s="572">
        <v>19</v>
      </c>
      <c r="B77" s="573" t="s">
        <v>453</v>
      </c>
      <c r="C77" s="573">
        <v>89301192</v>
      </c>
      <c r="D77" s="574" t="s">
        <v>908</v>
      </c>
      <c r="E77" s="575" t="s">
        <v>624</v>
      </c>
      <c r="F77" s="573" t="s">
        <v>618</v>
      </c>
      <c r="G77" s="573" t="s">
        <v>645</v>
      </c>
      <c r="H77" s="573" t="s">
        <v>454</v>
      </c>
      <c r="I77" s="573" t="s">
        <v>819</v>
      </c>
      <c r="J77" s="573" t="s">
        <v>820</v>
      </c>
      <c r="K77" s="573" t="s">
        <v>821</v>
      </c>
      <c r="L77" s="576">
        <v>189.75</v>
      </c>
      <c r="M77" s="576">
        <v>189.75</v>
      </c>
      <c r="N77" s="573">
        <v>1</v>
      </c>
      <c r="O77" s="577">
        <v>1</v>
      </c>
      <c r="P77" s="576"/>
      <c r="Q77" s="578">
        <v>0</v>
      </c>
      <c r="R77" s="573"/>
      <c r="S77" s="578">
        <v>0</v>
      </c>
      <c r="T77" s="577"/>
      <c r="U77" s="579">
        <v>0</v>
      </c>
    </row>
    <row r="78" spans="1:21" ht="14.4" customHeight="1" x14ac:dyDescent="0.3">
      <c r="A78" s="572">
        <v>19</v>
      </c>
      <c r="B78" s="573" t="s">
        <v>453</v>
      </c>
      <c r="C78" s="573">
        <v>89301192</v>
      </c>
      <c r="D78" s="574" t="s">
        <v>908</v>
      </c>
      <c r="E78" s="575" t="s">
        <v>624</v>
      </c>
      <c r="F78" s="573" t="s">
        <v>618</v>
      </c>
      <c r="G78" s="573" t="s">
        <v>822</v>
      </c>
      <c r="H78" s="573" t="s">
        <v>454</v>
      </c>
      <c r="I78" s="573" t="s">
        <v>823</v>
      </c>
      <c r="J78" s="573" t="s">
        <v>824</v>
      </c>
      <c r="K78" s="573"/>
      <c r="L78" s="576">
        <v>0</v>
      </c>
      <c r="M78" s="576">
        <v>0</v>
      </c>
      <c r="N78" s="573">
        <v>2</v>
      </c>
      <c r="O78" s="577">
        <v>1.5</v>
      </c>
      <c r="P78" s="576">
        <v>0</v>
      </c>
      <c r="Q78" s="578"/>
      <c r="R78" s="573">
        <v>2</v>
      </c>
      <c r="S78" s="578">
        <v>1</v>
      </c>
      <c r="T78" s="577">
        <v>1.5</v>
      </c>
      <c r="U78" s="579">
        <v>1</v>
      </c>
    </row>
    <row r="79" spans="1:21" ht="14.4" customHeight="1" x14ac:dyDescent="0.3">
      <c r="A79" s="572">
        <v>19</v>
      </c>
      <c r="B79" s="573" t="s">
        <v>453</v>
      </c>
      <c r="C79" s="573">
        <v>89301192</v>
      </c>
      <c r="D79" s="574" t="s">
        <v>908</v>
      </c>
      <c r="E79" s="575" t="s">
        <v>624</v>
      </c>
      <c r="F79" s="573" t="s">
        <v>618</v>
      </c>
      <c r="G79" s="573" t="s">
        <v>825</v>
      </c>
      <c r="H79" s="573" t="s">
        <v>539</v>
      </c>
      <c r="I79" s="573" t="s">
        <v>826</v>
      </c>
      <c r="J79" s="573" t="s">
        <v>827</v>
      </c>
      <c r="K79" s="573" t="s">
        <v>828</v>
      </c>
      <c r="L79" s="576">
        <v>116.8</v>
      </c>
      <c r="M79" s="576">
        <v>116.8</v>
      </c>
      <c r="N79" s="573">
        <v>1</v>
      </c>
      <c r="O79" s="577">
        <v>0.5</v>
      </c>
      <c r="P79" s="576">
        <v>116.8</v>
      </c>
      <c r="Q79" s="578">
        <v>1</v>
      </c>
      <c r="R79" s="573">
        <v>1</v>
      </c>
      <c r="S79" s="578">
        <v>1</v>
      </c>
      <c r="T79" s="577">
        <v>0.5</v>
      </c>
      <c r="U79" s="579">
        <v>1</v>
      </c>
    </row>
    <row r="80" spans="1:21" ht="14.4" customHeight="1" x14ac:dyDescent="0.3">
      <c r="A80" s="572">
        <v>19</v>
      </c>
      <c r="B80" s="573" t="s">
        <v>453</v>
      </c>
      <c r="C80" s="573">
        <v>89301192</v>
      </c>
      <c r="D80" s="574" t="s">
        <v>908</v>
      </c>
      <c r="E80" s="575" t="s">
        <v>624</v>
      </c>
      <c r="F80" s="573" t="s">
        <v>618</v>
      </c>
      <c r="G80" s="573" t="s">
        <v>829</v>
      </c>
      <c r="H80" s="573" t="s">
        <v>454</v>
      </c>
      <c r="I80" s="573" t="s">
        <v>823</v>
      </c>
      <c r="J80" s="573" t="s">
        <v>830</v>
      </c>
      <c r="K80" s="573" t="s">
        <v>831</v>
      </c>
      <c r="L80" s="576">
        <v>0</v>
      </c>
      <c r="M80" s="576">
        <v>0</v>
      </c>
      <c r="N80" s="573">
        <v>1</v>
      </c>
      <c r="O80" s="577">
        <v>0.5</v>
      </c>
      <c r="P80" s="576">
        <v>0</v>
      </c>
      <c r="Q80" s="578"/>
      <c r="R80" s="573">
        <v>1</v>
      </c>
      <c r="S80" s="578">
        <v>1</v>
      </c>
      <c r="T80" s="577">
        <v>0.5</v>
      </c>
      <c r="U80" s="579">
        <v>1</v>
      </c>
    </row>
    <row r="81" spans="1:21" ht="14.4" customHeight="1" x14ac:dyDescent="0.3">
      <c r="A81" s="572">
        <v>19</v>
      </c>
      <c r="B81" s="573" t="s">
        <v>453</v>
      </c>
      <c r="C81" s="573">
        <v>89301192</v>
      </c>
      <c r="D81" s="574" t="s">
        <v>908</v>
      </c>
      <c r="E81" s="575" t="s">
        <v>624</v>
      </c>
      <c r="F81" s="573" t="s">
        <v>618</v>
      </c>
      <c r="G81" s="573" t="s">
        <v>832</v>
      </c>
      <c r="H81" s="573" t="s">
        <v>539</v>
      </c>
      <c r="I81" s="573" t="s">
        <v>833</v>
      </c>
      <c r="J81" s="573" t="s">
        <v>834</v>
      </c>
      <c r="K81" s="573" t="s">
        <v>835</v>
      </c>
      <c r="L81" s="576">
        <v>50.57</v>
      </c>
      <c r="M81" s="576">
        <v>151.71</v>
      </c>
      <c r="N81" s="573">
        <v>3</v>
      </c>
      <c r="O81" s="577">
        <v>1.5</v>
      </c>
      <c r="P81" s="576">
        <v>151.71</v>
      </c>
      <c r="Q81" s="578">
        <v>1</v>
      </c>
      <c r="R81" s="573">
        <v>3</v>
      </c>
      <c r="S81" s="578">
        <v>1</v>
      </c>
      <c r="T81" s="577">
        <v>1.5</v>
      </c>
      <c r="U81" s="579">
        <v>1</v>
      </c>
    </row>
    <row r="82" spans="1:21" ht="14.4" customHeight="1" x14ac:dyDescent="0.3">
      <c r="A82" s="572">
        <v>19</v>
      </c>
      <c r="B82" s="573" t="s">
        <v>453</v>
      </c>
      <c r="C82" s="573">
        <v>89301192</v>
      </c>
      <c r="D82" s="574" t="s">
        <v>908</v>
      </c>
      <c r="E82" s="575" t="s">
        <v>624</v>
      </c>
      <c r="F82" s="573" t="s">
        <v>618</v>
      </c>
      <c r="G82" s="573" t="s">
        <v>836</v>
      </c>
      <c r="H82" s="573" t="s">
        <v>454</v>
      </c>
      <c r="I82" s="573" t="s">
        <v>837</v>
      </c>
      <c r="J82" s="573" t="s">
        <v>838</v>
      </c>
      <c r="K82" s="573" t="s">
        <v>839</v>
      </c>
      <c r="L82" s="576">
        <v>0</v>
      </c>
      <c r="M82" s="576">
        <v>0</v>
      </c>
      <c r="N82" s="573">
        <v>1</v>
      </c>
      <c r="O82" s="577">
        <v>1</v>
      </c>
      <c r="P82" s="576">
        <v>0</v>
      </c>
      <c r="Q82" s="578"/>
      <c r="R82" s="573">
        <v>1</v>
      </c>
      <c r="S82" s="578">
        <v>1</v>
      </c>
      <c r="T82" s="577">
        <v>1</v>
      </c>
      <c r="U82" s="579">
        <v>1</v>
      </c>
    </row>
    <row r="83" spans="1:21" ht="14.4" customHeight="1" x14ac:dyDescent="0.3">
      <c r="A83" s="572">
        <v>19</v>
      </c>
      <c r="B83" s="573" t="s">
        <v>453</v>
      </c>
      <c r="C83" s="573">
        <v>89301192</v>
      </c>
      <c r="D83" s="574" t="s">
        <v>908</v>
      </c>
      <c r="E83" s="575" t="s">
        <v>624</v>
      </c>
      <c r="F83" s="573" t="s">
        <v>618</v>
      </c>
      <c r="G83" s="573" t="s">
        <v>788</v>
      </c>
      <c r="H83" s="573" t="s">
        <v>454</v>
      </c>
      <c r="I83" s="573" t="s">
        <v>789</v>
      </c>
      <c r="J83" s="573" t="s">
        <v>790</v>
      </c>
      <c r="K83" s="573" t="s">
        <v>791</v>
      </c>
      <c r="L83" s="576">
        <v>126.54</v>
      </c>
      <c r="M83" s="576">
        <v>506.16</v>
      </c>
      <c r="N83" s="573">
        <v>4</v>
      </c>
      <c r="O83" s="577">
        <v>1.5</v>
      </c>
      <c r="P83" s="576">
        <v>506.16</v>
      </c>
      <c r="Q83" s="578">
        <v>1</v>
      </c>
      <c r="R83" s="573">
        <v>4</v>
      </c>
      <c r="S83" s="578">
        <v>1</v>
      </c>
      <c r="T83" s="577">
        <v>1.5</v>
      </c>
      <c r="U83" s="579">
        <v>1</v>
      </c>
    </row>
    <row r="84" spans="1:21" ht="14.4" customHeight="1" x14ac:dyDescent="0.3">
      <c r="A84" s="572">
        <v>19</v>
      </c>
      <c r="B84" s="573" t="s">
        <v>453</v>
      </c>
      <c r="C84" s="573">
        <v>89301192</v>
      </c>
      <c r="D84" s="574" t="s">
        <v>908</v>
      </c>
      <c r="E84" s="575" t="s">
        <v>624</v>
      </c>
      <c r="F84" s="573" t="s">
        <v>618</v>
      </c>
      <c r="G84" s="573" t="s">
        <v>840</v>
      </c>
      <c r="H84" s="573" t="s">
        <v>454</v>
      </c>
      <c r="I84" s="573" t="s">
        <v>841</v>
      </c>
      <c r="J84" s="573" t="s">
        <v>842</v>
      </c>
      <c r="K84" s="573" t="s">
        <v>843</v>
      </c>
      <c r="L84" s="576">
        <v>323.43</v>
      </c>
      <c r="M84" s="576">
        <v>323.43</v>
      </c>
      <c r="N84" s="573">
        <v>1</v>
      </c>
      <c r="O84" s="577">
        <v>0.5</v>
      </c>
      <c r="P84" s="576">
        <v>323.43</v>
      </c>
      <c r="Q84" s="578">
        <v>1</v>
      </c>
      <c r="R84" s="573">
        <v>1</v>
      </c>
      <c r="S84" s="578">
        <v>1</v>
      </c>
      <c r="T84" s="577">
        <v>0.5</v>
      </c>
      <c r="U84" s="579">
        <v>1</v>
      </c>
    </row>
    <row r="85" spans="1:21" ht="14.4" customHeight="1" x14ac:dyDescent="0.3">
      <c r="A85" s="572">
        <v>19</v>
      </c>
      <c r="B85" s="573" t="s">
        <v>453</v>
      </c>
      <c r="C85" s="573">
        <v>89301192</v>
      </c>
      <c r="D85" s="574" t="s">
        <v>908</v>
      </c>
      <c r="E85" s="575" t="s">
        <v>624</v>
      </c>
      <c r="F85" s="573" t="s">
        <v>618</v>
      </c>
      <c r="G85" s="573" t="s">
        <v>798</v>
      </c>
      <c r="H85" s="573" t="s">
        <v>454</v>
      </c>
      <c r="I85" s="573" t="s">
        <v>844</v>
      </c>
      <c r="J85" s="573" t="s">
        <v>845</v>
      </c>
      <c r="K85" s="573" t="s">
        <v>846</v>
      </c>
      <c r="L85" s="576">
        <v>0</v>
      </c>
      <c r="M85" s="576">
        <v>0</v>
      </c>
      <c r="N85" s="573">
        <v>2</v>
      </c>
      <c r="O85" s="577">
        <v>1</v>
      </c>
      <c r="P85" s="576"/>
      <c r="Q85" s="578"/>
      <c r="R85" s="573"/>
      <c r="S85" s="578">
        <v>0</v>
      </c>
      <c r="T85" s="577"/>
      <c r="U85" s="579">
        <v>0</v>
      </c>
    </row>
    <row r="86" spans="1:21" ht="14.4" customHeight="1" x14ac:dyDescent="0.3">
      <c r="A86" s="572">
        <v>19</v>
      </c>
      <c r="B86" s="573" t="s">
        <v>453</v>
      </c>
      <c r="C86" s="573">
        <v>89301192</v>
      </c>
      <c r="D86" s="574" t="s">
        <v>908</v>
      </c>
      <c r="E86" s="575" t="s">
        <v>624</v>
      </c>
      <c r="F86" s="573" t="s">
        <v>618</v>
      </c>
      <c r="G86" s="573" t="s">
        <v>798</v>
      </c>
      <c r="H86" s="573" t="s">
        <v>454</v>
      </c>
      <c r="I86" s="573" t="s">
        <v>847</v>
      </c>
      <c r="J86" s="573" t="s">
        <v>800</v>
      </c>
      <c r="K86" s="573" t="s">
        <v>846</v>
      </c>
      <c r="L86" s="576">
        <v>0</v>
      </c>
      <c r="M86" s="576">
        <v>0</v>
      </c>
      <c r="N86" s="573">
        <v>2</v>
      </c>
      <c r="O86" s="577">
        <v>1</v>
      </c>
      <c r="P86" s="576"/>
      <c r="Q86" s="578"/>
      <c r="R86" s="573"/>
      <c r="S86" s="578">
        <v>0</v>
      </c>
      <c r="T86" s="577"/>
      <c r="U86" s="579">
        <v>0</v>
      </c>
    </row>
    <row r="87" spans="1:21" ht="14.4" customHeight="1" x14ac:dyDescent="0.3">
      <c r="A87" s="572">
        <v>19</v>
      </c>
      <c r="B87" s="573" t="s">
        <v>453</v>
      </c>
      <c r="C87" s="573">
        <v>89301192</v>
      </c>
      <c r="D87" s="574" t="s">
        <v>908</v>
      </c>
      <c r="E87" s="575" t="s">
        <v>624</v>
      </c>
      <c r="F87" s="573" t="s">
        <v>618</v>
      </c>
      <c r="G87" s="573" t="s">
        <v>798</v>
      </c>
      <c r="H87" s="573" t="s">
        <v>454</v>
      </c>
      <c r="I87" s="573" t="s">
        <v>848</v>
      </c>
      <c r="J87" s="573" t="s">
        <v>800</v>
      </c>
      <c r="K87" s="573" t="s">
        <v>849</v>
      </c>
      <c r="L87" s="576">
        <v>0</v>
      </c>
      <c r="M87" s="576">
        <v>0</v>
      </c>
      <c r="N87" s="573">
        <v>1</v>
      </c>
      <c r="O87" s="577">
        <v>1</v>
      </c>
      <c r="P87" s="576"/>
      <c r="Q87" s="578"/>
      <c r="R87" s="573"/>
      <c r="S87" s="578">
        <v>0</v>
      </c>
      <c r="T87" s="577"/>
      <c r="U87" s="579">
        <v>0</v>
      </c>
    </row>
    <row r="88" spans="1:21" ht="14.4" customHeight="1" x14ac:dyDescent="0.3">
      <c r="A88" s="572">
        <v>19</v>
      </c>
      <c r="B88" s="573" t="s">
        <v>453</v>
      </c>
      <c r="C88" s="573">
        <v>89301192</v>
      </c>
      <c r="D88" s="574" t="s">
        <v>908</v>
      </c>
      <c r="E88" s="575" t="s">
        <v>624</v>
      </c>
      <c r="F88" s="573" t="s">
        <v>618</v>
      </c>
      <c r="G88" s="573" t="s">
        <v>798</v>
      </c>
      <c r="H88" s="573" t="s">
        <v>454</v>
      </c>
      <c r="I88" s="573" t="s">
        <v>799</v>
      </c>
      <c r="J88" s="573" t="s">
        <v>800</v>
      </c>
      <c r="K88" s="573" t="s">
        <v>713</v>
      </c>
      <c r="L88" s="576">
        <v>0</v>
      </c>
      <c r="M88" s="576">
        <v>0</v>
      </c>
      <c r="N88" s="573">
        <v>2</v>
      </c>
      <c r="O88" s="577">
        <v>1</v>
      </c>
      <c r="P88" s="576"/>
      <c r="Q88" s="578"/>
      <c r="R88" s="573"/>
      <c r="S88" s="578">
        <v>0</v>
      </c>
      <c r="T88" s="577"/>
      <c r="U88" s="579">
        <v>0</v>
      </c>
    </row>
    <row r="89" spans="1:21" ht="14.4" customHeight="1" x14ac:dyDescent="0.3">
      <c r="A89" s="572">
        <v>19</v>
      </c>
      <c r="B89" s="573" t="s">
        <v>453</v>
      </c>
      <c r="C89" s="573">
        <v>89301192</v>
      </c>
      <c r="D89" s="574" t="s">
        <v>908</v>
      </c>
      <c r="E89" s="575" t="s">
        <v>625</v>
      </c>
      <c r="F89" s="573" t="s">
        <v>618</v>
      </c>
      <c r="G89" s="573" t="s">
        <v>850</v>
      </c>
      <c r="H89" s="573" t="s">
        <v>539</v>
      </c>
      <c r="I89" s="573" t="s">
        <v>851</v>
      </c>
      <c r="J89" s="573" t="s">
        <v>852</v>
      </c>
      <c r="K89" s="573" t="s">
        <v>715</v>
      </c>
      <c r="L89" s="576">
        <v>356.47</v>
      </c>
      <c r="M89" s="576">
        <v>356.47</v>
      </c>
      <c r="N89" s="573">
        <v>1</v>
      </c>
      <c r="O89" s="577">
        <v>1</v>
      </c>
      <c r="P89" s="576">
        <v>356.47</v>
      </c>
      <c r="Q89" s="578">
        <v>1</v>
      </c>
      <c r="R89" s="573">
        <v>1</v>
      </c>
      <c r="S89" s="578">
        <v>1</v>
      </c>
      <c r="T89" s="577">
        <v>1</v>
      </c>
      <c r="U89" s="579">
        <v>1</v>
      </c>
    </row>
    <row r="90" spans="1:21" ht="14.4" customHeight="1" x14ac:dyDescent="0.3">
      <c r="A90" s="572">
        <v>19</v>
      </c>
      <c r="B90" s="573" t="s">
        <v>453</v>
      </c>
      <c r="C90" s="573">
        <v>89301192</v>
      </c>
      <c r="D90" s="574" t="s">
        <v>908</v>
      </c>
      <c r="E90" s="575" t="s">
        <v>625</v>
      </c>
      <c r="F90" s="573" t="s">
        <v>618</v>
      </c>
      <c r="G90" s="573" t="s">
        <v>734</v>
      </c>
      <c r="H90" s="573" t="s">
        <v>454</v>
      </c>
      <c r="I90" s="573" t="s">
        <v>853</v>
      </c>
      <c r="J90" s="573" t="s">
        <v>739</v>
      </c>
      <c r="K90" s="573" t="s">
        <v>854</v>
      </c>
      <c r="L90" s="576">
        <v>79.400000000000006</v>
      </c>
      <c r="M90" s="576">
        <v>79.400000000000006</v>
      </c>
      <c r="N90" s="573">
        <v>1</v>
      </c>
      <c r="O90" s="577">
        <v>0.5</v>
      </c>
      <c r="P90" s="576"/>
      <c r="Q90" s="578">
        <v>0</v>
      </c>
      <c r="R90" s="573"/>
      <c r="S90" s="578">
        <v>0</v>
      </c>
      <c r="T90" s="577"/>
      <c r="U90" s="579">
        <v>0</v>
      </c>
    </row>
    <row r="91" spans="1:21" ht="14.4" customHeight="1" x14ac:dyDescent="0.3">
      <c r="A91" s="572">
        <v>19</v>
      </c>
      <c r="B91" s="573" t="s">
        <v>453</v>
      </c>
      <c r="C91" s="573">
        <v>89301192</v>
      </c>
      <c r="D91" s="574" t="s">
        <v>908</v>
      </c>
      <c r="E91" s="575" t="s">
        <v>625</v>
      </c>
      <c r="F91" s="573" t="s">
        <v>618</v>
      </c>
      <c r="G91" s="573" t="s">
        <v>734</v>
      </c>
      <c r="H91" s="573" t="s">
        <v>454</v>
      </c>
      <c r="I91" s="573" t="s">
        <v>855</v>
      </c>
      <c r="J91" s="573" t="s">
        <v>739</v>
      </c>
      <c r="K91" s="573" t="s">
        <v>856</v>
      </c>
      <c r="L91" s="576">
        <v>188.41</v>
      </c>
      <c r="M91" s="576">
        <v>565.23</v>
      </c>
      <c r="N91" s="573">
        <v>3</v>
      </c>
      <c r="O91" s="577">
        <v>0.5</v>
      </c>
      <c r="P91" s="576"/>
      <c r="Q91" s="578">
        <v>0</v>
      </c>
      <c r="R91" s="573"/>
      <c r="S91" s="578">
        <v>0</v>
      </c>
      <c r="T91" s="577"/>
      <c r="U91" s="579">
        <v>0</v>
      </c>
    </row>
    <row r="92" spans="1:21" ht="14.4" customHeight="1" x14ac:dyDescent="0.3">
      <c r="A92" s="572">
        <v>19</v>
      </c>
      <c r="B92" s="573" t="s">
        <v>453</v>
      </c>
      <c r="C92" s="573">
        <v>89301192</v>
      </c>
      <c r="D92" s="574" t="s">
        <v>908</v>
      </c>
      <c r="E92" s="575" t="s">
        <v>625</v>
      </c>
      <c r="F92" s="573" t="s">
        <v>618</v>
      </c>
      <c r="G92" s="573" t="s">
        <v>734</v>
      </c>
      <c r="H92" s="573" t="s">
        <v>454</v>
      </c>
      <c r="I92" s="573" t="s">
        <v>855</v>
      </c>
      <c r="J92" s="573" t="s">
        <v>739</v>
      </c>
      <c r="K92" s="573" t="s">
        <v>856</v>
      </c>
      <c r="L92" s="576">
        <v>198.51</v>
      </c>
      <c r="M92" s="576">
        <v>595.53</v>
      </c>
      <c r="N92" s="573">
        <v>3</v>
      </c>
      <c r="O92" s="577">
        <v>0.5</v>
      </c>
      <c r="P92" s="576"/>
      <c r="Q92" s="578">
        <v>0</v>
      </c>
      <c r="R92" s="573"/>
      <c r="S92" s="578">
        <v>0</v>
      </c>
      <c r="T92" s="577"/>
      <c r="U92" s="579">
        <v>0</v>
      </c>
    </row>
    <row r="93" spans="1:21" ht="14.4" customHeight="1" x14ac:dyDescent="0.3">
      <c r="A93" s="572">
        <v>19</v>
      </c>
      <c r="B93" s="573" t="s">
        <v>453</v>
      </c>
      <c r="C93" s="573">
        <v>89301192</v>
      </c>
      <c r="D93" s="574" t="s">
        <v>908</v>
      </c>
      <c r="E93" s="575" t="s">
        <v>625</v>
      </c>
      <c r="F93" s="573" t="s">
        <v>618</v>
      </c>
      <c r="G93" s="573" t="s">
        <v>734</v>
      </c>
      <c r="H93" s="573" t="s">
        <v>454</v>
      </c>
      <c r="I93" s="573" t="s">
        <v>738</v>
      </c>
      <c r="J93" s="573" t="s">
        <v>739</v>
      </c>
      <c r="K93" s="573" t="s">
        <v>740</v>
      </c>
      <c r="L93" s="576">
        <v>376.81</v>
      </c>
      <c r="M93" s="576">
        <v>376.81</v>
      </c>
      <c r="N93" s="573">
        <v>1</v>
      </c>
      <c r="O93" s="577">
        <v>0.5</v>
      </c>
      <c r="P93" s="576"/>
      <c r="Q93" s="578">
        <v>0</v>
      </c>
      <c r="R93" s="573"/>
      <c r="S93" s="578">
        <v>0</v>
      </c>
      <c r="T93" s="577"/>
      <c r="U93" s="579">
        <v>0</v>
      </c>
    </row>
    <row r="94" spans="1:21" ht="14.4" customHeight="1" x14ac:dyDescent="0.3">
      <c r="A94" s="572">
        <v>19</v>
      </c>
      <c r="B94" s="573" t="s">
        <v>453</v>
      </c>
      <c r="C94" s="573">
        <v>89301192</v>
      </c>
      <c r="D94" s="574" t="s">
        <v>908</v>
      </c>
      <c r="E94" s="575" t="s">
        <v>625</v>
      </c>
      <c r="F94" s="573" t="s">
        <v>618</v>
      </c>
      <c r="G94" s="573" t="s">
        <v>741</v>
      </c>
      <c r="H94" s="573" t="s">
        <v>454</v>
      </c>
      <c r="I94" s="573" t="s">
        <v>857</v>
      </c>
      <c r="J94" s="573" t="s">
        <v>743</v>
      </c>
      <c r="K94" s="573" t="s">
        <v>744</v>
      </c>
      <c r="L94" s="576">
        <v>115.3</v>
      </c>
      <c r="M94" s="576">
        <v>345.9</v>
      </c>
      <c r="N94" s="573">
        <v>3</v>
      </c>
      <c r="O94" s="577">
        <v>1</v>
      </c>
      <c r="P94" s="576">
        <v>345.9</v>
      </c>
      <c r="Q94" s="578">
        <v>1</v>
      </c>
      <c r="R94" s="573">
        <v>3</v>
      </c>
      <c r="S94" s="578">
        <v>1</v>
      </c>
      <c r="T94" s="577">
        <v>1</v>
      </c>
      <c r="U94" s="579">
        <v>1</v>
      </c>
    </row>
    <row r="95" spans="1:21" ht="14.4" customHeight="1" x14ac:dyDescent="0.3">
      <c r="A95" s="572">
        <v>19</v>
      </c>
      <c r="B95" s="573" t="s">
        <v>453</v>
      </c>
      <c r="C95" s="573">
        <v>89301192</v>
      </c>
      <c r="D95" s="574" t="s">
        <v>908</v>
      </c>
      <c r="E95" s="575" t="s">
        <v>625</v>
      </c>
      <c r="F95" s="573" t="s">
        <v>618</v>
      </c>
      <c r="G95" s="573" t="s">
        <v>649</v>
      </c>
      <c r="H95" s="573" t="s">
        <v>454</v>
      </c>
      <c r="I95" s="573" t="s">
        <v>650</v>
      </c>
      <c r="J95" s="573" t="s">
        <v>651</v>
      </c>
      <c r="K95" s="573" t="s">
        <v>652</v>
      </c>
      <c r="L95" s="576">
        <v>50.27</v>
      </c>
      <c r="M95" s="576">
        <v>50.27</v>
      </c>
      <c r="N95" s="573">
        <v>1</v>
      </c>
      <c r="O95" s="577">
        <v>0.5</v>
      </c>
      <c r="P95" s="576">
        <v>50.27</v>
      </c>
      <c r="Q95" s="578">
        <v>1</v>
      </c>
      <c r="R95" s="573">
        <v>1</v>
      </c>
      <c r="S95" s="578">
        <v>1</v>
      </c>
      <c r="T95" s="577">
        <v>0.5</v>
      </c>
      <c r="U95" s="579">
        <v>1</v>
      </c>
    </row>
    <row r="96" spans="1:21" ht="14.4" customHeight="1" x14ac:dyDescent="0.3">
      <c r="A96" s="572">
        <v>19</v>
      </c>
      <c r="B96" s="573" t="s">
        <v>453</v>
      </c>
      <c r="C96" s="573">
        <v>89301192</v>
      </c>
      <c r="D96" s="574" t="s">
        <v>908</v>
      </c>
      <c r="E96" s="575" t="s">
        <v>625</v>
      </c>
      <c r="F96" s="573" t="s">
        <v>618</v>
      </c>
      <c r="G96" s="573" t="s">
        <v>657</v>
      </c>
      <c r="H96" s="573" t="s">
        <v>454</v>
      </c>
      <c r="I96" s="573" t="s">
        <v>658</v>
      </c>
      <c r="J96" s="573" t="s">
        <v>659</v>
      </c>
      <c r="K96" s="573" t="s">
        <v>660</v>
      </c>
      <c r="L96" s="576">
        <v>41.83</v>
      </c>
      <c r="M96" s="576">
        <v>585.61999999999989</v>
      </c>
      <c r="N96" s="573">
        <v>14</v>
      </c>
      <c r="O96" s="577">
        <v>7</v>
      </c>
      <c r="P96" s="576">
        <v>501.95999999999992</v>
      </c>
      <c r="Q96" s="578">
        <v>0.85714285714285721</v>
      </c>
      <c r="R96" s="573">
        <v>12</v>
      </c>
      <c r="S96" s="578">
        <v>0.8571428571428571</v>
      </c>
      <c r="T96" s="577">
        <v>6</v>
      </c>
      <c r="U96" s="579">
        <v>0.8571428571428571</v>
      </c>
    </row>
    <row r="97" spans="1:21" ht="14.4" customHeight="1" x14ac:dyDescent="0.3">
      <c r="A97" s="572">
        <v>19</v>
      </c>
      <c r="B97" s="573" t="s">
        <v>453</v>
      </c>
      <c r="C97" s="573">
        <v>89301192</v>
      </c>
      <c r="D97" s="574" t="s">
        <v>908</v>
      </c>
      <c r="E97" s="575" t="s">
        <v>625</v>
      </c>
      <c r="F97" s="573" t="s">
        <v>618</v>
      </c>
      <c r="G97" s="573" t="s">
        <v>858</v>
      </c>
      <c r="H97" s="573" t="s">
        <v>539</v>
      </c>
      <c r="I97" s="573" t="s">
        <v>859</v>
      </c>
      <c r="J97" s="573" t="s">
        <v>860</v>
      </c>
      <c r="K97" s="573" t="s">
        <v>861</v>
      </c>
      <c r="L97" s="576">
        <v>106.3</v>
      </c>
      <c r="M97" s="576">
        <v>1381.9</v>
      </c>
      <c r="N97" s="573">
        <v>13</v>
      </c>
      <c r="O97" s="577">
        <v>1.5</v>
      </c>
      <c r="P97" s="576"/>
      <c r="Q97" s="578">
        <v>0</v>
      </c>
      <c r="R97" s="573"/>
      <c r="S97" s="578">
        <v>0</v>
      </c>
      <c r="T97" s="577"/>
      <c r="U97" s="579">
        <v>0</v>
      </c>
    </row>
    <row r="98" spans="1:21" ht="14.4" customHeight="1" x14ac:dyDescent="0.3">
      <c r="A98" s="572">
        <v>19</v>
      </c>
      <c r="B98" s="573" t="s">
        <v>453</v>
      </c>
      <c r="C98" s="573">
        <v>89301192</v>
      </c>
      <c r="D98" s="574" t="s">
        <v>908</v>
      </c>
      <c r="E98" s="575" t="s">
        <v>625</v>
      </c>
      <c r="F98" s="573" t="s">
        <v>618</v>
      </c>
      <c r="G98" s="573" t="s">
        <v>862</v>
      </c>
      <c r="H98" s="573" t="s">
        <v>539</v>
      </c>
      <c r="I98" s="573" t="s">
        <v>863</v>
      </c>
      <c r="J98" s="573" t="s">
        <v>864</v>
      </c>
      <c r="K98" s="573" t="s">
        <v>865</v>
      </c>
      <c r="L98" s="576">
        <v>38.130000000000003</v>
      </c>
      <c r="M98" s="576">
        <v>228.78000000000003</v>
      </c>
      <c r="N98" s="573">
        <v>6</v>
      </c>
      <c r="O98" s="577">
        <v>1.5</v>
      </c>
      <c r="P98" s="576"/>
      <c r="Q98" s="578">
        <v>0</v>
      </c>
      <c r="R98" s="573"/>
      <c r="S98" s="578">
        <v>0</v>
      </c>
      <c r="T98" s="577"/>
      <c r="U98" s="579">
        <v>0</v>
      </c>
    </row>
    <row r="99" spans="1:21" ht="14.4" customHeight="1" x14ac:dyDescent="0.3">
      <c r="A99" s="572">
        <v>19</v>
      </c>
      <c r="B99" s="573" t="s">
        <v>453</v>
      </c>
      <c r="C99" s="573">
        <v>89301192</v>
      </c>
      <c r="D99" s="574" t="s">
        <v>908</v>
      </c>
      <c r="E99" s="575" t="s">
        <v>625</v>
      </c>
      <c r="F99" s="573" t="s">
        <v>618</v>
      </c>
      <c r="G99" s="573" t="s">
        <v>776</v>
      </c>
      <c r="H99" s="573" t="s">
        <v>454</v>
      </c>
      <c r="I99" s="573" t="s">
        <v>866</v>
      </c>
      <c r="J99" s="573" t="s">
        <v>867</v>
      </c>
      <c r="K99" s="573" t="s">
        <v>779</v>
      </c>
      <c r="L99" s="576">
        <v>200.07</v>
      </c>
      <c r="M99" s="576">
        <v>1000.3499999999999</v>
      </c>
      <c r="N99" s="573">
        <v>5</v>
      </c>
      <c r="O99" s="577">
        <v>1.5</v>
      </c>
      <c r="P99" s="576"/>
      <c r="Q99" s="578">
        <v>0</v>
      </c>
      <c r="R99" s="573"/>
      <c r="S99" s="578">
        <v>0</v>
      </c>
      <c r="T99" s="577"/>
      <c r="U99" s="579">
        <v>0</v>
      </c>
    </row>
    <row r="100" spans="1:21" ht="14.4" customHeight="1" x14ac:dyDescent="0.3">
      <c r="A100" s="572">
        <v>19</v>
      </c>
      <c r="B100" s="573" t="s">
        <v>453</v>
      </c>
      <c r="C100" s="573">
        <v>89301192</v>
      </c>
      <c r="D100" s="574" t="s">
        <v>908</v>
      </c>
      <c r="E100" s="575" t="s">
        <v>625</v>
      </c>
      <c r="F100" s="573" t="s">
        <v>618</v>
      </c>
      <c r="G100" s="573" t="s">
        <v>669</v>
      </c>
      <c r="H100" s="573" t="s">
        <v>539</v>
      </c>
      <c r="I100" s="573" t="s">
        <v>868</v>
      </c>
      <c r="J100" s="573" t="s">
        <v>671</v>
      </c>
      <c r="K100" s="573" t="s">
        <v>869</v>
      </c>
      <c r="L100" s="576">
        <v>48.31</v>
      </c>
      <c r="M100" s="576">
        <v>144.93</v>
      </c>
      <c r="N100" s="573">
        <v>3</v>
      </c>
      <c r="O100" s="577">
        <v>2</v>
      </c>
      <c r="P100" s="576">
        <v>96.62</v>
      </c>
      <c r="Q100" s="578">
        <v>0.66666666666666663</v>
      </c>
      <c r="R100" s="573">
        <v>2</v>
      </c>
      <c r="S100" s="578">
        <v>0.66666666666666663</v>
      </c>
      <c r="T100" s="577">
        <v>1</v>
      </c>
      <c r="U100" s="579">
        <v>0.5</v>
      </c>
    </row>
    <row r="101" spans="1:21" ht="14.4" customHeight="1" x14ac:dyDescent="0.3">
      <c r="A101" s="572">
        <v>19</v>
      </c>
      <c r="B101" s="573" t="s">
        <v>453</v>
      </c>
      <c r="C101" s="573">
        <v>89301192</v>
      </c>
      <c r="D101" s="574" t="s">
        <v>908</v>
      </c>
      <c r="E101" s="575" t="s">
        <v>625</v>
      </c>
      <c r="F101" s="573" t="s">
        <v>618</v>
      </c>
      <c r="G101" s="573" t="s">
        <v>673</v>
      </c>
      <c r="H101" s="573" t="s">
        <v>454</v>
      </c>
      <c r="I101" s="573" t="s">
        <v>674</v>
      </c>
      <c r="J101" s="573" t="s">
        <v>675</v>
      </c>
      <c r="K101" s="573" t="s">
        <v>676</v>
      </c>
      <c r="L101" s="576">
        <v>0</v>
      </c>
      <c r="M101" s="576">
        <v>0</v>
      </c>
      <c r="N101" s="573">
        <v>2</v>
      </c>
      <c r="O101" s="577">
        <v>1</v>
      </c>
      <c r="P101" s="576">
        <v>0</v>
      </c>
      <c r="Q101" s="578"/>
      <c r="R101" s="573">
        <v>2</v>
      </c>
      <c r="S101" s="578">
        <v>1</v>
      </c>
      <c r="T101" s="577">
        <v>1</v>
      </c>
      <c r="U101" s="579">
        <v>1</v>
      </c>
    </row>
    <row r="102" spans="1:21" ht="14.4" customHeight="1" x14ac:dyDescent="0.3">
      <c r="A102" s="572">
        <v>19</v>
      </c>
      <c r="B102" s="573" t="s">
        <v>453</v>
      </c>
      <c r="C102" s="573">
        <v>89301192</v>
      </c>
      <c r="D102" s="574" t="s">
        <v>908</v>
      </c>
      <c r="E102" s="575" t="s">
        <v>625</v>
      </c>
      <c r="F102" s="573" t="s">
        <v>618</v>
      </c>
      <c r="G102" s="573" t="s">
        <v>694</v>
      </c>
      <c r="H102" s="573" t="s">
        <v>539</v>
      </c>
      <c r="I102" s="573" t="s">
        <v>695</v>
      </c>
      <c r="J102" s="573" t="s">
        <v>696</v>
      </c>
      <c r="K102" s="573" t="s">
        <v>797</v>
      </c>
      <c r="L102" s="576">
        <v>42.08</v>
      </c>
      <c r="M102" s="576">
        <v>126.24</v>
      </c>
      <c r="N102" s="573">
        <v>3</v>
      </c>
      <c r="O102" s="577">
        <v>0.5</v>
      </c>
      <c r="P102" s="576">
        <v>126.24</v>
      </c>
      <c r="Q102" s="578">
        <v>1</v>
      </c>
      <c r="R102" s="573">
        <v>3</v>
      </c>
      <c r="S102" s="578">
        <v>1</v>
      </c>
      <c r="T102" s="577">
        <v>0.5</v>
      </c>
      <c r="U102" s="579">
        <v>1</v>
      </c>
    </row>
    <row r="103" spans="1:21" ht="14.4" customHeight="1" x14ac:dyDescent="0.3">
      <c r="A103" s="572">
        <v>19</v>
      </c>
      <c r="B103" s="573" t="s">
        <v>453</v>
      </c>
      <c r="C103" s="573">
        <v>89301192</v>
      </c>
      <c r="D103" s="574" t="s">
        <v>908</v>
      </c>
      <c r="E103" s="575" t="s">
        <v>625</v>
      </c>
      <c r="F103" s="573" t="s">
        <v>618</v>
      </c>
      <c r="G103" s="573" t="s">
        <v>694</v>
      </c>
      <c r="H103" s="573" t="s">
        <v>539</v>
      </c>
      <c r="I103" s="573" t="s">
        <v>870</v>
      </c>
      <c r="J103" s="573" t="s">
        <v>871</v>
      </c>
      <c r="K103" s="573" t="s">
        <v>872</v>
      </c>
      <c r="L103" s="576">
        <v>46.3</v>
      </c>
      <c r="M103" s="576">
        <v>138.89999999999998</v>
      </c>
      <c r="N103" s="573">
        <v>3</v>
      </c>
      <c r="O103" s="577">
        <v>0.5</v>
      </c>
      <c r="P103" s="576"/>
      <c r="Q103" s="578">
        <v>0</v>
      </c>
      <c r="R103" s="573"/>
      <c r="S103" s="578">
        <v>0</v>
      </c>
      <c r="T103" s="577"/>
      <c r="U103" s="579">
        <v>0</v>
      </c>
    </row>
    <row r="104" spans="1:21" ht="14.4" customHeight="1" x14ac:dyDescent="0.3">
      <c r="A104" s="572">
        <v>19</v>
      </c>
      <c r="B104" s="573" t="s">
        <v>453</v>
      </c>
      <c r="C104" s="573">
        <v>89301192</v>
      </c>
      <c r="D104" s="574" t="s">
        <v>908</v>
      </c>
      <c r="E104" s="575" t="s">
        <v>625</v>
      </c>
      <c r="F104" s="573" t="s">
        <v>618</v>
      </c>
      <c r="G104" s="573" t="s">
        <v>873</v>
      </c>
      <c r="H104" s="573" t="s">
        <v>454</v>
      </c>
      <c r="I104" s="573" t="s">
        <v>874</v>
      </c>
      <c r="J104" s="573" t="s">
        <v>875</v>
      </c>
      <c r="K104" s="573" t="s">
        <v>791</v>
      </c>
      <c r="L104" s="576">
        <v>129.94999999999999</v>
      </c>
      <c r="M104" s="576">
        <v>1559.3999999999999</v>
      </c>
      <c r="N104" s="573">
        <v>12</v>
      </c>
      <c r="O104" s="577">
        <v>2</v>
      </c>
      <c r="P104" s="576"/>
      <c r="Q104" s="578">
        <v>0</v>
      </c>
      <c r="R104" s="573"/>
      <c r="S104" s="578">
        <v>0</v>
      </c>
      <c r="T104" s="577"/>
      <c r="U104" s="579">
        <v>0</v>
      </c>
    </row>
    <row r="105" spans="1:21" ht="14.4" customHeight="1" x14ac:dyDescent="0.3">
      <c r="A105" s="572">
        <v>19</v>
      </c>
      <c r="B105" s="573" t="s">
        <v>453</v>
      </c>
      <c r="C105" s="573">
        <v>89301192</v>
      </c>
      <c r="D105" s="574" t="s">
        <v>908</v>
      </c>
      <c r="E105" s="575" t="s">
        <v>626</v>
      </c>
      <c r="F105" s="573" t="s">
        <v>618</v>
      </c>
      <c r="G105" s="573" t="s">
        <v>633</v>
      </c>
      <c r="H105" s="573" t="s">
        <v>454</v>
      </c>
      <c r="I105" s="573" t="s">
        <v>728</v>
      </c>
      <c r="J105" s="573" t="s">
        <v>729</v>
      </c>
      <c r="K105" s="573" t="s">
        <v>636</v>
      </c>
      <c r="L105" s="576">
        <v>156.86000000000001</v>
      </c>
      <c r="M105" s="576">
        <v>313.72000000000003</v>
      </c>
      <c r="N105" s="573">
        <v>2</v>
      </c>
      <c r="O105" s="577">
        <v>2</v>
      </c>
      <c r="P105" s="576">
        <v>313.72000000000003</v>
      </c>
      <c r="Q105" s="578">
        <v>1</v>
      </c>
      <c r="R105" s="573">
        <v>2</v>
      </c>
      <c r="S105" s="578">
        <v>1</v>
      </c>
      <c r="T105" s="577">
        <v>2</v>
      </c>
      <c r="U105" s="579">
        <v>1</v>
      </c>
    </row>
    <row r="106" spans="1:21" ht="14.4" customHeight="1" x14ac:dyDescent="0.3">
      <c r="A106" s="572">
        <v>19</v>
      </c>
      <c r="B106" s="573" t="s">
        <v>453</v>
      </c>
      <c r="C106" s="573">
        <v>89301192</v>
      </c>
      <c r="D106" s="574" t="s">
        <v>908</v>
      </c>
      <c r="E106" s="575" t="s">
        <v>626</v>
      </c>
      <c r="F106" s="573" t="s">
        <v>618</v>
      </c>
      <c r="G106" s="573" t="s">
        <v>876</v>
      </c>
      <c r="H106" s="573" t="s">
        <v>454</v>
      </c>
      <c r="I106" s="573" t="s">
        <v>877</v>
      </c>
      <c r="J106" s="573" t="s">
        <v>878</v>
      </c>
      <c r="K106" s="573" t="s">
        <v>879</v>
      </c>
      <c r="L106" s="576">
        <v>0</v>
      </c>
      <c r="M106" s="576">
        <v>0</v>
      </c>
      <c r="N106" s="573">
        <v>1</v>
      </c>
      <c r="O106" s="577">
        <v>1</v>
      </c>
      <c r="P106" s="576">
        <v>0</v>
      </c>
      <c r="Q106" s="578"/>
      <c r="R106" s="573">
        <v>1</v>
      </c>
      <c r="S106" s="578">
        <v>1</v>
      </c>
      <c r="T106" s="577">
        <v>1</v>
      </c>
      <c r="U106" s="579">
        <v>1</v>
      </c>
    </row>
    <row r="107" spans="1:21" ht="14.4" customHeight="1" x14ac:dyDescent="0.3">
      <c r="A107" s="572">
        <v>19</v>
      </c>
      <c r="B107" s="573" t="s">
        <v>453</v>
      </c>
      <c r="C107" s="573">
        <v>89301192</v>
      </c>
      <c r="D107" s="574" t="s">
        <v>908</v>
      </c>
      <c r="E107" s="575" t="s">
        <v>626</v>
      </c>
      <c r="F107" s="573" t="s">
        <v>618</v>
      </c>
      <c r="G107" s="573" t="s">
        <v>741</v>
      </c>
      <c r="H107" s="573" t="s">
        <v>454</v>
      </c>
      <c r="I107" s="573" t="s">
        <v>880</v>
      </c>
      <c r="J107" s="573" t="s">
        <v>743</v>
      </c>
      <c r="K107" s="573" t="s">
        <v>746</v>
      </c>
      <c r="L107" s="576">
        <v>230.59</v>
      </c>
      <c r="M107" s="576">
        <v>230.59</v>
      </c>
      <c r="N107" s="573">
        <v>1</v>
      </c>
      <c r="O107" s="577">
        <v>0.5</v>
      </c>
      <c r="P107" s="576">
        <v>230.59</v>
      </c>
      <c r="Q107" s="578">
        <v>1</v>
      </c>
      <c r="R107" s="573">
        <v>1</v>
      </c>
      <c r="S107" s="578">
        <v>1</v>
      </c>
      <c r="T107" s="577">
        <v>0.5</v>
      </c>
      <c r="U107" s="579">
        <v>1</v>
      </c>
    </row>
    <row r="108" spans="1:21" ht="14.4" customHeight="1" x14ac:dyDescent="0.3">
      <c r="A108" s="572">
        <v>19</v>
      </c>
      <c r="B108" s="573" t="s">
        <v>453</v>
      </c>
      <c r="C108" s="573">
        <v>89301192</v>
      </c>
      <c r="D108" s="574" t="s">
        <v>908</v>
      </c>
      <c r="E108" s="575" t="s">
        <v>626</v>
      </c>
      <c r="F108" s="573" t="s">
        <v>618</v>
      </c>
      <c r="G108" s="573" t="s">
        <v>881</v>
      </c>
      <c r="H108" s="573" t="s">
        <v>454</v>
      </c>
      <c r="I108" s="573" t="s">
        <v>882</v>
      </c>
      <c r="J108" s="573" t="s">
        <v>883</v>
      </c>
      <c r="K108" s="573" t="s">
        <v>884</v>
      </c>
      <c r="L108" s="576">
        <v>96.91</v>
      </c>
      <c r="M108" s="576">
        <v>290.73</v>
      </c>
      <c r="N108" s="573">
        <v>3</v>
      </c>
      <c r="O108" s="577">
        <v>0.5</v>
      </c>
      <c r="P108" s="576">
        <v>290.73</v>
      </c>
      <c r="Q108" s="578">
        <v>1</v>
      </c>
      <c r="R108" s="573">
        <v>3</v>
      </c>
      <c r="S108" s="578">
        <v>1</v>
      </c>
      <c r="T108" s="577">
        <v>0.5</v>
      </c>
      <c r="U108" s="579">
        <v>1</v>
      </c>
    </row>
    <row r="109" spans="1:21" ht="14.4" customHeight="1" x14ac:dyDescent="0.3">
      <c r="A109" s="572">
        <v>19</v>
      </c>
      <c r="B109" s="573" t="s">
        <v>453</v>
      </c>
      <c r="C109" s="573">
        <v>89301192</v>
      </c>
      <c r="D109" s="574" t="s">
        <v>908</v>
      </c>
      <c r="E109" s="575" t="s">
        <v>626</v>
      </c>
      <c r="F109" s="573" t="s">
        <v>618</v>
      </c>
      <c r="G109" s="573" t="s">
        <v>649</v>
      </c>
      <c r="H109" s="573" t="s">
        <v>454</v>
      </c>
      <c r="I109" s="573" t="s">
        <v>650</v>
      </c>
      <c r="J109" s="573" t="s">
        <v>651</v>
      </c>
      <c r="K109" s="573" t="s">
        <v>652</v>
      </c>
      <c r="L109" s="576">
        <v>50.27</v>
      </c>
      <c r="M109" s="576">
        <v>50.27</v>
      </c>
      <c r="N109" s="573">
        <v>1</v>
      </c>
      <c r="O109" s="577">
        <v>0.5</v>
      </c>
      <c r="P109" s="576">
        <v>50.27</v>
      </c>
      <c r="Q109" s="578">
        <v>1</v>
      </c>
      <c r="R109" s="573">
        <v>1</v>
      </c>
      <c r="S109" s="578">
        <v>1</v>
      </c>
      <c r="T109" s="577">
        <v>0.5</v>
      </c>
      <c r="U109" s="579">
        <v>1</v>
      </c>
    </row>
    <row r="110" spans="1:21" ht="14.4" customHeight="1" x14ac:dyDescent="0.3">
      <c r="A110" s="572">
        <v>19</v>
      </c>
      <c r="B110" s="573" t="s">
        <v>453</v>
      </c>
      <c r="C110" s="573">
        <v>89301192</v>
      </c>
      <c r="D110" s="574" t="s">
        <v>908</v>
      </c>
      <c r="E110" s="575" t="s">
        <v>626</v>
      </c>
      <c r="F110" s="573" t="s">
        <v>618</v>
      </c>
      <c r="G110" s="573" t="s">
        <v>649</v>
      </c>
      <c r="H110" s="573" t="s">
        <v>454</v>
      </c>
      <c r="I110" s="573" t="s">
        <v>761</v>
      </c>
      <c r="J110" s="573" t="s">
        <v>651</v>
      </c>
      <c r="K110" s="573" t="s">
        <v>762</v>
      </c>
      <c r="L110" s="576">
        <v>58.1</v>
      </c>
      <c r="M110" s="576">
        <v>58.1</v>
      </c>
      <c r="N110" s="573">
        <v>1</v>
      </c>
      <c r="O110" s="577">
        <v>0.5</v>
      </c>
      <c r="P110" s="576">
        <v>58.1</v>
      </c>
      <c r="Q110" s="578">
        <v>1</v>
      </c>
      <c r="R110" s="573">
        <v>1</v>
      </c>
      <c r="S110" s="578">
        <v>1</v>
      </c>
      <c r="T110" s="577">
        <v>0.5</v>
      </c>
      <c r="U110" s="579">
        <v>1</v>
      </c>
    </row>
    <row r="111" spans="1:21" ht="14.4" customHeight="1" x14ac:dyDescent="0.3">
      <c r="A111" s="572">
        <v>19</v>
      </c>
      <c r="B111" s="573" t="s">
        <v>453</v>
      </c>
      <c r="C111" s="573">
        <v>89301192</v>
      </c>
      <c r="D111" s="574" t="s">
        <v>908</v>
      </c>
      <c r="E111" s="575" t="s">
        <v>626</v>
      </c>
      <c r="F111" s="573" t="s">
        <v>618</v>
      </c>
      <c r="G111" s="573" t="s">
        <v>657</v>
      </c>
      <c r="H111" s="573" t="s">
        <v>454</v>
      </c>
      <c r="I111" s="573" t="s">
        <v>658</v>
      </c>
      <c r="J111" s="573" t="s">
        <v>659</v>
      </c>
      <c r="K111" s="573" t="s">
        <v>660</v>
      </c>
      <c r="L111" s="576">
        <v>41.83</v>
      </c>
      <c r="M111" s="576">
        <v>2844.4399999999996</v>
      </c>
      <c r="N111" s="573">
        <v>68</v>
      </c>
      <c r="O111" s="577">
        <v>33.5</v>
      </c>
      <c r="P111" s="576">
        <v>2677.1199999999994</v>
      </c>
      <c r="Q111" s="578">
        <v>0.94117647058823528</v>
      </c>
      <c r="R111" s="573">
        <v>64</v>
      </c>
      <c r="S111" s="578">
        <v>0.94117647058823528</v>
      </c>
      <c r="T111" s="577">
        <v>31.5</v>
      </c>
      <c r="U111" s="579">
        <v>0.94029850746268662</v>
      </c>
    </row>
    <row r="112" spans="1:21" ht="14.4" customHeight="1" x14ac:dyDescent="0.3">
      <c r="A112" s="572">
        <v>19</v>
      </c>
      <c r="B112" s="573" t="s">
        <v>453</v>
      </c>
      <c r="C112" s="573">
        <v>89301192</v>
      </c>
      <c r="D112" s="574" t="s">
        <v>908</v>
      </c>
      <c r="E112" s="575" t="s">
        <v>626</v>
      </c>
      <c r="F112" s="573" t="s">
        <v>618</v>
      </c>
      <c r="G112" s="573" t="s">
        <v>702</v>
      </c>
      <c r="H112" s="573" t="s">
        <v>454</v>
      </c>
      <c r="I112" s="573" t="s">
        <v>703</v>
      </c>
      <c r="J112" s="573" t="s">
        <v>704</v>
      </c>
      <c r="K112" s="573" t="s">
        <v>705</v>
      </c>
      <c r="L112" s="576">
        <v>61.29</v>
      </c>
      <c r="M112" s="576">
        <v>122.58</v>
      </c>
      <c r="N112" s="573">
        <v>2</v>
      </c>
      <c r="O112" s="577">
        <v>1</v>
      </c>
      <c r="P112" s="576">
        <v>122.58</v>
      </c>
      <c r="Q112" s="578">
        <v>1</v>
      </c>
      <c r="R112" s="573">
        <v>2</v>
      </c>
      <c r="S112" s="578">
        <v>1</v>
      </c>
      <c r="T112" s="577">
        <v>1</v>
      </c>
      <c r="U112" s="579">
        <v>1</v>
      </c>
    </row>
    <row r="113" spans="1:21" ht="14.4" customHeight="1" x14ac:dyDescent="0.3">
      <c r="A113" s="572">
        <v>19</v>
      </c>
      <c r="B113" s="573" t="s">
        <v>453</v>
      </c>
      <c r="C113" s="573">
        <v>89301192</v>
      </c>
      <c r="D113" s="574" t="s">
        <v>908</v>
      </c>
      <c r="E113" s="575" t="s">
        <v>626</v>
      </c>
      <c r="F113" s="573" t="s">
        <v>618</v>
      </c>
      <c r="G113" s="573" t="s">
        <v>885</v>
      </c>
      <c r="H113" s="573" t="s">
        <v>539</v>
      </c>
      <c r="I113" s="573" t="s">
        <v>886</v>
      </c>
      <c r="J113" s="573" t="s">
        <v>887</v>
      </c>
      <c r="K113" s="573" t="s">
        <v>888</v>
      </c>
      <c r="L113" s="576">
        <v>413.22</v>
      </c>
      <c r="M113" s="576">
        <v>413.22</v>
      </c>
      <c r="N113" s="573">
        <v>1</v>
      </c>
      <c r="O113" s="577">
        <v>0.5</v>
      </c>
      <c r="P113" s="576">
        <v>413.22</v>
      </c>
      <c r="Q113" s="578">
        <v>1</v>
      </c>
      <c r="R113" s="573">
        <v>1</v>
      </c>
      <c r="S113" s="578">
        <v>1</v>
      </c>
      <c r="T113" s="577">
        <v>0.5</v>
      </c>
      <c r="U113" s="579">
        <v>1</v>
      </c>
    </row>
    <row r="114" spans="1:21" ht="14.4" customHeight="1" x14ac:dyDescent="0.3">
      <c r="A114" s="572">
        <v>19</v>
      </c>
      <c r="B114" s="573" t="s">
        <v>453</v>
      </c>
      <c r="C114" s="573">
        <v>89301192</v>
      </c>
      <c r="D114" s="574" t="s">
        <v>908</v>
      </c>
      <c r="E114" s="575" t="s">
        <v>626</v>
      </c>
      <c r="F114" s="573" t="s">
        <v>618</v>
      </c>
      <c r="G114" s="573" t="s">
        <v>706</v>
      </c>
      <c r="H114" s="573" t="s">
        <v>539</v>
      </c>
      <c r="I114" s="573" t="s">
        <v>889</v>
      </c>
      <c r="J114" s="573" t="s">
        <v>708</v>
      </c>
      <c r="K114" s="573" t="s">
        <v>890</v>
      </c>
      <c r="L114" s="576">
        <v>23.35</v>
      </c>
      <c r="M114" s="576">
        <v>70.050000000000011</v>
      </c>
      <c r="N114" s="573">
        <v>3</v>
      </c>
      <c r="O114" s="577">
        <v>0.5</v>
      </c>
      <c r="P114" s="576">
        <v>70.050000000000011</v>
      </c>
      <c r="Q114" s="578">
        <v>1</v>
      </c>
      <c r="R114" s="573">
        <v>3</v>
      </c>
      <c r="S114" s="578">
        <v>1</v>
      </c>
      <c r="T114" s="577">
        <v>0.5</v>
      </c>
      <c r="U114" s="579">
        <v>1</v>
      </c>
    </row>
    <row r="115" spans="1:21" ht="14.4" customHeight="1" x14ac:dyDescent="0.3">
      <c r="A115" s="572">
        <v>19</v>
      </c>
      <c r="B115" s="573" t="s">
        <v>453</v>
      </c>
      <c r="C115" s="573">
        <v>89301192</v>
      </c>
      <c r="D115" s="574" t="s">
        <v>908</v>
      </c>
      <c r="E115" s="575" t="s">
        <v>626</v>
      </c>
      <c r="F115" s="573" t="s">
        <v>618</v>
      </c>
      <c r="G115" s="573" t="s">
        <v>706</v>
      </c>
      <c r="H115" s="573" t="s">
        <v>539</v>
      </c>
      <c r="I115" s="573" t="s">
        <v>707</v>
      </c>
      <c r="J115" s="573" t="s">
        <v>708</v>
      </c>
      <c r="K115" s="573" t="s">
        <v>709</v>
      </c>
      <c r="L115" s="576">
        <v>0</v>
      </c>
      <c r="M115" s="576">
        <v>0</v>
      </c>
      <c r="N115" s="573">
        <v>1</v>
      </c>
      <c r="O115" s="577">
        <v>1</v>
      </c>
      <c r="P115" s="576">
        <v>0</v>
      </c>
      <c r="Q115" s="578"/>
      <c r="R115" s="573">
        <v>1</v>
      </c>
      <c r="S115" s="578">
        <v>1</v>
      </c>
      <c r="T115" s="577">
        <v>1</v>
      </c>
      <c r="U115" s="579">
        <v>1</v>
      </c>
    </row>
    <row r="116" spans="1:21" ht="14.4" customHeight="1" x14ac:dyDescent="0.3">
      <c r="A116" s="572">
        <v>19</v>
      </c>
      <c r="B116" s="573" t="s">
        <v>453</v>
      </c>
      <c r="C116" s="573">
        <v>89301192</v>
      </c>
      <c r="D116" s="574" t="s">
        <v>908</v>
      </c>
      <c r="E116" s="575" t="s">
        <v>626</v>
      </c>
      <c r="F116" s="573" t="s">
        <v>618</v>
      </c>
      <c r="G116" s="573" t="s">
        <v>661</v>
      </c>
      <c r="H116" s="573" t="s">
        <v>454</v>
      </c>
      <c r="I116" s="573" t="s">
        <v>662</v>
      </c>
      <c r="J116" s="573" t="s">
        <v>663</v>
      </c>
      <c r="K116" s="573" t="s">
        <v>664</v>
      </c>
      <c r="L116" s="576">
        <v>242.93</v>
      </c>
      <c r="M116" s="576">
        <v>242.93</v>
      </c>
      <c r="N116" s="573">
        <v>1</v>
      </c>
      <c r="O116" s="577">
        <v>1</v>
      </c>
      <c r="P116" s="576">
        <v>242.93</v>
      </c>
      <c r="Q116" s="578">
        <v>1</v>
      </c>
      <c r="R116" s="573">
        <v>1</v>
      </c>
      <c r="S116" s="578">
        <v>1</v>
      </c>
      <c r="T116" s="577">
        <v>1</v>
      </c>
      <c r="U116" s="579">
        <v>1</v>
      </c>
    </row>
    <row r="117" spans="1:21" ht="14.4" customHeight="1" x14ac:dyDescent="0.3">
      <c r="A117" s="572">
        <v>19</v>
      </c>
      <c r="B117" s="573" t="s">
        <v>453</v>
      </c>
      <c r="C117" s="573">
        <v>89301192</v>
      </c>
      <c r="D117" s="574" t="s">
        <v>908</v>
      </c>
      <c r="E117" s="575" t="s">
        <v>626</v>
      </c>
      <c r="F117" s="573" t="s">
        <v>618</v>
      </c>
      <c r="G117" s="573" t="s">
        <v>665</v>
      </c>
      <c r="H117" s="573" t="s">
        <v>454</v>
      </c>
      <c r="I117" s="573" t="s">
        <v>666</v>
      </c>
      <c r="J117" s="573" t="s">
        <v>667</v>
      </c>
      <c r="K117" s="573" t="s">
        <v>668</v>
      </c>
      <c r="L117" s="576">
        <v>503.4</v>
      </c>
      <c r="M117" s="576">
        <v>1006.8</v>
      </c>
      <c r="N117" s="573">
        <v>2</v>
      </c>
      <c r="O117" s="577">
        <v>0.5</v>
      </c>
      <c r="P117" s="576">
        <v>1006.8</v>
      </c>
      <c r="Q117" s="578">
        <v>1</v>
      </c>
      <c r="R117" s="573">
        <v>2</v>
      </c>
      <c r="S117" s="578">
        <v>1</v>
      </c>
      <c r="T117" s="577">
        <v>0.5</v>
      </c>
      <c r="U117" s="579">
        <v>1</v>
      </c>
    </row>
    <row r="118" spans="1:21" ht="14.4" customHeight="1" x14ac:dyDescent="0.3">
      <c r="A118" s="572">
        <v>19</v>
      </c>
      <c r="B118" s="573" t="s">
        <v>453</v>
      </c>
      <c r="C118" s="573">
        <v>89301192</v>
      </c>
      <c r="D118" s="574" t="s">
        <v>908</v>
      </c>
      <c r="E118" s="575" t="s">
        <v>626</v>
      </c>
      <c r="F118" s="573" t="s">
        <v>618</v>
      </c>
      <c r="G118" s="573" t="s">
        <v>836</v>
      </c>
      <c r="H118" s="573" t="s">
        <v>454</v>
      </c>
      <c r="I118" s="573" t="s">
        <v>837</v>
      </c>
      <c r="J118" s="573" t="s">
        <v>838</v>
      </c>
      <c r="K118" s="573" t="s">
        <v>839</v>
      </c>
      <c r="L118" s="576">
        <v>0</v>
      </c>
      <c r="M118" s="576">
        <v>0</v>
      </c>
      <c r="N118" s="573">
        <v>11</v>
      </c>
      <c r="O118" s="577">
        <v>3.5</v>
      </c>
      <c r="P118" s="576">
        <v>0</v>
      </c>
      <c r="Q118" s="578"/>
      <c r="R118" s="573">
        <v>8</v>
      </c>
      <c r="S118" s="578">
        <v>0.72727272727272729</v>
      </c>
      <c r="T118" s="577">
        <v>2.5</v>
      </c>
      <c r="U118" s="579">
        <v>0.7142857142857143</v>
      </c>
    </row>
    <row r="119" spans="1:21" ht="14.4" customHeight="1" x14ac:dyDescent="0.3">
      <c r="A119" s="572">
        <v>19</v>
      </c>
      <c r="B119" s="573" t="s">
        <v>453</v>
      </c>
      <c r="C119" s="573">
        <v>89301192</v>
      </c>
      <c r="D119" s="574" t="s">
        <v>908</v>
      </c>
      <c r="E119" s="575" t="s">
        <v>626</v>
      </c>
      <c r="F119" s="573" t="s">
        <v>618</v>
      </c>
      <c r="G119" s="573" t="s">
        <v>669</v>
      </c>
      <c r="H119" s="573" t="s">
        <v>539</v>
      </c>
      <c r="I119" s="573" t="s">
        <v>670</v>
      </c>
      <c r="J119" s="573" t="s">
        <v>671</v>
      </c>
      <c r="K119" s="573" t="s">
        <v>672</v>
      </c>
      <c r="L119" s="576">
        <v>59.55</v>
      </c>
      <c r="M119" s="576">
        <v>59.55</v>
      </c>
      <c r="N119" s="573">
        <v>1</v>
      </c>
      <c r="O119" s="577">
        <v>1</v>
      </c>
      <c r="P119" s="576">
        <v>59.55</v>
      </c>
      <c r="Q119" s="578">
        <v>1</v>
      </c>
      <c r="R119" s="573">
        <v>1</v>
      </c>
      <c r="S119" s="578">
        <v>1</v>
      </c>
      <c r="T119" s="577">
        <v>1</v>
      </c>
      <c r="U119" s="579">
        <v>1</v>
      </c>
    </row>
    <row r="120" spans="1:21" ht="14.4" customHeight="1" x14ac:dyDescent="0.3">
      <c r="A120" s="572">
        <v>19</v>
      </c>
      <c r="B120" s="573" t="s">
        <v>453</v>
      </c>
      <c r="C120" s="573">
        <v>89301192</v>
      </c>
      <c r="D120" s="574" t="s">
        <v>908</v>
      </c>
      <c r="E120" s="575" t="s">
        <v>626</v>
      </c>
      <c r="F120" s="573" t="s">
        <v>618</v>
      </c>
      <c r="G120" s="573" t="s">
        <v>669</v>
      </c>
      <c r="H120" s="573" t="s">
        <v>454</v>
      </c>
      <c r="I120" s="573" t="s">
        <v>891</v>
      </c>
      <c r="J120" s="573" t="s">
        <v>671</v>
      </c>
      <c r="K120" s="573" t="s">
        <v>892</v>
      </c>
      <c r="L120" s="576">
        <v>48.31</v>
      </c>
      <c r="M120" s="576">
        <v>48.31</v>
      </c>
      <c r="N120" s="573">
        <v>1</v>
      </c>
      <c r="O120" s="577">
        <v>1</v>
      </c>
      <c r="P120" s="576">
        <v>48.31</v>
      </c>
      <c r="Q120" s="578">
        <v>1</v>
      </c>
      <c r="R120" s="573">
        <v>1</v>
      </c>
      <c r="S120" s="578">
        <v>1</v>
      </c>
      <c r="T120" s="577">
        <v>1</v>
      </c>
      <c r="U120" s="579">
        <v>1</v>
      </c>
    </row>
    <row r="121" spans="1:21" ht="14.4" customHeight="1" x14ac:dyDescent="0.3">
      <c r="A121" s="572">
        <v>19</v>
      </c>
      <c r="B121" s="573" t="s">
        <v>453</v>
      </c>
      <c r="C121" s="573">
        <v>89301192</v>
      </c>
      <c r="D121" s="574" t="s">
        <v>908</v>
      </c>
      <c r="E121" s="575" t="s">
        <v>626</v>
      </c>
      <c r="F121" s="573" t="s">
        <v>618</v>
      </c>
      <c r="G121" s="573" t="s">
        <v>673</v>
      </c>
      <c r="H121" s="573" t="s">
        <v>454</v>
      </c>
      <c r="I121" s="573" t="s">
        <v>677</v>
      </c>
      <c r="J121" s="573" t="s">
        <v>675</v>
      </c>
      <c r="K121" s="573" t="s">
        <v>676</v>
      </c>
      <c r="L121" s="576">
        <v>0</v>
      </c>
      <c r="M121" s="576">
        <v>0</v>
      </c>
      <c r="N121" s="573">
        <v>8</v>
      </c>
      <c r="O121" s="577">
        <v>3.5</v>
      </c>
      <c r="P121" s="576">
        <v>0</v>
      </c>
      <c r="Q121" s="578"/>
      <c r="R121" s="573">
        <v>8</v>
      </c>
      <c r="S121" s="578">
        <v>1</v>
      </c>
      <c r="T121" s="577">
        <v>3.5</v>
      </c>
      <c r="U121" s="579">
        <v>1</v>
      </c>
    </row>
    <row r="122" spans="1:21" ht="14.4" customHeight="1" x14ac:dyDescent="0.3">
      <c r="A122" s="572">
        <v>19</v>
      </c>
      <c r="B122" s="573" t="s">
        <v>453</v>
      </c>
      <c r="C122" s="573">
        <v>89301192</v>
      </c>
      <c r="D122" s="574" t="s">
        <v>908</v>
      </c>
      <c r="E122" s="575" t="s">
        <v>626</v>
      </c>
      <c r="F122" s="573" t="s">
        <v>618</v>
      </c>
      <c r="G122" s="573" t="s">
        <v>673</v>
      </c>
      <c r="H122" s="573" t="s">
        <v>454</v>
      </c>
      <c r="I122" s="573" t="s">
        <v>678</v>
      </c>
      <c r="J122" s="573" t="s">
        <v>675</v>
      </c>
      <c r="K122" s="573" t="s">
        <v>679</v>
      </c>
      <c r="L122" s="576">
        <v>0</v>
      </c>
      <c r="M122" s="576">
        <v>0</v>
      </c>
      <c r="N122" s="573">
        <v>2</v>
      </c>
      <c r="O122" s="577">
        <v>1</v>
      </c>
      <c r="P122" s="576">
        <v>0</v>
      </c>
      <c r="Q122" s="578"/>
      <c r="R122" s="573">
        <v>2</v>
      </c>
      <c r="S122" s="578">
        <v>1</v>
      </c>
      <c r="T122" s="577">
        <v>1</v>
      </c>
      <c r="U122" s="579">
        <v>1</v>
      </c>
    </row>
    <row r="123" spans="1:21" ht="14.4" customHeight="1" x14ac:dyDescent="0.3">
      <c r="A123" s="572">
        <v>19</v>
      </c>
      <c r="B123" s="573" t="s">
        <v>453</v>
      </c>
      <c r="C123" s="573">
        <v>89301192</v>
      </c>
      <c r="D123" s="574" t="s">
        <v>908</v>
      </c>
      <c r="E123" s="575" t="s">
        <v>626</v>
      </c>
      <c r="F123" s="573" t="s">
        <v>618</v>
      </c>
      <c r="G123" s="573" t="s">
        <v>680</v>
      </c>
      <c r="H123" s="573" t="s">
        <v>454</v>
      </c>
      <c r="I123" s="573" t="s">
        <v>681</v>
      </c>
      <c r="J123" s="573" t="s">
        <v>682</v>
      </c>
      <c r="K123" s="573" t="s">
        <v>683</v>
      </c>
      <c r="L123" s="576">
        <v>0</v>
      </c>
      <c r="M123" s="576">
        <v>0</v>
      </c>
      <c r="N123" s="573">
        <v>10</v>
      </c>
      <c r="O123" s="577">
        <v>6</v>
      </c>
      <c r="P123" s="576">
        <v>0</v>
      </c>
      <c r="Q123" s="578"/>
      <c r="R123" s="573">
        <v>7</v>
      </c>
      <c r="S123" s="578">
        <v>0.7</v>
      </c>
      <c r="T123" s="577">
        <v>4</v>
      </c>
      <c r="U123" s="579">
        <v>0.66666666666666663</v>
      </c>
    </row>
    <row r="124" spans="1:21" ht="14.4" customHeight="1" x14ac:dyDescent="0.3">
      <c r="A124" s="572">
        <v>19</v>
      </c>
      <c r="B124" s="573" t="s">
        <v>453</v>
      </c>
      <c r="C124" s="573">
        <v>89301192</v>
      </c>
      <c r="D124" s="574" t="s">
        <v>908</v>
      </c>
      <c r="E124" s="575" t="s">
        <v>626</v>
      </c>
      <c r="F124" s="573" t="s">
        <v>618</v>
      </c>
      <c r="G124" s="573" t="s">
        <v>893</v>
      </c>
      <c r="H124" s="573" t="s">
        <v>454</v>
      </c>
      <c r="I124" s="573" t="s">
        <v>894</v>
      </c>
      <c r="J124" s="573" t="s">
        <v>895</v>
      </c>
      <c r="K124" s="573" t="s">
        <v>896</v>
      </c>
      <c r="L124" s="576">
        <v>0</v>
      </c>
      <c r="M124" s="576">
        <v>0</v>
      </c>
      <c r="N124" s="573">
        <v>1</v>
      </c>
      <c r="O124" s="577">
        <v>1</v>
      </c>
      <c r="P124" s="576">
        <v>0</v>
      </c>
      <c r="Q124" s="578"/>
      <c r="R124" s="573">
        <v>1</v>
      </c>
      <c r="S124" s="578">
        <v>1</v>
      </c>
      <c r="T124" s="577">
        <v>1</v>
      </c>
      <c r="U124" s="579">
        <v>1</v>
      </c>
    </row>
    <row r="125" spans="1:21" ht="14.4" customHeight="1" x14ac:dyDescent="0.3">
      <c r="A125" s="572">
        <v>19</v>
      </c>
      <c r="B125" s="573" t="s">
        <v>453</v>
      </c>
      <c r="C125" s="573">
        <v>89301192</v>
      </c>
      <c r="D125" s="574" t="s">
        <v>908</v>
      </c>
      <c r="E125" s="575" t="s">
        <v>626</v>
      </c>
      <c r="F125" s="573" t="s">
        <v>618</v>
      </c>
      <c r="G125" s="573" t="s">
        <v>897</v>
      </c>
      <c r="H125" s="573" t="s">
        <v>539</v>
      </c>
      <c r="I125" s="573" t="s">
        <v>898</v>
      </c>
      <c r="J125" s="573" t="s">
        <v>899</v>
      </c>
      <c r="K125" s="573" t="s">
        <v>900</v>
      </c>
      <c r="L125" s="576">
        <v>33.72</v>
      </c>
      <c r="M125" s="576">
        <v>101.16</v>
      </c>
      <c r="N125" s="573">
        <v>3</v>
      </c>
      <c r="O125" s="577">
        <v>0.5</v>
      </c>
      <c r="P125" s="576">
        <v>101.16</v>
      </c>
      <c r="Q125" s="578">
        <v>1</v>
      </c>
      <c r="R125" s="573">
        <v>3</v>
      </c>
      <c r="S125" s="578">
        <v>1</v>
      </c>
      <c r="T125" s="577">
        <v>0.5</v>
      </c>
      <c r="U125" s="579">
        <v>1</v>
      </c>
    </row>
    <row r="126" spans="1:21" ht="14.4" customHeight="1" x14ac:dyDescent="0.3">
      <c r="A126" s="572">
        <v>19</v>
      </c>
      <c r="B126" s="573" t="s">
        <v>453</v>
      </c>
      <c r="C126" s="573">
        <v>89301192</v>
      </c>
      <c r="D126" s="574" t="s">
        <v>908</v>
      </c>
      <c r="E126" s="575" t="s">
        <v>626</v>
      </c>
      <c r="F126" s="573" t="s">
        <v>618</v>
      </c>
      <c r="G126" s="573" t="s">
        <v>901</v>
      </c>
      <c r="H126" s="573" t="s">
        <v>539</v>
      </c>
      <c r="I126" s="573" t="s">
        <v>902</v>
      </c>
      <c r="J126" s="573" t="s">
        <v>903</v>
      </c>
      <c r="K126" s="573" t="s">
        <v>904</v>
      </c>
      <c r="L126" s="576">
        <v>32.630000000000003</v>
      </c>
      <c r="M126" s="576">
        <v>32.630000000000003</v>
      </c>
      <c r="N126" s="573">
        <v>1</v>
      </c>
      <c r="O126" s="577">
        <v>0.5</v>
      </c>
      <c r="P126" s="576">
        <v>32.630000000000003</v>
      </c>
      <c r="Q126" s="578">
        <v>1</v>
      </c>
      <c r="R126" s="573">
        <v>1</v>
      </c>
      <c r="S126" s="578">
        <v>1</v>
      </c>
      <c r="T126" s="577">
        <v>0.5</v>
      </c>
      <c r="U126" s="579">
        <v>1</v>
      </c>
    </row>
    <row r="127" spans="1:21" ht="14.4" customHeight="1" thickBot="1" x14ac:dyDescent="0.35">
      <c r="A127" s="580">
        <v>19</v>
      </c>
      <c r="B127" s="581" t="s">
        <v>453</v>
      </c>
      <c r="C127" s="581">
        <v>89301192</v>
      </c>
      <c r="D127" s="582" t="s">
        <v>908</v>
      </c>
      <c r="E127" s="583" t="s">
        <v>626</v>
      </c>
      <c r="F127" s="581" t="s">
        <v>618</v>
      </c>
      <c r="G127" s="581" t="s">
        <v>798</v>
      </c>
      <c r="H127" s="581" t="s">
        <v>454</v>
      </c>
      <c r="I127" s="581" t="s">
        <v>905</v>
      </c>
      <c r="J127" s="581" t="s">
        <v>906</v>
      </c>
      <c r="K127" s="581" t="s">
        <v>907</v>
      </c>
      <c r="L127" s="584">
        <v>0</v>
      </c>
      <c r="M127" s="584">
        <v>0</v>
      </c>
      <c r="N127" s="581">
        <v>1</v>
      </c>
      <c r="O127" s="585">
        <v>1</v>
      </c>
      <c r="P127" s="584">
        <v>0</v>
      </c>
      <c r="Q127" s="586"/>
      <c r="R127" s="581">
        <v>1</v>
      </c>
      <c r="S127" s="586">
        <v>1</v>
      </c>
      <c r="T127" s="585">
        <v>1</v>
      </c>
      <c r="U127" s="58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7" width="8.88671875" style="143" customWidth="1"/>
    <col min="8" max="16384" width="8.88671875" style="143"/>
  </cols>
  <sheetData>
    <row r="1" spans="1:6" ht="37.799999999999997" customHeight="1" thickBot="1" x14ac:dyDescent="0.4">
      <c r="A1" s="380" t="s">
        <v>910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88" t="s">
        <v>197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x14ac:dyDescent="0.3">
      <c r="A5" s="597" t="s">
        <v>624</v>
      </c>
      <c r="B5" s="129">
        <v>829.59</v>
      </c>
      <c r="C5" s="571">
        <v>0.3490541427537574</v>
      </c>
      <c r="D5" s="129">
        <v>1547.09</v>
      </c>
      <c r="E5" s="571">
        <v>0.65094585724624265</v>
      </c>
      <c r="F5" s="589">
        <v>2376.6799999999998</v>
      </c>
    </row>
    <row r="6" spans="1:6" ht="14.4" customHeight="1" x14ac:dyDescent="0.3">
      <c r="A6" s="598" t="s">
        <v>623</v>
      </c>
      <c r="B6" s="590">
        <v>278.38</v>
      </c>
      <c r="C6" s="578">
        <v>0.15112592560422142</v>
      </c>
      <c r="D6" s="590">
        <v>1563.6599999999999</v>
      </c>
      <c r="E6" s="578">
        <v>0.84887407439577856</v>
      </c>
      <c r="F6" s="591">
        <v>1842.04</v>
      </c>
    </row>
    <row r="7" spans="1:6" ht="14.4" customHeight="1" x14ac:dyDescent="0.3">
      <c r="A7" s="598" t="s">
        <v>625</v>
      </c>
      <c r="B7" s="590">
        <v>200.07</v>
      </c>
      <c r="C7" s="578">
        <v>7.7628051170027426E-2</v>
      </c>
      <c r="D7" s="590">
        <v>2377.2199999999998</v>
      </c>
      <c r="E7" s="578">
        <v>0.92237194882997253</v>
      </c>
      <c r="F7" s="591">
        <v>2577.29</v>
      </c>
    </row>
    <row r="8" spans="1:6" ht="14.4" customHeight="1" x14ac:dyDescent="0.3">
      <c r="A8" s="598" t="s">
        <v>621</v>
      </c>
      <c r="B8" s="590"/>
      <c r="C8" s="578">
        <v>0</v>
      </c>
      <c r="D8" s="590">
        <v>222.87</v>
      </c>
      <c r="E8" s="578">
        <v>1</v>
      </c>
      <c r="F8" s="591">
        <v>222.87</v>
      </c>
    </row>
    <row r="9" spans="1:6" ht="14.4" customHeight="1" x14ac:dyDescent="0.3">
      <c r="A9" s="598" t="s">
        <v>622</v>
      </c>
      <c r="B9" s="590"/>
      <c r="C9" s="578">
        <v>0</v>
      </c>
      <c r="D9" s="590">
        <v>572.98</v>
      </c>
      <c r="E9" s="578">
        <v>1</v>
      </c>
      <c r="F9" s="591">
        <v>572.98</v>
      </c>
    </row>
    <row r="10" spans="1:6" ht="14.4" customHeight="1" thickBot="1" x14ac:dyDescent="0.35">
      <c r="A10" s="599" t="s">
        <v>626</v>
      </c>
      <c r="B10" s="594"/>
      <c r="C10" s="595">
        <v>0</v>
      </c>
      <c r="D10" s="594">
        <v>990.33</v>
      </c>
      <c r="E10" s="595">
        <v>1</v>
      </c>
      <c r="F10" s="596">
        <v>990.33</v>
      </c>
    </row>
    <row r="11" spans="1:6" ht="14.4" customHeight="1" thickBot="1" x14ac:dyDescent="0.35">
      <c r="A11" s="510" t="s">
        <v>3</v>
      </c>
      <c r="B11" s="511">
        <v>1308.04</v>
      </c>
      <c r="C11" s="512">
        <v>0.1524133117537598</v>
      </c>
      <c r="D11" s="511">
        <v>7274.15</v>
      </c>
      <c r="E11" s="512">
        <v>0.84758668824624006</v>
      </c>
      <c r="F11" s="513">
        <v>8582.19</v>
      </c>
    </row>
    <row r="12" spans="1:6" ht="14.4" customHeight="1" thickBot="1" x14ac:dyDescent="0.35"/>
    <row r="13" spans="1:6" ht="14.4" customHeight="1" x14ac:dyDescent="0.3">
      <c r="A13" s="597" t="s">
        <v>911</v>
      </c>
      <c r="B13" s="129">
        <v>759.24</v>
      </c>
      <c r="C13" s="571">
        <v>1</v>
      </c>
      <c r="D13" s="129"/>
      <c r="E13" s="571">
        <v>0</v>
      </c>
      <c r="F13" s="589">
        <v>759.24</v>
      </c>
    </row>
    <row r="14" spans="1:6" ht="14.4" customHeight="1" x14ac:dyDescent="0.3">
      <c r="A14" s="598" t="s">
        <v>912</v>
      </c>
      <c r="B14" s="590">
        <v>323.43</v>
      </c>
      <c r="C14" s="578">
        <v>1</v>
      </c>
      <c r="D14" s="590"/>
      <c r="E14" s="578">
        <v>0</v>
      </c>
      <c r="F14" s="591">
        <v>323.43</v>
      </c>
    </row>
    <row r="15" spans="1:6" ht="14.4" customHeight="1" x14ac:dyDescent="0.3">
      <c r="A15" s="598" t="s">
        <v>913</v>
      </c>
      <c r="B15" s="590">
        <v>200.07</v>
      </c>
      <c r="C15" s="578">
        <v>1</v>
      </c>
      <c r="D15" s="590"/>
      <c r="E15" s="578">
        <v>0</v>
      </c>
      <c r="F15" s="591">
        <v>200.07</v>
      </c>
    </row>
    <row r="16" spans="1:6" ht="14.4" customHeight="1" x14ac:dyDescent="0.3">
      <c r="A16" s="598" t="s">
        <v>914</v>
      </c>
      <c r="B16" s="590">
        <v>25.3</v>
      </c>
      <c r="C16" s="578">
        <v>0.13460310704405193</v>
      </c>
      <c r="D16" s="590">
        <v>162.66</v>
      </c>
      <c r="E16" s="578">
        <v>0.86539689295594802</v>
      </c>
      <c r="F16" s="591">
        <v>187.96</v>
      </c>
    </row>
    <row r="17" spans="1:6" ht="14.4" customHeight="1" x14ac:dyDescent="0.3">
      <c r="A17" s="598" t="s">
        <v>915</v>
      </c>
      <c r="B17" s="590"/>
      <c r="C17" s="578">
        <v>0</v>
      </c>
      <c r="D17" s="590">
        <v>228.78000000000003</v>
      </c>
      <c r="E17" s="578">
        <v>1</v>
      </c>
      <c r="F17" s="591">
        <v>228.78000000000003</v>
      </c>
    </row>
    <row r="18" spans="1:6" ht="14.4" customHeight="1" x14ac:dyDescent="0.3">
      <c r="A18" s="598" t="s">
        <v>916</v>
      </c>
      <c r="B18" s="590"/>
      <c r="C18" s="578">
        <v>0</v>
      </c>
      <c r="D18" s="590">
        <v>222.25</v>
      </c>
      <c r="E18" s="578">
        <v>1</v>
      </c>
      <c r="F18" s="591">
        <v>222.25</v>
      </c>
    </row>
    <row r="19" spans="1:6" ht="14.4" customHeight="1" x14ac:dyDescent="0.3">
      <c r="A19" s="598" t="s">
        <v>917</v>
      </c>
      <c r="B19" s="590">
        <v>0</v>
      </c>
      <c r="C19" s="578">
        <v>0</v>
      </c>
      <c r="D19" s="590">
        <v>647.03</v>
      </c>
      <c r="E19" s="578">
        <v>1</v>
      </c>
      <c r="F19" s="591">
        <v>647.03</v>
      </c>
    </row>
    <row r="20" spans="1:6" ht="14.4" customHeight="1" x14ac:dyDescent="0.3">
      <c r="A20" s="598" t="s">
        <v>918</v>
      </c>
      <c r="B20" s="590">
        <v>0</v>
      </c>
      <c r="C20" s="578"/>
      <c r="D20" s="590"/>
      <c r="E20" s="578"/>
      <c r="F20" s="591">
        <v>0</v>
      </c>
    </row>
    <row r="21" spans="1:6" ht="14.4" customHeight="1" x14ac:dyDescent="0.3">
      <c r="A21" s="598" t="s">
        <v>919</v>
      </c>
      <c r="B21" s="590"/>
      <c r="C21" s="578">
        <v>0</v>
      </c>
      <c r="D21" s="590">
        <v>517.61999999999989</v>
      </c>
      <c r="E21" s="578">
        <v>1</v>
      </c>
      <c r="F21" s="591">
        <v>517.61999999999989</v>
      </c>
    </row>
    <row r="22" spans="1:6" ht="14.4" customHeight="1" x14ac:dyDescent="0.3">
      <c r="A22" s="598" t="s">
        <v>920</v>
      </c>
      <c r="B22" s="590"/>
      <c r="C22" s="578">
        <v>0</v>
      </c>
      <c r="D22" s="590">
        <v>501.19000000000005</v>
      </c>
      <c r="E22" s="578">
        <v>1</v>
      </c>
      <c r="F22" s="591">
        <v>501.19000000000005</v>
      </c>
    </row>
    <row r="23" spans="1:6" ht="14.4" customHeight="1" x14ac:dyDescent="0.3">
      <c r="A23" s="598" t="s">
        <v>921</v>
      </c>
      <c r="B23" s="590"/>
      <c r="C23" s="578">
        <v>0</v>
      </c>
      <c r="D23" s="590">
        <v>151.71</v>
      </c>
      <c r="E23" s="578">
        <v>1</v>
      </c>
      <c r="F23" s="591">
        <v>151.71</v>
      </c>
    </row>
    <row r="24" spans="1:6" ht="14.4" customHeight="1" x14ac:dyDescent="0.3">
      <c r="A24" s="598" t="s">
        <v>922</v>
      </c>
      <c r="B24" s="590"/>
      <c r="C24" s="578">
        <v>0</v>
      </c>
      <c r="D24" s="590">
        <v>1381.9</v>
      </c>
      <c r="E24" s="578">
        <v>1</v>
      </c>
      <c r="F24" s="591">
        <v>1381.9</v>
      </c>
    </row>
    <row r="25" spans="1:6" ht="14.4" customHeight="1" x14ac:dyDescent="0.3">
      <c r="A25" s="598" t="s">
        <v>923</v>
      </c>
      <c r="B25" s="590"/>
      <c r="C25" s="578">
        <v>0</v>
      </c>
      <c r="D25" s="590">
        <v>116.8</v>
      </c>
      <c r="E25" s="578">
        <v>1</v>
      </c>
      <c r="F25" s="591">
        <v>116.8</v>
      </c>
    </row>
    <row r="26" spans="1:6" ht="14.4" customHeight="1" x14ac:dyDescent="0.3">
      <c r="A26" s="598" t="s">
        <v>609</v>
      </c>
      <c r="B26" s="590"/>
      <c r="C26" s="578">
        <v>0</v>
      </c>
      <c r="D26" s="590">
        <v>94.8</v>
      </c>
      <c r="E26" s="578">
        <v>1</v>
      </c>
      <c r="F26" s="591">
        <v>94.8</v>
      </c>
    </row>
    <row r="27" spans="1:6" ht="14.4" customHeight="1" x14ac:dyDescent="0.3">
      <c r="A27" s="598" t="s">
        <v>924</v>
      </c>
      <c r="B27" s="590"/>
      <c r="C27" s="578">
        <v>0</v>
      </c>
      <c r="D27" s="590">
        <v>544.99</v>
      </c>
      <c r="E27" s="578">
        <v>1</v>
      </c>
      <c r="F27" s="591">
        <v>544.99</v>
      </c>
    </row>
    <row r="28" spans="1:6" ht="14.4" customHeight="1" x14ac:dyDescent="0.3">
      <c r="A28" s="598" t="s">
        <v>925</v>
      </c>
      <c r="B28" s="590"/>
      <c r="C28" s="578">
        <v>0</v>
      </c>
      <c r="D28" s="590">
        <v>356.47</v>
      </c>
      <c r="E28" s="578">
        <v>1</v>
      </c>
      <c r="F28" s="591">
        <v>356.47</v>
      </c>
    </row>
    <row r="29" spans="1:6" ht="14.4" customHeight="1" x14ac:dyDescent="0.3">
      <c r="A29" s="598" t="s">
        <v>926</v>
      </c>
      <c r="B29" s="590"/>
      <c r="C29" s="578">
        <v>0</v>
      </c>
      <c r="D29" s="590">
        <v>101.16</v>
      </c>
      <c r="E29" s="578">
        <v>1</v>
      </c>
      <c r="F29" s="591">
        <v>101.16</v>
      </c>
    </row>
    <row r="30" spans="1:6" ht="14.4" customHeight="1" x14ac:dyDescent="0.3">
      <c r="A30" s="598" t="s">
        <v>927</v>
      </c>
      <c r="B30" s="590"/>
      <c r="C30" s="578">
        <v>0</v>
      </c>
      <c r="D30" s="590">
        <v>32.630000000000003</v>
      </c>
      <c r="E30" s="578">
        <v>1</v>
      </c>
      <c r="F30" s="591">
        <v>32.630000000000003</v>
      </c>
    </row>
    <row r="31" spans="1:6" ht="14.4" customHeight="1" x14ac:dyDescent="0.3">
      <c r="A31" s="598" t="s">
        <v>928</v>
      </c>
      <c r="B31" s="590"/>
      <c r="C31" s="578">
        <v>0</v>
      </c>
      <c r="D31" s="590">
        <v>413.22</v>
      </c>
      <c r="E31" s="578">
        <v>1</v>
      </c>
      <c r="F31" s="591">
        <v>413.22</v>
      </c>
    </row>
    <row r="32" spans="1:6" ht="14.4" customHeight="1" x14ac:dyDescent="0.3">
      <c r="A32" s="598" t="s">
        <v>929</v>
      </c>
      <c r="B32" s="590"/>
      <c r="C32" s="578">
        <v>0</v>
      </c>
      <c r="D32" s="590">
        <v>1278.58</v>
      </c>
      <c r="E32" s="578">
        <v>1</v>
      </c>
      <c r="F32" s="591">
        <v>1278.58</v>
      </c>
    </row>
    <row r="33" spans="1:6" ht="14.4" customHeight="1" thickBot="1" x14ac:dyDescent="0.35">
      <c r="A33" s="599" t="s">
        <v>930</v>
      </c>
      <c r="B33" s="594"/>
      <c r="C33" s="595">
        <v>0</v>
      </c>
      <c r="D33" s="594">
        <v>522.36</v>
      </c>
      <c r="E33" s="595">
        <v>1</v>
      </c>
      <c r="F33" s="596">
        <v>522.36</v>
      </c>
    </row>
    <row r="34" spans="1:6" ht="14.4" customHeight="1" thickBot="1" x14ac:dyDescent="0.35">
      <c r="A34" s="510" t="s">
        <v>3</v>
      </c>
      <c r="B34" s="511">
        <v>1308.04</v>
      </c>
      <c r="C34" s="512">
        <v>0.15241331175375983</v>
      </c>
      <c r="D34" s="511">
        <v>7274.1500000000005</v>
      </c>
      <c r="E34" s="512">
        <v>0.84758668824624039</v>
      </c>
      <c r="F34" s="513">
        <v>8582.1899999999987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{D4F59587-D265-4205-A43E-E5535384CAFE}</x14:id>
        </ext>
      </extLst>
    </cfRule>
  </conditionalFormatting>
  <conditionalFormatting sqref="F13:F3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{A446198C-8265-49EE-8C4F-6ED263231B7E}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F59587-D265-4205-A43E-E5535384CA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A446198C-8265-49EE-8C4F-6ED263231B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F13:F33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43" customWidth="1"/>
    <col min="2" max="2" width="8.88671875" style="143" bestFit="1" customWidth="1"/>
    <col min="3" max="3" width="7" style="143" bestFit="1" customWidth="1"/>
    <col min="4" max="5" width="22.21875" style="143" customWidth="1"/>
    <col min="6" max="6" width="6.6640625" style="222" customWidth="1"/>
    <col min="7" max="7" width="10" style="222" customWidth="1"/>
    <col min="8" max="8" width="6.77734375" style="225" customWidth="1"/>
    <col min="9" max="9" width="6.6640625" style="222" customWidth="1"/>
    <col min="10" max="10" width="10" style="222" customWidth="1"/>
    <col min="11" max="11" width="6.77734375" style="225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952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14</v>
      </c>
      <c r="G3" s="43">
        <f>SUBTOTAL(9,G6:G1048576)</f>
        <v>1308.04</v>
      </c>
      <c r="H3" s="44">
        <f>IF(M3=0,0,G3/M3)</f>
        <v>0.15241331175375983</v>
      </c>
      <c r="I3" s="43">
        <f>SUBTOTAL(9,I6:I1048576)</f>
        <v>72</v>
      </c>
      <c r="J3" s="43">
        <f>SUBTOTAL(9,J6:J1048576)</f>
        <v>7274.1500000000005</v>
      </c>
      <c r="K3" s="44">
        <f>IF(M3=0,0,J3/M3)</f>
        <v>0.84758668824624039</v>
      </c>
      <c r="L3" s="43">
        <f>SUBTOTAL(9,L6:L1048576)</f>
        <v>86</v>
      </c>
      <c r="M3" s="45">
        <f>SUBTOTAL(9,M6:M1048576)</f>
        <v>8582.1899999999987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88" t="s">
        <v>144</v>
      </c>
      <c r="B5" s="600" t="s">
        <v>140</v>
      </c>
      <c r="C5" s="600" t="s">
        <v>71</v>
      </c>
      <c r="D5" s="600" t="s">
        <v>141</v>
      </c>
      <c r="E5" s="600" t="s">
        <v>142</v>
      </c>
      <c r="F5" s="523" t="s">
        <v>28</v>
      </c>
      <c r="G5" s="523" t="s">
        <v>14</v>
      </c>
      <c r="H5" s="505" t="s">
        <v>143</v>
      </c>
      <c r="I5" s="504" t="s">
        <v>28</v>
      </c>
      <c r="J5" s="523" t="s">
        <v>14</v>
      </c>
      <c r="K5" s="505" t="s">
        <v>143</v>
      </c>
      <c r="L5" s="504" t="s">
        <v>28</v>
      </c>
      <c r="M5" s="524" t="s">
        <v>14</v>
      </c>
    </row>
    <row r="6" spans="1:13" ht="14.4" customHeight="1" x14ac:dyDescent="0.3">
      <c r="A6" s="565" t="s">
        <v>621</v>
      </c>
      <c r="B6" s="566" t="s">
        <v>931</v>
      </c>
      <c r="C6" s="566" t="s">
        <v>670</v>
      </c>
      <c r="D6" s="566" t="s">
        <v>671</v>
      </c>
      <c r="E6" s="566" t="s">
        <v>672</v>
      </c>
      <c r="F6" s="129"/>
      <c r="G6" s="129"/>
      <c r="H6" s="571">
        <v>0</v>
      </c>
      <c r="I6" s="129">
        <v>1</v>
      </c>
      <c r="J6" s="129">
        <v>96.63</v>
      </c>
      <c r="K6" s="571">
        <v>1</v>
      </c>
      <c r="L6" s="129">
        <v>1</v>
      </c>
      <c r="M6" s="589">
        <v>96.63</v>
      </c>
    </row>
    <row r="7" spans="1:13" ht="14.4" customHeight="1" x14ac:dyDescent="0.3">
      <c r="A7" s="572" t="s">
        <v>621</v>
      </c>
      <c r="B7" s="573" t="s">
        <v>932</v>
      </c>
      <c r="C7" s="573" t="s">
        <v>695</v>
      </c>
      <c r="D7" s="573" t="s">
        <v>696</v>
      </c>
      <c r="E7" s="573" t="s">
        <v>697</v>
      </c>
      <c r="F7" s="590"/>
      <c r="G7" s="590"/>
      <c r="H7" s="578">
        <v>0</v>
      </c>
      <c r="I7" s="590">
        <v>3</v>
      </c>
      <c r="J7" s="590">
        <v>126.24</v>
      </c>
      <c r="K7" s="578">
        <v>1</v>
      </c>
      <c r="L7" s="590">
        <v>3</v>
      </c>
      <c r="M7" s="591">
        <v>126.24</v>
      </c>
    </row>
    <row r="8" spans="1:13" ht="14.4" customHeight="1" x14ac:dyDescent="0.3">
      <c r="A8" s="572" t="s">
        <v>622</v>
      </c>
      <c r="B8" s="573" t="s">
        <v>933</v>
      </c>
      <c r="C8" s="573" t="s">
        <v>707</v>
      </c>
      <c r="D8" s="573" t="s">
        <v>708</v>
      </c>
      <c r="E8" s="573" t="s">
        <v>709</v>
      </c>
      <c r="F8" s="590"/>
      <c r="G8" s="590"/>
      <c r="H8" s="578"/>
      <c r="I8" s="590">
        <v>1</v>
      </c>
      <c r="J8" s="590">
        <v>0</v>
      </c>
      <c r="K8" s="578"/>
      <c r="L8" s="590">
        <v>1</v>
      </c>
      <c r="M8" s="591">
        <v>0</v>
      </c>
    </row>
    <row r="9" spans="1:13" ht="14.4" customHeight="1" x14ac:dyDescent="0.3">
      <c r="A9" s="572" t="s">
        <v>622</v>
      </c>
      <c r="B9" s="573" t="s">
        <v>934</v>
      </c>
      <c r="C9" s="573" t="s">
        <v>711</v>
      </c>
      <c r="D9" s="573" t="s">
        <v>712</v>
      </c>
      <c r="E9" s="573" t="s">
        <v>713</v>
      </c>
      <c r="F9" s="590"/>
      <c r="G9" s="590"/>
      <c r="H9" s="578">
        <v>0</v>
      </c>
      <c r="I9" s="590">
        <v>1</v>
      </c>
      <c r="J9" s="590">
        <v>130.59</v>
      </c>
      <c r="K9" s="578">
        <v>1</v>
      </c>
      <c r="L9" s="590">
        <v>1</v>
      </c>
      <c r="M9" s="591">
        <v>130.59</v>
      </c>
    </row>
    <row r="10" spans="1:13" ht="14.4" customHeight="1" x14ac:dyDescent="0.3">
      <c r="A10" s="572" t="s">
        <v>622</v>
      </c>
      <c r="B10" s="573" t="s">
        <v>934</v>
      </c>
      <c r="C10" s="573" t="s">
        <v>714</v>
      </c>
      <c r="D10" s="573" t="s">
        <v>712</v>
      </c>
      <c r="E10" s="573" t="s">
        <v>715</v>
      </c>
      <c r="F10" s="590"/>
      <c r="G10" s="590"/>
      <c r="H10" s="578">
        <v>0</v>
      </c>
      <c r="I10" s="590">
        <v>1</v>
      </c>
      <c r="J10" s="590">
        <v>391.77</v>
      </c>
      <c r="K10" s="578">
        <v>1</v>
      </c>
      <c r="L10" s="590">
        <v>1</v>
      </c>
      <c r="M10" s="591">
        <v>391.77</v>
      </c>
    </row>
    <row r="11" spans="1:13" ht="14.4" customHeight="1" x14ac:dyDescent="0.3">
      <c r="A11" s="572" t="s">
        <v>622</v>
      </c>
      <c r="B11" s="573" t="s">
        <v>931</v>
      </c>
      <c r="C11" s="573" t="s">
        <v>670</v>
      </c>
      <c r="D11" s="573" t="s">
        <v>671</v>
      </c>
      <c r="E11" s="573" t="s">
        <v>672</v>
      </c>
      <c r="F11" s="590"/>
      <c r="G11" s="590"/>
      <c r="H11" s="578">
        <v>0</v>
      </c>
      <c r="I11" s="590">
        <v>1</v>
      </c>
      <c r="J11" s="590">
        <v>50.62</v>
      </c>
      <c r="K11" s="578">
        <v>1</v>
      </c>
      <c r="L11" s="590">
        <v>1</v>
      </c>
      <c r="M11" s="591">
        <v>50.62</v>
      </c>
    </row>
    <row r="12" spans="1:13" ht="14.4" customHeight="1" x14ac:dyDescent="0.3">
      <c r="A12" s="572" t="s">
        <v>623</v>
      </c>
      <c r="B12" s="573" t="s">
        <v>935</v>
      </c>
      <c r="C12" s="573" t="s">
        <v>789</v>
      </c>
      <c r="D12" s="573" t="s">
        <v>790</v>
      </c>
      <c r="E12" s="573" t="s">
        <v>791</v>
      </c>
      <c r="F12" s="590">
        <v>2</v>
      </c>
      <c r="G12" s="590">
        <v>253.08</v>
      </c>
      <c r="H12" s="578">
        <v>1</v>
      </c>
      <c r="I12" s="590"/>
      <c r="J12" s="590"/>
      <c r="K12" s="578">
        <v>0</v>
      </c>
      <c r="L12" s="590">
        <v>2</v>
      </c>
      <c r="M12" s="591">
        <v>253.08</v>
      </c>
    </row>
    <row r="13" spans="1:13" ht="14.4" customHeight="1" x14ac:dyDescent="0.3">
      <c r="A13" s="572" t="s">
        <v>623</v>
      </c>
      <c r="B13" s="573" t="s">
        <v>933</v>
      </c>
      <c r="C13" s="573" t="s">
        <v>763</v>
      </c>
      <c r="D13" s="573" t="s">
        <v>764</v>
      </c>
      <c r="E13" s="573" t="s">
        <v>765</v>
      </c>
      <c r="F13" s="590"/>
      <c r="G13" s="590"/>
      <c r="H13" s="578">
        <v>0</v>
      </c>
      <c r="I13" s="590">
        <v>1</v>
      </c>
      <c r="J13" s="590">
        <v>215.56</v>
      </c>
      <c r="K13" s="578">
        <v>1</v>
      </c>
      <c r="L13" s="590">
        <v>1</v>
      </c>
      <c r="M13" s="591">
        <v>215.56</v>
      </c>
    </row>
    <row r="14" spans="1:13" ht="14.4" customHeight="1" x14ac:dyDescent="0.3">
      <c r="A14" s="572" t="s">
        <v>623</v>
      </c>
      <c r="B14" s="573" t="s">
        <v>933</v>
      </c>
      <c r="C14" s="573" t="s">
        <v>766</v>
      </c>
      <c r="D14" s="573" t="s">
        <v>764</v>
      </c>
      <c r="E14" s="573" t="s">
        <v>767</v>
      </c>
      <c r="F14" s="590"/>
      <c r="G14" s="590"/>
      <c r="H14" s="578">
        <v>0</v>
      </c>
      <c r="I14" s="590">
        <v>3</v>
      </c>
      <c r="J14" s="590">
        <v>215.57999999999998</v>
      </c>
      <c r="K14" s="578">
        <v>1</v>
      </c>
      <c r="L14" s="590">
        <v>3</v>
      </c>
      <c r="M14" s="591">
        <v>215.57999999999998</v>
      </c>
    </row>
    <row r="15" spans="1:13" ht="14.4" customHeight="1" x14ac:dyDescent="0.3">
      <c r="A15" s="572" t="s">
        <v>623</v>
      </c>
      <c r="B15" s="573" t="s">
        <v>933</v>
      </c>
      <c r="C15" s="573" t="s">
        <v>768</v>
      </c>
      <c r="D15" s="573" t="s">
        <v>764</v>
      </c>
      <c r="E15" s="573" t="s">
        <v>765</v>
      </c>
      <c r="F15" s="590"/>
      <c r="G15" s="590"/>
      <c r="H15" s="578"/>
      <c r="I15" s="590">
        <v>1</v>
      </c>
      <c r="J15" s="590">
        <v>0</v>
      </c>
      <c r="K15" s="578"/>
      <c r="L15" s="590">
        <v>1</v>
      </c>
      <c r="M15" s="591">
        <v>0</v>
      </c>
    </row>
    <row r="16" spans="1:13" ht="14.4" customHeight="1" x14ac:dyDescent="0.3">
      <c r="A16" s="572" t="s">
        <v>623</v>
      </c>
      <c r="B16" s="573" t="s">
        <v>936</v>
      </c>
      <c r="C16" s="573" t="s">
        <v>770</v>
      </c>
      <c r="D16" s="573" t="s">
        <v>771</v>
      </c>
      <c r="E16" s="573" t="s">
        <v>772</v>
      </c>
      <c r="F16" s="590"/>
      <c r="G16" s="590"/>
      <c r="H16" s="578">
        <v>0</v>
      </c>
      <c r="I16" s="590">
        <v>2</v>
      </c>
      <c r="J16" s="590">
        <v>162.66</v>
      </c>
      <c r="K16" s="578">
        <v>1</v>
      </c>
      <c r="L16" s="590">
        <v>2</v>
      </c>
      <c r="M16" s="591">
        <v>162.66</v>
      </c>
    </row>
    <row r="17" spans="1:13" ht="14.4" customHeight="1" x14ac:dyDescent="0.3">
      <c r="A17" s="572" t="s">
        <v>623</v>
      </c>
      <c r="B17" s="573" t="s">
        <v>936</v>
      </c>
      <c r="C17" s="573" t="s">
        <v>773</v>
      </c>
      <c r="D17" s="573" t="s">
        <v>774</v>
      </c>
      <c r="E17" s="573" t="s">
        <v>775</v>
      </c>
      <c r="F17" s="590">
        <v>1</v>
      </c>
      <c r="G17" s="590">
        <v>25.3</v>
      </c>
      <c r="H17" s="578">
        <v>1</v>
      </c>
      <c r="I17" s="590"/>
      <c r="J17" s="590"/>
      <c r="K17" s="578">
        <v>0</v>
      </c>
      <c r="L17" s="590">
        <v>1</v>
      </c>
      <c r="M17" s="591">
        <v>25.3</v>
      </c>
    </row>
    <row r="18" spans="1:13" ht="14.4" customHeight="1" x14ac:dyDescent="0.3">
      <c r="A18" s="572" t="s">
        <v>623</v>
      </c>
      <c r="B18" s="573" t="s">
        <v>937</v>
      </c>
      <c r="C18" s="573" t="s">
        <v>728</v>
      </c>
      <c r="D18" s="573" t="s">
        <v>729</v>
      </c>
      <c r="E18" s="573" t="s">
        <v>636</v>
      </c>
      <c r="F18" s="590"/>
      <c r="G18" s="590"/>
      <c r="H18" s="578">
        <v>0</v>
      </c>
      <c r="I18" s="590">
        <v>1</v>
      </c>
      <c r="J18" s="590">
        <v>333.31</v>
      </c>
      <c r="K18" s="578">
        <v>1</v>
      </c>
      <c r="L18" s="590">
        <v>1</v>
      </c>
      <c r="M18" s="591">
        <v>333.31</v>
      </c>
    </row>
    <row r="19" spans="1:13" ht="14.4" customHeight="1" x14ac:dyDescent="0.3">
      <c r="A19" s="572" t="s">
        <v>623</v>
      </c>
      <c r="B19" s="573" t="s">
        <v>938</v>
      </c>
      <c r="C19" s="573" t="s">
        <v>731</v>
      </c>
      <c r="D19" s="573" t="s">
        <v>732</v>
      </c>
      <c r="E19" s="573" t="s">
        <v>733</v>
      </c>
      <c r="F19" s="590"/>
      <c r="G19" s="590"/>
      <c r="H19" s="578">
        <v>0</v>
      </c>
      <c r="I19" s="590">
        <v>1</v>
      </c>
      <c r="J19" s="590">
        <v>222.25</v>
      </c>
      <c r="K19" s="578">
        <v>1</v>
      </c>
      <c r="L19" s="590">
        <v>1</v>
      </c>
      <c r="M19" s="591">
        <v>222.25</v>
      </c>
    </row>
    <row r="20" spans="1:13" ht="14.4" customHeight="1" x14ac:dyDescent="0.3">
      <c r="A20" s="572" t="s">
        <v>623</v>
      </c>
      <c r="B20" s="573" t="s">
        <v>931</v>
      </c>
      <c r="C20" s="573" t="s">
        <v>670</v>
      </c>
      <c r="D20" s="573" t="s">
        <v>671</v>
      </c>
      <c r="E20" s="573" t="s">
        <v>672</v>
      </c>
      <c r="F20" s="590"/>
      <c r="G20" s="590"/>
      <c r="H20" s="578">
        <v>0</v>
      </c>
      <c r="I20" s="590">
        <v>2</v>
      </c>
      <c r="J20" s="590">
        <v>193.26</v>
      </c>
      <c r="K20" s="578">
        <v>1</v>
      </c>
      <c r="L20" s="590">
        <v>2</v>
      </c>
      <c r="M20" s="591">
        <v>193.26</v>
      </c>
    </row>
    <row r="21" spans="1:13" ht="14.4" customHeight="1" x14ac:dyDescent="0.3">
      <c r="A21" s="572" t="s">
        <v>623</v>
      </c>
      <c r="B21" s="573" t="s">
        <v>932</v>
      </c>
      <c r="C21" s="573" t="s">
        <v>695</v>
      </c>
      <c r="D21" s="573" t="s">
        <v>696</v>
      </c>
      <c r="E21" s="573" t="s">
        <v>697</v>
      </c>
      <c r="F21" s="590"/>
      <c r="G21" s="590"/>
      <c r="H21" s="578">
        <v>0</v>
      </c>
      <c r="I21" s="590">
        <v>3</v>
      </c>
      <c r="J21" s="590">
        <v>126.24</v>
      </c>
      <c r="K21" s="578">
        <v>1</v>
      </c>
      <c r="L21" s="590">
        <v>3</v>
      </c>
      <c r="M21" s="591">
        <v>126.24</v>
      </c>
    </row>
    <row r="22" spans="1:13" ht="14.4" customHeight="1" x14ac:dyDescent="0.3">
      <c r="A22" s="572" t="s">
        <v>623</v>
      </c>
      <c r="B22" s="573" t="s">
        <v>612</v>
      </c>
      <c r="C22" s="573" t="s">
        <v>545</v>
      </c>
      <c r="D22" s="573" t="s">
        <v>546</v>
      </c>
      <c r="E22" s="573" t="s">
        <v>613</v>
      </c>
      <c r="F22" s="590"/>
      <c r="G22" s="590"/>
      <c r="H22" s="578">
        <v>0</v>
      </c>
      <c r="I22" s="590">
        <v>1</v>
      </c>
      <c r="J22" s="590">
        <v>94.8</v>
      </c>
      <c r="K22" s="578">
        <v>1</v>
      </c>
      <c r="L22" s="590">
        <v>1</v>
      </c>
      <c r="M22" s="591">
        <v>94.8</v>
      </c>
    </row>
    <row r="23" spans="1:13" ht="14.4" customHeight="1" x14ac:dyDescent="0.3">
      <c r="A23" s="572" t="s">
        <v>624</v>
      </c>
      <c r="B23" s="573" t="s">
        <v>939</v>
      </c>
      <c r="C23" s="573" t="s">
        <v>823</v>
      </c>
      <c r="D23" s="573" t="s">
        <v>824</v>
      </c>
      <c r="E23" s="573"/>
      <c r="F23" s="590">
        <v>3</v>
      </c>
      <c r="G23" s="590">
        <v>0</v>
      </c>
      <c r="H23" s="578"/>
      <c r="I23" s="590"/>
      <c r="J23" s="590"/>
      <c r="K23" s="578"/>
      <c r="L23" s="590">
        <v>3</v>
      </c>
      <c r="M23" s="591">
        <v>0</v>
      </c>
    </row>
    <row r="24" spans="1:13" ht="14.4" customHeight="1" x14ac:dyDescent="0.3">
      <c r="A24" s="572" t="s">
        <v>624</v>
      </c>
      <c r="B24" s="573" t="s">
        <v>935</v>
      </c>
      <c r="C24" s="573" t="s">
        <v>789</v>
      </c>
      <c r="D24" s="573" t="s">
        <v>790</v>
      </c>
      <c r="E24" s="573" t="s">
        <v>791</v>
      </c>
      <c r="F24" s="590">
        <v>4</v>
      </c>
      <c r="G24" s="590">
        <v>506.16</v>
      </c>
      <c r="H24" s="578">
        <v>1</v>
      </c>
      <c r="I24" s="590"/>
      <c r="J24" s="590"/>
      <c r="K24" s="578">
        <v>0</v>
      </c>
      <c r="L24" s="590">
        <v>4</v>
      </c>
      <c r="M24" s="591">
        <v>506.16</v>
      </c>
    </row>
    <row r="25" spans="1:13" ht="14.4" customHeight="1" x14ac:dyDescent="0.3">
      <c r="A25" s="572" t="s">
        <v>624</v>
      </c>
      <c r="B25" s="573" t="s">
        <v>940</v>
      </c>
      <c r="C25" s="573" t="s">
        <v>841</v>
      </c>
      <c r="D25" s="573" t="s">
        <v>842</v>
      </c>
      <c r="E25" s="573" t="s">
        <v>843</v>
      </c>
      <c r="F25" s="590">
        <v>1</v>
      </c>
      <c r="G25" s="590">
        <v>323.43</v>
      </c>
      <c r="H25" s="578">
        <v>1</v>
      </c>
      <c r="I25" s="590"/>
      <c r="J25" s="590"/>
      <c r="K25" s="578">
        <v>0</v>
      </c>
      <c r="L25" s="590">
        <v>1</v>
      </c>
      <c r="M25" s="591">
        <v>323.43</v>
      </c>
    </row>
    <row r="26" spans="1:13" ht="14.4" customHeight="1" x14ac:dyDescent="0.3">
      <c r="A26" s="572" t="s">
        <v>624</v>
      </c>
      <c r="B26" s="573" t="s">
        <v>941</v>
      </c>
      <c r="C26" s="573" t="s">
        <v>808</v>
      </c>
      <c r="D26" s="573" t="s">
        <v>809</v>
      </c>
      <c r="E26" s="573" t="s">
        <v>810</v>
      </c>
      <c r="F26" s="590"/>
      <c r="G26" s="590"/>
      <c r="H26" s="578">
        <v>0</v>
      </c>
      <c r="I26" s="590">
        <v>3</v>
      </c>
      <c r="J26" s="590">
        <v>605.64</v>
      </c>
      <c r="K26" s="578">
        <v>1</v>
      </c>
      <c r="L26" s="590">
        <v>3</v>
      </c>
      <c r="M26" s="591">
        <v>605.64</v>
      </c>
    </row>
    <row r="27" spans="1:13" ht="14.4" customHeight="1" x14ac:dyDescent="0.3">
      <c r="A27" s="572" t="s">
        <v>624</v>
      </c>
      <c r="B27" s="573" t="s">
        <v>941</v>
      </c>
      <c r="C27" s="573" t="s">
        <v>811</v>
      </c>
      <c r="D27" s="573" t="s">
        <v>809</v>
      </c>
      <c r="E27" s="573" t="s">
        <v>812</v>
      </c>
      <c r="F27" s="590"/>
      <c r="G27" s="590"/>
      <c r="H27" s="578">
        <v>0</v>
      </c>
      <c r="I27" s="590">
        <v>1</v>
      </c>
      <c r="J27" s="590">
        <v>672.94</v>
      </c>
      <c r="K27" s="578">
        <v>1</v>
      </c>
      <c r="L27" s="590">
        <v>1</v>
      </c>
      <c r="M27" s="591">
        <v>672.94</v>
      </c>
    </row>
    <row r="28" spans="1:13" ht="14.4" customHeight="1" x14ac:dyDescent="0.3">
      <c r="A28" s="572" t="s">
        <v>624</v>
      </c>
      <c r="B28" s="573" t="s">
        <v>942</v>
      </c>
      <c r="C28" s="573" t="s">
        <v>833</v>
      </c>
      <c r="D28" s="573" t="s">
        <v>834</v>
      </c>
      <c r="E28" s="573" t="s">
        <v>835</v>
      </c>
      <c r="F28" s="590"/>
      <c r="G28" s="590"/>
      <c r="H28" s="578">
        <v>0</v>
      </c>
      <c r="I28" s="590">
        <v>3</v>
      </c>
      <c r="J28" s="590">
        <v>151.71</v>
      </c>
      <c r="K28" s="578">
        <v>1</v>
      </c>
      <c r="L28" s="590">
        <v>3</v>
      </c>
      <c r="M28" s="591">
        <v>151.71</v>
      </c>
    </row>
    <row r="29" spans="1:13" ht="14.4" customHeight="1" x14ac:dyDescent="0.3">
      <c r="A29" s="572" t="s">
        <v>624</v>
      </c>
      <c r="B29" s="573" t="s">
        <v>937</v>
      </c>
      <c r="C29" s="573" t="s">
        <v>801</v>
      </c>
      <c r="D29" s="573" t="s">
        <v>635</v>
      </c>
      <c r="E29" s="573" t="s">
        <v>802</v>
      </c>
      <c r="F29" s="590">
        <v>2</v>
      </c>
      <c r="G29" s="590">
        <v>0</v>
      </c>
      <c r="H29" s="578"/>
      <c r="I29" s="590"/>
      <c r="J29" s="590"/>
      <c r="K29" s="578"/>
      <c r="L29" s="590">
        <v>2</v>
      </c>
      <c r="M29" s="591">
        <v>0</v>
      </c>
    </row>
    <row r="30" spans="1:13" ht="14.4" customHeight="1" x14ac:dyDescent="0.3">
      <c r="A30" s="572" t="s">
        <v>624</v>
      </c>
      <c r="B30" s="573" t="s">
        <v>943</v>
      </c>
      <c r="C30" s="573" t="s">
        <v>826</v>
      </c>
      <c r="D30" s="573" t="s">
        <v>827</v>
      </c>
      <c r="E30" s="573" t="s">
        <v>828</v>
      </c>
      <c r="F30" s="590"/>
      <c r="G30" s="590"/>
      <c r="H30" s="578">
        <v>0</v>
      </c>
      <c r="I30" s="590">
        <v>1</v>
      </c>
      <c r="J30" s="590">
        <v>116.8</v>
      </c>
      <c r="K30" s="578">
        <v>1</v>
      </c>
      <c r="L30" s="590">
        <v>1</v>
      </c>
      <c r="M30" s="591">
        <v>116.8</v>
      </c>
    </row>
    <row r="31" spans="1:13" ht="14.4" customHeight="1" x14ac:dyDescent="0.3">
      <c r="A31" s="572" t="s">
        <v>625</v>
      </c>
      <c r="B31" s="573" t="s">
        <v>944</v>
      </c>
      <c r="C31" s="573" t="s">
        <v>859</v>
      </c>
      <c r="D31" s="573" t="s">
        <v>860</v>
      </c>
      <c r="E31" s="573" t="s">
        <v>861</v>
      </c>
      <c r="F31" s="590"/>
      <c r="G31" s="590"/>
      <c r="H31" s="578">
        <v>0</v>
      </c>
      <c r="I31" s="590">
        <v>13</v>
      </c>
      <c r="J31" s="590">
        <v>1381.9</v>
      </c>
      <c r="K31" s="578">
        <v>1</v>
      </c>
      <c r="L31" s="590">
        <v>13</v>
      </c>
      <c r="M31" s="591">
        <v>1381.9</v>
      </c>
    </row>
    <row r="32" spans="1:13" ht="14.4" customHeight="1" x14ac:dyDescent="0.3">
      <c r="A32" s="572" t="s">
        <v>625</v>
      </c>
      <c r="B32" s="573" t="s">
        <v>945</v>
      </c>
      <c r="C32" s="573" t="s">
        <v>866</v>
      </c>
      <c r="D32" s="573" t="s">
        <v>867</v>
      </c>
      <c r="E32" s="573" t="s">
        <v>779</v>
      </c>
      <c r="F32" s="590">
        <v>1</v>
      </c>
      <c r="G32" s="590">
        <v>200.07</v>
      </c>
      <c r="H32" s="578">
        <v>1</v>
      </c>
      <c r="I32" s="590"/>
      <c r="J32" s="590"/>
      <c r="K32" s="578">
        <v>0</v>
      </c>
      <c r="L32" s="590">
        <v>1</v>
      </c>
      <c r="M32" s="591">
        <v>200.07</v>
      </c>
    </row>
    <row r="33" spans="1:13" ht="14.4" customHeight="1" x14ac:dyDescent="0.3">
      <c r="A33" s="572" t="s">
        <v>625</v>
      </c>
      <c r="B33" s="573" t="s">
        <v>946</v>
      </c>
      <c r="C33" s="573" t="s">
        <v>863</v>
      </c>
      <c r="D33" s="573" t="s">
        <v>864</v>
      </c>
      <c r="E33" s="573" t="s">
        <v>865</v>
      </c>
      <c r="F33" s="590"/>
      <c r="G33" s="590"/>
      <c r="H33" s="578">
        <v>0</v>
      </c>
      <c r="I33" s="590">
        <v>6</v>
      </c>
      <c r="J33" s="590">
        <v>228.78000000000003</v>
      </c>
      <c r="K33" s="578">
        <v>1</v>
      </c>
      <c r="L33" s="590">
        <v>6</v>
      </c>
      <c r="M33" s="591">
        <v>228.78000000000003</v>
      </c>
    </row>
    <row r="34" spans="1:13" ht="14.4" customHeight="1" x14ac:dyDescent="0.3">
      <c r="A34" s="572" t="s">
        <v>625</v>
      </c>
      <c r="B34" s="573" t="s">
        <v>931</v>
      </c>
      <c r="C34" s="573" t="s">
        <v>868</v>
      </c>
      <c r="D34" s="573" t="s">
        <v>671</v>
      </c>
      <c r="E34" s="573" t="s">
        <v>869</v>
      </c>
      <c r="F34" s="590"/>
      <c r="G34" s="590"/>
      <c r="H34" s="578">
        <v>0</v>
      </c>
      <c r="I34" s="590">
        <v>3</v>
      </c>
      <c r="J34" s="590">
        <v>144.93</v>
      </c>
      <c r="K34" s="578">
        <v>1</v>
      </c>
      <c r="L34" s="590">
        <v>3</v>
      </c>
      <c r="M34" s="591">
        <v>144.93</v>
      </c>
    </row>
    <row r="35" spans="1:13" ht="14.4" customHeight="1" x14ac:dyDescent="0.3">
      <c r="A35" s="572" t="s">
        <v>625</v>
      </c>
      <c r="B35" s="573" t="s">
        <v>932</v>
      </c>
      <c r="C35" s="573" t="s">
        <v>695</v>
      </c>
      <c r="D35" s="573" t="s">
        <v>696</v>
      </c>
      <c r="E35" s="573" t="s">
        <v>697</v>
      </c>
      <c r="F35" s="590"/>
      <c r="G35" s="590"/>
      <c r="H35" s="578">
        <v>0</v>
      </c>
      <c r="I35" s="590">
        <v>3</v>
      </c>
      <c r="J35" s="590">
        <v>126.24</v>
      </c>
      <c r="K35" s="578">
        <v>1</v>
      </c>
      <c r="L35" s="590">
        <v>3</v>
      </c>
      <c r="M35" s="591">
        <v>126.24</v>
      </c>
    </row>
    <row r="36" spans="1:13" ht="14.4" customHeight="1" x14ac:dyDescent="0.3">
      <c r="A36" s="572" t="s">
        <v>625</v>
      </c>
      <c r="B36" s="573" t="s">
        <v>932</v>
      </c>
      <c r="C36" s="573" t="s">
        <v>870</v>
      </c>
      <c r="D36" s="573" t="s">
        <v>871</v>
      </c>
      <c r="E36" s="573" t="s">
        <v>947</v>
      </c>
      <c r="F36" s="590"/>
      <c r="G36" s="590"/>
      <c r="H36" s="578">
        <v>0</v>
      </c>
      <c r="I36" s="590">
        <v>3</v>
      </c>
      <c r="J36" s="590">
        <v>138.89999999999998</v>
      </c>
      <c r="K36" s="578">
        <v>1</v>
      </c>
      <c r="L36" s="590">
        <v>3</v>
      </c>
      <c r="M36" s="591">
        <v>138.89999999999998</v>
      </c>
    </row>
    <row r="37" spans="1:13" ht="14.4" customHeight="1" x14ac:dyDescent="0.3">
      <c r="A37" s="572" t="s">
        <v>625</v>
      </c>
      <c r="B37" s="573" t="s">
        <v>948</v>
      </c>
      <c r="C37" s="573" t="s">
        <v>851</v>
      </c>
      <c r="D37" s="573" t="s">
        <v>852</v>
      </c>
      <c r="E37" s="573" t="s">
        <v>715</v>
      </c>
      <c r="F37" s="590"/>
      <c r="G37" s="590"/>
      <c r="H37" s="578">
        <v>0</v>
      </c>
      <c r="I37" s="590">
        <v>1</v>
      </c>
      <c r="J37" s="590">
        <v>356.47</v>
      </c>
      <c r="K37" s="578">
        <v>1</v>
      </c>
      <c r="L37" s="590">
        <v>1</v>
      </c>
      <c r="M37" s="591">
        <v>356.47</v>
      </c>
    </row>
    <row r="38" spans="1:13" ht="14.4" customHeight="1" x14ac:dyDescent="0.3">
      <c r="A38" s="572" t="s">
        <v>626</v>
      </c>
      <c r="B38" s="573" t="s">
        <v>949</v>
      </c>
      <c r="C38" s="573" t="s">
        <v>902</v>
      </c>
      <c r="D38" s="573" t="s">
        <v>903</v>
      </c>
      <c r="E38" s="573" t="s">
        <v>904</v>
      </c>
      <c r="F38" s="590"/>
      <c r="G38" s="590"/>
      <c r="H38" s="578">
        <v>0</v>
      </c>
      <c r="I38" s="590">
        <v>1</v>
      </c>
      <c r="J38" s="590">
        <v>32.630000000000003</v>
      </c>
      <c r="K38" s="578">
        <v>1</v>
      </c>
      <c r="L38" s="590">
        <v>1</v>
      </c>
      <c r="M38" s="591">
        <v>32.630000000000003</v>
      </c>
    </row>
    <row r="39" spans="1:13" ht="14.4" customHeight="1" x14ac:dyDescent="0.3">
      <c r="A39" s="572" t="s">
        <v>626</v>
      </c>
      <c r="B39" s="573" t="s">
        <v>950</v>
      </c>
      <c r="C39" s="573" t="s">
        <v>898</v>
      </c>
      <c r="D39" s="573" t="s">
        <v>899</v>
      </c>
      <c r="E39" s="573" t="s">
        <v>900</v>
      </c>
      <c r="F39" s="590"/>
      <c r="G39" s="590"/>
      <c r="H39" s="578">
        <v>0</v>
      </c>
      <c r="I39" s="590">
        <v>3</v>
      </c>
      <c r="J39" s="590">
        <v>101.16</v>
      </c>
      <c r="K39" s="578">
        <v>1</v>
      </c>
      <c r="L39" s="590">
        <v>3</v>
      </c>
      <c r="M39" s="591">
        <v>101.16</v>
      </c>
    </row>
    <row r="40" spans="1:13" ht="14.4" customHeight="1" x14ac:dyDescent="0.3">
      <c r="A40" s="572" t="s">
        <v>626</v>
      </c>
      <c r="B40" s="573" t="s">
        <v>933</v>
      </c>
      <c r="C40" s="573" t="s">
        <v>889</v>
      </c>
      <c r="D40" s="573" t="s">
        <v>708</v>
      </c>
      <c r="E40" s="573" t="s">
        <v>890</v>
      </c>
      <c r="F40" s="590"/>
      <c r="G40" s="590"/>
      <c r="H40" s="578">
        <v>0</v>
      </c>
      <c r="I40" s="590">
        <v>3</v>
      </c>
      <c r="J40" s="590">
        <v>70.050000000000011</v>
      </c>
      <c r="K40" s="578">
        <v>1</v>
      </c>
      <c r="L40" s="590">
        <v>3</v>
      </c>
      <c r="M40" s="591">
        <v>70.050000000000011</v>
      </c>
    </row>
    <row r="41" spans="1:13" ht="14.4" customHeight="1" x14ac:dyDescent="0.3">
      <c r="A41" s="572" t="s">
        <v>626</v>
      </c>
      <c r="B41" s="573" t="s">
        <v>933</v>
      </c>
      <c r="C41" s="573" t="s">
        <v>707</v>
      </c>
      <c r="D41" s="573" t="s">
        <v>708</v>
      </c>
      <c r="E41" s="573" t="s">
        <v>709</v>
      </c>
      <c r="F41" s="590"/>
      <c r="G41" s="590"/>
      <c r="H41" s="578"/>
      <c r="I41" s="590">
        <v>1</v>
      </c>
      <c r="J41" s="590">
        <v>0</v>
      </c>
      <c r="K41" s="578"/>
      <c r="L41" s="590">
        <v>1</v>
      </c>
      <c r="M41" s="591">
        <v>0</v>
      </c>
    </row>
    <row r="42" spans="1:13" ht="14.4" customHeight="1" x14ac:dyDescent="0.3">
      <c r="A42" s="572" t="s">
        <v>626</v>
      </c>
      <c r="B42" s="573" t="s">
        <v>937</v>
      </c>
      <c r="C42" s="573" t="s">
        <v>728</v>
      </c>
      <c r="D42" s="573" t="s">
        <v>729</v>
      </c>
      <c r="E42" s="573" t="s">
        <v>636</v>
      </c>
      <c r="F42" s="590"/>
      <c r="G42" s="590"/>
      <c r="H42" s="578">
        <v>0</v>
      </c>
      <c r="I42" s="590">
        <v>2</v>
      </c>
      <c r="J42" s="590">
        <v>313.72000000000003</v>
      </c>
      <c r="K42" s="578">
        <v>1</v>
      </c>
      <c r="L42" s="590">
        <v>2</v>
      </c>
      <c r="M42" s="591">
        <v>313.72000000000003</v>
      </c>
    </row>
    <row r="43" spans="1:13" ht="14.4" customHeight="1" x14ac:dyDescent="0.3">
      <c r="A43" s="572" t="s">
        <v>626</v>
      </c>
      <c r="B43" s="573" t="s">
        <v>931</v>
      </c>
      <c r="C43" s="573" t="s">
        <v>670</v>
      </c>
      <c r="D43" s="573" t="s">
        <v>671</v>
      </c>
      <c r="E43" s="573" t="s">
        <v>672</v>
      </c>
      <c r="F43" s="590"/>
      <c r="G43" s="590"/>
      <c r="H43" s="578">
        <v>0</v>
      </c>
      <c r="I43" s="590">
        <v>1</v>
      </c>
      <c r="J43" s="590">
        <v>59.55</v>
      </c>
      <c r="K43" s="578">
        <v>1</v>
      </c>
      <c r="L43" s="590">
        <v>1</v>
      </c>
      <c r="M43" s="591">
        <v>59.55</v>
      </c>
    </row>
    <row r="44" spans="1:13" ht="14.4" customHeight="1" thickBot="1" x14ac:dyDescent="0.35">
      <c r="A44" s="580" t="s">
        <v>626</v>
      </c>
      <c r="B44" s="581" t="s">
        <v>951</v>
      </c>
      <c r="C44" s="581" t="s">
        <v>886</v>
      </c>
      <c r="D44" s="581" t="s">
        <v>887</v>
      </c>
      <c r="E44" s="581" t="s">
        <v>888</v>
      </c>
      <c r="F44" s="592"/>
      <c r="G44" s="592"/>
      <c r="H44" s="586">
        <v>0</v>
      </c>
      <c r="I44" s="592">
        <v>1</v>
      </c>
      <c r="J44" s="592">
        <v>413.22</v>
      </c>
      <c r="K44" s="586">
        <v>1</v>
      </c>
      <c r="L44" s="592">
        <v>1</v>
      </c>
      <c r="M44" s="593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148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452</v>
      </c>
      <c r="B5" s="474" t="s">
        <v>453</v>
      </c>
      <c r="C5" s="475" t="s">
        <v>454</v>
      </c>
      <c r="D5" s="475" t="s">
        <v>454</v>
      </c>
      <c r="E5" s="475"/>
      <c r="F5" s="475" t="s">
        <v>454</v>
      </c>
      <c r="G5" s="475" t="s">
        <v>454</v>
      </c>
      <c r="H5" s="475" t="s">
        <v>454</v>
      </c>
      <c r="I5" s="476" t="s">
        <v>454</v>
      </c>
      <c r="J5" s="477" t="s">
        <v>69</v>
      </c>
    </row>
    <row r="6" spans="1:10" ht="14.4" customHeight="1" x14ac:dyDescent="0.3">
      <c r="A6" s="473" t="s">
        <v>452</v>
      </c>
      <c r="B6" s="474" t="s">
        <v>302</v>
      </c>
      <c r="C6" s="475">
        <v>0.43775999999999998</v>
      </c>
      <c r="D6" s="475">
        <v>10.398529999998997</v>
      </c>
      <c r="E6" s="475"/>
      <c r="F6" s="475">
        <v>14.632509999999998</v>
      </c>
      <c r="G6" s="475">
        <v>11.832882458706836</v>
      </c>
      <c r="H6" s="475">
        <v>2.7996275412931624</v>
      </c>
      <c r="I6" s="476">
        <v>1.2365972577740894</v>
      </c>
      <c r="J6" s="477" t="s">
        <v>1</v>
      </c>
    </row>
    <row r="7" spans="1:10" ht="14.4" customHeight="1" x14ac:dyDescent="0.3">
      <c r="A7" s="473" t="s">
        <v>452</v>
      </c>
      <c r="B7" s="474" t="s">
        <v>303</v>
      </c>
      <c r="C7" s="475">
        <v>2.4843999999999995</v>
      </c>
      <c r="D7" s="475">
        <v>1.43035</v>
      </c>
      <c r="E7" s="475"/>
      <c r="F7" s="475">
        <v>1.43811</v>
      </c>
      <c r="G7" s="475">
        <v>2.1876293277648333</v>
      </c>
      <c r="H7" s="475">
        <v>-0.74951932776483332</v>
      </c>
      <c r="I7" s="476">
        <v>0.65738284898080068</v>
      </c>
      <c r="J7" s="477" t="s">
        <v>1</v>
      </c>
    </row>
    <row r="8" spans="1:10" ht="14.4" customHeight="1" x14ac:dyDescent="0.3">
      <c r="A8" s="473" t="s">
        <v>452</v>
      </c>
      <c r="B8" s="474" t="s">
        <v>304</v>
      </c>
      <c r="C8" s="475">
        <v>35.963059999999999</v>
      </c>
      <c r="D8" s="475">
        <v>20.144739999999</v>
      </c>
      <c r="E8" s="475"/>
      <c r="F8" s="475">
        <v>18.18289</v>
      </c>
      <c r="G8" s="475">
        <v>28.917251321533669</v>
      </c>
      <c r="H8" s="475">
        <v>-10.734361321533669</v>
      </c>
      <c r="I8" s="476">
        <v>0.62879039912274914</v>
      </c>
      <c r="J8" s="477" t="s">
        <v>1</v>
      </c>
    </row>
    <row r="9" spans="1:10" ht="14.4" customHeight="1" x14ac:dyDescent="0.3">
      <c r="A9" s="473" t="s">
        <v>452</v>
      </c>
      <c r="B9" s="474" t="s">
        <v>305</v>
      </c>
      <c r="C9" s="475">
        <v>31.567</v>
      </c>
      <c r="D9" s="475">
        <v>23.406000000000002</v>
      </c>
      <c r="E9" s="475"/>
      <c r="F9" s="475">
        <v>17.966000000000001</v>
      </c>
      <c r="G9" s="475">
        <v>28.354900958033834</v>
      </c>
      <c r="H9" s="475">
        <v>-10.388900958033833</v>
      </c>
      <c r="I9" s="476">
        <v>0.63361180582468823</v>
      </c>
      <c r="J9" s="477" t="s">
        <v>1</v>
      </c>
    </row>
    <row r="10" spans="1:10" ht="14.4" customHeight="1" x14ac:dyDescent="0.3">
      <c r="A10" s="473" t="s">
        <v>452</v>
      </c>
      <c r="B10" s="474" t="s">
        <v>306</v>
      </c>
      <c r="C10" s="475">
        <v>1.8169999999999999</v>
      </c>
      <c r="D10" s="475">
        <v>0.91499999999899995</v>
      </c>
      <c r="E10" s="475"/>
      <c r="F10" s="475">
        <v>3.3560000000000003</v>
      </c>
      <c r="G10" s="475">
        <v>1.3760429452430833</v>
      </c>
      <c r="H10" s="475">
        <v>1.979957054756917</v>
      </c>
      <c r="I10" s="476">
        <v>2.4388773705076114</v>
      </c>
      <c r="J10" s="477" t="s">
        <v>1</v>
      </c>
    </row>
    <row r="11" spans="1:10" ht="14.4" customHeight="1" x14ac:dyDescent="0.3">
      <c r="A11" s="473" t="s">
        <v>452</v>
      </c>
      <c r="B11" s="474" t="s">
        <v>307</v>
      </c>
      <c r="C11" s="475">
        <v>2.093</v>
      </c>
      <c r="D11" s="475">
        <v>2.0069999999989996</v>
      </c>
      <c r="E11" s="475"/>
      <c r="F11" s="475">
        <v>1.4569999999999999</v>
      </c>
      <c r="G11" s="475">
        <v>2.4421588717258333</v>
      </c>
      <c r="H11" s="475">
        <v>-0.9851588717258335</v>
      </c>
      <c r="I11" s="476">
        <v>0.59660328280377684</v>
      </c>
      <c r="J11" s="477" t="s">
        <v>1</v>
      </c>
    </row>
    <row r="12" spans="1:10" ht="14.4" customHeight="1" x14ac:dyDescent="0.3">
      <c r="A12" s="473" t="s">
        <v>452</v>
      </c>
      <c r="B12" s="474" t="s">
        <v>456</v>
      </c>
      <c r="C12" s="475">
        <v>74.362219999999994</v>
      </c>
      <c r="D12" s="475">
        <v>58.301619999995992</v>
      </c>
      <c r="E12" s="475"/>
      <c r="F12" s="475">
        <v>57.032510000000002</v>
      </c>
      <c r="G12" s="475">
        <v>75.110865883008103</v>
      </c>
      <c r="H12" s="475">
        <v>-18.078355883008101</v>
      </c>
      <c r="I12" s="476">
        <v>0.75931104414151263</v>
      </c>
      <c r="J12" s="477" t="s">
        <v>457</v>
      </c>
    </row>
    <row r="14" spans="1:10" ht="14.4" customHeight="1" x14ac:dyDescent="0.3">
      <c r="A14" s="473" t="s">
        <v>452</v>
      </c>
      <c r="B14" s="474" t="s">
        <v>453</v>
      </c>
      <c r="C14" s="475" t="s">
        <v>454</v>
      </c>
      <c r="D14" s="475" t="s">
        <v>454</v>
      </c>
      <c r="E14" s="475"/>
      <c r="F14" s="475" t="s">
        <v>454</v>
      </c>
      <c r="G14" s="475" t="s">
        <v>454</v>
      </c>
      <c r="H14" s="475" t="s">
        <v>454</v>
      </c>
      <c r="I14" s="476" t="s">
        <v>454</v>
      </c>
      <c r="J14" s="477" t="s">
        <v>69</v>
      </c>
    </row>
    <row r="15" spans="1:10" ht="14.4" customHeight="1" x14ac:dyDescent="0.3">
      <c r="A15" s="473" t="s">
        <v>458</v>
      </c>
      <c r="B15" s="474" t="s">
        <v>459</v>
      </c>
      <c r="C15" s="475" t="s">
        <v>454</v>
      </c>
      <c r="D15" s="475" t="s">
        <v>454</v>
      </c>
      <c r="E15" s="475"/>
      <c r="F15" s="475" t="s">
        <v>454</v>
      </c>
      <c r="G15" s="475" t="s">
        <v>454</v>
      </c>
      <c r="H15" s="475" t="s">
        <v>454</v>
      </c>
      <c r="I15" s="476" t="s">
        <v>454</v>
      </c>
      <c r="J15" s="477" t="s">
        <v>0</v>
      </c>
    </row>
    <row r="16" spans="1:10" ht="14.4" customHeight="1" x14ac:dyDescent="0.3">
      <c r="A16" s="473" t="s">
        <v>458</v>
      </c>
      <c r="B16" s="474" t="s">
        <v>303</v>
      </c>
      <c r="C16" s="475">
        <v>1.2067299999999999</v>
      </c>
      <c r="D16" s="475" t="s">
        <v>454</v>
      </c>
      <c r="E16" s="475"/>
      <c r="F16" s="475" t="s">
        <v>454</v>
      </c>
      <c r="G16" s="475" t="s">
        <v>454</v>
      </c>
      <c r="H16" s="475" t="s">
        <v>454</v>
      </c>
      <c r="I16" s="476" t="s">
        <v>454</v>
      </c>
      <c r="J16" s="477" t="s">
        <v>1</v>
      </c>
    </row>
    <row r="17" spans="1:10" ht="14.4" customHeight="1" x14ac:dyDescent="0.3">
      <c r="A17" s="473" t="s">
        <v>458</v>
      </c>
      <c r="B17" s="474" t="s">
        <v>304</v>
      </c>
      <c r="C17" s="475">
        <v>13.080649999999999</v>
      </c>
      <c r="D17" s="475" t="s">
        <v>454</v>
      </c>
      <c r="E17" s="475"/>
      <c r="F17" s="475" t="s">
        <v>454</v>
      </c>
      <c r="G17" s="475" t="s">
        <v>454</v>
      </c>
      <c r="H17" s="475" t="s">
        <v>454</v>
      </c>
      <c r="I17" s="476" t="s">
        <v>454</v>
      </c>
      <c r="J17" s="477" t="s">
        <v>1</v>
      </c>
    </row>
    <row r="18" spans="1:10" ht="14.4" customHeight="1" x14ac:dyDescent="0.3">
      <c r="A18" s="473" t="s">
        <v>458</v>
      </c>
      <c r="B18" s="474" t="s">
        <v>305</v>
      </c>
      <c r="C18" s="475">
        <v>28.487000000000002</v>
      </c>
      <c r="D18" s="475" t="s">
        <v>454</v>
      </c>
      <c r="E18" s="475"/>
      <c r="F18" s="475" t="s">
        <v>454</v>
      </c>
      <c r="G18" s="475" t="s">
        <v>454</v>
      </c>
      <c r="H18" s="475" t="s">
        <v>454</v>
      </c>
      <c r="I18" s="476" t="s">
        <v>454</v>
      </c>
      <c r="J18" s="477" t="s">
        <v>1</v>
      </c>
    </row>
    <row r="19" spans="1:10" ht="14.4" customHeight="1" x14ac:dyDescent="0.3">
      <c r="A19" s="473" t="s">
        <v>458</v>
      </c>
      <c r="B19" s="474" t="s">
        <v>306</v>
      </c>
      <c r="C19" s="475">
        <v>1.7030000000000001</v>
      </c>
      <c r="D19" s="475" t="s">
        <v>454</v>
      </c>
      <c r="E19" s="475"/>
      <c r="F19" s="475" t="s">
        <v>454</v>
      </c>
      <c r="G19" s="475" t="s">
        <v>454</v>
      </c>
      <c r="H19" s="475" t="s">
        <v>454</v>
      </c>
      <c r="I19" s="476" t="s">
        <v>454</v>
      </c>
      <c r="J19" s="477" t="s">
        <v>1</v>
      </c>
    </row>
    <row r="20" spans="1:10" ht="14.4" customHeight="1" x14ac:dyDescent="0.3">
      <c r="A20" s="473" t="s">
        <v>458</v>
      </c>
      <c r="B20" s="474" t="s">
        <v>307</v>
      </c>
      <c r="C20" s="475">
        <v>0.44500000000000001</v>
      </c>
      <c r="D20" s="475" t="s">
        <v>454</v>
      </c>
      <c r="E20" s="475"/>
      <c r="F20" s="475" t="s">
        <v>454</v>
      </c>
      <c r="G20" s="475" t="s">
        <v>454</v>
      </c>
      <c r="H20" s="475" t="s">
        <v>454</v>
      </c>
      <c r="I20" s="476" t="s">
        <v>454</v>
      </c>
      <c r="J20" s="477" t="s">
        <v>1</v>
      </c>
    </row>
    <row r="21" spans="1:10" ht="14.4" customHeight="1" x14ac:dyDescent="0.3">
      <c r="A21" s="473" t="s">
        <v>458</v>
      </c>
      <c r="B21" s="474" t="s">
        <v>460</v>
      </c>
      <c r="C21" s="475">
        <v>44.922380000000004</v>
      </c>
      <c r="D21" s="475" t="s">
        <v>454</v>
      </c>
      <c r="E21" s="475"/>
      <c r="F21" s="475" t="s">
        <v>454</v>
      </c>
      <c r="G21" s="475" t="s">
        <v>454</v>
      </c>
      <c r="H21" s="475" t="s">
        <v>454</v>
      </c>
      <c r="I21" s="476" t="s">
        <v>454</v>
      </c>
      <c r="J21" s="477" t="s">
        <v>461</v>
      </c>
    </row>
    <row r="22" spans="1:10" ht="14.4" customHeight="1" x14ac:dyDescent="0.3">
      <c r="A22" s="473" t="s">
        <v>454</v>
      </c>
      <c r="B22" s="474" t="s">
        <v>454</v>
      </c>
      <c r="C22" s="475" t="s">
        <v>454</v>
      </c>
      <c r="D22" s="475" t="s">
        <v>454</v>
      </c>
      <c r="E22" s="475"/>
      <c r="F22" s="475" t="s">
        <v>454</v>
      </c>
      <c r="G22" s="475" t="s">
        <v>454</v>
      </c>
      <c r="H22" s="475" t="s">
        <v>454</v>
      </c>
      <c r="I22" s="476" t="s">
        <v>454</v>
      </c>
      <c r="J22" s="477" t="s">
        <v>462</v>
      </c>
    </row>
    <row r="23" spans="1:10" ht="14.4" customHeight="1" x14ac:dyDescent="0.3">
      <c r="A23" s="473" t="s">
        <v>463</v>
      </c>
      <c r="B23" s="474" t="s">
        <v>464</v>
      </c>
      <c r="C23" s="475" t="s">
        <v>454</v>
      </c>
      <c r="D23" s="475" t="s">
        <v>454</v>
      </c>
      <c r="E23" s="475"/>
      <c r="F23" s="475" t="s">
        <v>454</v>
      </c>
      <c r="G23" s="475" t="s">
        <v>454</v>
      </c>
      <c r="H23" s="475" t="s">
        <v>454</v>
      </c>
      <c r="I23" s="476" t="s">
        <v>454</v>
      </c>
      <c r="J23" s="477" t="s">
        <v>0</v>
      </c>
    </row>
    <row r="24" spans="1:10" ht="14.4" customHeight="1" x14ac:dyDescent="0.3">
      <c r="A24" s="473" t="s">
        <v>463</v>
      </c>
      <c r="B24" s="474" t="s">
        <v>302</v>
      </c>
      <c r="C24" s="475">
        <v>0.43775999999999998</v>
      </c>
      <c r="D24" s="475">
        <v>9.643489999998998</v>
      </c>
      <c r="E24" s="475"/>
      <c r="F24" s="475">
        <v>14.632509999999998</v>
      </c>
      <c r="G24" s="475">
        <v>11.140763191767002</v>
      </c>
      <c r="H24" s="475">
        <v>3.4917468082329961</v>
      </c>
      <c r="I24" s="476">
        <v>1.3134207906701929</v>
      </c>
      <c r="J24" s="477" t="s">
        <v>1</v>
      </c>
    </row>
    <row r="25" spans="1:10" ht="14.4" customHeight="1" x14ac:dyDescent="0.3">
      <c r="A25" s="473" t="s">
        <v>463</v>
      </c>
      <c r="B25" s="474" t="s">
        <v>303</v>
      </c>
      <c r="C25" s="475">
        <v>0.50410999999999995</v>
      </c>
      <c r="D25" s="475">
        <v>0.81403000000000003</v>
      </c>
      <c r="E25" s="475"/>
      <c r="F25" s="475">
        <v>0.64522000000000002</v>
      </c>
      <c r="G25" s="475">
        <v>1.4956994135966666</v>
      </c>
      <c r="H25" s="475">
        <v>-0.85047941359666657</v>
      </c>
      <c r="I25" s="476">
        <v>0.4313834679178335</v>
      </c>
      <c r="J25" s="477" t="s">
        <v>1</v>
      </c>
    </row>
    <row r="26" spans="1:10" ht="14.4" customHeight="1" x14ac:dyDescent="0.3">
      <c r="A26" s="473" t="s">
        <v>463</v>
      </c>
      <c r="B26" s="474" t="s">
        <v>304</v>
      </c>
      <c r="C26" s="475">
        <v>12.913600000000001</v>
      </c>
      <c r="D26" s="475">
        <v>11.02284</v>
      </c>
      <c r="E26" s="475"/>
      <c r="F26" s="475">
        <v>9.2225699999999993</v>
      </c>
      <c r="G26" s="475">
        <v>18.325660278860003</v>
      </c>
      <c r="H26" s="475">
        <v>-9.1030902788600034</v>
      </c>
      <c r="I26" s="476">
        <v>0.50325990221694283</v>
      </c>
      <c r="J26" s="477" t="s">
        <v>1</v>
      </c>
    </row>
    <row r="27" spans="1:10" ht="14.4" customHeight="1" x14ac:dyDescent="0.3">
      <c r="A27" s="473" t="s">
        <v>463</v>
      </c>
      <c r="B27" s="474" t="s">
        <v>305</v>
      </c>
      <c r="C27" s="475">
        <v>0.77</v>
      </c>
      <c r="D27" s="475">
        <v>23.406000000000002</v>
      </c>
      <c r="E27" s="475"/>
      <c r="F27" s="475">
        <v>17.966000000000001</v>
      </c>
      <c r="G27" s="475">
        <v>28.354900958033834</v>
      </c>
      <c r="H27" s="475">
        <v>-10.388900958033833</v>
      </c>
      <c r="I27" s="476">
        <v>0.63361180582468823</v>
      </c>
      <c r="J27" s="477" t="s">
        <v>1</v>
      </c>
    </row>
    <row r="28" spans="1:10" ht="14.4" customHeight="1" x14ac:dyDescent="0.3">
      <c r="A28" s="473" t="s">
        <v>463</v>
      </c>
      <c r="B28" s="474" t="s">
        <v>306</v>
      </c>
      <c r="C28" s="475">
        <v>8.5000000000000006E-2</v>
      </c>
      <c r="D28" s="475">
        <v>0.58799999999899999</v>
      </c>
      <c r="E28" s="475"/>
      <c r="F28" s="475">
        <v>2.4680000000000004</v>
      </c>
      <c r="G28" s="475">
        <v>0.89647407492133335</v>
      </c>
      <c r="H28" s="475">
        <v>1.5715259250786671</v>
      </c>
      <c r="I28" s="476">
        <v>2.7530076652987097</v>
      </c>
      <c r="J28" s="477" t="s">
        <v>1</v>
      </c>
    </row>
    <row r="29" spans="1:10" ht="14.4" customHeight="1" x14ac:dyDescent="0.3">
      <c r="A29" s="473" t="s">
        <v>463</v>
      </c>
      <c r="B29" s="474" t="s">
        <v>307</v>
      </c>
      <c r="C29" s="475">
        <v>0.76500000000000001</v>
      </c>
      <c r="D29" s="475">
        <v>1.0049999999999999</v>
      </c>
      <c r="E29" s="475"/>
      <c r="F29" s="475">
        <v>0.81099999999999994</v>
      </c>
      <c r="G29" s="475">
        <v>1.2959152901355833</v>
      </c>
      <c r="H29" s="475">
        <v>-0.48491529013558332</v>
      </c>
      <c r="I29" s="476">
        <v>0.62581250963953838</v>
      </c>
      <c r="J29" s="477" t="s">
        <v>1</v>
      </c>
    </row>
    <row r="30" spans="1:10" ht="14.4" customHeight="1" x14ac:dyDescent="0.3">
      <c r="A30" s="473" t="s">
        <v>463</v>
      </c>
      <c r="B30" s="474" t="s">
        <v>465</v>
      </c>
      <c r="C30" s="475">
        <v>15.475470000000001</v>
      </c>
      <c r="D30" s="475">
        <v>46.479359999998003</v>
      </c>
      <c r="E30" s="475"/>
      <c r="F30" s="475">
        <v>45.7453</v>
      </c>
      <c r="G30" s="475">
        <v>61.509413207314424</v>
      </c>
      <c r="H30" s="475">
        <v>-15.764113207314423</v>
      </c>
      <c r="I30" s="476">
        <v>0.74371218346398038</v>
      </c>
      <c r="J30" s="477" t="s">
        <v>461</v>
      </c>
    </row>
    <row r="31" spans="1:10" ht="14.4" customHeight="1" x14ac:dyDescent="0.3">
      <c r="A31" s="473" t="s">
        <v>454</v>
      </c>
      <c r="B31" s="474" t="s">
        <v>454</v>
      </c>
      <c r="C31" s="475" t="s">
        <v>454</v>
      </c>
      <c r="D31" s="475" t="s">
        <v>454</v>
      </c>
      <c r="E31" s="475"/>
      <c r="F31" s="475" t="s">
        <v>454</v>
      </c>
      <c r="G31" s="475" t="s">
        <v>454</v>
      </c>
      <c r="H31" s="475" t="s">
        <v>454</v>
      </c>
      <c r="I31" s="476" t="s">
        <v>454</v>
      </c>
      <c r="J31" s="477" t="s">
        <v>462</v>
      </c>
    </row>
    <row r="32" spans="1:10" ht="14.4" customHeight="1" x14ac:dyDescent="0.3">
      <c r="A32" s="473" t="s">
        <v>953</v>
      </c>
      <c r="B32" s="474" t="s">
        <v>954</v>
      </c>
      <c r="C32" s="475" t="s">
        <v>454</v>
      </c>
      <c r="D32" s="475" t="s">
        <v>454</v>
      </c>
      <c r="E32" s="475"/>
      <c r="F32" s="475" t="s">
        <v>454</v>
      </c>
      <c r="G32" s="475" t="s">
        <v>454</v>
      </c>
      <c r="H32" s="475" t="s">
        <v>454</v>
      </c>
      <c r="I32" s="476" t="s">
        <v>454</v>
      </c>
      <c r="J32" s="477" t="s">
        <v>0</v>
      </c>
    </row>
    <row r="33" spans="1:10" ht="14.4" customHeight="1" x14ac:dyDescent="0.3">
      <c r="A33" s="473" t="s">
        <v>953</v>
      </c>
      <c r="B33" s="474" t="s">
        <v>302</v>
      </c>
      <c r="C33" s="475" t="s">
        <v>454</v>
      </c>
      <c r="D33" s="475">
        <v>0.75504000000000004</v>
      </c>
      <c r="E33" s="475"/>
      <c r="F33" s="475">
        <v>0</v>
      </c>
      <c r="G33" s="475">
        <v>0.69211926693983328</v>
      </c>
      <c r="H33" s="475">
        <v>-0.69211926693983328</v>
      </c>
      <c r="I33" s="476">
        <v>0</v>
      </c>
      <c r="J33" s="477" t="s">
        <v>1</v>
      </c>
    </row>
    <row r="34" spans="1:10" ht="14.4" customHeight="1" x14ac:dyDescent="0.3">
      <c r="A34" s="473" t="s">
        <v>953</v>
      </c>
      <c r="B34" s="474" t="s">
        <v>303</v>
      </c>
      <c r="C34" s="475">
        <v>0.65625</v>
      </c>
      <c r="D34" s="475">
        <v>0.61631999999999998</v>
      </c>
      <c r="E34" s="475"/>
      <c r="F34" s="475">
        <v>0.79288999999999987</v>
      </c>
      <c r="G34" s="475">
        <v>0.69192991416816674</v>
      </c>
      <c r="H34" s="475">
        <v>0.10096008583183314</v>
      </c>
      <c r="I34" s="476">
        <v>1.1459108556582738</v>
      </c>
      <c r="J34" s="477" t="s">
        <v>1</v>
      </c>
    </row>
    <row r="35" spans="1:10" ht="14.4" customHeight="1" x14ac:dyDescent="0.3">
      <c r="A35" s="473" t="s">
        <v>953</v>
      </c>
      <c r="B35" s="474" t="s">
        <v>304</v>
      </c>
      <c r="C35" s="475">
        <v>9.7286099999999998</v>
      </c>
      <c r="D35" s="475">
        <v>9.121899999999</v>
      </c>
      <c r="E35" s="475"/>
      <c r="F35" s="475">
        <v>8.9603199999999994</v>
      </c>
      <c r="G35" s="475">
        <v>10.591591042673667</v>
      </c>
      <c r="H35" s="475">
        <v>-1.6312710426736672</v>
      </c>
      <c r="I35" s="476">
        <v>0.84598432510269195</v>
      </c>
      <c r="J35" s="477" t="s">
        <v>1</v>
      </c>
    </row>
    <row r="36" spans="1:10" ht="14.4" customHeight="1" x14ac:dyDescent="0.3">
      <c r="A36" s="473" t="s">
        <v>953</v>
      </c>
      <c r="B36" s="474" t="s">
        <v>305</v>
      </c>
      <c r="C36" s="475">
        <v>2.31</v>
      </c>
      <c r="D36" s="475" t="s">
        <v>454</v>
      </c>
      <c r="E36" s="475"/>
      <c r="F36" s="475" t="s">
        <v>454</v>
      </c>
      <c r="G36" s="475" t="s">
        <v>454</v>
      </c>
      <c r="H36" s="475" t="s">
        <v>454</v>
      </c>
      <c r="I36" s="476" t="s">
        <v>454</v>
      </c>
      <c r="J36" s="477" t="s">
        <v>1</v>
      </c>
    </row>
    <row r="37" spans="1:10" ht="14.4" customHeight="1" x14ac:dyDescent="0.3">
      <c r="A37" s="473" t="s">
        <v>953</v>
      </c>
      <c r="B37" s="474" t="s">
        <v>306</v>
      </c>
      <c r="C37" s="475">
        <v>2.9000000000000001E-2</v>
      </c>
      <c r="D37" s="475">
        <v>0.32699999999999996</v>
      </c>
      <c r="E37" s="475"/>
      <c r="F37" s="475">
        <v>0.8879999999999999</v>
      </c>
      <c r="G37" s="475">
        <v>0.47956887032175005</v>
      </c>
      <c r="H37" s="475">
        <v>0.40843112967824985</v>
      </c>
      <c r="I37" s="476">
        <v>1.8516631394448668</v>
      </c>
      <c r="J37" s="477" t="s">
        <v>1</v>
      </c>
    </row>
    <row r="38" spans="1:10" ht="14.4" customHeight="1" x14ac:dyDescent="0.3">
      <c r="A38" s="473" t="s">
        <v>953</v>
      </c>
      <c r="B38" s="474" t="s">
        <v>307</v>
      </c>
      <c r="C38" s="475">
        <v>0.88300000000000012</v>
      </c>
      <c r="D38" s="475">
        <v>1.0019999999989999</v>
      </c>
      <c r="E38" s="475"/>
      <c r="F38" s="475">
        <v>0.64599999999999991</v>
      </c>
      <c r="G38" s="475">
        <v>1.1462435815902501</v>
      </c>
      <c r="H38" s="475">
        <v>-0.50024358159025017</v>
      </c>
      <c r="I38" s="476">
        <v>0.56358003689212965</v>
      </c>
      <c r="J38" s="477" t="s">
        <v>1</v>
      </c>
    </row>
    <row r="39" spans="1:10" ht="14.4" customHeight="1" x14ac:dyDescent="0.3">
      <c r="A39" s="473" t="s">
        <v>953</v>
      </c>
      <c r="B39" s="474" t="s">
        <v>955</v>
      </c>
      <c r="C39" s="475">
        <v>13.606860000000001</v>
      </c>
      <c r="D39" s="475">
        <v>11.822259999998002</v>
      </c>
      <c r="E39" s="475"/>
      <c r="F39" s="475">
        <v>11.287209999999998</v>
      </c>
      <c r="G39" s="475">
        <v>13.601452675693666</v>
      </c>
      <c r="H39" s="475">
        <v>-2.3142426756936683</v>
      </c>
      <c r="I39" s="476">
        <v>0.82985327149435206</v>
      </c>
      <c r="J39" s="477" t="s">
        <v>461</v>
      </c>
    </row>
    <row r="40" spans="1:10" ht="14.4" customHeight="1" x14ac:dyDescent="0.3">
      <c r="A40" s="473" t="s">
        <v>454</v>
      </c>
      <c r="B40" s="474" t="s">
        <v>454</v>
      </c>
      <c r="C40" s="475" t="s">
        <v>454</v>
      </c>
      <c r="D40" s="475" t="s">
        <v>454</v>
      </c>
      <c r="E40" s="475"/>
      <c r="F40" s="475" t="s">
        <v>454</v>
      </c>
      <c r="G40" s="475" t="s">
        <v>454</v>
      </c>
      <c r="H40" s="475" t="s">
        <v>454</v>
      </c>
      <c r="I40" s="476" t="s">
        <v>454</v>
      </c>
      <c r="J40" s="477" t="s">
        <v>462</v>
      </c>
    </row>
    <row r="41" spans="1:10" ht="14.4" customHeight="1" x14ac:dyDescent="0.3">
      <c r="A41" s="473" t="s">
        <v>466</v>
      </c>
      <c r="B41" s="474" t="s">
        <v>467</v>
      </c>
      <c r="C41" s="475" t="s">
        <v>454</v>
      </c>
      <c r="D41" s="475" t="s">
        <v>454</v>
      </c>
      <c r="E41" s="475"/>
      <c r="F41" s="475" t="s">
        <v>454</v>
      </c>
      <c r="G41" s="475" t="s">
        <v>454</v>
      </c>
      <c r="H41" s="475" t="s">
        <v>454</v>
      </c>
      <c r="I41" s="476" t="s">
        <v>454</v>
      </c>
      <c r="J41" s="477" t="s">
        <v>0</v>
      </c>
    </row>
    <row r="42" spans="1:10" ht="14.4" customHeight="1" x14ac:dyDescent="0.3">
      <c r="A42" s="473" t="s">
        <v>466</v>
      </c>
      <c r="B42" s="474" t="s">
        <v>303</v>
      </c>
      <c r="C42" s="475">
        <v>0.11731</v>
      </c>
      <c r="D42" s="475" t="s">
        <v>454</v>
      </c>
      <c r="E42" s="475"/>
      <c r="F42" s="475" t="s">
        <v>454</v>
      </c>
      <c r="G42" s="475" t="s">
        <v>454</v>
      </c>
      <c r="H42" s="475" t="s">
        <v>454</v>
      </c>
      <c r="I42" s="476" t="s">
        <v>454</v>
      </c>
      <c r="J42" s="477" t="s">
        <v>1</v>
      </c>
    </row>
    <row r="43" spans="1:10" ht="14.4" customHeight="1" x14ac:dyDescent="0.3">
      <c r="A43" s="473" t="s">
        <v>466</v>
      </c>
      <c r="B43" s="474" t="s">
        <v>304</v>
      </c>
      <c r="C43" s="475">
        <v>0.2402</v>
      </c>
      <c r="D43" s="475">
        <v>0</v>
      </c>
      <c r="E43" s="475"/>
      <c r="F43" s="475" t="s">
        <v>454</v>
      </c>
      <c r="G43" s="475" t="s">
        <v>454</v>
      </c>
      <c r="H43" s="475" t="s">
        <v>454</v>
      </c>
      <c r="I43" s="476" t="s">
        <v>454</v>
      </c>
      <c r="J43" s="477" t="s">
        <v>1</v>
      </c>
    </row>
    <row r="44" spans="1:10" ht="14.4" customHeight="1" x14ac:dyDescent="0.3">
      <c r="A44" s="473" t="s">
        <v>466</v>
      </c>
      <c r="B44" s="474" t="s">
        <v>306</v>
      </c>
      <c r="C44" s="475" t="s">
        <v>454</v>
      </c>
      <c r="D44" s="475">
        <v>0</v>
      </c>
      <c r="E44" s="475"/>
      <c r="F44" s="475" t="s">
        <v>454</v>
      </c>
      <c r="G44" s="475" t="s">
        <v>454</v>
      </c>
      <c r="H44" s="475" t="s">
        <v>454</v>
      </c>
      <c r="I44" s="476" t="s">
        <v>454</v>
      </c>
      <c r="J44" s="477" t="s">
        <v>1</v>
      </c>
    </row>
    <row r="45" spans="1:10" ht="14.4" customHeight="1" x14ac:dyDescent="0.3">
      <c r="A45" s="473" t="s">
        <v>466</v>
      </c>
      <c r="B45" s="474" t="s">
        <v>468</v>
      </c>
      <c r="C45" s="475">
        <v>0.35750999999999999</v>
      </c>
      <c r="D45" s="475">
        <v>0</v>
      </c>
      <c r="E45" s="475"/>
      <c r="F45" s="475" t="s">
        <v>454</v>
      </c>
      <c r="G45" s="475" t="s">
        <v>454</v>
      </c>
      <c r="H45" s="475" t="s">
        <v>454</v>
      </c>
      <c r="I45" s="476" t="s">
        <v>454</v>
      </c>
      <c r="J45" s="477" t="s">
        <v>461</v>
      </c>
    </row>
    <row r="46" spans="1:10" ht="14.4" customHeight="1" x14ac:dyDescent="0.3">
      <c r="A46" s="473" t="s">
        <v>454</v>
      </c>
      <c r="B46" s="474" t="s">
        <v>454</v>
      </c>
      <c r="C46" s="475" t="s">
        <v>454</v>
      </c>
      <c r="D46" s="475" t="s">
        <v>454</v>
      </c>
      <c r="E46" s="475"/>
      <c r="F46" s="475" t="s">
        <v>454</v>
      </c>
      <c r="G46" s="475" t="s">
        <v>454</v>
      </c>
      <c r="H46" s="475" t="s">
        <v>454</v>
      </c>
      <c r="I46" s="476" t="s">
        <v>454</v>
      </c>
      <c r="J46" s="477" t="s">
        <v>462</v>
      </c>
    </row>
    <row r="47" spans="1:10" ht="14.4" customHeight="1" x14ac:dyDescent="0.3">
      <c r="A47" s="473" t="s">
        <v>452</v>
      </c>
      <c r="B47" s="474" t="s">
        <v>456</v>
      </c>
      <c r="C47" s="475">
        <v>74.362220000000008</v>
      </c>
      <c r="D47" s="475">
        <v>58.301619999996007</v>
      </c>
      <c r="E47" s="475"/>
      <c r="F47" s="475">
        <v>57.032509999999995</v>
      </c>
      <c r="G47" s="475">
        <v>75.110865883008103</v>
      </c>
      <c r="H47" s="475">
        <v>-18.078355883008108</v>
      </c>
      <c r="I47" s="476">
        <v>0.75931104414151251</v>
      </c>
      <c r="J47" s="477" t="s">
        <v>457</v>
      </c>
    </row>
  </sheetData>
  <mergeCells count="3">
    <mergeCell ref="A1:I1"/>
    <mergeCell ref="F3:I3"/>
    <mergeCell ref="C4:D4"/>
  </mergeCells>
  <conditionalFormatting sqref="F13 F48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47">
    <cfRule type="expression" dxfId="15" priority="5">
      <formula>$H14&gt;0</formula>
    </cfRule>
  </conditionalFormatting>
  <conditionalFormatting sqref="A14:A47">
    <cfRule type="expression" dxfId="14" priority="2">
      <formula>AND($J14&lt;&gt;"mezeraKL",$J14&lt;&gt;"")</formula>
    </cfRule>
  </conditionalFormatting>
  <conditionalFormatting sqref="I14:I47">
    <cfRule type="expression" dxfId="13" priority="6">
      <formula>$I14&gt;1</formula>
    </cfRule>
  </conditionalFormatting>
  <conditionalFormatting sqref="B14:B47">
    <cfRule type="expression" dxfId="12" priority="1">
      <formula>OR($J14="NS",$J14="SumaNS",$J14="Účet")</formula>
    </cfRule>
  </conditionalFormatting>
  <conditionalFormatting sqref="A14:D47 F14:I47">
    <cfRule type="expression" dxfId="11" priority="8">
      <formula>AND($J14&lt;&gt;"",$J14&lt;&gt;"mezeraKL")</formula>
    </cfRule>
  </conditionalFormatting>
  <conditionalFormatting sqref="B14:D47 F14:I47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7 F14:I47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12.44140625" style="224" hidden="1" customWidth="1" outlineLevel="1"/>
    <col min="8" max="8" width="25.77734375" style="224" customWidth="1" collapsed="1"/>
    <col min="9" max="9" width="7.77734375" style="222" customWidth="1"/>
    <col min="10" max="10" width="10" style="222" customWidth="1"/>
    <col min="11" max="11" width="11.109375" style="222" customWidth="1"/>
    <col min="12" max="16384" width="8.88671875" style="143"/>
  </cols>
  <sheetData>
    <row r="1" spans="1:11" ht="18.600000000000001" customHeight="1" thickBot="1" x14ac:dyDescent="0.4">
      <c r="A1" s="379" t="s">
        <v>1069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7"/>
      <c r="J2" s="227"/>
      <c r="K2" s="227"/>
    </row>
    <row r="3" spans="1:11" ht="14.4" customHeight="1" thickBot="1" x14ac:dyDescent="0.35">
      <c r="A3" s="62"/>
      <c r="B3" s="62"/>
      <c r="C3" s="375"/>
      <c r="D3" s="376"/>
      <c r="E3" s="376"/>
      <c r="F3" s="376"/>
      <c r="G3" s="376"/>
      <c r="H3" s="155" t="s">
        <v>136</v>
      </c>
      <c r="I3" s="109">
        <f>IF(J3&lt;&gt;0,K3/J3,0)</f>
        <v>3.1113298874098088</v>
      </c>
      <c r="J3" s="109">
        <f>SUBTOTAL(9,J5:J1048576)</f>
        <v>18449</v>
      </c>
      <c r="K3" s="110">
        <f>SUBTOTAL(9,K5:K1048576)</f>
        <v>57400.925092823563</v>
      </c>
    </row>
    <row r="4" spans="1:11" s="223" customFormat="1" ht="14.4" customHeight="1" thickBot="1" x14ac:dyDescent="0.35">
      <c r="A4" s="601" t="s">
        <v>4</v>
      </c>
      <c r="B4" s="602" t="s">
        <v>5</v>
      </c>
      <c r="C4" s="602" t="s">
        <v>0</v>
      </c>
      <c r="D4" s="602" t="s">
        <v>6</v>
      </c>
      <c r="E4" s="602" t="s">
        <v>7</v>
      </c>
      <c r="F4" s="602" t="s">
        <v>1</v>
      </c>
      <c r="G4" s="602" t="s">
        <v>71</v>
      </c>
      <c r="H4" s="480" t="s">
        <v>11</v>
      </c>
      <c r="I4" s="481" t="s">
        <v>152</v>
      </c>
      <c r="J4" s="481" t="s">
        <v>13</v>
      </c>
      <c r="K4" s="482" t="s">
        <v>169</v>
      </c>
    </row>
    <row r="5" spans="1:11" ht="14.4" customHeight="1" x14ac:dyDescent="0.3">
      <c r="A5" s="565" t="s">
        <v>452</v>
      </c>
      <c r="B5" s="566" t="s">
        <v>453</v>
      </c>
      <c r="C5" s="569" t="s">
        <v>463</v>
      </c>
      <c r="D5" s="603" t="s">
        <v>605</v>
      </c>
      <c r="E5" s="569" t="s">
        <v>1056</v>
      </c>
      <c r="F5" s="603" t="s">
        <v>1057</v>
      </c>
      <c r="G5" s="569" t="s">
        <v>956</v>
      </c>
      <c r="H5" s="569" t="s">
        <v>957</v>
      </c>
      <c r="I5" s="129">
        <v>4.3016666666666667</v>
      </c>
      <c r="J5" s="129">
        <v>34</v>
      </c>
      <c r="K5" s="589">
        <v>146.27000000000001</v>
      </c>
    </row>
    <row r="6" spans="1:11" ht="14.4" customHeight="1" x14ac:dyDescent="0.3">
      <c r="A6" s="572" t="s">
        <v>452</v>
      </c>
      <c r="B6" s="573" t="s">
        <v>453</v>
      </c>
      <c r="C6" s="576" t="s">
        <v>463</v>
      </c>
      <c r="D6" s="604" t="s">
        <v>605</v>
      </c>
      <c r="E6" s="576" t="s">
        <v>1056</v>
      </c>
      <c r="F6" s="604" t="s">
        <v>1057</v>
      </c>
      <c r="G6" s="576" t="s">
        <v>958</v>
      </c>
      <c r="H6" s="576" t="s">
        <v>959</v>
      </c>
      <c r="I6" s="590">
        <v>27.363333333333333</v>
      </c>
      <c r="J6" s="590">
        <v>5</v>
      </c>
      <c r="K6" s="591">
        <v>136.81</v>
      </c>
    </row>
    <row r="7" spans="1:11" ht="14.4" customHeight="1" x14ac:dyDescent="0.3">
      <c r="A7" s="572" t="s">
        <v>452</v>
      </c>
      <c r="B7" s="573" t="s">
        <v>453</v>
      </c>
      <c r="C7" s="576" t="s">
        <v>463</v>
      </c>
      <c r="D7" s="604" t="s">
        <v>605</v>
      </c>
      <c r="E7" s="576" t="s">
        <v>1056</v>
      </c>
      <c r="F7" s="604" t="s">
        <v>1057</v>
      </c>
      <c r="G7" s="576" t="s">
        <v>960</v>
      </c>
      <c r="H7" s="576" t="s">
        <v>961</v>
      </c>
      <c r="I7" s="590">
        <v>13.017499999999998</v>
      </c>
      <c r="J7" s="590">
        <v>17</v>
      </c>
      <c r="K7" s="591">
        <v>221.30999999999997</v>
      </c>
    </row>
    <row r="8" spans="1:11" ht="14.4" customHeight="1" x14ac:dyDescent="0.3">
      <c r="A8" s="572" t="s">
        <v>452</v>
      </c>
      <c r="B8" s="573" t="s">
        <v>453</v>
      </c>
      <c r="C8" s="576" t="s">
        <v>463</v>
      </c>
      <c r="D8" s="604" t="s">
        <v>605</v>
      </c>
      <c r="E8" s="576" t="s">
        <v>1056</v>
      </c>
      <c r="F8" s="604" t="s">
        <v>1057</v>
      </c>
      <c r="G8" s="576" t="s">
        <v>962</v>
      </c>
      <c r="H8" s="576" t="s">
        <v>963</v>
      </c>
      <c r="I8" s="590">
        <v>28.215</v>
      </c>
      <c r="J8" s="590">
        <v>5</v>
      </c>
      <c r="K8" s="591">
        <v>140.83000000000001</v>
      </c>
    </row>
    <row r="9" spans="1:11" ht="14.4" customHeight="1" x14ac:dyDescent="0.3">
      <c r="A9" s="572" t="s">
        <v>452</v>
      </c>
      <c r="B9" s="573" t="s">
        <v>453</v>
      </c>
      <c r="C9" s="576" t="s">
        <v>463</v>
      </c>
      <c r="D9" s="604" t="s">
        <v>605</v>
      </c>
      <c r="E9" s="576" t="s">
        <v>1058</v>
      </c>
      <c r="F9" s="604" t="s">
        <v>1059</v>
      </c>
      <c r="G9" s="576" t="s">
        <v>964</v>
      </c>
      <c r="H9" s="576" t="s">
        <v>965</v>
      </c>
      <c r="I9" s="590">
        <v>0.215</v>
      </c>
      <c r="J9" s="590">
        <v>200</v>
      </c>
      <c r="K9" s="591">
        <v>43</v>
      </c>
    </row>
    <row r="10" spans="1:11" ht="14.4" customHeight="1" x14ac:dyDescent="0.3">
      <c r="A10" s="572" t="s">
        <v>452</v>
      </c>
      <c r="B10" s="573" t="s">
        <v>453</v>
      </c>
      <c r="C10" s="576" t="s">
        <v>463</v>
      </c>
      <c r="D10" s="604" t="s">
        <v>605</v>
      </c>
      <c r="E10" s="576" t="s">
        <v>1058</v>
      </c>
      <c r="F10" s="604" t="s">
        <v>1059</v>
      </c>
      <c r="G10" s="576" t="s">
        <v>966</v>
      </c>
      <c r="H10" s="576" t="s">
        <v>967</v>
      </c>
      <c r="I10" s="590">
        <v>16.29</v>
      </c>
      <c r="J10" s="590">
        <v>10</v>
      </c>
      <c r="K10" s="591">
        <v>162.9</v>
      </c>
    </row>
    <row r="11" spans="1:11" ht="14.4" customHeight="1" x14ac:dyDescent="0.3">
      <c r="A11" s="572" t="s">
        <v>452</v>
      </c>
      <c r="B11" s="573" t="s">
        <v>453</v>
      </c>
      <c r="C11" s="576" t="s">
        <v>463</v>
      </c>
      <c r="D11" s="604" t="s">
        <v>605</v>
      </c>
      <c r="E11" s="576" t="s">
        <v>1058</v>
      </c>
      <c r="F11" s="604" t="s">
        <v>1059</v>
      </c>
      <c r="G11" s="576" t="s">
        <v>968</v>
      </c>
      <c r="H11" s="576" t="s">
        <v>969</v>
      </c>
      <c r="I11" s="590">
        <v>1.43</v>
      </c>
      <c r="J11" s="590">
        <v>100</v>
      </c>
      <c r="K11" s="591">
        <v>143</v>
      </c>
    </row>
    <row r="12" spans="1:11" ht="14.4" customHeight="1" x14ac:dyDescent="0.3">
      <c r="A12" s="572" t="s">
        <v>452</v>
      </c>
      <c r="B12" s="573" t="s">
        <v>453</v>
      </c>
      <c r="C12" s="576" t="s">
        <v>463</v>
      </c>
      <c r="D12" s="604" t="s">
        <v>605</v>
      </c>
      <c r="E12" s="576" t="s">
        <v>1058</v>
      </c>
      <c r="F12" s="604" t="s">
        <v>1059</v>
      </c>
      <c r="G12" s="576" t="s">
        <v>970</v>
      </c>
      <c r="H12" s="576" t="s">
        <v>971</v>
      </c>
      <c r="I12" s="590">
        <v>0.48</v>
      </c>
      <c r="J12" s="590">
        <v>100</v>
      </c>
      <c r="K12" s="591">
        <v>48</v>
      </c>
    </row>
    <row r="13" spans="1:11" ht="14.4" customHeight="1" x14ac:dyDescent="0.3">
      <c r="A13" s="572" t="s">
        <v>452</v>
      </c>
      <c r="B13" s="573" t="s">
        <v>453</v>
      </c>
      <c r="C13" s="576" t="s">
        <v>463</v>
      </c>
      <c r="D13" s="604" t="s">
        <v>605</v>
      </c>
      <c r="E13" s="576" t="s">
        <v>1058</v>
      </c>
      <c r="F13" s="604" t="s">
        <v>1059</v>
      </c>
      <c r="G13" s="576" t="s">
        <v>972</v>
      </c>
      <c r="H13" s="576" t="s">
        <v>973</v>
      </c>
      <c r="I13" s="590">
        <v>1.8</v>
      </c>
      <c r="J13" s="590">
        <v>250</v>
      </c>
      <c r="K13" s="591">
        <v>450</v>
      </c>
    </row>
    <row r="14" spans="1:11" ht="14.4" customHeight="1" x14ac:dyDescent="0.3">
      <c r="A14" s="572" t="s">
        <v>452</v>
      </c>
      <c r="B14" s="573" t="s">
        <v>453</v>
      </c>
      <c r="C14" s="576" t="s">
        <v>463</v>
      </c>
      <c r="D14" s="604" t="s">
        <v>605</v>
      </c>
      <c r="E14" s="576" t="s">
        <v>1058</v>
      </c>
      <c r="F14" s="604" t="s">
        <v>1059</v>
      </c>
      <c r="G14" s="576" t="s">
        <v>974</v>
      </c>
      <c r="H14" s="576" t="s">
        <v>975</v>
      </c>
      <c r="I14" s="590">
        <v>1.8033333333333335</v>
      </c>
      <c r="J14" s="590">
        <v>250</v>
      </c>
      <c r="K14" s="591">
        <v>451</v>
      </c>
    </row>
    <row r="15" spans="1:11" ht="14.4" customHeight="1" x14ac:dyDescent="0.3">
      <c r="A15" s="572" t="s">
        <v>452</v>
      </c>
      <c r="B15" s="573" t="s">
        <v>453</v>
      </c>
      <c r="C15" s="576" t="s">
        <v>463</v>
      </c>
      <c r="D15" s="604" t="s">
        <v>605</v>
      </c>
      <c r="E15" s="576" t="s">
        <v>1058</v>
      </c>
      <c r="F15" s="604" t="s">
        <v>1059</v>
      </c>
      <c r="G15" s="576" t="s">
        <v>976</v>
      </c>
      <c r="H15" s="576" t="s">
        <v>977</v>
      </c>
      <c r="I15" s="590">
        <v>1.8679999999999999</v>
      </c>
      <c r="J15" s="590">
        <v>700</v>
      </c>
      <c r="K15" s="591">
        <v>1312</v>
      </c>
    </row>
    <row r="16" spans="1:11" ht="14.4" customHeight="1" x14ac:dyDescent="0.3">
      <c r="A16" s="572" t="s">
        <v>452</v>
      </c>
      <c r="B16" s="573" t="s">
        <v>453</v>
      </c>
      <c r="C16" s="576" t="s">
        <v>463</v>
      </c>
      <c r="D16" s="604" t="s">
        <v>605</v>
      </c>
      <c r="E16" s="576" t="s">
        <v>1058</v>
      </c>
      <c r="F16" s="604" t="s">
        <v>1059</v>
      </c>
      <c r="G16" s="576" t="s">
        <v>978</v>
      </c>
      <c r="H16" s="576" t="s">
        <v>979</v>
      </c>
      <c r="I16" s="590">
        <v>2.79</v>
      </c>
      <c r="J16" s="590">
        <v>10</v>
      </c>
      <c r="K16" s="591">
        <v>27.9</v>
      </c>
    </row>
    <row r="17" spans="1:11" ht="14.4" customHeight="1" x14ac:dyDescent="0.3">
      <c r="A17" s="572" t="s">
        <v>452</v>
      </c>
      <c r="B17" s="573" t="s">
        <v>453</v>
      </c>
      <c r="C17" s="576" t="s">
        <v>463</v>
      </c>
      <c r="D17" s="604" t="s">
        <v>605</v>
      </c>
      <c r="E17" s="576" t="s">
        <v>1058</v>
      </c>
      <c r="F17" s="604" t="s">
        <v>1059</v>
      </c>
      <c r="G17" s="576" t="s">
        <v>980</v>
      </c>
      <c r="H17" s="576" t="s">
        <v>981</v>
      </c>
      <c r="I17" s="590">
        <v>1.7633333333333334</v>
      </c>
      <c r="J17" s="590">
        <v>400</v>
      </c>
      <c r="K17" s="591">
        <v>705</v>
      </c>
    </row>
    <row r="18" spans="1:11" ht="14.4" customHeight="1" x14ac:dyDescent="0.3">
      <c r="A18" s="572" t="s">
        <v>452</v>
      </c>
      <c r="B18" s="573" t="s">
        <v>453</v>
      </c>
      <c r="C18" s="576" t="s">
        <v>463</v>
      </c>
      <c r="D18" s="604" t="s">
        <v>605</v>
      </c>
      <c r="E18" s="576" t="s">
        <v>1058</v>
      </c>
      <c r="F18" s="604" t="s">
        <v>1059</v>
      </c>
      <c r="G18" s="576" t="s">
        <v>982</v>
      </c>
      <c r="H18" s="576" t="s">
        <v>983</v>
      </c>
      <c r="I18" s="590">
        <v>1.77</v>
      </c>
      <c r="J18" s="590">
        <v>10</v>
      </c>
      <c r="K18" s="591">
        <v>17.7</v>
      </c>
    </row>
    <row r="19" spans="1:11" ht="14.4" customHeight="1" x14ac:dyDescent="0.3">
      <c r="A19" s="572" t="s">
        <v>452</v>
      </c>
      <c r="B19" s="573" t="s">
        <v>453</v>
      </c>
      <c r="C19" s="576" t="s">
        <v>463</v>
      </c>
      <c r="D19" s="604" t="s">
        <v>605</v>
      </c>
      <c r="E19" s="576" t="s">
        <v>1058</v>
      </c>
      <c r="F19" s="604" t="s">
        <v>1059</v>
      </c>
      <c r="G19" s="576" t="s">
        <v>984</v>
      </c>
      <c r="H19" s="576" t="s">
        <v>985</v>
      </c>
      <c r="I19" s="590">
        <v>1.6666666666666666E-2</v>
      </c>
      <c r="J19" s="590">
        <v>400</v>
      </c>
      <c r="K19" s="591">
        <v>7</v>
      </c>
    </row>
    <row r="20" spans="1:11" ht="14.4" customHeight="1" x14ac:dyDescent="0.3">
      <c r="A20" s="572" t="s">
        <v>452</v>
      </c>
      <c r="B20" s="573" t="s">
        <v>453</v>
      </c>
      <c r="C20" s="576" t="s">
        <v>463</v>
      </c>
      <c r="D20" s="604" t="s">
        <v>605</v>
      </c>
      <c r="E20" s="576" t="s">
        <v>1058</v>
      </c>
      <c r="F20" s="604" t="s">
        <v>1059</v>
      </c>
      <c r="G20" s="576" t="s">
        <v>986</v>
      </c>
      <c r="H20" s="576" t="s">
        <v>987</v>
      </c>
      <c r="I20" s="590">
        <v>1.9950000000000001</v>
      </c>
      <c r="J20" s="590">
        <v>20</v>
      </c>
      <c r="K20" s="591">
        <v>39.92</v>
      </c>
    </row>
    <row r="21" spans="1:11" ht="14.4" customHeight="1" x14ac:dyDescent="0.3">
      <c r="A21" s="572" t="s">
        <v>452</v>
      </c>
      <c r="B21" s="573" t="s">
        <v>453</v>
      </c>
      <c r="C21" s="576" t="s">
        <v>463</v>
      </c>
      <c r="D21" s="604" t="s">
        <v>605</v>
      </c>
      <c r="E21" s="576" t="s">
        <v>1058</v>
      </c>
      <c r="F21" s="604" t="s">
        <v>1059</v>
      </c>
      <c r="G21" s="576" t="s">
        <v>988</v>
      </c>
      <c r="H21" s="576" t="s">
        <v>989</v>
      </c>
      <c r="I21" s="590">
        <v>2.0766666666666667</v>
      </c>
      <c r="J21" s="590">
        <v>20</v>
      </c>
      <c r="K21" s="591">
        <v>41.150000000000006</v>
      </c>
    </row>
    <row r="22" spans="1:11" ht="14.4" customHeight="1" x14ac:dyDescent="0.3">
      <c r="A22" s="572" t="s">
        <v>452</v>
      </c>
      <c r="B22" s="573" t="s">
        <v>453</v>
      </c>
      <c r="C22" s="576" t="s">
        <v>463</v>
      </c>
      <c r="D22" s="604" t="s">
        <v>605</v>
      </c>
      <c r="E22" s="576" t="s">
        <v>1058</v>
      </c>
      <c r="F22" s="604" t="s">
        <v>1059</v>
      </c>
      <c r="G22" s="576" t="s">
        <v>990</v>
      </c>
      <c r="H22" s="576" t="s">
        <v>991</v>
      </c>
      <c r="I22" s="590">
        <v>3.14</v>
      </c>
      <c r="J22" s="590">
        <v>5</v>
      </c>
      <c r="K22" s="591">
        <v>15.7</v>
      </c>
    </row>
    <row r="23" spans="1:11" ht="14.4" customHeight="1" x14ac:dyDescent="0.3">
      <c r="A23" s="572" t="s">
        <v>452</v>
      </c>
      <c r="B23" s="573" t="s">
        <v>453</v>
      </c>
      <c r="C23" s="576" t="s">
        <v>463</v>
      </c>
      <c r="D23" s="604" t="s">
        <v>605</v>
      </c>
      <c r="E23" s="576" t="s">
        <v>1058</v>
      </c>
      <c r="F23" s="604" t="s">
        <v>1059</v>
      </c>
      <c r="G23" s="576" t="s">
        <v>992</v>
      </c>
      <c r="H23" s="576" t="s">
        <v>993</v>
      </c>
      <c r="I23" s="590">
        <v>2.41</v>
      </c>
      <c r="J23" s="590">
        <v>750</v>
      </c>
      <c r="K23" s="591">
        <v>1807.5</v>
      </c>
    </row>
    <row r="24" spans="1:11" ht="14.4" customHeight="1" x14ac:dyDescent="0.3">
      <c r="A24" s="572" t="s">
        <v>452</v>
      </c>
      <c r="B24" s="573" t="s">
        <v>453</v>
      </c>
      <c r="C24" s="576" t="s">
        <v>463</v>
      </c>
      <c r="D24" s="604" t="s">
        <v>605</v>
      </c>
      <c r="E24" s="576" t="s">
        <v>1058</v>
      </c>
      <c r="F24" s="604" t="s">
        <v>1059</v>
      </c>
      <c r="G24" s="576" t="s">
        <v>994</v>
      </c>
      <c r="H24" s="576" t="s">
        <v>995</v>
      </c>
      <c r="I24" s="590">
        <v>1.63</v>
      </c>
      <c r="J24" s="590">
        <v>300</v>
      </c>
      <c r="K24" s="591">
        <v>489</v>
      </c>
    </row>
    <row r="25" spans="1:11" ht="14.4" customHeight="1" x14ac:dyDescent="0.3">
      <c r="A25" s="572" t="s">
        <v>452</v>
      </c>
      <c r="B25" s="573" t="s">
        <v>453</v>
      </c>
      <c r="C25" s="576" t="s">
        <v>463</v>
      </c>
      <c r="D25" s="604" t="s">
        <v>605</v>
      </c>
      <c r="E25" s="576" t="s">
        <v>1058</v>
      </c>
      <c r="F25" s="604" t="s">
        <v>1059</v>
      </c>
      <c r="G25" s="576" t="s">
        <v>996</v>
      </c>
      <c r="H25" s="576" t="s">
        <v>997</v>
      </c>
      <c r="I25" s="590">
        <v>1.68</v>
      </c>
      <c r="J25" s="590">
        <v>20</v>
      </c>
      <c r="K25" s="591">
        <v>33.6</v>
      </c>
    </row>
    <row r="26" spans="1:11" ht="14.4" customHeight="1" x14ac:dyDescent="0.3">
      <c r="A26" s="572" t="s">
        <v>452</v>
      </c>
      <c r="B26" s="573" t="s">
        <v>453</v>
      </c>
      <c r="C26" s="576" t="s">
        <v>463</v>
      </c>
      <c r="D26" s="604" t="s">
        <v>605</v>
      </c>
      <c r="E26" s="576" t="s">
        <v>1058</v>
      </c>
      <c r="F26" s="604" t="s">
        <v>1059</v>
      </c>
      <c r="G26" s="576" t="s">
        <v>998</v>
      </c>
      <c r="H26" s="576" t="s">
        <v>999</v>
      </c>
      <c r="I26" s="590">
        <v>12.11</v>
      </c>
      <c r="J26" s="590">
        <v>5</v>
      </c>
      <c r="K26" s="591">
        <v>60.55</v>
      </c>
    </row>
    <row r="27" spans="1:11" ht="14.4" customHeight="1" x14ac:dyDescent="0.3">
      <c r="A27" s="572" t="s">
        <v>452</v>
      </c>
      <c r="B27" s="573" t="s">
        <v>453</v>
      </c>
      <c r="C27" s="576" t="s">
        <v>463</v>
      </c>
      <c r="D27" s="604" t="s">
        <v>605</v>
      </c>
      <c r="E27" s="576" t="s">
        <v>1058</v>
      </c>
      <c r="F27" s="604" t="s">
        <v>1059</v>
      </c>
      <c r="G27" s="576" t="s">
        <v>1000</v>
      </c>
      <c r="H27" s="576" t="s">
        <v>1001</v>
      </c>
      <c r="I27" s="590">
        <v>2.84</v>
      </c>
      <c r="J27" s="590">
        <v>100</v>
      </c>
      <c r="K27" s="591">
        <v>284</v>
      </c>
    </row>
    <row r="28" spans="1:11" ht="14.4" customHeight="1" x14ac:dyDescent="0.3">
      <c r="A28" s="572" t="s">
        <v>452</v>
      </c>
      <c r="B28" s="573" t="s">
        <v>453</v>
      </c>
      <c r="C28" s="576" t="s">
        <v>463</v>
      </c>
      <c r="D28" s="604" t="s">
        <v>605</v>
      </c>
      <c r="E28" s="576" t="s">
        <v>1058</v>
      </c>
      <c r="F28" s="604" t="s">
        <v>1059</v>
      </c>
      <c r="G28" s="576" t="s">
        <v>1000</v>
      </c>
      <c r="H28" s="576" t="s">
        <v>1002</v>
      </c>
      <c r="I28" s="590">
        <v>3.1150000000000002</v>
      </c>
      <c r="J28" s="590">
        <v>150</v>
      </c>
      <c r="K28" s="591">
        <v>458.5</v>
      </c>
    </row>
    <row r="29" spans="1:11" ht="14.4" customHeight="1" x14ac:dyDescent="0.3">
      <c r="A29" s="572" t="s">
        <v>452</v>
      </c>
      <c r="B29" s="573" t="s">
        <v>453</v>
      </c>
      <c r="C29" s="576" t="s">
        <v>463</v>
      </c>
      <c r="D29" s="604" t="s">
        <v>605</v>
      </c>
      <c r="E29" s="576" t="s">
        <v>1058</v>
      </c>
      <c r="F29" s="604" t="s">
        <v>1059</v>
      </c>
      <c r="G29" s="576" t="s">
        <v>1003</v>
      </c>
      <c r="H29" s="576" t="s">
        <v>1004</v>
      </c>
      <c r="I29" s="590">
        <v>21.224999999999998</v>
      </c>
      <c r="J29" s="590">
        <v>20</v>
      </c>
      <c r="K29" s="591">
        <v>424.5</v>
      </c>
    </row>
    <row r="30" spans="1:11" ht="14.4" customHeight="1" x14ac:dyDescent="0.3">
      <c r="A30" s="572" t="s">
        <v>452</v>
      </c>
      <c r="B30" s="573" t="s">
        <v>453</v>
      </c>
      <c r="C30" s="576" t="s">
        <v>463</v>
      </c>
      <c r="D30" s="604" t="s">
        <v>605</v>
      </c>
      <c r="E30" s="576" t="s">
        <v>1058</v>
      </c>
      <c r="F30" s="604" t="s">
        <v>1059</v>
      </c>
      <c r="G30" s="576" t="s">
        <v>1005</v>
      </c>
      <c r="H30" s="576" t="s">
        <v>1006</v>
      </c>
      <c r="I30" s="590">
        <v>121</v>
      </c>
      <c r="J30" s="590">
        <v>2</v>
      </c>
      <c r="K30" s="591">
        <v>242</v>
      </c>
    </row>
    <row r="31" spans="1:11" ht="14.4" customHeight="1" x14ac:dyDescent="0.3">
      <c r="A31" s="572" t="s">
        <v>452</v>
      </c>
      <c r="B31" s="573" t="s">
        <v>453</v>
      </c>
      <c r="C31" s="576" t="s">
        <v>463</v>
      </c>
      <c r="D31" s="604" t="s">
        <v>605</v>
      </c>
      <c r="E31" s="576" t="s">
        <v>1058</v>
      </c>
      <c r="F31" s="604" t="s">
        <v>1059</v>
      </c>
      <c r="G31" s="576" t="s">
        <v>1007</v>
      </c>
      <c r="H31" s="576" t="s">
        <v>1008</v>
      </c>
      <c r="I31" s="590">
        <v>3.17</v>
      </c>
      <c r="J31" s="590">
        <v>600</v>
      </c>
      <c r="K31" s="591">
        <v>1902.05</v>
      </c>
    </row>
    <row r="32" spans="1:11" ht="14.4" customHeight="1" x14ac:dyDescent="0.3">
      <c r="A32" s="572" t="s">
        <v>452</v>
      </c>
      <c r="B32" s="573" t="s">
        <v>453</v>
      </c>
      <c r="C32" s="576" t="s">
        <v>463</v>
      </c>
      <c r="D32" s="604" t="s">
        <v>605</v>
      </c>
      <c r="E32" s="576" t="s">
        <v>1058</v>
      </c>
      <c r="F32" s="604" t="s">
        <v>1059</v>
      </c>
      <c r="G32" s="576" t="s">
        <v>1009</v>
      </c>
      <c r="H32" s="576" t="s">
        <v>1010</v>
      </c>
      <c r="I32" s="590">
        <v>14.156666666666666</v>
      </c>
      <c r="J32" s="590">
        <v>4</v>
      </c>
      <c r="K32" s="591">
        <v>56.600000000000009</v>
      </c>
    </row>
    <row r="33" spans="1:11" ht="14.4" customHeight="1" x14ac:dyDescent="0.3">
      <c r="A33" s="572" t="s">
        <v>452</v>
      </c>
      <c r="B33" s="573" t="s">
        <v>453</v>
      </c>
      <c r="C33" s="576" t="s">
        <v>463</v>
      </c>
      <c r="D33" s="604" t="s">
        <v>605</v>
      </c>
      <c r="E33" s="576" t="s">
        <v>1060</v>
      </c>
      <c r="F33" s="604" t="s">
        <v>1061</v>
      </c>
      <c r="G33" s="576" t="s">
        <v>1011</v>
      </c>
      <c r="H33" s="576" t="s">
        <v>1012</v>
      </c>
      <c r="I33" s="590">
        <v>8.17</v>
      </c>
      <c r="J33" s="590">
        <v>400</v>
      </c>
      <c r="K33" s="591">
        <v>3268</v>
      </c>
    </row>
    <row r="34" spans="1:11" ht="14.4" customHeight="1" x14ac:dyDescent="0.3">
      <c r="A34" s="572" t="s">
        <v>452</v>
      </c>
      <c r="B34" s="573" t="s">
        <v>453</v>
      </c>
      <c r="C34" s="576" t="s">
        <v>463</v>
      </c>
      <c r="D34" s="604" t="s">
        <v>605</v>
      </c>
      <c r="E34" s="576" t="s">
        <v>1060</v>
      </c>
      <c r="F34" s="604" t="s">
        <v>1061</v>
      </c>
      <c r="G34" s="576" t="s">
        <v>1011</v>
      </c>
      <c r="H34" s="576" t="s">
        <v>1013</v>
      </c>
      <c r="I34" s="590">
        <v>8.1650000000000009</v>
      </c>
      <c r="J34" s="590">
        <v>1800</v>
      </c>
      <c r="K34" s="591">
        <v>14698</v>
      </c>
    </row>
    <row r="35" spans="1:11" ht="14.4" customHeight="1" x14ac:dyDescent="0.3">
      <c r="A35" s="572" t="s">
        <v>452</v>
      </c>
      <c r="B35" s="573" t="s">
        <v>453</v>
      </c>
      <c r="C35" s="576" t="s">
        <v>463</v>
      </c>
      <c r="D35" s="604" t="s">
        <v>605</v>
      </c>
      <c r="E35" s="576" t="s">
        <v>1062</v>
      </c>
      <c r="F35" s="604" t="s">
        <v>1063</v>
      </c>
      <c r="G35" s="576" t="s">
        <v>1014</v>
      </c>
      <c r="H35" s="576" t="s">
        <v>1015</v>
      </c>
      <c r="I35" s="590">
        <v>0.3</v>
      </c>
      <c r="J35" s="590">
        <v>1800</v>
      </c>
      <c r="K35" s="591">
        <v>540</v>
      </c>
    </row>
    <row r="36" spans="1:11" ht="14.4" customHeight="1" x14ac:dyDescent="0.3">
      <c r="A36" s="572" t="s">
        <v>452</v>
      </c>
      <c r="B36" s="573" t="s">
        <v>453</v>
      </c>
      <c r="C36" s="576" t="s">
        <v>463</v>
      </c>
      <c r="D36" s="604" t="s">
        <v>605</v>
      </c>
      <c r="E36" s="576" t="s">
        <v>1062</v>
      </c>
      <c r="F36" s="604" t="s">
        <v>1063</v>
      </c>
      <c r="G36" s="576" t="s">
        <v>1016</v>
      </c>
      <c r="H36" s="576" t="s">
        <v>1017</v>
      </c>
      <c r="I36" s="590">
        <v>1.7533333333333332</v>
      </c>
      <c r="J36" s="590">
        <v>1100</v>
      </c>
      <c r="K36" s="591">
        <v>1928</v>
      </c>
    </row>
    <row r="37" spans="1:11" ht="14.4" customHeight="1" x14ac:dyDescent="0.3">
      <c r="A37" s="572" t="s">
        <v>452</v>
      </c>
      <c r="B37" s="573" t="s">
        <v>453</v>
      </c>
      <c r="C37" s="576" t="s">
        <v>463</v>
      </c>
      <c r="D37" s="604" t="s">
        <v>605</v>
      </c>
      <c r="E37" s="576" t="s">
        <v>1064</v>
      </c>
      <c r="F37" s="604" t="s">
        <v>1065</v>
      </c>
      <c r="G37" s="576" t="s">
        <v>1018</v>
      </c>
      <c r="H37" s="576" t="s">
        <v>1019</v>
      </c>
      <c r="I37" s="590">
        <v>0.77</v>
      </c>
      <c r="J37" s="590">
        <v>500</v>
      </c>
      <c r="K37" s="591">
        <v>385</v>
      </c>
    </row>
    <row r="38" spans="1:11" ht="14.4" customHeight="1" x14ac:dyDescent="0.3">
      <c r="A38" s="572" t="s">
        <v>452</v>
      </c>
      <c r="B38" s="573" t="s">
        <v>453</v>
      </c>
      <c r="C38" s="576" t="s">
        <v>463</v>
      </c>
      <c r="D38" s="604" t="s">
        <v>605</v>
      </c>
      <c r="E38" s="576" t="s">
        <v>1064</v>
      </c>
      <c r="F38" s="604" t="s">
        <v>1065</v>
      </c>
      <c r="G38" s="576" t="s">
        <v>1020</v>
      </c>
      <c r="H38" s="576" t="s">
        <v>1021</v>
      </c>
      <c r="I38" s="590">
        <v>0.71</v>
      </c>
      <c r="J38" s="590">
        <v>200</v>
      </c>
      <c r="K38" s="591">
        <v>142</v>
      </c>
    </row>
    <row r="39" spans="1:11" ht="14.4" customHeight="1" x14ac:dyDescent="0.3">
      <c r="A39" s="572" t="s">
        <v>452</v>
      </c>
      <c r="B39" s="573" t="s">
        <v>453</v>
      </c>
      <c r="C39" s="576" t="s">
        <v>463</v>
      </c>
      <c r="D39" s="604" t="s">
        <v>605</v>
      </c>
      <c r="E39" s="576" t="s">
        <v>1064</v>
      </c>
      <c r="F39" s="604" t="s">
        <v>1065</v>
      </c>
      <c r="G39" s="576" t="s">
        <v>1020</v>
      </c>
      <c r="H39" s="576" t="s">
        <v>1022</v>
      </c>
      <c r="I39" s="590">
        <v>0.71</v>
      </c>
      <c r="J39" s="590">
        <v>400</v>
      </c>
      <c r="K39" s="591">
        <v>284</v>
      </c>
    </row>
    <row r="40" spans="1:11" ht="14.4" customHeight="1" x14ac:dyDescent="0.3">
      <c r="A40" s="572" t="s">
        <v>452</v>
      </c>
      <c r="B40" s="573" t="s">
        <v>453</v>
      </c>
      <c r="C40" s="576" t="s">
        <v>463</v>
      </c>
      <c r="D40" s="604" t="s">
        <v>605</v>
      </c>
      <c r="E40" s="576" t="s">
        <v>1066</v>
      </c>
      <c r="F40" s="604" t="s">
        <v>1067</v>
      </c>
      <c r="G40" s="576" t="s">
        <v>1023</v>
      </c>
      <c r="H40" s="576" t="s">
        <v>1024</v>
      </c>
      <c r="I40" s="590">
        <v>191.87142857142859</v>
      </c>
      <c r="J40" s="590">
        <v>76</v>
      </c>
      <c r="K40" s="591">
        <v>14588.970000000003</v>
      </c>
    </row>
    <row r="41" spans="1:11" ht="14.4" customHeight="1" x14ac:dyDescent="0.3">
      <c r="A41" s="572" t="s">
        <v>452</v>
      </c>
      <c r="B41" s="573" t="s">
        <v>453</v>
      </c>
      <c r="C41" s="576" t="s">
        <v>463</v>
      </c>
      <c r="D41" s="604" t="s">
        <v>605</v>
      </c>
      <c r="E41" s="576" t="s">
        <v>1066</v>
      </c>
      <c r="F41" s="604" t="s">
        <v>1067</v>
      </c>
      <c r="G41" s="576" t="s">
        <v>1025</v>
      </c>
      <c r="H41" s="576" t="s">
        <v>1026</v>
      </c>
      <c r="I41" s="590">
        <v>70.735092823593291</v>
      </c>
      <c r="J41" s="590">
        <v>1</v>
      </c>
      <c r="K41" s="591">
        <v>70.735092823593291</v>
      </c>
    </row>
    <row r="42" spans="1:11" ht="14.4" customHeight="1" x14ac:dyDescent="0.3">
      <c r="A42" s="572" t="s">
        <v>452</v>
      </c>
      <c r="B42" s="573" t="s">
        <v>453</v>
      </c>
      <c r="C42" s="576" t="s">
        <v>953</v>
      </c>
      <c r="D42" s="604" t="s">
        <v>1068</v>
      </c>
      <c r="E42" s="576" t="s">
        <v>1056</v>
      </c>
      <c r="F42" s="604" t="s">
        <v>1057</v>
      </c>
      <c r="G42" s="576" t="s">
        <v>956</v>
      </c>
      <c r="H42" s="576" t="s">
        <v>957</v>
      </c>
      <c r="I42" s="590">
        <v>4.3</v>
      </c>
      <c r="J42" s="590">
        <v>19</v>
      </c>
      <c r="K42" s="591">
        <v>81.7</v>
      </c>
    </row>
    <row r="43" spans="1:11" ht="14.4" customHeight="1" x14ac:dyDescent="0.3">
      <c r="A43" s="572" t="s">
        <v>452</v>
      </c>
      <c r="B43" s="573" t="s">
        <v>453</v>
      </c>
      <c r="C43" s="576" t="s">
        <v>953</v>
      </c>
      <c r="D43" s="604" t="s">
        <v>1068</v>
      </c>
      <c r="E43" s="576" t="s">
        <v>1056</v>
      </c>
      <c r="F43" s="604" t="s">
        <v>1057</v>
      </c>
      <c r="G43" s="576" t="s">
        <v>958</v>
      </c>
      <c r="H43" s="576" t="s">
        <v>959</v>
      </c>
      <c r="I43" s="590">
        <v>27.37</v>
      </c>
      <c r="J43" s="590">
        <v>4</v>
      </c>
      <c r="K43" s="591">
        <v>109.48</v>
      </c>
    </row>
    <row r="44" spans="1:11" ht="14.4" customHeight="1" x14ac:dyDescent="0.3">
      <c r="A44" s="572" t="s">
        <v>452</v>
      </c>
      <c r="B44" s="573" t="s">
        <v>453</v>
      </c>
      <c r="C44" s="576" t="s">
        <v>953</v>
      </c>
      <c r="D44" s="604" t="s">
        <v>1068</v>
      </c>
      <c r="E44" s="576" t="s">
        <v>1056</v>
      </c>
      <c r="F44" s="604" t="s">
        <v>1057</v>
      </c>
      <c r="G44" s="576" t="s">
        <v>960</v>
      </c>
      <c r="H44" s="576" t="s">
        <v>961</v>
      </c>
      <c r="I44" s="590">
        <v>13.02</v>
      </c>
      <c r="J44" s="590">
        <v>5</v>
      </c>
      <c r="K44" s="591">
        <v>65.099999999999994</v>
      </c>
    </row>
    <row r="45" spans="1:11" ht="14.4" customHeight="1" x14ac:dyDescent="0.3">
      <c r="A45" s="572" t="s">
        <v>452</v>
      </c>
      <c r="B45" s="573" t="s">
        <v>453</v>
      </c>
      <c r="C45" s="576" t="s">
        <v>953</v>
      </c>
      <c r="D45" s="604" t="s">
        <v>1068</v>
      </c>
      <c r="E45" s="576" t="s">
        <v>1056</v>
      </c>
      <c r="F45" s="604" t="s">
        <v>1057</v>
      </c>
      <c r="G45" s="576" t="s">
        <v>960</v>
      </c>
      <c r="H45" s="576" t="s">
        <v>1027</v>
      </c>
      <c r="I45" s="590">
        <v>13.013333333333334</v>
      </c>
      <c r="J45" s="590">
        <v>20</v>
      </c>
      <c r="K45" s="591">
        <v>260.25</v>
      </c>
    </row>
    <row r="46" spans="1:11" ht="14.4" customHeight="1" x14ac:dyDescent="0.3">
      <c r="A46" s="572" t="s">
        <v>452</v>
      </c>
      <c r="B46" s="573" t="s">
        <v>453</v>
      </c>
      <c r="C46" s="576" t="s">
        <v>953</v>
      </c>
      <c r="D46" s="604" t="s">
        <v>1068</v>
      </c>
      <c r="E46" s="576" t="s">
        <v>1056</v>
      </c>
      <c r="F46" s="604" t="s">
        <v>1057</v>
      </c>
      <c r="G46" s="576" t="s">
        <v>962</v>
      </c>
      <c r="H46" s="576" t="s">
        <v>963</v>
      </c>
      <c r="I46" s="590">
        <v>27.972000000000001</v>
      </c>
      <c r="J46" s="590">
        <v>7</v>
      </c>
      <c r="K46" s="591">
        <v>195.74</v>
      </c>
    </row>
    <row r="47" spans="1:11" ht="14.4" customHeight="1" x14ac:dyDescent="0.3">
      <c r="A47" s="572" t="s">
        <v>452</v>
      </c>
      <c r="B47" s="573" t="s">
        <v>453</v>
      </c>
      <c r="C47" s="576" t="s">
        <v>953</v>
      </c>
      <c r="D47" s="604" t="s">
        <v>1068</v>
      </c>
      <c r="E47" s="576" t="s">
        <v>1056</v>
      </c>
      <c r="F47" s="604" t="s">
        <v>1057</v>
      </c>
      <c r="G47" s="576" t="s">
        <v>1028</v>
      </c>
      <c r="H47" s="576" t="s">
        <v>1029</v>
      </c>
      <c r="I47" s="590">
        <v>9.7200000000000006</v>
      </c>
      <c r="J47" s="590">
        <v>2</v>
      </c>
      <c r="K47" s="591">
        <v>19.440000000000001</v>
      </c>
    </row>
    <row r="48" spans="1:11" ht="14.4" customHeight="1" x14ac:dyDescent="0.3">
      <c r="A48" s="572" t="s">
        <v>452</v>
      </c>
      <c r="B48" s="573" t="s">
        <v>453</v>
      </c>
      <c r="C48" s="576" t="s">
        <v>953</v>
      </c>
      <c r="D48" s="604" t="s">
        <v>1068</v>
      </c>
      <c r="E48" s="576" t="s">
        <v>1056</v>
      </c>
      <c r="F48" s="604" t="s">
        <v>1057</v>
      </c>
      <c r="G48" s="576" t="s">
        <v>1030</v>
      </c>
      <c r="H48" s="576" t="s">
        <v>1031</v>
      </c>
      <c r="I48" s="590">
        <v>1.52</v>
      </c>
      <c r="J48" s="590">
        <v>10</v>
      </c>
      <c r="K48" s="591">
        <v>15.2</v>
      </c>
    </row>
    <row r="49" spans="1:11" ht="14.4" customHeight="1" x14ac:dyDescent="0.3">
      <c r="A49" s="572" t="s">
        <v>452</v>
      </c>
      <c r="B49" s="573" t="s">
        <v>453</v>
      </c>
      <c r="C49" s="576" t="s">
        <v>953</v>
      </c>
      <c r="D49" s="604" t="s">
        <v>1068</v>
      </c>
      <c r="E49" s="576" t="s">
        <v>1056</v>
      </c>
      <c r="F49" s="604" t="s">
        <v>1057</v>
      </c>
      <c r="G49" s="576" t="s">
        <v>1032</v>
      </c>
      <c r="H49" s="576" t="s">
        <v>1033</v>
      </c>
      <c r="I49" s="590">
        <v>0.32</v>
      </c>
      <c r="J49" s="590">
        <v>5</v>
      </c>
      <c r="K49" s="591">
        <v>1.6</v>
      </c>
    </row>
    <row r="50" spans="1:11" ht="14.4" customHeight="1" x14ac:dyDescent="0.3">
      <c r="A50" s="572" t="s">
        <v>452</v>
      </c>
      <c r="B50" s="573" t="s">
        <v>453</v>
      </c>
      <c r="C50" s="576" t="s">
        <v>953</v>
      </c>
      <c r="D50" s="604" t="s">
        <v>1068</v>
      </c>
      <c r="E50" s="576" t="s">
        <v>1056</v>
      </c>
      <c r="F50" s="604" t="s">
        <v>1057</v>
      </c>
      <c r="G50" s="576" t="s">
        <v>1034</v>
      </c>
      <c r="H50" s="576" t="s">
        <v>1035</v>
      </c>
      <c r="I50" s="590">
        <v>14.09</v>
      </c>
      <c r="J50" s="590">
        <v>1</v>
      </c>
      <c r="K50" s="591">
        <v>14.09</v>
      </c>
    </row>
    <row r="51" spans="1:11" ht="14.4" customHeight="1" x14ac:dyDescent="0.3">
      <c r="A51" s="572" t="s">
        <v>452</v>
      </c>
      <c r="B51" s="573" t="s">
        <v>453</v>
      </c>
      <c r="C51" s="576" t="s">
        <v>953</v>
      </c>
      <c r="D51" s="604" t="s">
        <v>1068</v>
      </c>
      <c r="E51" s="576" t="s">
        <v>1056</v>
      </c>
      <c r="F51" s="604" t="s">
        <v>1057</v>
      </c>
      <c r="G51" s="576" t="s">
        <v>1036</v>
      </c>
      <c r="H51" s="576" t="s">
        <v>1037</v>
      </c>
      <c r="I51" s="590">
        <v>7.1</v>
      </c>
      <c r="J51" s="590">
        <v>2</v>
      </c>
      <c r="K51" s="591">
        <v>14.2</v>
      </c>
    </row>
    <row r="52" spans="1:11" ht="14.4" customHeight="1" x14ac:dyDescent="0.3">
      <c r="A52" s="572" t="s">
        <v>452</v>
      </c>
      <c r="B52" s="573" t="s">
        <v>453</v>
      </c>
      <c r="C52" s="576" t="s">
        <v>953</v>
      </c>
      <c r="D52" s="604" t="s">
        <v>1068</v>
      </c>
      <c r="E52" s="576" t="s">
        <v>1056</v>
      </c>
      <c r="F52" s="604" t="s">
        <v>1057</v>
      </c>
      <c r="G52" s="576" t="s">
        <v>1038</v>
      </c>
      <c r="H52" s="576" t="s">
        <v>1039</v>
      </c>
      <c r="I52" s="590">
        <v>5.92</v>
      </c>
      <c r="J52" s="590">
        <v>1</v>
      </c>
      <c r="K52" s="591">
        <v>5.92</v>
      </c>
    </row>
    <row r="53" spans="1:11" ht="14.4" customHeight="1" x14ac:dyDescent="0.3">
      <c r="A53" s="572" t="s">
        <v>452</v>
      </c>
      <c r="B53" s="573" t="s">
        <v>453</v>
      </c>
      <c r="C53" s="576" t="s">
        <v>953</v>
      </c>
      <c r="D53" s="604" t="s">
        <v>1068</v>
      </c>
      <c r="E53" s="576" t="s">
        <v>1056</v>
      </c>
      <c r="F53" s="604" t="s">
        <v>1057</v>
      </c>
      <c r="G53" s="576" t="s">
        <v>1040</v>
      </c>
      <c r="H53" s="576" t="s">
        <v>1041</v>
      </c>
      <c r="I53" s="590">
        <v>2.54</v>
      </c>
      <c r="J53" s="590">
        <v>4</v>
      </c>
      <c r="K53" s="591">
        <v>10.17</v>
      </c>
    </row>
    <row r="54" spans="1:11" ht="14.4" customHeight="1" x14ac:dyDescent="0.3">
      <c r="A54" s="572" t="s">
        <v>452</v>
      </c>
      <c r="B54" s="573" t="s">
        <v>453</v>
      </c>
      <c r="C54" s="576" t="s">
        <v>953</v>
      </c>
      <c r="D54" s="604" t="s">
        <v>1068</v>
      </c>
      <c r="E54" s="576" t="s">
        <v>1058</v>
      </c>
      <c r="F54" s="604" t="s">
        <v>1059</v>
      </c>
      <c r="G54" s="576" t="s">
        <v>1042</v>
      </c>
      <c r="H54" s="576" t="s">
        <v>1043</v>
      </c>
      <c r="I54" s="590">
        <v>3.13</v>
      </c>
      <c r="J54" s="590">
        <v>40</v>
      </c>
      <c r="K54" s="591">
        <v>125.2</v>
      </c>
    </row>
    <row r="55" spans="1:11" ht="14.4" customHeight="1" x14ac:dyDescent="0.3">
      <c r="A55" s="572" t="s">
        <v>452</v>
      </c>
      <c r="B55" s="573" t="s">
        <v>453</v>
      </c>
      <c r="C55" s="576" t="s">
        <v>953</v>
      </c>
      <c r="D55" s="604" t="s">
        <v>1068</v>
      </c>
      <c r="E55" s="576" t="s">
        <v>1058</v>
      </c>
      <c r="F55" s="604" t="s">
        <v>1059</v>
      </c>
      <c r="G55" s="576" t="s">
        <v>964</v>
      </c>
      <c r="H55" s="576" t="s">
        <v>1044</v>
      </c>
      <c r="I55" s="590">
        <v>0.21</v>
      </c>
      <c r="J55" s="590">
        <v>300</v>
      </c>
      <c r="K55" s="591">
        <v>63</v>
      </c>
    </row>
    <row r="56" spans="1:11" ht="14.4" customHeight="1" x14ac:dyDescent="0.3">
      <c r="A56" s="572" t="s">
        <v>452</v>
      </c>
      <c r="B56" s="573" t="s">
        <v>453</v>
      </c>
      <c r="C56" s="576" t="s">
        <v>953</v>
      </c>
      <c r="D56" s="604" t="s">
        <v>1068</v>
      </c>
      <c r="E56" s="576" t="s">
        <v>1058</v>
      </c>
      <c r="F56" s="604" t="s">
        <v>1059</v>
      </c>
      <c r="G56" s="576" t="s">
        <v>964</v>
      </c>
      <c r="H56" s="576" t="s">
        <v>1045</v>
      </c>
      <c r="I56" s="590">
        <v>0.22</v>
      </c>
      <c r="J56" s="590">
        <v>200</v>
      </c>
      <c r="K56" s="591">
        <v>44</v>
      </c>
    </row>
    <row r="57" spans="1:11" ht="14.4" customHeight="1" x14ac:dyDescent="0.3">
      <c r="A57" s="572" t="s">
        <v>452</v>
      </c>
      <c r="B57" s="573" t="s">
        <v>453</v>
      </c>
      <c r="C57" s="576" t="s">
        <v>953</v>
      </c>
      <c r="D57" s="604" t="s">
        <v>1068</v>
      </c>
      <c r="E57" s="576" t="s">
        <v>1058</v>
      </c>
      <c r="F57" s="604" t="s">
        <v>1059</v>
      </c>
      <c r="G57" s="576" t="s">
        <v>964</v>
      </c>
      <c r="H57" s="576" t="s">
        <v>965</v>
      </c>
      <c r="I57" s="590">
        <v>0.21</v>
      </c>
      <c r="J57" s="590">
        <v>100</v>
      </c>
      <c r="K57" s="591">
        <v>21</v>
      </c>
    </row>
    <row r="58" spans="1:11" ht="14.4" customHeight="1" x14ac:dyDescent="0.3">
      <c r="A58" s="572" t="s">
        <v>452</v>
      </c>
      <c r="B58" s="573" t="s">
        <v>453</v>
      </c>
      <c r="C58" s="576" t="s">
        <v>953</v>
      </c>
      <c r="D58" s="604" t="s">
        <v>1068</v>
      </c>
      <c r="E58" s="576" t="s">
        <v>1058</v>
      </c>
      <c r="F58" s="604" t="s">
        <v>1059</v>
      </c>
      <c r="G58" s="576" t="s">
        <v>966</v>
      </c>
      <c r="H58" s="576" t="s">
        <v>967</v>
      </c>
      <c r="I58" s="590">
        <v>23.71</v>
      </c>
      <c r="J58" s="590">
        <v>7</v>
      </c>
      <c r="K58" s="591">
        <v>165.98</v>
      </c>
    </row>
    <row r="59" spans="1:11" ht="14.4" customHeight="1" x14ac:dyDescent="0.3">
      <c r="A59" s="572" t="s">
        <v>452</v>
      </c>
      <c r="B59" s="573" t="s">
        <v>453</v>
      </c>
      <c r="C59" s="576" t="s">
        <v>953</v>
      </c>
      <c r="D59" s="604" t="s">
        <v>1068</v>
      </c>
      <c r="E59" s="576" t="s">
        <v>1058</v>
      </c>
      <c r="F59" s="604" t="s">
        <v>1059</v>
      </c>
      <c r="G59" s="576" t="s">
        <v>968</v>
      </c>
      <c r="H59" s="576" t="s">
        <v>969</v>
      </c>
      <c r="I59" s="590">
        <v>1.67</v>
      </c>
      <c r="J59" s="590">
        <v>100</v>
      </c>
      <c r="K59" s="591">
        <v>167</v>
      </c>
    </row>
    <row r="60" spans="1:11" ht="14.4" customHeight="1" x14ac:dyDescent="0.3">
      <c r="A60" s="572" t="s">
        <v>452</v>
      </c>
      <c r="B60" s="573" t="s">
        <v>453</v>
      </c>
      <c r="C60" s="576" t="s">
        <v>953</v>
      </c>
      <c r="D60" s="604" t="s">
        <v>1068</v>
      </c>
      <c r="E60" s="576" t="s">
        <v>1058</v>
      </c>
      <c r="F60" s="604" t="s">
        <v>1059</v>
      </c>
      <c r="G60" s="576" t="s">
        <v>1046</v>
      </c>
      <c r="H60" s="576" t="s">
        <v>1047</v>
      </c>
      <c r="I60" s="590">
        <v>0.67</v>
      </c>
      <c r="J60" s="590">
        <v>5</v>
      </c>
      <c r="K60" s="591">
        <v>3.35</v>
      </c>
    </row>
    <row r="61" spans="1:11" ht="14.4" customHeight="1" x14ac:dyDescent="0.3">
      <c r="A61" s="572" t="s">
        <v>452</v>
      </c>
      <c r="B61" s="573" t="s">
        <v>453</v>
      </c>
      <c r="C61" s="576" t="s">
        <v>953</v>
      </c>
      <c r="D61" s="604" t="s">
        <v>1068</v>
      </c>
      <c r="E61" s="576" t="s">
        <v>1058</v>
      </c>
      <c r="F61" s="604" t="s">
        <v>1059</v>
      </c>
      <c r="G61" s="576" t="s">
        <v>972</v>
      </c>
      <c r="H61" s="576" t="s">
        <v>973</v>
      </c>
      <c r="I61" s="590">
        <v>1.8033333333333335</v>
      </c>
      <c r="J61" s="590">
        <v>250</v>
      </c>
      <c r="K61" s="591">
        <v>450.5</v>
      </c>
    </row>
    <row r="62" spans="1:11" ht="14.4" customHeight="1" x14ac:dyDescent="0.3">
      <c r="A62" s="572" t="s">
        <v>452</v>
      </c>
      <c r="B62" s="573" t="s">
        <v>453</v>
      </c>
      <c r="C62" s="576" t="s">
        <v>953</v>
      </c>
      <c r="D62" s="604" t="s">
        <v>1068</v>
      </c>
      <c r="E62" s="576" t="s">
        <v>1058</v>
      </c>
      <c r="F62" s="604" t="s">
        <v>1059</v>
      </c>
      <c r="G62" s="576" t="s">
        <v>974</v>
      </c>
      <c r="H62" s="576" t="s">
        <v>975</v>
      </c>
      <c r="I62" s="590">
        <v>1.8033333333333335</v>
      </c>
      <c r="J62" s="590">
        <v>250</v>
      </c>
      <c r="K62" s="591">
        <v>450.5</v>
      </c>
    </row>
    <row r="63" spans="1:11" ht="14.4" customHeight="1" x14ac:dyDescent="0.3">
      <c r="A63" s="572" t="s">
        <v>452</v>
      </c>
      <c r="B63" s="573" t="s">
        <v>453</v>
      </c>
      <c r="C63" s="576" t="s">
        <v>953</v>
      </c>
      <c r="D63" s="604" t="s">
        <v>1068</v>
      </c>
      <c r="E63" s="576" t="s">
        <v>1058</v>
      </c>
      <c r="F63" s="604" t="s">
        <v>1059</v>
      </c>
      <c r="G63" s="576" t="s">
        <v>976</v>
      </c>
      <c r="H63" s="576" t="s">
        <v>977</v>
      </c>
      <c r="I63" s="590">
        <v>1.87</v>
      </c>
      <c r="J63" s="590">
        <v>500</v>
      </c>
      <c r="K63" s="591">
        <v>932</v>
      </c>
    </row>
    <row r="64" spans="1:11" ht="14.4" customHeight="1" x14ac:dyDescent="0.3">
      <c r="A64" s="572" t="s">
        <v>452</v>
      </c>
      <c r="B64" s="573" t="s">
        <v>453</v>
      </c>
      <c r="C64" s="576" t="s">
        <v>953</v>
      </c>
      <c r="D64" s="604" t="s">
        <v>1068</v>
      </c>
      <c r="E64" s="576" t="s">
        <v>1058</v>
      </c>
      <c r="F64" s="604" t="s">
        <v>1059</v>
      </c>
      <c r="G64" s="576" t="s">
        <v>978</v>
      </c>
      <c r="H64" s="576" t="s">
        <v>979</v>
      </c>
      <c r="I64" s="590">
        <v>2.9475000000000002</v>
      </c>
      <c r="J64" s="590">
        <v>40</v>
      </c>
      <c r="K64" s="591">
        <v>117.9</v>
      </c>
    </row>
    <row r="65" spans="1:11" ht="14.4" customHeight="1" x14ac:dyDescent="0.3">
      <c r="A65" s="572" t="s">
        <v>452</v>
      </c>
      <c r="B65" s="573" t="s">
        <v>453</v>
      </c>
      <c r="C65" s="576" t="s">
        <v>953</v>
      </c>
      <c r="D65" s="604" t="s">
        <v>1068</v>
      </c>
      <c r="E65" s="576" t="s">
        <v>1058</v>
      </c>
      <c r="F65" s="604" t="s">
        <v>1059</v>
      </c>
      <c r="G65" s="576" t="s">
        <v>980</v>
      </c>
      <c r="H65" s="576" t="s">
        <v>981</v>
      </c>
      <c r="I65" s="590">
        <v>1.7625</v>
      </c>
      <c r="J65" s="590">
        <v>550</v>
      </c>
      <c r="K65" s="591">
        <v>969.5</v>
      </c>
    </row>
    <row r="66" spans="1:11" ht="14.4" customHeight="1" x14ac:dyDescent="0.3">
      <c r="A66" s="572" t="s">
        <v>452</v>
      </c>
      <c r="B66" s="573" t="s">
        <v>453</v>
      </c>
      <c r="C66" s="576" t="s">
        <v>953</v>
      </c>
      <c r="D66" s="604" t="s">
        <v>1068</v>
      </c>
      <c r="E66" s="576" t="s">
        <v>1058</v>
      </c>
      <c r="F66" s="604" t="s">
        <v>1059</v>
      </c>
      <c r="G66" s="576" t="s">
        <v>984</v>
      </c>
      <c r="H66" s="576" t="s">
        <v>985</v>
      </c>
      <c r="I66" s="590">
        <v>1.1666666666666667E-2</v>
      </c>
      <c r="J66" s="590">
        <v>1100</v>
      </c>
      <c r="K66" s="591">
        <v>13</v>
      </c>
    </row>
    <row r="67" spans="1:11" ht="14.4" customHeight="1" x14ac:dyDescent="0.3">
      <c r="A67" s="572" t="s">
        <v>452</v>
      </c>
      <c r="B67" s="573" t="s">
        <v>453</v>
      </c>
      <c r="C67" s="576" t="s">
        <v>953</v>
      </c>
      <c r="D67" s="604" t="s">
        <v>1068</v>
      </c>
      <c r="E67" s="576" t="s">
        <v>1058</v>
      </c>
      <c r="F67" s="604" t="s">
        <v>1059</v>
      </c>
      <c r="G67" s="576" t="s">
        <v>986</v>
      </c>
      <c r="H67" s="576" t="s">
        <v>987</v>
      </c>
      <c r="I67" s="590">
        <v>2</v>
      </c>
      <c r="J67" s="590">
        <v>20</v>
      </c>
      <c r="K67" s="591">
        <v>40</v>
      </c>
    </row>
    <row r="68" spans="1:11" ht="14.4" customHeight="1" x14ac:dyDescent="0.3">
      <c r="A68" s="572" t="s">
        <v>452</v>
      </c>
      <c r="B68" s="573" t="s">
        <v>453</v>
      </c>
      <c r="C68" s="576" t="s">
        <v>953</v>
      </c>
      <c r="D68" s="604" t="s">
        <v>1068</v>
      </c>
      <c r="E68" s="576" t="s">
        <v>1058</v>
      </c>
      <c r="F68" s="604" t="s">
        <v>1059</v>
      </c>
      <c r="G68" s="576" t="s">
        <v>988</v>
      </c>
      <c r="H68" s="576" t="s">
        <v>989</v>
      </c>
      <c r="I68" s="590">
        <v>2.12</v>
      </c>
      <c r="J68" s="590">
        <v>5</v>
      </c>
      <c r="K68" s="591">
        <v>10.6</v>
      </c>
    </row>
    <row r="69" spans="1:11" ht="14.4" customHeight="1" x14ac:dyDescent="0.3">
      <c r="A69" s="572" t="s">
        <v>452</v>
      </c>
      <c r="B69" s="573" t="s">
        <v>453</v>
      </c>
      <c r="C69" s="576" t="s">
        <v>953</v>
      </c>
      <c r="D69" s="604" t="s">
        <v>1068</v>
      </c>
      <c r="E69" s="576" t="s">
        <v>1058</v>
      </c>
      <c r="F69" s="604" t="s">
        <v>1059</v>
      </c>
      <c r="G69" s="576" t="s">
        <v>990</v>
      </c>
      <c r="H69" s="576" t="s">
        <v>991</v>
      </c>
      <c r="I69" s="590">
        <v>3.14</v>
      </c>
      <c r="J69" s="590">
        <v>5</v>
      </c>
      <c r="K69" s="591">
        <v>15.7</v>
      </c>
    </row>
    <row r="70" spans="1:11" ht="14.4" customHeight="1" x14ac:dyDescent="0.3">
      <c r="A70" s="572" t="s">
        <v>452</v>
      </c>
      <c r="B70" s="573" t="s">
        <v>453</v>
      </c>
      <c r="C70" s="576" t="s">
        <v>953</v>
      </c>
      <c r="D70" s="604" t="s">
        <v>1068</v>
      </c>
      <c r="E70" s="576" t="s">
        <v>1058</v>
      </c>
      <c r="F70" s="604" t="s">
        <v>1059</v>
      </c>
      <c r="G70" s="576" t="s">
        <v>992</v>
      </c>
      <c r="H70" s="576" t="s">
        <v>993</v>
      </c>
      <c r="I70" s="590">
        <v>2.41</v>
      </c>
      <c r="J70" s="590">
        <v>500</v>
      </c>
      <c r="K70" s="591">
        <v>1205</v>
      </c>
    </row>
    <row r="71" spans="1:11" ht="14.4" customHeight="1" x14ac:dyDescent="0.3">
      <c r="A71" s="572" t="s">
        <v>452</v>
      </c>
      <c r="B71" s="573" t="s">
        <v>453</v>
      </c>
      <c r="C71" s="576" t="s">
        <v>953</v>
      </c>
      <c r="D71" s="604" t="s">
        <v>1068</v>
      </c>
      <c r="E71" s="576" t="s">
        <v>1058</v>
      </c>
      <c r="F71" s="604" t="s">
        <v>1059</v>
      </c>
      <c r="G71" s="576" t="s">
        <v>1048</v>
      </c>
      <c r="H71" s="576" t="s">
        <v>1049</v>
      </c>
      <c r="I71" s="590">
        <v>17.98</v>
      </c>
      <c r="J71" s="590">
        <v>4</v>
      </c>
      <c r="K71" s="591">
        <v>71.92</v>
      </c>
    </row>
    <row r="72" spans="1:11" ht="14.4" customHeight="1" x14ac:dyDescent="0.3">
      <c r="A72" s="572" t="s">
        <v>452</v>
      </c>
      <c r="B72" s="573" t="s">
        <v>453</v>
      </c>
      <c r="C72" s="576" t="s">
        <v>953</v>
      </c>
      <c r="D72" s="604" t="s">
        <v>1068</v>
      </c>
      <c r="E72" s="576" t="s">
        <v>1058</v>
      </c>
      <c r="F72" s="604" t="s">
        <v>1059</v>
      </c>
      <c r="G72" s="576" t="s">
        <v>998</v>
      </c>
      <c r="H72" s="576" t="s">
        <v>999</v>
      </c>
      <c r="I72" s="590">
        <v>12.11</v>
      </c>
      <c r="J72" s="590">
        <v>20</v>
      </c>
      <c r="K72" s="591">
        <v>242.2</v>
      </c>
    </row>
    <row r="73" spans="1:11" ht="14.4" customHeight="1" x14ac:dyDescent="0.3">
      <c r="A73" s="572" t="s">
        <v>452</v>
      </c>
      <c r="B73" s="573" t="s">
        <v>453</v>
      </c>
      <c r="C73" s="576" t="s">
        <v>953</v>
      </c>
      <c r="D73" s="604" t="s">
        <v>1068</v>
      </c>
      <c r="E73" s="576" t="s">
        <v>1058</v>
      </c>
      <c r="F73" s="604" t="s">
        <v>1059</v>
      </c>
      <c r="G73" s="576" t="s">
        <v>1000</v>
      </c>
      <c r="H73" s="576" t="s">
        <v>1001</v>
      </c>
      <c r="I73" s="590">
        <v>2.91</v>
      </c>
      <c r="J73" s="590">
        <v>50</v>
      </c>
      <c r="K73" s="591">
        <v>145.5</v>
      </c>
    </row>
    <row r="74" spans="1:11" ht="14.4" customHeight="1" x14ac:dyDescent="0.3">
      <c r="A74" s="572" t="s">
        <v>452</v>
      </c>
      <c r="B74" s="573" t="s">
        <v>453</v>
      </c>
      <c r="C74" s="576" t="s">
        <v>953</v>
      </c>
      <c r="D74" s="604" t="s">
        <v>1068</v>
      </c>
      <c r="E74" s="576" t="s">
        <v>1058</v>
      </c>
      <c r="F74" s="604" t="s">
        <v>1059</v>
      </c>
      <c r="G74" s="576" t="s">
        <v>1000</v>
      </c>
      <c r="H74" s="576" t="s">
        <v>1002</v>
      </c>
      <c r="I74" s="590">
        <v>3.5750000000000002</v>
      </c>
      <c r="J74" s="590">
        <v>150</v>
      </c>
      <c r="K74" s="591">
        <v>568</v>
      </c>
    </row>
    <row r="75" spans="1:11" ht="14.4" customHeight="1" x14ac:dyDescent="0.3">
      <c r="A75" s="572" t="s">
        <v>452</v>
      </c>
      <c r="B75" s="573" t="s">
        <v>453</v>
      </c>
      <c r="C75" s="576" t="s">
        <v>953</v>
      </c>
      <c r="D75" s="604" t="s">
        <v>1068</v>
      </c>
      <c r="E75" s="576" t="s">
        <v>1058</v>
      </c>
      <c r="F75" s="604" t="s">
        <v>1059</v>
      </c>
      <c r="G75" s="576" t="s">
        <v>1050</v>
      </c>
      <c r="H75" s="576" t="s">
        <v>1051</v>
      </c>
      <c r="I75" s="590">
        <v>21.23</v>
      </c>
      <c r="J75" s="590">
        <v>5</v>
      </c>
      <c r="K75" s="591">
        <v>106.15</v>
      </c>
    </row>
    <row r="76" spans="1:11" ht="14.4" customHeight="1" x14ac:dyDescent="0.3">
      <c r="A76" s="572" t="s">
        <v>452</v>
      </c>
      <c r="B76" s="573" t="s">
        <v>453</v>
      </c>
      <c r="C76" s="576" t="s">
        <v>953</v>
      </c>
      <c r="D76" s="604" t="s">
        <v>1068</v>
      </c>
      <c r="E76" s="576" t="s">
        <v>1058</v>
      </c>
      <c r="F76" s="604" t="s">
        <v>1059</v>
      </c>
      <c r="G76" s="576" t="s">
        <v>1007</v>
      </c>
      <c r="H76" s="576" t="s">
        <v>1008</v>
      </c>
      <c r="I76" s="590">
        <v>3.02</v>
      </c>
      <c r="J76" s="590">
        <v>800</v>
      </c>
      <c r="K76" s="591">
        <v>2415</v>
      </c>
    </row>
    <row r="77" spans="1:11" ht="14.4" customHeight="1" x14ac:dyDescent="0.3">
      <c r="A77" s="572" t="s">
        <v>452</v>
      </c>
      <c r="B77" s="573" t="s">
        <v>453</v>
      </c>
      <c r="C77" s="576" t="s">
        <v>953</v>
      </c>
      <c r="D77" s="604" t="s">
        <v>1068</v>
      </c>
      <c r="E77" s="576" t="s">
        <v>1058</v>
      </c>
      <c r="F77" s="604" t="s">
        <v>1059</v>
      </c>
      <c r="G77" s="576" t="s">
        <v>1009</v>
      </c>
      <c r="H77" s="576" t="s">
        <v>1010</v>
      </c>
      <c r="I77" s="590">
        <v>14.17</v>
      </c>
      <c r="J77" s="590">
        <v>2</v>
      </c>
      <c r="K77" s="591">
        <v>28.34</v>
      </c>
    </row>
    <row r="78" spans="1:11" ht="14.4" customHeight="1" x14ac:dyDescent="0.3">
      <c r="A78" s="572" t="s">
        <v>452</v>
      </c>
      <c r="B78" s="573" t="s">
        <v>453</v>
      </c>
      <c r="C78" s="576" t="s">
        <v>953</v>
      </c>
      <c r="D78" s="604" t="s">
        <v>1068</v>
      </c>
      <c r="E78" s="576" t="s">
        <v>1058</v>
      </c>
      <c r="F78" s="604" t="s">
        <v>1059</v>
      </c>
      <c r="G78" s="576" t="s">
        <v>1052</v>
      </c>
      <c r="H78" s="576" t="s">
        <v>1053</v>
      </c>
      <c r="I78" s="590">
        <v>9.5</v>
      </c>
      <c r="J78" s="590">
        <v>1</v>
      </c>
      <c r="K78" s="591">
        <v>9.5</v>
      </c>
    </row>
    <row r="79" spans="1:11" ht="14.4" customHeight="1" x14ac:dyDescent="0.3">
      <c r="A79" s="572" t="s">
        <v>452</v>
      </c>
      <c r="B79" s="573" t="s">
        <v>453</v>
      </c>
      <c r="C79" s="576" t="s">
        <v>953</v>
      </c>
      <c r="D79" s="604" t="s">
        <v>1068</v>
      </c>
      <c r="E79" s="576" t="s">
        <v>1058</v>
      </c>
      <c r="F79" s="604" t="s">
        <v>1059</v>
      </c>
      <c r="G79" s="576" t="s">
        <v>1054</v>
      </c>
      <c r="H79" s="576" t="s">
        <v>1055</v>
      </c>
      <c r="I79" s="590">
        <v>568.70000000000005</v>
      </c>
      <c r="J79" s="590">
        <v>1</v>
      </c>
      <c r="K79" s="591">
        <v>568.70000000000005</v>
      </c>
    </row>
    <row r="80" spans="1:11" ht="14.4" customHeight="1" x14ac:dyDescent="0.3">
      <c r="A80" s="572" t="s">
        <v>452</v>
      </c>
      <c r="B80" s="573" t="s">
        <v>453</v>
      </c>
      <c r="C80" s="576" t="s">
        <v>953</v>
      </c>
      <c r="D80" s="604" t="s">
        <v>1068</v>
      </c>
      <c r="E80" s="576" t="s">
        <v>1062</v>
      </c>
      <c r="F80" s="604" t="s">
        <v>1063</v>
      </c>
      <c r="G80" s="576" t="s">
        <v>1014</v>
      </c>
      <c r="H80" s="576" t="s">
        <v>1015</v>
      </c>
      <c r="I80" s="590">
        <v>0.3</v>
      </c>
      <c r="J80" s="590">
        <v>1200</v>
      </c>
      <c r="K80" s="591">
        <v>360</v>
      </c>
    </row>
    <row r="81" spans="1:11" ht="14.4" customHeight="1" x14ac:dyDescent="0.3">
      <c r="A81" s="572" t="s">
        <v>452</v>
      </c>
      <c r="B81" s="573" t="s">
        <v>453</v>
      </c>
      <c r="C81" s="576" t="s">
        <v>953</v>
      </c>
      <c r="D81" s="604" t="s">
        <v>1068</v>
      </c>
      <c r="E81" s="576" t="s">
        <v>1062</v>
      </c>
      <c r="F81" s="604" t="s">
        <v>1063</v>
      </c>
      <c r="G81" s="576" t="s">
        <v>1016</v>
      </c>
      <c r="H81" s="576" t="s">
        <v>1017</v>
      </c>
      <c r="I81" s="590">
        <v>1.76</v>
      </c>
      <c r="J81" s="590">
        <v>500</v>
      </c>
      <c r="K81" s="591">
        <v>880</v>
      </c>
    </row>
    <row r="82" spans="1:11" ht="14.4" customHeight="1" x14ac:dyDescent="0.3">
      <c r="A82" s="572" t="s">
        <v>452</v>
      </c>
      <c r="B82" s="573" t="s">
        <v>453</v>
      </c>
      <c r="C82" s="576" t="s">
        <v>953</v>
      </c>
      <c r="D82" s="604" t="s">
        <v>1068</v>
      </c>
      <c r="E82" s="576" t="s">
        <v>1064</v>
      </c>
      <c r="F82" s="604" t="s">
        <v>1065</v>
      </c>
      <c r="G82" s="576" t="s">
        <v>1018</v>
      </c>
      <c r="H82" s="576" t="s">
        <v>1019</v>
      </c>
      <c r="I82" s="590">
        <v>0.78</v>
      </c>
      <c r="J82" s="590">
        <v>100</v>
      </c>
      <c r="K82" s="591">
        <v>78</v>
      </c>
    </row>
    <row r="83" spans="1:11" ht="14.4" customHeight="1" x14ac:dyDescent="0.3">
      <c r="A83" s="572" t="s">
        <v>452</v>
      </c>
      <c r="B83" s="573" t="s">
        <v>453</v>
      </c>
      <c r="C83" s="576" t="s">
        <v>953</v>
      </c>
      <c r="D83" s="604" t="s">
        <v>1068</v>
      </c>
      <c r="E83" s="576" t="s">
        <v>1064</v>
      </c>
      <c r="F83" s="604" t="s">
        <v>1065</v>
      </c>
      <c r="G83" s="576" t="s">
        <v>1020</v>
      </c>
      <c r="H83" s="576" t="s">
        <v>1021</v>
      </c>
      <c r="I83" s="590">
        <v>0.71</v>
      </c>
      <c r="J83" s="590">
        <v>200</v>
      </c>
      <c r="K83" s="591">
        <v>142</v>
      </c>
    </row>
    <row r="84" spans="1:11" ht="14.4" customHeight="1" thickBot="1" x14ac:dyDescent="0.35">
      <c r="A84" s="580" t="s">
        <v>452</v>
      </c>
      <c r="B84" s="581" t="s">
        <v>453</v>
      </c>
      <c r="C84" s="584" t="s">
        <v>953</v>
      </c>
      <c r="D84" s="605" t="s">
        <v>1068</v>
      </c>
      <c r="E84" s="584" t="s">
        <v>1064</v>
      </c>
      <c r="F84" s="605" t="s">
        <v>1065</v>
      </c>
      <c r="G84" s="584" t="s">
        <v>1020</v>
      </c>
      <c r="H84" s="584" t="s">
        <v>1022</v>
      </c>
      <c r="I84" s="592">
        <v>0.71</v>
      </c>
      <c r="J84" s="592">
        <v>600</v>
      </c>
      <c r="K84" s="593">
        <v>426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412" t="s">
        <v>110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</row>
    <row r="2" spans="1:34" ht="15" thickBot="1" x14ac:dyDescent="0.35">
      <c r="A2" s="250" t="s">
        <v>289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</row>
    <row r="3" spans="1:34" x14ac:dyDescent="0.3">
      <c r="A3" s="269" t="s">
        <v>235</v>
      </c>
      <c r="B3" s="413" t="s">
        <v>216</v>
      </c>
      <c r="C3" s="252">
        <v>0</v>
      </c>
      <c r="D3" s="253">
        <v>101</v>
      </c>
      <c r="E3" s="253">
        <v>102</v>
      </c>
      <c r="F3" s="272">
        <v>305</v>
      </c>
      <c r="G3" s="272">
        <v>306</v>
      </c>
      <c r="H3" s="272">
        <v>408</v>
      </c>
      <c r="I3" s="272">
        <v>409</v>
      </c>
      <c r="J3" s="272">
        <v>410</v>
      </c>
      <c r="K3" s="272">
        <v>415</v>
      </c>
      <c r="L3" s="272">
        <v>416</v>
      </c>
      <c r="M3" s="272">
        <v>418</v>
      </c>
      <c r="N3" s="272">
        <v>419</v>
      </c>
      <c r="O3" s="272">
        <v>420</v>
      </c>
      <c r="P3" s="272">
        <v>421</v>
      </c>
      <c r="Q3" s="272">
        <v>522</v>
      </c>
      <c r="R3" s="272">
        <v>523</v>
      </c>
      <c r="S3" s="272">
        <v>524</v>
      </c>
      <c r="T3" s="272">
        <v>525</v>
      </c>
      <c r="U3" s="272">
        <v>526</v>
      </c>
      <c r="V3" s="272">
        <v>527</v>
      </c>
      <c r="W3" s="272">
        <v>528</v>
      </c>
      <c r="X3" s="272">
        <v>629</v>
      </c>
      <c r="Y3" s="272">
        <v>630</v>
      </c>
      <c r="Z3" s="272">
        <v>636</v>
      </c>
      <c r="AA3" s="272">
        <v>637</v>
      </c>
      <c r="AB3" s="272">
        <v>640</v>
      </c>
      <c r="AC3" s="272">
        <v>642</v>
      </c>
      <c r="AD3" s="272">
        <v>743</v>
      </c>
      <c r="AE3" s="253">
        <v>745</v>
      </c>
      <c r="AF3" s="253">
        <v>746</v>
      </c>
      <c r="AG3" s="615">
        <v>930</v>
      </c>
      <c r="AH3" s="631"/>
    </row>
    <row r="4" spans="1:34" ht="36.6" outlineLevel="1" thickBot="1" x14ac:dyDescent="0.35">
      <c r="A4" s="270">
        <v>2014</v>
      </c>
      <c r="B4" s="414"/>
      <c r="C4" s="254" t="s">
        <v>217</v>
      </c>
      <c r="D4" s="255" t="s">
        <v>218</v>
      </c>
      <c r="E4" s="255" t="s">
        <v>219</v>
      </c>
      <c r="F4" s="273" t="s">
        <v>247</v>
      </c>
      <c r="G4" s="273" t="s">
        <v>248</v>
      </c>
      <c r="H4" s="273" t="s">
        <v>249</v>
      </c>
      <c r="I4" s="273" t="s">
        <v>250</v>
      </c>
      <c r="J4" s="273" t="s">
        <v>251</v>
      </c>
      <c r="K4" s="273" t="s">
        <v>252</v>
      </c>
      <c r="L4" s="273" t="s">
        <v>253</v>
      </c>
      <c r="M4" s="273" t="s">
        <v>254</v>
      </c>
      <c r="N4" s="273" t="s">
        <v>255</v>
      </c>
      <c r="O4" s="273" t="s">
        <v>256</v>
      </c>
      <c r="P4" s="273" t="s">
        <v>257</v>
      </c>
      <c r="Q4" s="273" t="s">
        <v>258</v>
      </c>
      <c r="R4" s="273" t="s">
        <v>259</v>
      </c>
      <c r="S4" s="273" t="s">
        <v>260</v>
      </c>
      <c r="T4" s="273" t="s">
        <v>261</v>
      </c>
      <c r="U4" s="273" t="s">
        <v>262</v>
      </c>
      <c r="V4" s="273" t="s">
        <v>263</v>
      </c>
      <c r="W4" s="273" t="s">
        <v>272</v>
      </c>
      <c r="X4" s="273" t="s">
        <v>264</v>
      </c>
      <c r="Y4" s="273" t="s">
        <v>273</v>
      </c>
      <c r="Z4" s="273" t="s">
        <v>265</v>
      </c>
      <c r="AA4" s="273" t="s">
        <v>266</v>
      </c>
      <c r="AB4" s="273" t="s">
        <v>267</v>
      </c>
      <c r="AC4" s="273" t="s">
        <v>268</v>
      </c>
      <c r="AD4" s="273" t="s">
        <v>269</v>
      </c>
      <c r="AE4" s="255" t="s">
        <v>270</v>
      </c>
      <c r="AF4" s="255" t="s">
        <v>271</v>
      </c>
      <c r="AG4" s="616" t="s">
        <v>237</v>
      </c>
      <c r="AH4" s="631"/>
    </row>
    <row r="5" spans="1:34" x14ac:dyDescent="0.3">
      <c r="A5" s="256" t="s">
        <v>220</v>
      </c>
      <c r="B5" s="292"/>
      <c r="C5" s="293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617"/>
      <c r="AH5" s="631"/>
    </row>
    <row r="6" spans="1:34" ht="15" collapsed="1" thickBot="1" x14ac:dyDescent="0.35">
      <c r="A6" s="257" t="s">
        <v>75</v>
      </c>
      <c r="B6" s="295">
        <f xml:space="preserve">
TRUNC(IF($A$4&lt;=12,SUMIFS('ON Data'!F:F,'ON Data'!$D:$D,$A$4,'ON Data'!$E:$E,1),SUMIFS('ON Data'!F:F,'ON Data'!$E:$E,1)/'ON Data'!$D$3),1)</f>
        <v>11.6</v>
      </c>
      <c r="C6" s="296">
        <f xml:space="preserve">
TRUNC(IF($A$4&lt;=12,SUMIFS('ON Data'!G:G,'ON Data'!$D:$D,$A$4,'ON Data'!$E:$E,1),SUMIFS('ON Data'!G:G,'ON Data'!$E:$E,1)/'ON Data'!$D$3),1)</f>
        <v>0</v>
      </c>
      <c r="D6" s="297">
        <f xml:space="preserve">
TRUNC(IF($A$4&lt;=12,SUMIFS('ON Data'!H:H,'ON Data'!$D:$D,$A$4,'ON Data'!$E:$E,1),SUMIFS('ON Data'!H:H,'ON Data'!$E:$E,1)/'ON Data'!$D$3),1)</f>
        <v>4.3</v>
      </c>
      <c r="E6" s="297">
        <f xml:space="preserve">
TRUNC(IF($A$4&lt;=12,SUMIFS('ON Data'!I:I,'ON Data'!$D:$D,$A$4,'ON Data'!$E:$E,1),SUMIFS('ON Data'!I:I,'ON Data'!$E:$E,1)/'ON Data'!$D$3),1)</f>
        <v>0</v>
      </c>
      <c r="F6" s="297">
        <f xml:space="preserve">
TRUNC(IF($A$4&lt;=12,SUMIFS('ON Data'!K:K,'ON Data'!$D:$D,$A$4,'ON Data'!$E:$E,1),SUMIFS('ON Data'!K:K,'ON Data'!$E:$E,1)/'ON Data'!$D$3),1)</f>
        <v>5</v>
      </c>
      <c r="G6" s="297">
        <f xml:space="preserve">
TRUNC(IF($A$4&lt;=12,SUMIFS('ON Data'!L:L,'ON Data'!$D:$D,$A$4,'ON Data'!$E:$E,1),SUMIFS('ON Data'!L:L,'ON Data'!$E:$E,1)/'ON Data'!$D$3),1)</f>
        <v>0</v>
      </c>
      <c r="H6" s="297">
        <f xml:space="preserve">
TRUNC(IF($A$4&lt;=12,SUMIFS('ON Data'!M:M,'ON Data'!$D:$D,$A$4,'ON Data'!$E:$E,1),SUMIFS('ON Data'!M:M,'ON Data'!$E:$E,1)/'ON Data'!$D$3),1)</f>
        <v>0</v>
      </c>
      <c r="I6" s="297">
        <f xml:space="preserve">
TRUNC(IF($A$4&lt;=12,SUMIFS('ON Data'!N:N,'ON Data'!$D:$D,$A$4,'ON Data'!$E:$E,1),SUMIFS('ON Data'!N:N,'ON Data'!$E:$E,1)/'ON Data'!$D$3),1)</f>
        <v>0</v>
      </c>
      <c r="J6" s="297">
        <f xml:space="preserve">
TRUNC(IF($A$4&lt;=12,SUMIFS('ON Data'!O:O,'ON Data'!$D:$D,$A$4,'ON Data'!$E:$E,1),SUMIFS('ON Data'!O:O,'ON Data'!$E:$E,1)/'ON Data'!$D$3),1)</f>
        <v>0</v>
      </c>
      <c r="K6" s="297">
        <f xml:space="preserve">
TRUNC(IF($A$4&lt;=12,SUMIFS('ON Data'!P:P,'ON Data'!$D:$D,$A$4,'ON Data'!$E:$E,1),SUMIFS('ON Data'!P:P,'ON Data'!$E:$E,1)/'ON Data'!$D$3),1)</f>
        <v>0</v>
      </c>
      <c r="L6" s="297">
        <f xml:space="preserve">
TRUNC(IF($A$4&lt;=12,SUMIFS('ON Data'!Q:Q,'ON Data'!$D:$D,$A$4,'ON Data'!$E:$E,1),SUMIFS('ON Data'!Q:Q,'ON Data'!$E:$E,1)/'ON Data'!$D$3),1)</f>
        <v>0</v>
      </c>
      <c r="M6" s="297">
        <f xml:space="preserve">
TRUNC(IF($A$4&lt;=12,SUMIFS('ON Data'!R:R,'ON Data'!$D:$D,$A$4,'ON Data'!$E:$E,1),SUMIFS('ON Data'!R:R,'ON Data'!$E:$E,1)/'ON Data'!$D$3),1)</f>
        <v>0</v>
      </c>
      <c r="N6" s="297">
        <f xml:space="preserve">
TRUNC(IF($A$4&lt;=12,SUMIFS('ON Data'!S:S,'ON Data'!$D:$D,$A$4,'ON Data'!$E:$E,1),SUMIFS('ON Data'!S:S,'ON Data'!$E:$E,1)/'ON Data'!$D$3),1)</f>
        <v>0</v>
      </c>
      <c r="O6" s="297">
        <f xml:space="preserve">
TRUNC(IF($A$4&lt;=12,SUMIFS('ON Data'!T:T,'ON Data'!$D:$D,$A$4,'ON Data'!$E:$E,1),SUMIFS('ON Data'!T:T,'ON Data'!$E:$E,1)/'ON Data'!$D$3),1)</f>
        <v>0</v>
      </c>
      <c r="P6" s="297">
        <f xml:space="preserve">
TRUNC(IF($A$4&lt;=12,SUMIFS('ON Data'!U:U,'ON Data'!$D:$D,$A$4,'ON Data'!$E:$E,1),SUMIFS('ON Data'!U:U,'ON Data'!$E:$E,1)/'ON Data'!$D$3),1)</f>
        <v>0</v>
      </c>
      <c r="Q6" s="297">
        <f xml:space="preserve">
TRUNC(IF($A$4&lt;=12,SUMIFS('ON Data'!V:V,'ON Data'!$D:$D,$A$4,'ON Data'!$E:$E,1),SUMIFS('ON Data'!V:V,'ON Data'!$E:$E,1)/'ON Data'!$D$3),1)</f>
        <v>0</v>
      </c>
      <c r="R6" s="297">
        <f xml:space="preserve">
TRUNC(IF($A$4&lt;=12,SUMIFS('ON Data'!W:W,'ON Data'!$D:$D,$A$4,'ON Data'!$E:$E,1),SUMIFS('ON Data'!W:W,'ON Data'!$E:$E,1)/'ON Data'!$D$3),1)</f>
        <v>0</v>
      </c>
      <c r="S6" s="297">
        <f xml:space="preserve">
TRUNC(IF($A$4&lt;=12,SUMIFS('ON Data'!X:X,'ON Data'!$D:$D,$A$4,'ON Data'!$E:$E,1),SUMIFS('ON Data'!X:X,'ON Data'!$E:$E,1)/'ON Data'!$D$3),1)</f>
        <v>0</v>
      </c>
      <c r="T6" s="297">
        <f xml:space="preserve">
TRUNC(IF($A$4&lt;=12,SUMIFS('ON Data'!Y:Y,'ON Data'!$D:$D,$A$4,'ON Data'!$E:$E,1),SUMIFS('ON Data'!Y:Y,'ON Data'!$E:$E,1)/'ON Data'!$D$3),1)</f>
        <v>0</v>
      </c>
      <c r="U6" s="297">
        <f xml:space="preserve">
TRUNC(IF($A$4&lt;=12,SUMIFS('ON Data'!Z:Z,'ON Data'!$D:$D,$A$4,'ON Data'!$E:$E,1),SUMIFS('ON Data'!Z:Z,'ON Data'!$E:$E,1)/'ON Data'!$D$3),1)</f>
        <v>0</v>
      </c>
      <c r="V6" s="297">
        <f xml:space="preserve">
TRUNC(IF($A$4&lt;=12,SUMIFS('ON Data'!AA:AA,'ON Data'!$D:$D,$A$4,'ON Data'!$E:$E,1),SUMIFS('ON Data'!AA:AA,'ON Data'!$E:$E,1)/'ON Data'!$D$3),1)</f>
        <v>0</v>
      </c>
      <c r="W6" s="297">
        <f xml:space="preserve">
TRUNC(IF($A$4&lt;=12,SUMIFS('ON Data'!AB:AB,'ON Data'!$D:$D,$A$4,'ON Data'!$E:$E,1),SUMIFS('ON Data'!AB:AB,'ON Data'!$E:$E,1)/'ON Data'!$D$3),1)</f>
        <v>0</v>
      </c>
      <c r="X6" s="297">
        <f xml:space="preserve">
TRUNC(IF($A$4&lt;=12,SUMIFS('ON Data'!AC:AC,'ON Data'!$D:$D,$A$4,'ON Data'!$E:$E,1),SUMIFS('ON Data'!AC:AC,'ON Data'!$E:$E,1)/'ON Data'!$D$3),1)</f>
        <v>0</v>
      </c>
      <c r="Y6" s="297">
        <f xml:space="preserve">
TRUNC(IF($A$4&lt;=12,SUMIFS('ON Data'!AD:AD,'ON Data'!$D:$D,$A$4,'ON Data'!$E:$E,1),SUMIFS('ON Data'!AD:AD,'ON Data'!$E:$E,1)/'ON Data'!$D$3),1)</f>
        <v>0</v>
      </c>
      <c r="Z6" s="297">
        <f xml:space="preserve">
TRUNC(IF($A$4&lt;=12,SUMIFS('ON Data'!AE:AE,'ON Data'!$D:$D,$A$4,'ON Data'!$E:$E,1),SUMIFS('ON Data'!AE:AE,'ON Data'!$E:$E,1)/'ON Data'!$D$3),1)</f>
        <v>0</v>
      </c>
      <c r="AA6" s="297">
        <f xml:space="preserve">
TRUNC(IF($A$4&lt;=12,SUMIFS('ON Data'!AF:AF,'ON Data'!$D:$D,$A$4,'ON Data'!$E:$E,1),SUMIFS('ON Data'!AF:AF,'ON Data'!$E:$E,1)/'ON Data'!$D$3),1)</f>
        <v>0</v>
      </c>
      <c r="AB6" s="297">
        <f xml:space="preserve">
TRUNC(IF($A$4&lt;=12,SUMIFS('ON Data'!AG:AG,'ON Data'!$D:$D,$A$4,'ON Data'!$E:$E,1),SUMIFS('ON Data'!AG:AG,'ON Data'!$E:$E,1)/'ON Data'!$D$3),1)</f>
        <v>0</v>
      </c>
      <c r="AC6" s="297">
        <f xml:space="preserve">
TRUNC(IF($A$4&lt;=12,SUMIFS('ON Data'!AH:AH,'ON Data'!$D:$D,$A$4,'ON Data'!$E:$E,1),SUMIFS('ON Data'!AH:AH,'ON Data'!$E:$E,1)/'ON Data'!$D$3),1)</f>
        <v>0</v>
      </c>
      <c r="AD6" s="297">
        <f xml:space="preserve">
TRUNC(IF($A$4&lt;=12,SUMIFS('ON Data'!AI:AI,'ON Data'!$D:$D,$A$4,'ON Data'!$E:$E,1),SUMIFS('ON Data'!AI:AI,'ON Data'!$E:$E,1)/'ON Data'!$D$3),1)</f>
        <v>0</v>
      </c>
      <c r="AE6" s="297">
        <f xml:space="preserve">
TRUNC(IF($A$4&lt;=12,SUMIFS('ON Data'!AJ:AJ,'ON Data'!$D:$D,$A$4,'ON Data'!$E:$E,1),SUMIFS('ON Data'!AJ:AJ,'ON Data'!$E:$E,1)/'ON Data'!$D$3),1)</f>
        <v>0</v>
      </c>
      <c r="AF6" s="297">
        <f xml:space="preserve">
TRUNC(IF($A$4&lt;=12,SUMIFS('ON Data'!AK:AK,'ON Data'!$D:$D,$A$4,'ON Data'!$E:$E,1),SUMIFS('ON Data'!AK:AK,'ON Data'!$E:$E,1)/'ON Data'!$D$3),1)</f>
        <v>0</v>
      </c>
      <c r="AG6" s="618">
        <f xml:space="preserve">
TRUNC(IF($A$4&lt;=12,SUMIFS('ON Data'!AM:AM,'ON Data'!$D:$D,$A$4,'ON Data'!$E:$E,1),SUMIFS('ON Data'!AM:AM,'ON Data'!$E:$E,1)/'ON Data'!$D$3),1)</f>
        <v>2.2000000000000002</v>
      </c>
      <c r="AH6" s="631"/>
    </row>
    <row r="7" spans="1:34" ht="15" hidden="1" outlineLevel="1" thickBot="1" x14ac:dyDescent="0.35">
      <c r="A7" s="257" t="s">
        <v>111</v>
      </c>
      <c r="B7" s="295"/>
      <c r="C7" s="298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618"/>
      <c r="AH7" s="631"/>
    </row>
    <row r="8" spans="1:34" ht="15" hidden="1" outlineLevel="1" thickBot="1" x14ac:dyDescent="0.35">
      <c r="A8" s="257" t="s">
        <v>77</v>
      </c>
      <c r="B8" s="295"/>
      <c r="C8" s="298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618"/>
      <c r="AH8" s="631"/>
    </row>
    <row r="9" spans="1:34" ht="15" hidden="1" outlineLevel="1" thickBot="1" x14ac:dyDescent="0.35">
      <c r="A9" s="258" t="s">
        <v>68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619"/>
      <c r="AH9" s="631"/>
    </row>
    <row r="10" spans="1:34" x14ac:dyDescent="0.3">
      <c r="A10" s="259" t="s">
        <v>221</v>
      </c>
      <c r="B10" s="274"/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620"/>
      <c r="AH10" s="631"/>
    </row>
    <row r="11" spans="1:34" x14ac:dyDescent="0.3">
      <c r="A11" s="260" t="s">
        <v>222</v>
      </c>
      <c r="B11" s="277">
        <f xml:space="preserve">
IF($A$4&lt;=12,SUMIFS('ON Data'!F:F,'ON Data'!$D:$D,$A$4,'ON Data'!$E:$E,2),SUMIFS('ON Data'!F:F,'ON Data'!$E:$E,2))</f>
        <v>19212.899999999998</v>
      </c>
      <c r="C11" s="278">
        <f xml:space="preserve">
IF($A$4&lt;=12,SUMIFS('ON Data'!G:G,'ON Data'!$D:$D,$A$4,'ON Data'!$E:$E,2),SUMIFS('ON Data'!G:G,'ON Data'!$E:$E,2))</f>
        <v>0</v>
      </c>
      <c r="D11" s="279">
        <f xml:space="preserve">
IF($A$4&lt;=12,SUMIFS('ON Data'!H:H,'ON Data'!$D:$D,$A$4,'ON Data'!$E:$E,2),SUMIFS('ON Data'!H:H,'ON Data'!$E:$E,2))</f>
        <v>7516.4</v>
      </c>
      <c r="E11" s="279">
        <f xml:space="preserve">
IF($A$4&lt;=12,SUMIFS('ON Data'!I:I,'ON Data'!$D:$D,$A$4,'ON Data'!$E:$E,2),SUMIFS('ON Data'!I:I,'ON Data'!$E:$E,2))</f>
        <v>0</v>
      </c>
      <c r="F11" s="279">
        <f xml:space="preserve">
IF($A$4&lt;=12,SUMIFS('ON Data'!K:K,'ON Data'!$D:$D,$A$4,'ON Data'!$E:$E,2),SUMIFS('ON Data'!K:K,'ON Data'!$E:$E,2))</f>
        <v>8528.5</v>
      </c>
      <c r="G11" s="279">
        <f xml:space="preserve">
IF($A$4&lt;=12,SUMIFS('ON Data'!L:L,'ON Data'!$D:$D,$A$4,'ON Data'!$E:$E,2),SUMIFS('ON Data'!L:L,'ON Data'!$E:$E,2))</f>
        <v>0</v>
      </c>
      <c r="H11" s="279">
        <f xml:space="preserve">
IF($A$4&lt;=12,SUMIFS('ON Data'!M:M,'ON Data'!$D:$D,$A$4,'ON Data'!$E:$E,2),SUMIFS('ON Data'!M:M,'ON Data'!$E:$E,2))</f>
        <v>0</v>
      </c>
      <c r="I11" s="279">
        <f xml:space="preserve">
IF($A$4&lt;=12,SUMIFS('ON Data'!N:N,'ON Data'!$D:$D,$A$4,'ON Data'!$E:$E,2),SUMIFS('ON Data'!N:N,'ON Data'!$E:$E,2))</f>
        <v>0</v>
      </c>
      <c r="J11" s="279">
        <f xml:space="preserve">
IF($A$4&lt;=12,SUMIFS('ON Data'!O:O,'ON Data'!$D:$D,$A$4,'ON Data'!$E:$E,2),SUMIFS('ON Data'!O:O,'ON Data'!$E:$E,2))</f>
        <v>0</v>
      </c>
      <c r="K11" s="279">
        <f xml:space="preserve">
IF($A$4&lt;=12,SUMIFS('ON Data'!P:P,'ON Data'!$D:$D,$A$4,'ON Data'!$E:$E,2),SUMIFS('ON Data'!P:P,'ON Data'!$E:$E,2))</f>
        <v>0</v>
      </c>
      <c r="L11" s="279">
        <f xml:space="preserve">
IF($A$4&lt;=12,SUMIFS('ON Data'!Q:Q,'ON Data'!$D:$D,$A$4,'ON Data'!$E:$E,2),SUMIFS('ON Data'!Q:Q,'ON Data'!$E:$E,2))</f>
        <v>0</v>
      </c>
      <c r="M11" s="279">
        <f xml:space="preserve">
IF($A$4&lt;=12,SUMIFS('ON Data'!R:R,'ON Data'!$D:$D,$A$4,'ON Data'!$E:$E,2),SUMIFS('ON Data'!R:R,'ON Data'!$E:$E,2))</f>
        <v>0</v>
      </c>
      <c r="N11" s="279">
        <f xml:space="preserve">
IF($A$4&lt;=12,SUMIFS('ON Data'!S:S,'ON Data'!$D:$D,$A$4,'ON Data'!$E:$E,2),SUMIFS('ON Data'!S:S,'ON Data'!$E:$E,2))</f>
        <v>0</v>
      </c>
      <c r="O11" s="279">
        <f xml:space="preserve">
IF($A$4&lt;=12,SUMIFS('ON Data'!T:T,'ON Data'!$D:$D,$A$4,'ON Data'!$E:$E,2),SUMIFS('ON Data'!T:T,'ON Data'!$E:$E,2))</f>
        <v>0</v>
      </c>
      <c r="P11" s="279">
        <f xml:space="preserve">
IF($A$4&lt;=12,SUMIFS('ON Data'!U:U,'ON Data'!$D:$D,$A$4,'ON Data'!$E:$E,2),SUMIFS('ON Data'!U:U,'ON Data'!$E:$E,2))</f>
        <v>0</v>
      </c>
      <c r="Q11" s="279">
        <f xml:space="preserve">
IF($A$4&lt;=12,SUMIFS('ON Data'!V:V,'ON Data'!$D:$D,$A$4,'ON Data'!$E:$E,2),SUMIFS('ON Data'!V:V,'ON Data'!$E:$E,2))</f>
        <v>0</v>
      </c>
      <c r="R11" s="279">
        <f xml:space="preserve">
IF($A$4&lt;=12,SUMIFS('ON Data'!W:W,'ON Data'!$D:$D,$A$4,'ON Data'!$E:$E,2),SUMIFS('ON Data'!W:W,'ON Data'!$E:$E,2))</f>
        <v>0</v>
      </c>
      <c r="S11" s="279">
        <f xml:space="preserve">
IF($A$4&lt;=12,SUMIFS('ON Data'!X:X,'ON Data'!$D:$D,$A$4,'ON Data'!$E:$E,2),SUMIFS('ON Data'!X:X,'ON Data'!$E:$E,2))</f>
        <v>0</v>
      </c>
      <c r="T11" s="279">
        <f xml:space="preserve">
IF($A$4&lt;=12,SUMIFS('ON Data'!Y:Y,'ON Data'!$D:$D,$A$4,'ON Data'!$E:$E,2),SUMIFS('ON Data'!Y:Y,'ON Data'!$E:$E,2))</f>
        <v>0</v>
      </c>
      <c r="U11" s="279">
        <f xml:space="preserve">
IF($A$4&lt;=12,SUMIFS('ON Data'!Z:Z,'ON Data'!$D:$D,$A$4,'ON Data'!$E:$E,2),SUMIFS('ON Data'!Z:Z,'ON Data'!$E:$E,2))</f>
        <v>0</v>
      </c>
      <c r="V11" s="279">
        <f xml:space="preserve">
IF($A$4&lt;=12,SUMIFS('ON Data'!AA:AA,'ON Data'!$D:$D,$A$4,'ON Data'!$E:$E,2),SUMIFS('ON Data'!AA:AA,'ON Data'!$E:$E,2))</f>
        <v>0</v>
      </c>
      <c r="W11" s="279">
        <f xml:space="preserve">
IF($A$4&lt;=12,SUMIFS('ON Data'!AB:AB,'ON Data'!$D:$D,$A$4,'ON Data'!$E:$E,2),SUMIFS('ON Data'!AB:AB,'ON Data'!$E:$E,2))</f>
        <v>0</v>
      </c>
      <c r="X11" s="279">
        <f xml:space="preserve">
IF($A$4&lt;=12,SUMIFS('ON Data'!AC:AC,'ON Data'!$D:$D,$A$4,'ON Data'!$E:$E,2),SUMIFS('ON Data'!AC:AC,'ON Data'!$E:$E,2))</f>
        <v>0</v>
      </c>
      <c r="Y11" s="279">
        <f xml:space="preserve">
IF($A$4&lt;=12,SUMIFS('ON Data'!AD:AD,'ON Data'!$D:$D,$A$4,'ON Data'!$E:$E,2),SUMIFS('ON Data'!AD:AD,'ON Data'!$E:$E,2))</f>
        <v>0</v>
      </c>
      <c r="Z11" s="279">
        <f xml:space="preserve">
IF($A$4&lt;=12,SUMIFS('ON Data'!AE:AE,'ON Data'!$D:$D,$A$4,'ON Data'!$E:$E,2),SUMIFS('ON Data'!AE:AE,'ON Data'!$E:$E,2))</f>
        <v>0</v>
      </c>
      <c r="AA11" s="279">
        <f xml:space="preserve">
IF($A$4&lt;=12,SUMIFS('ON Data'!AF:AF,'ON Data'!$D:$D,$A$4,'ON Data'!$E:$E,2),SUMIFS('ON Data'!AF:AF,'ON Data'!$E:$E,2))</f>
        <v>0</v>
      </c>
      <c r="AB11" s="279">
        <f xml:space="preserve">
IF($A$4&lt;=12,SUMIFS('ON Data'!AG:AG,'ON Data'!$D:$D,$A$4,'ON Data'!$E:$E,2),SUMIFS('ON Data'!AG:AG,'ON Data'!$E:$E,2))</f>
        <v>0</v>
      </c>
      <c r="AC11" s="279">
        <f xml:space="preserve">
IF($A$4&lt;=12,SUMIFS('ON Data'!AH:AH,'ON Data'!$D:$D,$A$4,'ON Data'!$E:$E,2),SUMIFS('ON Data'!AH:AH,'ON Data'!$E:$E,2))</f>
        <v>0</v>
      </c>
      <c r="AD11" s="279">
        <f xml:space="preserve">
IF($A$4&lt;=12,SUMIFS('ON Data'!AI:AI,'ON Data'!$D:$D,$A$4,'ON Data'!$E:$E,2),SUMIFS('ON Data'!AI:AI,'ON Data'!$E:$E,2))</f>
        <v>0</v>
      </c>
      <c r="AE11" s="279">
        <f xml:space="preserve">
IF($A$4&lt;=12,SUMIFS('ON Data'!AJ:AJ,'ON Data'!$D:$D,$A$4,'ON Data'!$E:$E,2),SUMIFS('ON Data'!AJ:AJ,'ON Data'!$E:$E,2))</f>
        <v>0</v>
      </c>
      <c r="AF11" s="279">
        <f xml:space="preserve">
IF($A$4&lt;=12,SUMIFS('ON Data'!AK:AK,'ON Data'!$D:$D,$A$4,'ON Data'!$E:$E,2),SUMIFS('ON Data'!AK:AK,'ON Data'!$E:$E,2))</f>
        <v>0</v>
      </c>
      <c r="AG11" s="621">
        <f xml:space="preserve">
IF($A$4&lt;=12,SUMIFS('ON Data'!AM:AM,'ON Data'!$D:$D,$A$4,'ON Data'!$E:$E,2),SUMIFS('ON Data'!AM:AM,'ON Data'!$E:$E,2))</f>
        <v>3168</v>
      </c>
      <c r="AH11" s="631"/>
    </row>
    <row r="12" spans="1:34" x14ac:dyDescent="0.3">
      <c r="A12" s="260" t="s">
        <v>223</v>
      </c>
      <c r="B12" s="277">
        <f xml:space="preserve">
IF($A$4&lt;=12,SUMIFS('ON Data'!F:F,'ON Data'!$D:$D,$A$4,'ON Data'!$E:$E,3),SUMIFS('ON Data'!F:F,'ON Data'!$E:$E,3))</f>
        <v>0</v>
      </c>
      <c r="C12" s="278">
        <f xml:space="preserve">
IF($A$4&lt;=12,SUMIFS('ON Data'!G:G,'ON Data'!$D:$D,$A$4,'ON Data'!$E:$E,3),SUMIFS('ON Data'!G:G,'ON Data'!$E:$E,3))</f>
        <v>0</v>
      </c>
      <c r="D12" s="279">
        <f xml:space="preserve">
IF($A$4&lt;=12,SUMIFS('ON Data'!H:H,'ON Data'!$D:$D,$A$4,'ON Data'!$E:$E,3),SUMIFS('ON Data'!H:H,'ON Data'!$E:$E,3))</f>
        <v>0</v>
      </c>
      <c r="E12" s="279">
        <f xml:space="preserve">
IF($A$4&lt;=12,SUMIFS('ON Data'!I:I,'ON Data'!$D:$D,$A$4,'ON Data'!$E:$E,3),SUMIFS('ON Data'!I:I,'ON Data'!$E:$E,3))</f>
        <v>0</v>
      </c>
      <c r="F12" s="279">
        <f xml:space="preserve">
IF($A$4&lt;=12,SUMIFS('ON Data'!K:K,'ON Data'!$D:$D,$A$4,'ON Data'!$E:$E,3),SUMIFS('ON Data'!K:K,'ON Data'!$E:$E,3))</f>
        <v>0</v>
      </c>
      <c r="G12" s="279">
        <f xml:space="preserve">
IF($A$4&lt;=12,SUMIFS('ON Data'!L:L,'ON Data'!$D:$D,$A$4,'ON Data'!$E:$E,3),SUMIFS('ON Data'!L:L,'ON Data'!$E:$E,3))</f>
        <v>0</v>
      </c>
      <c r="H12" s="279">
        <f xml:space="preserve">
IF($A$4&lt;=12,SUMIFS('ON Data'!M:M,'ON Data'!$D:$D,$A$4,'ON Data'!$E:$E,3),SUMIFS('ON Data'!M:M,'ON Data'!$E:$E,3))</f>
        <v>0</v>
      </c>
      <c r="I12" s="279">
        <f xml:space="preserve">
IF($A$4&lt;=12,SUMIFS('ON Data'!N:N,'ON Data'!$D:$D,$A$4,'ON Data'!$E:$E,3),SUMIFS('ON Data'!N:N,'ON Data'!$E:$E,3))</f>
        <v>0</v>
      </c>
      <c r="J12" s="279">
        <f xml:space="preserve">
IF($A$4&lt;=12,SUMIFS('ON Data'!O:O,'ON Data'!$D:$D,$A$4,'ON Data'!$E:$E,3),SUMIFS('ON Data'!O:O,'ON Data'!$E:$E,3))</f>
        <v>0</v>
      </c>
      <c r="K12" s="279">
        <f xml:space="preserve">
IF($A$4&lt;=12,SUMIFS('ON Data'!P:P,'ON Data'!$D:$D,$A$4,'ON Data'!$E:$E,3),SUMIFS('ON Data'!P:P,'ON Data'!$E:$E,3))</f>
        <v>0</v>
      </c>
      <c r="L12" s="279">
        <f xml:space="preserve">
IF($A$4&lt;=12,SUMIFS('ON Data'!Q:Q,'ON Data'!$D:$D,$A$4,'ON Data'!$E:$E,3),SUMIFS('ON Data'!Q:Q,'ON Data'!$E:$E,3))</f>
        <v>0</v>
      </c>
      <c r="M12" s="279">
        <f xml:space="preserve">
IF($A$4&lt;=12,SUMIFS('ON Data'!R:R,'ON Data'!$D:$D,$A$4,'ON Data'!$E:$E,3),SUMIFS('ON Data'!R:R,'ON Data'!$E:$E,3))</f>
        <v>0</v>
      </c>
      <c r="N12" s="279">
        <f xml:space="preserve">
IF($A$4&lt;=12,SUMIFS('ON Data'!S:S,'ON Data'!$D:$D,$A$4,'ON Data'!$E:$E,3),SUMIFS('ON Data'!S:S,'ON Data'!$E:$E,3))</f>
        <v>0</v>
      </c>
      <c r="O12" s="279">
        <f xml:space="preserve">
IF($A$4&lt;=12,SUMIFS('ON Data'!T:T,'ON Data'!$D:$D,$A$4,'ON Data'!$E:$E,3),SUMIFS('ON Data'!T:T,'ON Data'!$E:$E,3))</f>
        <v>0</v>
      </c>
      <c r="P12" s="279">
        <f xml:space="preserve">
IF($A$4&lt;=12,SUMIFS('ON Data'!U:U,'ON Data'!$D:$D,$A$4,'ON Data'!$E:$E,3),SUMIFS('ON Data'!U:U,'ON Data'!$E:$E,3))</f>
        <v>0</v>
      </c>
      <c r="Q12" s="279">
        <f xml:space="preserve">
IF($A$4&lt;=12,SUMIFS('ON Data'!V:V,'ON Data'!$D:$D,$A$4,'ON Data'!$E:$E,3),SUMIFS('ON Data'!V:V,'ON Data'!$E:$E,3))</f>
        <v>0</v>
      </c>
      <c r="R12" s="279">
        <f xml:space="preserve">
IF($A$4&lt;=12,SUMIFS('ON Data'!W:W,'ON Data'!$D:$D,$A$4,'ON Data'!$E:$E,3),SUMIFS('ON Data'!W:W,'ON Data'!$E:$E,3))</f>
        <v>0</v>
      </c>
      <c r="S12" s="279">
        <f xml:space="preserve">
IF($A$4&lt;=12,SUMIFS('ON Data'!X:X,'ON Data'!$D:$D,$A$4,'ON Data'!$E:$E,3),SUMIFS('ON Data'!X:X,'ON Data'!$E:$E,3))</f>
        <v>0</v>
      </c>
      <c r="T12" s="279">
        <f xml:space="preserve">
IF($A$4&lt;=12,SUMIFS('ON Data'!Y:Y,'ON Data'!$D:$D,$A$4,'ON Data'!$E:$E,3),SUMIFS('ON Data'!Y:Y,'ON Data'!$E:$E,3))</f>
        <v>0</v>
      </c>
      <c r="U12" s="279">
        <f xml:space="preserve">
IF($A$4&lt;=12,SUMIFS('ON Data'!Z:Z,'ON Data'!$D:$D,$A$4,'ON Data'!$E:$E,3),SUMIFS('ON Data'!Z:Z,'ON Data'!$E:$E,3))</f>
        <v>0</v>
      </c>
      <c r="V12" s="279">
        <f xml:space="preserve">
IF($A$4&lt;=12,SUMIFS('ON Data'!AA:AA,'ON Data'!$D:$D,$A$4,'ON Data'!$E:$E,3),SUMIFS('ON Data'!AA:AA,'ON Data'!$E:$E,3))</f>
        <v>0</v>
      </c>
      <c r="W12" s="279">
        <f xml:space="preserve">
IF($A$4&lt;=12,SUMIFS('ON Data'!AB:AB,'ON Data'!$D:$D,$A$4,'ON Data'!$E:$E,3),SUMIFS('ON Data'!AB:AB,'ON Data'!$E:$E,3))</f>
        <v>0</v>
      </c>
      <c r="X12" s="279">
        <f xml:space="preserve">
IF($A$4&lt;=12,SUMIFS('ON Data'!AC:AC,'ON Data'!$D:$D,$A$4,'ON Data'!$E:$E,3),SUMIFS('ON Data'!AC:AC,'ON Data'!$E:$E,3))</f>
        <v>0</v>
      </c>
      <c r="Y12" s="279">
        <f xml:space="preserve">
IF($A$4&lt;=12,SUMIFS('ON Data'!AD:AD,'ON Data'!$D:$D,$A$4,'ON Data'!$E:$E,3),SUMIFS('ON Data'!AD:AD,'ON Data'!$E:$E,3))</f>
        <v>0</v>
      </c>
      <c r="Z12" s="279">
        <f xml:space="preserve">
IF($A$4&lt;=12,SUMIFS('ON Data'!AE:AE,'ON Data'!$D:$D,$A$4,'ON Data'!$E:$E,3),SUMIFS('ON Data'!AE:AE,'ON Data'!$E:$E,3))</f>
        <v>0</v>
      </c>
      <c r="AA12" s="279">
        <f xml:space="preserve">
IF($A$4&lt;=12,SUMIFS('ON Data'!AF:AF,'ON Data'!$D:$D,$A$4,'ON Data'!$E:$E,3),SUMIFS('ON Data'!AF:AF,'ON Data'!$E:$E,3))</f>
        <v>0</v>
      </c>
      <c r="AB12" s="279">
        <f xml:space="preserve">
IF($A$4&lt;=12,SUMIFS('ON Data'!AG:AG,'ON Data'!$D:$D,$A$4,'ON Data'!$E:$E,3),SUMIFS('ON Data'!AG:AG,'ON Data'!$E:$E,3))</f>
        <v>0</v>
      </c>
      <c r="AC12" s="279">
        <f xml:space="preserve">
IF($A$4&lt;=12,SUMIFS('ON Data'!AH:AH,'ON Data'!$D:$D,$A$4,'ON Data'!$E:$E,3),SUMIFS('ON Data'!AH:AH,'ON Data'!$E:$E,3))</f>
        <v>0</v>
      </c>
      <c r="AD12" s="279">
        <f xml:space="preserve">
IF($A$4&lt;=12,SUMIFS('ON Data'!AI:AI,'ON Data'!$D:$D,$A$4,'ON Data'!$E:$E,3),SUMIFS('ON Data'!AI:AI,'ON Data'!$E:$E,3))</f>
        <v>0</v>
      </c>
      <c r="AE12" s="279">
        <f xml:space="preserve">
IF($A$4&lt;=12,SUMIFS('ON Data'!AJ:AJ,'ON Data'!$D:$D,$A$4,'ON Data'!$E:$E,3),SUMIFS('ON Data'!AJ:AJ,'ON Data'!$E:$E,3))</f>
        <v>0</v>
      </c>
      <c r="AF12" s="279">
        <f xml:space="preserve">
IF($A$4&lt;=12,SUMIFS('ON Data'!AK:AK,'ON Data'!$D:$D,$A$4,'ON Data'!$E:$E,3),SUMIFS('ON Data'!AK:AK,'ON Data'!$E:$E,3))</f>
        <v>0</v>
      </c>
      <c r="AG12" s="621">
        <f xml:space="preserve">
IF($A$4&lt;=12,SUMIFS('ON Data'!AM:AM,'ON Data'!$D:$D,$A$4,'ON Data'!$E:$E,3),SUMIFS('ON Data'!AM:AM,'ON Data'!$E:$E,3))</f>
        <v>0</v>
      </c>
      <c r="AH12" s="631"/>
    </row>
    <row r="13" spans="1:34" x14ac:dyDescent="0.3">
      <c r="A13" s="260" t="s">
        <v>230</v>
      </c>
      <c r="B13" s="277">
        <f xml:space="preserve">
IF($A$4&lt;=12,SUMIFS('ON Data'!F:F,'ON Data'!$D:$D,$A$4,'ON Data'!$E:$E,4),SUMIFS('ON Data'!F:F,'ON Data'!$E:$E,4))</f>
        <v>0</v>
      </c>
      <c r="C13" s="278">
        <f xml:space="preserve">
IF($A$4&lt;=12,SUMIFS('ON Data'!G:G,'ON Data'!$D:$D,$A$4,'ON Data'!$E:$E,4),SUMIFS('ON Data'!G:G,'ON Data'!$E:$E,4))</f>
        <v>0</v>
      </c>
      <c r="D13" s="279">
        <f xml:space="preserve">
IF($A$4&lt;=12,SUMIFS('ON Data'!H:H,'ON Data'!$D:$D,$A$4,'ON Data'!$E:$E,4),SUMIFS('ON Data'!H:H,'ON Data'!$E:$E,4))</f>
        <v>0</v>
      </c>
      <c r="E13" s="279">
        <f xml:space="preserve">
IF($A$4&lt;=12,SUMIFS('ON Data'!I:I,'ON Data'!$D:$D,$A$4,'ON Data'!$E:$E,4),SUMIFS('ON Data'!I:I,'ON Data'!$E:$E,4))</f>
        <v>0</v>
      </c>
      <c r="F13" s="279">
        <f xml:space="preserve">
IF($A$4&lt;=12,SUMIFS('ON Data'!K:K,'ON Data'!$D:$D,$A$4,'ON Data'!$E:$E,4),SUMIFS('ON Data'!K:K,'ON Data'!$E:$E,4))</f>
        <v>0</v>
      </c>
      <c r="G13" s="279">
        <f xml:space="preserve">
IF($A$4&lt;=12,SUMIFS('ON Data'!L:L,'ON Data'!$D:$D,$A$4,'ON Data'!$E:$E,4),SUMIFS('ON Data'!L:L,'ON Data'!$E:$E,4))</f>
        <v>0</v>
      </c>
      <c r="H13" s="279">
        <f xml:space="preserve">
IF($A$4&lt;=12,SUMIFS('ON Data'!M:M,'ON Data'!$D:$D,$A$4,'ON Data'!$E:$E,4),SUMIFS('ON Data'!M:M,'ON Data'!$E:$E,4))</f>
        <v>0</v>
      </c>
      <c r="I13" s="279">
        <f xml:space="preserve">
IF($A$4&lt;=12,SUMIFS('ON Data'!N:N,'ON Data'!$D:$D,$A$4,'ON Data'!$E:$E,4),SUMIFS('ON Data'!N:N,'ON Data'!$E:$E,4))</f>
        <v>0</v>
      </c>
      <c r="J13" s="279">
        <f xml:space="preserve">
IF($A$4&lt;=12,SUMIFS('ON Data'!O:O,'ON Data'!$D:$D,$A$4,'ON Data'!$E:$E,4),SUMIFS('ON Data'!O:O,'ON Data'!$E:$E,4))</f>
        <v>0</v>
      </c>
      <c r="K13" s="279">
        <f xml:space="preserve">
IF($A$4&lt;=12,SUMIFS('ON Data'!P:P,'ON Data'!$D:$D,$A$4,'ON Data'!$E:$E,4),SUMIFS('ON Data'!P:P,'ON Data'!$E:$E,4))</f>
        <v>0</v>
      </c>
      <c r="L13" s="279">
        <f xml:space="preserve">
IF($A$4&lt;=12,SUMIFS('ON Data'!Q:Q,'ON Data'!$D:$D,$A$4,'ON Data'!$E:$E,4),SUMIFS('ON Data'!Q:Q,'ON Data'!$E:$E,4))</f>
        <v>0</v>
      </c>
      <c r="M13" s="279">
        <f xml:space="preserve">
IF($A$4&lt;=12,SUMIFS('ON Data'!R:R,'ON Data'!$D:$D,$A$4,'ON Data'!$E:$E,4),SUMIFS('ON Data'!R:R,'ON Data'!$E:$E,4))</f>
        <v>0</v>
      </c>
      <c r="N13" s="279">
        <f xml:space="preserve">
IF($A$4&lt;=12,SUMIFS('ON Data'!S:S,'ON Data'!$D:$D,$A$4,'ON Data'!$E:$E,4),SUMIFS('ON Data'!S:S,'ON Data'!$E:$E,4))</f>
        <v>0</v>
      </c>
      <c r="O13" s="279">
        <f xml:space="preserve">
IF($A$4&lt;=12,SUMIFS('ON Data'!T:T,'ON Data'!$D:$D,$A$4,'ON Data'!$E:$E,4),SUMIFS('ON Data'!T:T,'ON Data'!$E:$E,4))</f>
        <v>0</v>
      </c>
      <c r="P13" s="279">
        <f xml:space="preserve">
IF($A$4&lt;=12,SUMIFS('ON Data'!U:U,'ON Data'!$D:$D,$A$4,'ON Data'!$E:$E,4),SUMIFS('ON Data'!U:U,'ON Data'!$E:$E,4))</f>
        <v>0</v>
      </c>
      <c r="Q13" s="279">
        <f xml:space="preserve">
IF($A$4&lt;=12,SUMIFS('ON Data'!V:V,'ON Data'!$D:$D,$A$4,'ON Data'!$E:$E,4),SUMIFS('ON Data'!V:V,'ON Data'!$E:$E,4))</f>
        <v>0</v>
      </c>
      <c r="R13" s="279">
        <f xml:space="preserve">
IF($A$4&lt;=12,SUMIFS('ON Data'!W:W,'ON Data'!$D:$D,$A$4,'ON Data'!$E:$E,4),SUMIFS('ON Data'!W:W,'ON Data'!$E:$E,4))</f>
        <v>0</v>
      </c>
      <c r="S13" s="279">
        <f xml:space="preserve">
IF($A$4&lt;=12,SUMIFS('ON Data'!X:X,'ON Data'!$D:$D,$A$4,'ON Data'!$E:$E,4),SUMIFS('ON Data'!X:X,'ON Data'!$E:$E,4))</f>
        <v>0</v>
      </c>
      <c r="T13" s="279">
        <f xml:space="preserve">
IF($A$4&lt;=12,SUMIFS('ON Data'!Y:Y,'ON Data'!$D:$D,$A$4,'ON Data'!$E:$E,4),SUMIFS('ON Data'!Y:Y,'ON Data'!$E:$E,4))</f>
        <v>0</v>
      </c>
      <c r="U13" s="279">
        <f xml:space="preserve">
IF($A$4&lt;=12,SUMIFS('ON Data'!Z:Z,'ON Data'!$D:$D,$A$4,'ON Data'!$E:$E,4),SUMIFS('ON Data'!Z:Z,'ON Data'!$E:$E,4))</f>
        <v>0</v>
      </c>
      <c r="V13" s="279">
        <f xml:space="preserve">
IF($A$4&lt;=12,SUMIFS('ON Data'!AA:AA,'ON Data'!$D:$D,$A$4,'ON Data'!$E:$E,4),SUMIFS('ON Data'!AA:AA,'ON Data'!$E:$E,4))</f>
        <v>0</v>
      </c>
      <c r="W13" s="279">
        <f xml:space="preserve">
IF($A$4&lt;=12,SUMIFS('ON Data'!AB:AB,'ON Data'!$D:$D,$A$4,'ON Data'!$E:$E,4),SUMIFS('ON Data'!AB:AB,'ON Data'!$E:$E,4))</f>
        <v>0</v>
      </c>
      <c r="X13" s="279">
        <f xml:space="preserve">
IF($A$4&lt;=12,SUMIFS('ON Data'!AC:AC,'ON Data'!$D:$D,$A$4,'ON Data'!$E:$E,4),SUMIFS('ON Data'!AC:AC,'ON Data'!$E:$E,4))</f>
        <v>0</v>
      </c>
      <c r="Y13" s="279">
        <f xml:space="preserve">
IF($A$4&lt;=12,SUMIFS('ON Data'!AD:AD,'ON Data'!$D:$D,$A$4,'ON Data'!$E:$E,4),SUMIFS('ON Data'!AD:AD,'ON Data'!$E:$E,4))</f>
        <v>0</v>
      </c>
      <c r="Z13" s="279">
        <f xml:space="preserve">
IF($A$4&lt;=12,SUMIFS('ON Data'!AE:AE,'ON Data'!$D:$D,$A$4,'ON Data'!$E:$E,4),SUMIFS('ON Data'!AE:AE,'ON Data'!$E:$E,4))</f>
        <v>0</v>
      </c>
      <c r="AA13" s="279">
        <f xml:space="preserve">
IF($A$4&lt;=12,SUMIFS('ON Data'!AF:AF,'ON Data'!$D:$D,$A$4,'ON Data'!$E:$E,4),SUMIFS('ON Data'!AF:AF,'ON Data'!$E:$E,4))</f>
        <v>0</v>
      </c>
      <c r="AB13" s="279">
        <f xml:space="preserve">
IF($A$4&lt;=12,SUMIFS('ON Data'!AG:AG,'ON Data'!$D:$D,$A$4,'ON Data'!$E:$E,4),SUMIFS('ON Data'!AG:AG,'ON Data'!$E:$E,4))</f>
        <v>0</v>
      </c>
      <c r="AC13" s="279">
        <f xml:space="preserve">
IF($A$4&lt;=12,SUMIFS('ON Data'!AH:AH,'ON Data'!$D:$D,$A$4,'ON Data'!$E:$E,4),SUMIFS('ON Data'!AH:AH,'ON Data'!$E:$E,4))</f>
        <v>0</v>
      </c>
      <c r="AD13" s="279">
        <f xml:space="preserve">
IF($A$4&lt;=12,SUMIFS('ON Data'!AI:AI,'ON Data'!$D:$D,$A$4,'ON Data'!$E:$E,4),SUMIFS('ON Data'!AI:AI,'ON Data'!$E:$E,4))</f>
        <v>0</v>
      </c>
      <c r="AE13" s="279">
        <f xml:space="preserve">
IF($A$4&lt;=12,SUMIFS('ON Data'!AJ:AJ,'ON Data'!$D:$D,$A$4,'ON Data'!$E:$E,4),SUMIFS('ON Data'!AJ:AJ,'ON Data'!$E:$E,4))</f>
        <v>0</v>
      </c>
      <c r="AF13" s="279">
        <f xml:space="preserve">
IF($A$4&lt;=12,SUMIFS('ON Data'!AK:AK,'ON Data'!$D:$D,$A$4,'ON Data'!$E:$E,4),SUMIFS('ON Data'!AK:AK,'ON Data'!$E:$E,4))</f>
        <v>0</v>
      </c>
      <c r="AG13" s="621">
        <f xml:space="preserve">
IF($A$4&lt;=12,SUMIFS('ON Data'!AM:AM,'ON Data'!$D:$D,$A$4,'ON Data'!$E:$E,4),SUMIFS('ON Data'!AM:AM,'ON Data'!$E:$E,4))</f>
        <v>0</v>
      </c>
      <c r="AH13" s="631"/>
    </row>
    <row r="14" spans="1:34" ht="15" thickBot="1" x14ac:dyDescent="0.35">
      <c r="A14" s="261" t="s">
        <v>224</v>
      </c>
      <c r="B14" s="280">
        <f xml:space="preserve">
IF($A$4&lt;=12,SUMIFS('ON Data'!F:F,'ON Data'!$D:$D,$A$4,'ON Data'!$E:$E,5),SUMIFS('ON Data'!F:F,'ON Data'!$E:$E,5))</f>
        <v>0</v>
      </c>
      <c r="C14" s="281">
        <f xml:space="preserve">
IF($A$4&lt;=12,SUMIFS('ON Data'!G:G,'ON Data'!$D:$D,$A$4,'ON Data'!$E:$E,5),SUMIFS('ON Data'!G:G,'ON Data'!$E:$E,5))</f>
        <v>0</v>
      </c>
      <c r="D14" s="282">
        <f xml:space="preserve">
IF($A$4&lt;=12,SUMIFS('ON Data'!H:H,'ON Data'!$D:$D,$A$4,'ON Data'!$E:$E,5),SUMIFS('ON Data'!H:H,'ON Data'!$E:$E,5))</f>
        <v>0</v>
      </c>
      <c r="E14" s="282">
        <f xml:space="preserve">
IF($A$4&lt;=12,SUMIFS('ON Data'!I:I,'ON Data'!$D:$D,$A$4,'ON Data'!$E:$E,5),SUMIFS('ON Data'!I:I,'ON Data'!$E:$E,5))</f>
        <v>0</v>
      </c>
      <c r="F14" s="282">
        <f xml:space="preserve">
IF($A$4&lt;=12,SUMIFS('ON Data'!K:K,'ON Data'!$D:$D,$A$4,'ON Data'!$E:$E,5),SUMIFS('ON Data'!K:K,'ON Data'!$E:$E,5))</f>
        <v>0</v>
      </c>
      <c r="G14" s="282">
        <f xml:space="preserve">
IF($A$4&lt;=12,SUMIFS('ON Data'!L:L,'ON Data'!$D:$D,$A$4,'ON Data'!$E:$E,5),SUMIFS('ON Data'!L:L,'ON Data'!$E:$E,5))</f>
        <v>0</v>
      </c>
      <c r="H14" s="282">
        <f xml:space="preserve">
IF($A$4&lt;=12,SUMIFS('ON Data'!M:M,'ON Data'!$D:$D,$A$4,'ON Data'!$E:$E,5),SUMIFS('ON Data'!M:M,'ON Data'!$E:$E,5))</f>
        <v>0</v>
      </c>
      <c r="I14" s="282">
        <f xml:space="preserve">
IF($A$4&lt;=12,SUMIFS('ON Data'!N:N,'ON Data'!$D:$D,$A$4,'ON Data'!$E:$E,5),SUMIFS('ON Data'!N:N,'ON Data'!$E:$E,5))</f>
        <v>0</v>
      </c>
      <c r="J14" s="282">
        <f xml:space="preserve">
IF($A$4&lt;=12,SUMIFS('ON Data'!O:O,'ON Data'!$D:$D,$A$4,'ON Data'!$E:$E,5),SUMIFS('ON Data'!O:O,'ON Data'!$E:$E,5))</f>
        <v>0</v>
      </c>
      <c r="K14" s="282">
        <f xml:space="preserve">
IF($A$4&lt;=12,SUMIFS('ON Data'!P:P,'ON Data'!$D:$D,$A$4,'ON Data'!$E:$E,5),SUMIFS('ON Data'!P:P,'ON Data'!$E:$E,5))</f>
        <v>0</v>
      </c>
      <c r="L14" s="282">
        <f xml:space="preserve">
IF($A$4&lt;=12,SUMIFS('ON Data'!Q:Q,'ON Data'!$D:$D,$A$4,'ON Data'!$E:$E,5),SUMIFS('ON Data'!Q:Q,'ON Data'!$E:$E,5))</f>
        <v>0</v>
      </c>
      <c r="M14" s="282">
        <f xml:space="preserve">
IF($A$4&lt;=12,SUMIFS('ON Data'!R:R,'ON Data'!$D:$D,$A$4,'ON Data'!$E:$E,5),SUMIFS('ON Data'!R:R,'ON Data'!$E:$E,5))</f>
        <v>0</v>
      </c>
      <c r="N14" s="282">
        <f xml:space="preserve">
IF($A$4&lt;=12,SUMIFS('ON Data'!S:S,'ON Data'!$D:$D,$A$4,'ON Data'!$E:$E,5),SUMIFS('ON Data'!S:S,'ON Data'!$E:$E,5))</f>
        <v>0</v>
      </c>
      <c r="O14" s="282">
        <f xml:space="preserve">
IF($A$4&lt;=12,SUMIFS('ON Data'!T:T,'ON Data'!$D:$D,$A$4,'ON Data'!$E:$E,5),SUMIFS('ON Data'!T:T,'ON Data'!$E:$E,5))</f>
        <v>0</v>
      </c>
      <c r="P14" s="282">
        <f xml:space="preserve">
IF($A$4&lt;=12,SUMIFS('ON Data'!U:U,'ON Data'!$D:$D,$A$4,'ON Data'!$E:$E,5),SUMIFS('ON Data'!U:U,'ON Data'!$E:$E,5))</f>
        <v>0</v>
      </c>
      <c r="Q14" s="282">
        <f xml:space="preserve">
IF($A$4&lt;=12,SUMIFS('ON Data'!V:V,'ON Data'!$D:$D,$A$4,'ON Data'!$E:$E,5),SUMIFS('ON Data'!V:V,'ON Data'!$E:$E,5))</f>
        <v>0</v>
      </c>
      <c r="R14" s="282">
        <f xml:space="preserve">
IF($A$4&lt;=12,SUMIFS('ON Data'!W:W,'ON Data'!$D:$D,$A$4,'ON Data'!$E:$E,5),SUMIFS('ON Data'!W:W,'ON Data'!$E:$E,5))</f>
        <v>0</v>
      </c>
      <c r="S14" s="282">
        <f xml:space="preserve">
IF($A$4&lt;=12,SUMIFS('ON Data'!X:X,'ON Data'!$D:$D,$A$4,'ON Data'!$E:$E,5),SUMIFS('ON Data'!X:X,'ON Data'!$E:$E,5))</f>
        <v>0</v>
      </c>
      <c r="T14" s="282">
        <f xml:space="preserve">
IF($A$4&lt;=12,SUMIFS('ON Data'!Y:Y,'ON Data'!$D:$D,$A$4,'ON Data'!$E:$E,5),SUMIFS('ON Data'!Y:Y,'ON Data'!$E:$E,5))</f>
        <v>0</v>
      </c>
      <c r="U14" s="282">
        <f xml:space="preserve">
IF($A$4&lt;=12,SUMIFS('ON Data'!Z:Z,'ON Data'!$D:$D,$A$4,'ON Data'!$E:$E,5),SUMIFS('ON Data'!Z:Z,'ON Data'!$E:$E,5))</f>
        <v>0</v>
      </c>
      <c r="V14" s="282">
        <f xml:space="preserve">
IF($A$4&lt;=12,SUMIFS('ON Data'!AA:AA,'ON Data'!$D:$D,$A$4,'ON Data'!$E:$E,5),SUMIFS('ON Data'!AA:AA,'ON Data'!$E:$E,5))</f>
        <v>0</v>
      </c>
      <c r="W14" s="282">
        <f xml:space="preserve">
IF($A$4&lt;=12,SUMIFS('ON Data'!AB:AB,'ON Data'!$D:$D,$A$4,'ON Data'!$E:$E,5),SUMIFS('ON Data'!AB:AB,'ON Data'!$E:$E,5))</f>
        <v>0</v>
      </c>
      <c r="X14" s="282">
        <f xml:space="preserve">
IF($A$4&lt;=12,SUMIFS('ON Data'!AC:AC,'ON Data'!$D:$D,$A$4,'ON Data'!$E:$E,5),SUMIFS('ON Data'!AC:AC,'ON Data'!$E:$E,5))</f>
        <v>0</v>
      </c>
      <c r="Y14" s="282">
        <f xml:space="preserve">
IF($A$4&lt;=12,SUMIFS('ON Data'!AD:AD,'ON Data'!$D:$D,$A$4,'ON Data'!$E:$E,5),SUMIFS('ON Data'!AD:AD,'ON Data'!$E:$E,5))</f>
        <v>0</v>
      </c>
      <c r="Z14" s="282">
        <f xml:space="preserve">
IF($A$4&lt;=12,SUMIFS('ON Data'!AE:AE,'ON Data'!$D:$D,$A$4,'ON Data'!$E:$E,5),SUMIFS('ON Data'!AE:AE,'ON Data'!$E:$E,5))</f>
        <v>0</v>
      </c>
      <c r="AA14" s="282">
        <f xml:space="preserve">
IF($A$4&lt;=12,SUMIFS('ON Data'!AF:AF,'ON Data'!$D:$D,$A$4,'ON Data'!$E:$E,5),SUMIFS('ON Data'!AF:AF,'ON Data'!$E:$E,5))</f>
        <v>0</v>
      </c>
      <c r="AB14" s="282">
        <f xml:space="preserve">
IF($A$4&lt;=12,SUMIFS('ON Data'!AG:AG,'ON Data'!$D:$D,$A$4,'ON Data'!$E:$E,5),SUMIFS('ON Data'!AG:AG,'ON Data'!$E:$E,5))</f>
        <v>0</v>
      </c>
      <c r="AC14" s="282">
        <f xml:space="preserve">
IF($A$4&lt;=12,SUMIFS('ON Data'!AH:AH,'ON Data'!$D:$D,$A$4,'ON Data'!$E:$E,5),SUMIFS('ON Data'!AH:AH,'ON Data'!$E:$E,5))</f>
        <v>0</v>
      </c>
      <c r="AD14" s="282">
        <f xml:space="preserve">
IF($A$4&lt;=12,SUMIFS('ON Data'!AI:AI,'ON Data'!$D:$D,$A$4,'ON Data'!$E:$E,5),SUMIFS('ON Data'!AI:AI,'ON Data'!$E:$E,5))</f>
        <v>0</v>
      </c>
      <c r="AE14" s="282">
        <f xml:space="preserve">
IF($A$4&lt;=12,SUMIFS('ON Data'!AJ:AJ,'ON Data'!$D:$D,$A$4,'ON Data'!$E:$E,5),SUMIFS('ON Data'!AJ:AJ,'ON Data'!$E:$E,5))</f>
        <v>0</v>
      </c>
      <c r="AF14" s="282">
        <f xml:space="preserve">
IF($A$4&lt;=12,SUMIFS('ON Data'!AK:AK,'ON Data'!$D:$D,$A$4,'ON Data'!$E:$E,5),SUMIFS('ON Data'!AK:AK,'ON Data'!$E:$E,5))</f>
        <v>0</v>
      </c>
      <c r="AG14" s="622">
        <f xml:space="preserve">
IF($A$4&lt;=12,SUMIFS('ON Data'!AM:AM,'ON Data'!$D:$D,$A$4,'ON Data'!$E:$E,5),SUMIFS('ON Data'!AM:AM,'ON Data'!$E:$E,5))</f>
        <v>0</v>
      </c>
      <c r="AH14" s="631"/>
    </row>
    <row r="15" spans="1:34" x14ac:dyDescent="0.3">
      <c r="A15" s="176" t="s">
        <v>234</v>
      </c>
      <c r="B15" s="283"/>
      <c r="C15" s="284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623"/>
      <c r="AH15" s="631"/>
    </row>
    <row r="16" spans="1:34" x14ac:dyDescent="0.3">
      <c r="A16" s="262" t="s">
        <v>225</v>
      </c>
      <c r="B16" s="277">
        <f xml:space="preserve">
IF($A$4&lt;=12,SUMIFS('ON Data'!F:F,'ON Data'!$D:$D,$A$4,'ON Data'!$E:$E,7),SUMIFS('ON Data'!F:F,'ON Data'!$E:$E,7))</f>
        <v>0</v>
      </c>
      <c r="C16" s="278">
        <f xml:space="preserve">
IF($A$4&lt;=12,SUMIFS('ON Data'!G:G,'ON Data'!$D:$D,$A$4,'ON Data'!$E:$E,7),SUMIFS('ON Data'!G:G,'ON Data'!$E:$E,7))</f>
        <v>0</v>
      </c>
      <c r="D16" s="279">
        <f xml:space="preserve">
IF($A$4&lt;=12,SUMIFS('ON Data'!H:H,'ON Data'!$D:$D,$A$4,'ON Data'!$E:$E,7),SUMIFS('ON Data'!H:H,'ON Data'!$E:$E,7))</f>
        <v>0</v>
      </c>
      <c r="E16" s="279">
        <f xml:space="preserve">
IF($A$4&lt;=12,SUMIFS('ON Data'!I:I,'ON Data'!$D:$D,$A$4,'ON Data'!$E:$E,7),SUMIFS('ON Data'!I:I,'ON Data'!$E:$E,7))</f>
        <v>0</v>
      </c>
      <c r="F16" s="279">
        <f xml:space="preserve">
IF($A$4&lt;=12,SUMIFS('ON Data'!K:K,'ON Data'!$D:$D,$A$4,'ON Data'!$E:$E,7),SUMIFS('ON Data'!K:K,'ON Data'!$E:$E,7))</f>
        <v>0</v>
      </c>
      <c r="G16" s="279">
        <f xml:space="preserve">
IF($A$4&lt;=12,SUMIFS('ON Data'!L:L,'ON Data'!$D:$D,$A$4,'ON Data'!$E:$E,7),SUMIFS('ON Data'!L:L,'ON Data'!$E:$E,7))</f>
        <v>0</v>
      </c>
      <c r="H16" s="279">
        <f xml:space="preserve">
IF($A$4&lt;=12,SUMIFS('ON Data'!M:M,'ON Data'!$D:$D,$A$4,'ON Data'!$E:$E,7),SUMIFS('ON Data'!M:M,'ON Data'!$E:$E,7))</f>
        <v>0</v>
      </c>
      <c r="I16" s="279">
        <f xml:space="preserve">
IF($A$4&lt;=12,SUMIFS('ON Data'!N:N,'ON Data'!$D:$D,$A$4,'ON Data'!$E:$E,7),SUMIFS('ON Data'!N:N,'ON Data'!$E:$E,7))</f>
        <v>0</v>
      </c>
      <c r="J16" s="279">
        <f xml:space="preserve">
IF($A$4&lt;=12,SUMIFS('ON Data'!O:O,'ON Data'!$D:$D,$A$4,'ON Data'!$E:$E,7),SUMIFS('ON Data'!O:O,'ON Data'!$E:$E,7))</f>
        <v>0</v>
      </c>
      <c r="K16" s="279">
        <f xml:space="preserve">
IF($A$4&lt;=12,SUMIFS('ON Data'!P:P,'ON Data'!$D:$D,$A$4,'ON Data'!$E:$E,7),SUMIFS('ON Data'!P:P,'ON Data'!$E:$E,7))</f>
        <v>0</v>
      </c>
      <c r="L16" s="279">
        <f xml:space="preserve">
IF($A$4&lt;=12,SUMIFS('ON Data'!Q:Q,'ON Data'!$D:$D,$A$4,'ON Data'!$E:$E,7),SUMIFS('ON Data'!Q:Q,'ON Data'!$E:$E,7))</f>
        <v>0</v>
      </c>
      <c r="M16" s="279">
        <f xml:space="preserve">
IF($A$4&lt;=12,SUMIFS('ON Data'!R:R,'ON Data'!$D:$D,$A$4,'ON Data'!$E:$E,7),SUMIFS('ON Data'!R:R,'ON Data'!$E:$E,7))</f>
        <v>0</v>
      </c>
      <c r="N16" s="279">
        <f xml:space="preserve">
IF($A$4&lt;=12,SUMIFS('ON Data'!S:S,'ON Data'!$D:$D,$A$4,'ON Data'!$E:$E,7),SUMIFS('ON Data'!S:S,'ON Data'!$E:$E,7))</f>
        <v>0</v>
      </c>
      <c r="O16" s="279">
        <f xml:space="preserve">
IF($A$4&lt;=12,SUMIFS('ON Data'!T:T,'ON Data'!$D:$D,$A$4,'ON Data'!$E:$E,7),SUMIFS('ON Data'!T:T,'ON Data'!$E:$E,7))</f>
        <v>0</v>
      </c>
      <c r="P16" s="279">
        <f xml:space="preserve">
IF($A$4&lt;=12,SUMIFS('ON Data'!U:U,'ON Data'!$D:$D,$A$4,'ON Data'!$E:$E,7),SUMIFS('ON Data'!U:U,'ON Data'!$E:$E,7))</f>
        <v>0</v>
      </c>
      <c r="Q16" s="279">
        <f xml:space="preserve">
IF($A$4&lt;=12,SUMIFS('ON Data'!V:V,'ON Data'!$D:$D,$A$4,'ON Data'!$E:$E,7),SUMIFS('ON Data'!V:V,'ON Data'!$E:$E,7))</f>
        <v>0</v>
      </c>
      <c r="R16" s="279">
        <f xml:space="preserve">
IF($A$4&lt;=12,SUMIFS('ON Data'!W:W,'ON Data'!$D:$D,$A$4,'ON Data'!$E:$E,7),SUMIFS('ON Data'!W:W,'ON Data'!$E:$E,7))</f>
        <v>0</v>
      </c>
      <c r="S16" s="279">
        <f xml:space="preserve">
IF($A$4&lt;=12,SUMIFS('ON Data'!X:X,'ON Data'!$D:$D,$A$4,'ON Data'!$E:$E,7),SUMIFS('ON Data'!X:X,'ON Data'!$E:$E,7))</f>
        <v>0</v>
      </c>
      <c r="T16" s="279">
        <f xml:space="preserve">
IF($A$4&lt;=12,SUMIFS('ON Data'!Y:Y,'ON Data'!$D:$D,$A$4,'ON Data'!$E:$E,7),SUMIFS('ON Data'!Y:Y,'ON Data'!$E:$E,7))</f>
        <v>0</v>
      </c>
      <c r="U16" s="279">
        <f xml:space="preserve">
IF($A$4&lt;=12,SUMIFS('ON Data'!Z:Z,'ON Data'!$D:$D,$A$4,'ON Data'!$E:$E,7),SUMIFS('ON Data'!Z:Z,'ON Data'!$E:$E,7))</f>
        <v>0</v>
      </c>
      <c r="V16" s="279">
        <f xml:space="preserve">
IF($A$4&lt;=12,SUMIFS('ON Data'!AA:AA,'ON Data'!$D:$D,$A$4,'ON Data'!$E:$E,7),SUMIFS('ON Data'!AA:AA,'ON Data'!$E:$E,7))</f>
        <v>0</v>
      </c>
      <c r="W16" s="279">
        <f xml:space="preserve">
IF($A$4&lt;=12,SUMIFS('ON Data'!AB:AB,'ON Data'!$D:$D,$A$4,'ON Data'!$E:$E,7),SUMIFS('ON Data'!AB:AB,'ON Data'!$E:$E,7))</f>
        <v>0</v>
      </c>
      <c r="X16" s="279">
        <f xml:space="preserve">
IF($A$4&lt;=12,SUMIFS('ON Data'!AC:AC,'ON Data'!$D:$D,$A$4,'ON Data'!$E:$E,7),SUMIFS('ON Data'!AC:AC,'ON Data'!$E:$E,7))</f>
        <v>0</v>
      </c>
      <c r="Y16" s="279">
        <f xml:space="preserve">
IF($A$4&lt;=12,SUMIFS('ON Data'!AD:AD,'ON Data'!$D:$D,$A$4,'ON Data'!$E:$E,7),SUMIFS('ON Data'!AD:AD,'ON Data'!$E:$E,7))</f>
        <v>0</v>
      </c>
      <c r="Z16" s="279">
        <f xml:space="preserve">
IF($A$4&lt;=12,SUMIFS('ON Data'!AE:AE,'ON Data'!$D:$D,$A$4,'ON Data'!$E:$E,7),SUMIFS('ON Data'!AE:AE,'ON Data'!$E:$E,7))</f>
        <v>0</v>
      </c>
      <c r="AA16" s="279">
        <f xml:space="preserve">
IF($A$4&lt;=12,SUMIFS('ON Data'!AF:AF,'ON Data'!$D:$D,$A$4,'ON Data'!$E:$E,7),SUMIFS('ON Data'!AF:AF,'ON Data'!$E:$E,7))</f>
        <v>0</v>
      </c>
      <c r="AB16" s="279">
        <f xml:space="preserve">
IF($A$4&lt;=12,SUMIFS('ON Data'!AG:AG,'ON Data'!$D:$D,$A$4,'ON Data'!$E:$E,7),SUMIFS('ON Data'!AG:AG,'ON Data'!$E:$E,7))</f>
        <v>0</v>
      </c>
      <c r="AC16" s="279">
        <f xml:space="preserve">
IF($A$4&lt;=12,SUMIFS('ON Data'!AH:AH,'ON Data'!$D:$D,$A$4,'ON Data'!$E:$E,7),SUMIFS('ON Data'!AH:AH,'ON Data'!$E:$E,7))</f>
        <v>0</v>
      </c>
      <c r="AD16" s="279">
        <f xml:space="preserve">
IF($A$4&lt;=12,SUMIFS('ON Data'!AI:AI,'ON Data'!$D:$D,$A$4,'ON Data'!$E:$E,7),SUMIFS('ON Data'!AI:AI,'ON Data'!$E:$E,7))</f>
        <v>0</v>
      </c>
      <c r="AE16" s="279">
        <f xml:space="preserve">
IF($A$4&lt;=12,SUMIFS('ON Data'!AJ:AJ,'ON Data'!$D:$D,$A$4,'ON Data'!$E:$E,7),SUMIFS('ON Data'!AJ:AJ,'ON Data'!$E:$E,7))</f>
        <v>0</v>
      </c>
      <c r="AF16" s="279">
        <f xml:space="preserve">
IF($A$4&lt;=12,SUMIFS('ON Data'!AK:AK,'ON Data'!$D:$D,$A$4,'ON Data'!$E:$E,7),SUMIFS('ON Data'!AK:AK,'ON Data'!$E:$E,7))</f>
        <v>0</v>
      </c>
      <c r="AG16" s="621">
        <f xml:space="preserve">
IF($A$4&lt;=12,SUMIFS('ON Data'!AM:AM,'ON Data'!$D:$D,$A$4,'ON Data'!$E:$E,7),SUMIFS('ON Data'!AM:AM,'ON Data'!$E:$E,7))</f>
        <v>0</v>
      </c>
      <c r="AH16" s="631"/>
    </row>
    <row r="17" spans="1:34" x14ac:dyDescent="0.3">
      <c r="A17" s="262" t="s">
        <v>226</v>
      </c>
      <c r="B17" s="277">
        <f xml:space="preserve">
IF($A$4&lt;=12,SUMIFS('ON Data'!F:F,'ON Data'!$D:$D,$A$4,'ON Data'!$E:$E,8),SUMIFS('ON Data'!F:F,'ON Data'!$E:$E,8))</f>
        <v>0</v>
      </c>
      <c r="C17" s="278">
        <f xml:space="preserve">
IF($A$4&lt;=12,SUMIFS('ON Data'!G:G,'ON Data'!$D:$D,$A$4,'ON Data'!$E:$E,8),SUMIFS('ON Data'!G:G,'ON Data'!$E:$E,8))</f>
        <v>0</v>
      </c>
      <c r="D17" s="279">
        <f xml:space="preserve">
IF($A$4&lt;=12,SUMIFS('ON Data'!H:H,'ON Data'!$D:$D,$A$4,'ON Data'!$E:$E,8),SUMIFS('ON Data'!H:H,'ON Data'!$E:$E,8))</f>
        <v>0</v>
      </c>
      <c r="E17" s="279">
        <f xml:space="preserve">
IF($A$4&lt;=12,SUMIFS('ON Data'!I:I,'ON Data'!$D:$D,$A$4,'ON Data'!$E:$E,8),SUMIFS('ON Data'!I:I,'ON Data'!$E:$E,8))</f>
        <v>0</v>
      </c>
      <c r="F17" s="279">
        <f xml:space="preserve">
IF($A$4&lt;=12,SUMIFS('ON Data'!K:K,'ON Data'!$D:$D,$A$4,'ON Data'!$E:$E,8),SUMIFS('ON Data'!K:K,'ON Data'!$E:$E,8))</f>
        <v>0</v>
      </c>
      <c r="G17" s="279">
        <f xml:space="preserve">
IF($A$4&lt;=12,SUMIFS('ON Data'!L:L,'ON Data'!$D:$D,$A$4,'ON Data'!$E:$E,8),SUMIFS('ON Data'!L:L,'ON Data'!$E:$E,8))</f>
        <v>0</v>
      </c>
      <c r="H17" s="279">
        <f xml:space="preserve">
IF($A$4&lt;=12,SUMIFS('ON Data'!M:M,'ON Data'!$D:$D,$A$4,'ON Data'!$E:$E,8),SUMIFS('ON Data'!M:M,'ON Data'!$E:$E,8))</f>
        <v>0</v>
      </c>
      <c r="I17" s="279">
        <f xml:space="preserve">
IF($A$4&lt;=12,SUMIFS('ON Data'!N:N,'ON Data'!$D:$D,$A$4,'ON Data'!$E:$E,8),SUMIFS('ON Data'!N:N,'ON Data'!$E:$E,8))</f>
        <v>0</v>
      </c>
      <c r="J17" s="279">
        <f xml:space="preserve">
IF($A$4&lt;=12,SUMIFS('ON Data'!O:O,'ON Data'!$D:$D,$A$4,'ON Data'!$E:$E,8),SUMIFS('ON Data'!O:O,'ON Data'!$E:$E,8))</f>
        <v>0</v>
      </c>
      <c r="K17" s="279">
        <f xml:space="preserve">
IF($A$4&lt;=12,SUMIFS('ON Data'!P:P,'ON Data'!$D:$D,$A$4,'ON Data'!$E:$E,8),SUMIFS('ON Data'!P:P,'ON Data'!$E:$E,8))</f>
        <v>0</v>
      </c>
      <c r="L17" s="279">
        <f xml:space="preserve">
IF($A$4&lt;=12,SUMIFS('ON Data'!Q:Q,'ON Data'!$D:$D,$A$4,'ON Data'!$E:$E,8),SUMIFS('ON Data'!Q:Q,'ON Data'!$E:$E,8))</f>
        <v>0</v>
      </c>
      <c r="M17" s="279">
        <f xml:space="preserve">
IF($A$4&lt;=12,SUMIFS('ON Data'!R:R,'ON Data'!$D:$D,$A$4,'ON Data'!$E:$E,8),SUMIFS('ON Data'!R:R,'ON Data'!$E:$E,8))</f>
        <v>0</v>
      </c>
      <c r="N17" s="279">
        <f xml:space="preserve">
IF($A$4&lt;=12,SUMIFS('ON Data'!S:S,'ON Data'!$D:$D,$A$4,'ON Data'!$E:$E,8),SUMIFS('ON Data'!S:S,'ON Data'!$E:$E,8))</f>
        <v>0</v>
      </c>
      <c r="O17" s="279">
        <f xml:space="preserve">
IF($A$4&lt;=12,SUMIFS('ON Data'!T:T,'ON Data'!$D:$D,$A$4,'ON Data'!$E:$E,8),SUMIFS('ON Data'!T:T,'ON Data'!$E:$E,8))</f>
        <v>0</v>
      </c>
      <c r="P17" s="279">
        <f xml:space="preserve">
IF($A$4&lt;=12,SUMIFS('ON Data'!U:U,'ON Data'!$D:$D,$A$4,'ON Data'!$E:$E,8),SUMIFS('ON Data'!U:U,'ON Data'!$E:$E,8))</f>
        <v>0</v>
      </c>
      <c r="Q17" s="279">
        <f xml:space="preserve">
IF($A$4&lt;=12,SUMIFS('ON Data'!V:V,'ON Data'!$D:$D,$A$4,'ON Data'!$E:$E,8),SUMIFS('ON Data'!V:V,'ON Data'!$E:$E,8))</f>
        <v>0</v>
      </c>
      <c r="R17" s="279">
        <f xml:space="preserve">
IF($A$4&lt;=12,SUMIFS('ON Data'!W:W,'ON Data'!$D:$D,$A$4,'ON Data'!$E:$E,8),SUMIFS('ON Data'!W:W,'ON Data'!$E:$E,8))</f>
        <v>0</v>
      </c>
      <c r="S17" s="279">
        <f xml:space="preserve">
IF($A$4&lt;=12,SUMIFS('ON Data'!X:X,'ON Data'!$D:$D,$A$4,'ON Data'!$E:$E,8),SUMIFS('ON Data'!X:X,'ON Data'!$E:$E,8))</f>
        <v>0</v>
      </c>
      <c r="T17" s="279">
        <f xml:space="preserve">
IF($A$4&lt;=12,SUMIFS('ON Data'!Y:Y,'ON Data'!$D:$D,$A$4,'ON Data'!$E:$E,8),SUMIFS('ON Data'!Y:Y,'ON Data'!$E:$E,8))</f>
        <v>0</v>
      </c>
      <c r="U17" s="279">
        <f xml:space="preserve">
IF($A$4&lt;=12,SUMIFS('ON Data'!Z:Z,'ON Data'!$D:$D,$A$4,'ON Data'!$E:$E,8),SUMIFS('ON Data'!Z:Z,'ON Data'!$E:$E,8))</f>
        <v>0</v>
      </c>
      <c r="V17" s="279">
        <f xml:space="preserve">
IF($A$4&lt;=12,SUMIFS('ON Data'!AA:AA,'ON Data'!$D:$D,$A$4,'ON Data'!$E:$E,8),SUMIFS('ON Data'!AA:AA,'ON Data'!$E:$E,8))</f>
        <v>0</v>
      </c>
      <c r="W17" s="279">
        <f xml:space="preserve">
IF($A$4&lt;=12,SUMIFS('ON Data'!AB:AB,'ON Data'!$D:$D,$A$4,'ON Data'!$E:$E,8),SUMIFS('ON Data'!AB:AB,'ON Data'!$E:$E,8))</f>
        <v>0</v>
      </c>
      <c r="X17" s="279">
        <f xml:space="preserve">
IF($A$4&lt;=12,SUMIFS('ON Data'!AC:AC,'ON Data'!$D:$D,$A$4,'ON Data'!$E:$E,8),SUMIFS('ON Data'!AC:AC,'ON Data'!$E:$E,8))</f>
        <v>0</v>
      </c>
      <c r="Y17" s="279">
        <f xml:space="preserve">
IF($A$4&lt;=12,SUMIFS('ON Data'!AD:AD,'ON Data'!$D:$D,$A$4,'ON Data'!$E:$E,8),SUMIFS('ON Data'!AD:AD,'ON Data'!$E:$E,8))</f>
        <v>0</v>
      </c>
      <c r="Z17" s="279">
        <f xml:space="preserve">
IF($A$4&lt;=12,SUMIFS('ON Data'!AE:AE,'ON Data'!$D:$D,$A$4,'ON Data'!$E:$E,8),SUMIFS('ON Data'!AE:AE,'ON Data'!$E:$E,8))</f>
        <v>0</v>
      </c>
      <c r="AA17" s="279">
        <f xml:space="preserve">
IF($A$4&lt;=12,SUMIFS('ON Data'!AF:AF,'ON Data'!$D:$D,$A$4,'ON Data'!$E:$E,8),SUMIFS('ON Data'!AF:AF,'ON Data'!$E:$E,8))</f>
        <v>0</v>
      </c>
      <c r="AB17" s="279">
        <f xml:space="preserve">
IF($A$4&lt;=12,SUMIFS('ON Data'!AG:AG,'ON Data'!$D:$D,$A$4,'ON Data'!$E:$E,8),SUMIFS('ON Data'!AG:AG,'ON Data'!$E:$E,8))</f>
        <v>0</v>
      </c>
      <c r="AC17" s="279">
        <f xml:space="preserve">
IF($A$4&lt;=12,SUMIFS('ON Data'!AH:AH,'ON Data'!$D:$D,$A$4,'ON Data'!$E:$E,8),SUMIFS('ON Data'!AH:AH,'ON Data'!$E:$E,8))</f>
        <v>0</v>
      </c>
      <c r="AD17" s="279">
        <f xml:space="preserve">
IF($A$4&lt;=12,SUMIFS('ON Data'!AI:AI,'ON Data'!$D:$D,$A$4,'ON Data'!$E:$E,8),SUMIFS('ON Data'!AI:AI,'ON Data'!$E:$E,8))</f>
        <v>0</v>
      </c>
      <c r="AE17" s="279">
        <f xml:space="preserve">
IF($A$4&lt;=12,SUMIFS('ON Data'!AJ:AJ,'ON Data'!$D:$D,$A$4,'ON Data'!$E:$E,8),SUMIFS('ON Data'!AJ:AJ,'ON Data'!$E:$E,8))</f>
        <v>0</v>
      </c>
      <c r="AF17" s="279">
        <f xml:space="preserve">
IF($A$4&lt;=12,SUMIFS('ON Data'!AK:AK,'ON Data'!$D:$D,$A$4,'ON Data'!$E:$E,8),SUMIFS('ON Data'!AK:AK,'ON Data'!$E:$E,8))</f>
        <v>0</v>
      </c>
      <c r="AG17" s="621">
        <f xml:space="preserve">
IF($A$4&lt;=12,SUMIFS('ON Data'!AM:AM,'ON Data'!$D:$D,$A$4,'ON Data'!$E:$E,8),SUMIFS('ON Data'!AM:AM,'ON Data'!$E:$E,8))</f>
        <v>0</v>
      </c>
      <c r="AH17" s="631"/>
    </row>
    <row r="18" spans="1:34" x14ac:dyDescent="0.3">
      <c r="A18" s="262" t="s">
        <v>227</v>
      </c>
      <c r="B18" s="277">
        <f xml:space="preserve">
B19-B16-B17</f>
        <v>582410</v>
      </c>
      <c r="C18" s="278">
        <f t="shared" ref="C18" si="0" xml:space="preserve">
C19-C16-C17</f>
        <v>0</v>
      </c>
      <c r="D18" s="279">
        <f t="shared" ref="D18:AG18" si="1" xml:space="preserve">
D19-D16-D17</f>
        <v>378174</v>
      </c>
      <c r="E18" s="279">
        <f t="shared" si="1"/>
        <v>0</v>
      </c>
      <c r="F18" s="279">
        <f t="shared" si="1"/>
        <v>165583</v>
      </c>
      <c r="G18" s="279">
        <f t="shared" si="1"/>
        <v>0</v>
      </c>
      <c r="H18" s="279">
        <f t="shared" si="1"/>
        <v>0</v>
      </c>
      <c r="I18" s="279">
        <f t="shared" si="1"/>
        <v>0</v>
      </c>
      <c r="J18" s="279">
        <f t="shared" si="1"/>
        <v>0</v>
      </c>
      <c r="K18" s="279">
        <f t="shared" si="1"/>
        <v>0</v>
      </c>
      <c r="L18" s="279">
        <f t="shared" si="1"/>
        <v>0</v>
      </c>
      <c r="M18" s="279">
        <f t="shared" si="1"/>
        <v>0</v>
      </c>
      <c r="N18" s="279">
        <f t="shared" si="1"/>
        <v>0</v>
      </c>
      <c r="O18" s="279">
        <f t="shared" si="1"/>
        <v>0</v>
      </c>
      <c r="P18" s="279">
        <f t="shared" si="1"/>
        <v>0</v>
      </c>
      <c r="Q18" s="279">
        <f t="shared" si="1"/>
        <v>0</v>
      </c>
      <c r="R18" s="279">
        <f t="shared" si="1"/>
        <v>0</v>
      </c>
      <c r="S18" s="279">
        <f t="shared" si="1"/>
        <v>0</v>
      </c>
      <c r="T18" s="279">
        <f t="shared" si="1"/>
        <v>0</v>
      </c>
      <c r="U18" s="279">
        <f t="shared" si="1"/>
        <v>0</v>
      </c>
      <c r="V18" s="279">
        <f t="shared" si="1"/>
        <v>0</v>
      </c>
      <c r="W18" s="279">
        <f t="shared" si="1"/>
        <v>0</v>
      </c>
      <c r="X18" s="279">
        <f t="shared" si="1"/>
        <v>0</v>
      </c>
      <c r="Y18" s="279">
        <f t="shared" si="1"/>
        <v>0</v>
      </c>
      <c r="Z18" s="279">
        <f t="shared" si="1"/>
        <v>0</v>
      </c>
      <c r="AA18" s="279">
        <f t="shared" si="1"/>
        <v>0</v>
      </c>
      <c r="AB18" s="279">
        <f t="shared" si="1"/>
        <v>0</v>
      </c>
      <c r="AC18" s="279">
        <f t="shared" si="1"/>
        <v>0</v>
      </c>
      <c r="AD18" s="279">
        <f t="shared" si="1"/>
        <v>0</v>
      </c>
      <c r="AE18" s="279">
        <f t="shared" si="1"/>
        <v>0</v>
      </c>
      <c r="AF18" s="279">
        <f t="shared" si="1"/>
        <v>0</v>
      </c>
      <c r="AG18" s="621">
        <f t="shared" si="1"/>
        <v>38653</v>
      </c>
      <c r="AH18" s="631"/>
    </row>
    <row r="19" spans="1:34" ht="15" thickBot="1" x14ac:dyDescent="0.35">
      <c r="A19" s="263" t="s">
        <v>228</v>
      </c>
      <c r="B19" s="286">
        <f xml:space="preserve">
IF($A$4&lt;=12,SUMIFS('ON Data'!F:F,'ON Data'!$D:$D,$A$4,'ON Data'!$E:$E,9),SUMIFS('ON Data'!F:F,'ON Data'!$E:$E,9))</f>
        <v>582410</v>
      </c>
      <c r="C19" s="287">
        <f xml:space="preserve">
IF($A$4&lt;=12,SUMIFS('ON Data'!G:G,'ON Data'!$D:$D,$A$4,'ON Data'!$E:$E,9),SUMIFS('ON Data'!G:G,'ON Data'!$E:$E,9))</f>
        <v>0</v>
      </c>
      <c r="D19" s="288">
        <f xml:space="preserve">
IF($A$4&lt;=12,SUMIFS('ON Data'!H:H,'ON Data'!$D:$D,$A$4,'ON Data'!$E:$E,9),SUMIFS('ON Data'!H:H,'ON Data'!$E:$E,9))</f>
        <v>378174</v>
      </c>
      <c r="E19" s="288">
        <f xml:space="preserve">
IF($A$4&lt;=12,SUMIFS('ON Data'!I:I,'ON Data'!$D:$D,$A$4,'ON Data'!$E:$E,9),SUMIFS('ON Data'!I:I,'ON Data'!$E:$E,9))</f>
        <v>0</v>
      </c>
      <c r="F19" s="288">
        <f xml:space="preserve">
IF($A$4&lt;=12,SUMIFS('ON Data'!K:K,'ON Data'!$D:$D,$A$4,'ON Data'!$E:$E,9),SUMIFS('ON Data'!K:K,'ON Data'!$E:$E,9))</f>
        <v>165583</v>
      </c>
      <c r="G19" s="288">
        <f xml:space="preserve">
IF($A$4&lt;=12,SUMIFS('ON Data'!L:L,'ON Data'!$D:$D,$A$4,'ON Data'!$E:$E,9),SUMIFS('ON Data'!L:L,'ON Data'!$E:$E,9))</f>
        <v>0</v>
      </c>
      <c r="H19" s="288">
        <f xml:space="preserve">
IF($A$4&lt;=12,SUMIFS('ON Data'!M:M,'ON Data'!$D:$D,$A$4,'ON Data'!$E:$E,9),SUMIFS('ON Data'!M:M,'ON Data'!$E:$E,9))</f>
        <v>0</v>
      </c>
      <c r="I19" s="288">
        <f xml:space="preserve">
IF($A$4&lt;=12,SUMIFS('ON Data'!N:N,'ON Data'!$D:$D,$A$4,'ON Data'!$E:$E,9),SUMIFS('ON Data'!N:N,'ON Data'!$E:$E,9))</f>
        <v>0</v>
      </c>
      <c r="J19" s="288">
        <f xml:space="preserve">
IF($A$4&lt;=12,SUMIFS('ON Data'!O:O,'ON Data'!$D:$D,$A$4,'ON Data'!$E:$E,9),SUMIFS('ON Data'!O:O,'ON Data'!$E:$E,9))</f>
        <v>0</v>
      </c>
      <c r="K19" s="288">
        <f xml:space="preserve">
IF($A$4&lt;=12,SUMIFS('ON Data'!P:P,'ON Data'!$D:$D,$A$4,'ON Data'!$E:$E,9),SUMIFS('ON Data'!P:P,'ON Data'!$E:$E,9))</f>
        <v>0</v>
      </c>
      <c r="L19" s="288">
        <f xml:space="preserve">
IF($A$4&lt;=12,SUMIFS('ON Data'!Q:Q,'ON Data'!$D:$D,$A$4,'ON Data'!$E:$E,9),SUMIFS('ON Data'!Q:Q,'ON Data'!$E:$E,9))</f>
        <v>0</v>
      </c>
      <c r="M19" s="288">
        <f xml:space="preserve">
IF($A$4&lt;=12,SUMIFS('ON Data'!R:R,'ON Data'!$D:$D,$A$4,'ON Data'!$E:$E,9),SUMIFS('ON Data'!R:R,'ON Data'!$E:$E,9))</f>
        <v>0</v>
      </c>
      <c r="N19" s="288">
        <f xml:space="preserve">
IF($A$4&lt;=12,SUMIFS('ON Data'!S:S,'ON Data'!$D:$D,$A$4,'ON Data'!$E:$E,9),SUMIFS('ON Data'!S:S,'ON Data'!$E:$E,9))</f>
        <v>0</v>
      </c>
      <c r="O19" s="288">
        <f xml:space="preserve">
IF($A$4&lt;=12,SUMIFS('ON Data'!T:T,'ON Data'!$D:$D,$A$4,'ON Data'!$E:$E,9),SUMIFS('ON Data'!T:T,'ON Data'!$E:$E,9))</f>
        <v>0</v>
      </c>
      <c r="P19" s="288">
        <f xml:space="preserve">
IF($A$4&lt;=12,SUMIFS('ON Data'!U:U,'ON Data'!$D:$D,$A$4,'ON Data'!$E:$E,9),SUMIFS('ON Data'!U:U,'ON Data'!$E:$E,9))</f>
        <v>0</v>
      </c>
      <c r="Q19" s="288">
        <f xml:space="preserve">
IF($A$4&lt;=12,SUMIFS('ON Data'!V:V,'ON Data'!$D:$D,$A$4,'ON Data'!$E:$E,9),SUMIFS('ON Data'!V:V,'ON Data'!$E:$E,9))</f>
        <v>0</v>
      </c>
      <c r="R19" s="288">
        <f xml:space="preserve">
IF($A$4&lt;=12,SUMIFS('ON Data'!W:W,'ON Data'!$D:$D,$A$4,'ON Data'!$E:$E,9),SUMIFS('ON Data'!W:W,'ON Data'!$E:$E,9))</f>
        <v>0</v>
      </c>
      <c r="S19" s="288">
        <f xml:space="preserve">
IF($A$4&lt;=12,SUMIFS('ON Data'!X:X,'ON Data'!$D:$D,$A$4,'ON Data'!$E:$E,9),SUMIFS('ON Data'!X:X,'ON Data'!$E:$E,9))</f>
        <v>0</v>
      </c>
      <c r="T19" s="288">
        <f xml:space="preserve">
IF($A$4&lt;=12,SUMIFS('ON Data'!Y:Y,'ON Data'!$D:$D,$A$4,'ON Data'!$E:$E,9),SUMIFS('ON Data'!Y:Y,'ON Data'!$E:$E,9))</f>
        <v>0</v>
      </c>
      <c r="U19" s="288">
        <f xml:space="preserve">
IF($A$4&lt;=12,SUMIFS('ON Data'!Z:Z,'ON Data'!$D:$D,$A$4,'ON Data'!$E:$E,9),SUMIFS('ON Data'!Z:Z,'ON Data'!$E:$E,9))</f>
        <v>0</v>
      </c>
      <c r="V19" s="288">
        <f xml:space="preserve">
IF($A$4&lt;=12,SUMIFS('ON Data'!AA:AA,'ON Data'!$D:$D,$A$4,'ON Data'!$E:$E,9),SUMIFS('ON Data'!AA:AA,'ON Data'!$E:$E,9))</f>
        <v>0</v>
      </c>
      <c r="W19" s="288">
        <f xml:space="preserve">
IF($A$4&lt;=12,SUMIFS('ON Data'!AB:AB,'ON Data'!$D:$D,$A$4,'ON Data'!$E:$E,9),SUMIFS('ON Data'!AB:AB,'ON Data'!$E:$E,9))</f>
        <v>0</v>
      </c>
      <c r="X19" s="288">
        <f xml:space="preserve">
IF($A$4&lt;=12,SUMIFS('ON Data'!AC:AC,'ON Data'!$D:$D,$A$4,'ON Data'!$E:$E,9),SUMIFS('ON Data'!AC:AC,'ON Data'!$E:$E,9))</f>
        <v>0</v>
      </c>
      <c r="Y19" s="288">
        <f xml:space="preserve">
IF($A$4&lt;=12,SUMIFS('ON Data'!AD:AD,'ON Data'!$D:$D,$A$4,'ON Data'!$E:$E,9),SUMIFS('ON Data'!AD:AD,'ON Data'!$E:$E,9))</f>
        <v>0</v>
      </c>
      <c r="Z19" s="288">
        <f xml:space="preserve">
IF($A$4&lt;=12,SUMIFS('ON Data'!AE:AE,'ON Data'!$D:$D,$A$4,'ON Data'!$E:$E,9),SUMIFS('ON Data'!AE:AE,'ON Data'!$E:$E,9))</f>
        <v>0</v>
      </c>
      <c r="AA19" s="288">
        <f xml:space="preserve">
IF($A$4&lt;=12,SUMIFS('ON Data'!AF:AF,'ON Data'!$D:$D,$A$4,'ON Data'!$E:$E,9),SUMIFS('ON Data'!AF:AF,'ON Data'!$E:$E,9))</f>
        <v>0</v>
      </c>
      <c r="AB19" s="288">
        <f xml:space="preserve">
IF($A$4&lt;=12,SUMIFS('ON Data'!AG:AG,'ON Data'!$D:$D,$A$4,'ON Data'!$E:$E,9),SUMIFS('ON Data'!AG:AG,'ON Data'!$E:$E,9))</f>
        <v>0</v>
      </c>
      <c r="AC19" s="288">
        <f xml:space="preserve">
IF($A$4&lt;=12,SUMIFS('ON Data'!AH:AH,'ON Data'!$D:$D,$A$4,'ON Data'!$E:$E,9),SUMIFS('ON Data'!AH:AH,'ON Data'!$E:$E,9))</f>
        <v>0</v>
      </c>
      <c r="AD19" s="288">
        <f xml:space="preserve">
IF($A$4&lt;=12,SUMIFS('ON Data'!AI:AI,'ON Data'!$D:$D,$A$4,'ON Data'!$E:$E,9),SUMIFS('ON Data'!AI:AI,'ON Data'!$E:$E,9))</f>
        <v>0</v>
      </c>
      <c r="AE19" s="288">
        <f xml:space="preserve">
IF($A$4&lt;=12,SUMIFS('ON Data'!AJ:AJ,'ON Data'!$D:$D,$A$4,'ON Data'!$E:$E,9),SUMIFS('ON Data'!AJ:AJ,'ON Data'!$E:$E,9))</f>
        <v>0</v>
      </c>
      <c r="AF19" s="288">
        <f xml:space="preserve">
IF($A$4&lt;=12,SUMIFS('ON Data'!AK:AK,'ON Data'!$D:$D,$A$4,'ON Data'!$E:$E,9),SUMIFS('ON Data'!AK:AK,'ON Data'!$E:$E,9))</f>
        <v>0</v>
      </c>
      <c r="AG19" s="624">
        <f xml:space="preserve">
IF($A$4&lt;=12,SUMIFS('ON Data'!AM:AM,'ON Data'!$D:$D,$A$4,'ON Data'!$E:$E,9),SUMIFS('ON Data'!AM:AM,'ON Data'!$E:$E,9))</f>
        <v>38653</v>
      </c>
      <c r="AH19" s="631"/>
    </row>
    <row r="20" spans="1:34" ht="15" collapsed="1" thickBot="1" x14ac:dyDescent="0.35">
      <c r="A20" s="264" t="s">
        <v>75</v>
      </c>
      <c r="B20" s="289">
        <f xml:space="preserve">
IF($A$4&lt;=12,SUMIFS('ON Data'!F:F,'ON Data'!$D:$D,$A$4,'ON Data'!$E:$E,6),SUMIFS('ON Data'!F:F,'ON Data'!$E:$E,6))</f>
        <v>4899531</v>
      </c>
      <c r="C20" s="290">
        <f xml:space="preserve">
IF($A$4&lt;=12,SUMIFS('ON Data'!G:G,'ON Data'!$D:$D,$A$4,'ON Data'!$E:$E,6),SUMIFS('ON Data'!G:G,'ON Data'!$E:$E,6))</f>
        <v>0</v>
      </c>
      <c r="D20" s="291">
        <f xml:space="preserve">
IF($A$4&lt;=12,SUMIFS('ON Data'!H:H,'ON Data'!$D:$D,$A$4,'ON Data'!$E:$E,6),SUMIFS('ON Data'!H:H,'ON Data'!$E:$E,6))</f>
        <v>2779296</v>
      </c>
      <c r="E20" s="291">
        <f xml:space="preserve">
IF($A$4&lt;=12,SUMIFS('ON Data'!I:I,'ON Data'!$D:$D,$A$4,'ON Data'!$E:$E,6),SUMIFS('ON Data'!I:I,'ON Data'!$E:$E,6))</f>
        <v>0</v>
      </c>
      <c r="F20" s="291">
        <f xml:space="preserve">
IF($A$4&lt;=12,SUMIFS('ON Data'!K:K,'ON Data'!$D:$D,$A$4,'ON Data'!$E:$E,6),SUMIFS('ON Data'!K:K,'ON Data'!$E:$E,6))</f>
        <v>1666681</v>
      </c>
      <c r="G20" s="291">
        <f xml:space="preserve">
IF($A$4&lt;=12,SUMIFS('ON Data'!L:L,'ON Data'!$D:$D,$A$4,'ON Data'!$E:$E,6),SUMIFS('ON Data'!L:L,'ON Data'!$E:$E,6))</f>
        <v>0</v>
      </c>
      <c r="H20" s="291">
        <f xml:space="preserve">
IF($A$4&lt;=12,SUMIFS('ON Data'!M:M,'ON Data'!$D:$D,$A$4,'ON Data'!$E:$E,6),SUMIFS('ON Data'!M:M,'ON Data'!$E:$E,6))</f>
        <v>0</v>
      </c>
      <c r="I20" s="291">
        <f xml:space="preserve">
IF($A$4&lt;=12,SUMIFS('ON Data'!N:N,'ON Data'!$D:$D,$A$4,'ON Data'!$E:$E,6),SUMIFS('ON Data'!N:N,'ON Data'!$E:$E,6))</f>
        <v>0</v>
      </c>
      <c r="J20" s="291">
        <f xml:space="preserve">
IF($A$4&lt;=12,SUMIFS('ON Data'!O:O,'ON Data'!$D:$D,$A$4,'ON Data'!$E:$E,6),SUMIFS('ON Data'!O:O,'ON Data'!$E:$E,6))</f>
        <v>0</v>
      </c>
      <c r="K20" s="291">
        <f xml:space="preserve">
IF($A$4&lt;=12,SUMIFS('ON Data'!P:P,'ON Data'!$D:$D,$A$4,'ON Data'!$E:$E,6),SUMIFS('ON Data'!P:P,'ON Data'!$E:$E,6))</f>
        <v>0</v>
      </c>
      <c r="L20" s="291">
        <f xml:space="preserve">
IF($A$4&lt;=12,SUMIFS('ON Data'!Q:Q,'ON Data'!$D:$D,$A$4,'ON Data'!$E:$E,6),SUMIFS('ON Data'!Q:Q,'ON Data'!$E:$E,6))</f>
        <v>0</v>
      </c>
      <c r="M20" s="291">
        <f xml:space="preserve">
IF($A$4&lt;=12,SUMIFS('ON Data'!R:R,'ON Data'!$D:$D,$A$4,'ON Data'!$E:$E,6),SUMIFS('ON Data'!R:R,'ON Data'!$E:$E,6))</f>
        <v>0</v>
      </c>
      <c r="N20" s="291">
        <f xml:space="preserve">
IF($A$4&lt;=12,SUMIFS('ON Data'!S:S,'ON Data'!$D:$D,$A$4,'ON Data'!$E:$E,6),SUMIFS('ON Data'!S:S,'ON Data'!$E:$E,6))</f>
        <v>0</v>
      </c>
      <c r="O20" s="291">
        <f xml:space="preserve">
IF($A$4&lt;=12,SUMIFS('ON Data'!T:T,'ON Data'!$D:$D,$A$4,'ON Data'!$E:$E,6),SUMIFS('ON Data'!T:T,'ON Data'!$E:$E,6))</f>
        <v>0</v>
      </c>
      <c r="P20" s="291">
        <f xml:space="preserve">
IF($A$4&lt;=12,SUMIFS('ON Data'!U:U,'ON Data'!$D:$D,$A$4,'ON Data'!$E:$E,6),SUMIFS('ON Data'!U:U,'ON Data'!$E:$E,6))</f>
        <v>0</v>
      </c>
      <c r="Q20" s="291">
        <f xml:space="preserve">
IF($A$4&lt;=12,SUMIFS('ON Data'!V:V,'ON Data'!$D:$D,$A$4,'ON Data'!$E:$E,6),SUMIFS('ON Data'!V:V,'ON Data'!$E:$E,6))</f>
        <v>0</v>
      </c>
      <c r="R20" s="291">
        <f xml:space="preserve">
IF($A$4&lt;=12,SUMIFS('ON Data'!W:W,'ON Data'!$D:$D,$A$4,'ON Data'!$E:$E,6),SUMIFS('ON Data'!W:W,'ON Data'!$E:$E,6))</f>
        <v>0</v>
      </c>
      <c r="S20" s="291">
        <f xml:space="preserve">
IF($A$4&lt;=12,SUMIFS('ON Data'!X:X,'ON Data'!$D:$D,$A$4,'ON Data'!$E:$E,6),SUMIFS('ON Data'!X:X,'ON Data'!$E:$E,6))</f>
        <v>0</v>
      </c>
      <c r="T20" s="291">
        <f xml:space="preserve">
IF($A$4&lt;=12,SUMIFS('ON Data'!Y:Y,'ON Data'!$D:$D,$A$4,'ON Data'!$E:$E,6),SUMIFS('ON Data'!Y:Y,'ON Data'!$E:$E,6))</f>
        <v>0</v>
      </c>
      <c r="U20" s="291">
        <f xml:space="preserve">
IF($A$4&lt;=12,SUMIFS('ON Data'!Z:Z,'ON Data'!$D:$D,$A$4,'ON Data'!$E:$E,6),SUMIFS('ON Data'!Z:Z,'ON Data'!$E:$E,6))</f>
        <v>0</v>
      </c>
      <c r="V20" s="291">
        <f xml:space="preserve">
IF($A$4&lt;=12,SUMIFS('ON Data'!AA:AA,'ON Data'!$D:$D,$A$4,'ON Data'!$E:$E,6),SUMIFS('ON Data'!AA:AA,'ON Data'!$E:$E,6))</f>
        <v>0</v>
      </c>
      <c r="W20" s="291">
        <f xml:space="preserve">
IF($A$4&lt;=12,SUMIFS('ON Data'!AB:AB,'ON Data'!$D:$D,$A$4,'ON Data'!$E:$E,6),SUMIFS('ON Data'!AB:AB,'ON Data'!$E:$E,6))</f>
        <v>0</v>
      </c>
      <c r="X20" s="291">
        <f xml:space="preserve">
IF($A$4&lt;=12,SUMIFS('ON Data'!AC:AC,'ON Data'!$D:$D,$A$4,'ON Data'!$E:$E,6),SUMIFS('ON Data'!AC:AC,'ON Data'!$E:$E,6))</f>
        <v>0</v>
      </c>
      <c r="Y20" s="291">
        <f xml:space="preserve">
IF($A$4&lt;=12,SUMIFS('ON Data'!AD:AD,'ON Data'!$D:$D,$A$4,'ON Data'!$E:$E,6),SUMIFS('ON Data'!AD:AD,'ON Data'!$E:$E,6))</f>
        <v>0</v>
      </c>
      <c r="Z20" s="291">
        <f xml:space="preserve">
IF($A$4&lt;=12,SUMIFS('ON Data'!AE:AE,'ON Data'!$D:$D,$A$4,'ON Data'!$E:$E,6),SUMIFS('ON Data'!AE:AE,'ON Data'!$E:$E,6))</f>
        <v>0</v>
      </c>
      <c r="AA20" s="291">
        <f xml:space="preserve">
IF($A$4&lt;=12,SUMIFS('ON Data'!AF:AF,'ON Data'!$D:$D,$A$4,'ON Data'!$E:$E,6),SUMIFS('ON Data'!AF:AF,'ON Data'!$E:$E,6))</f>
        <v>0</v>
      </c>
      <c r="AB20" s="291">
        <f xml:space="preserve">
IF($A$4&lt;=12,SUMIFS('ON Data'!AG:AG,'ON Data'!$D:$D,$A$4,'ON Data'!$E:$E,6),SUMIFS('ON Data'!AG:AG,'ON Data'!$E:$E,6))</f>
        <v>0</v>
      </c>
      <c r="AC20" s="291">
        <f xml:space="preserve">
IF($A$4&lt;=12,SUMIFS('ON Data'!AH:AH,'ON Data'!$D:$D,$A$4,'ON Data'!$E:$E,6),SUMIFS('ON Data'!AH:AH,'ON Data'!$E:$E,6))</f>
        <v>0</v>
      </c>
      <c r="AD20" s="291">
        <f xml:space="preserve">
IF($A$4&lt;=12,SUMIFS('ON Data'!AI:AI,'ON Data'!$D:$D,$A$4,'ON Data'!$E:$E,6),SUMIFS('ON Data'!AI:AI,'ON Data'!$E:$E,6))</f>
        <v>0</v>
      </c>
      <c r="AE20" s="291">
        <f xml:space="preserve">
IF($A$4&lt;=12,SUMIFS('ON Data'!AJ:AJ,'ON Data'!$D:$D,$A$4,'ON Data'!$E:$E,6),SUMIFS('ON Data'!AJ:AJ,'ON Data'!$E:$E,6))</f>
        <v>0</v>
      </c>
      <c r="AF20" s="291">
        <f xml:space="preserve">
IF($A$4&lt;=12,SUMIFS('ON Data'!AK:AK,'ON Data'!$D:$D,$A$4,'ON Data'!$E:$E,6),SUMIFS('ON Data'!AK:AK,'ON Data'!$E:$E,6))</f>
        <v>0</v>
      </c>
      <c r="AG20" s="625">
        <f xml:space="preserve">
IF($A$4&lt;=12,SUMIFS('ON Data'!AM:AM,'ON Data'!$D:$D,$A$4,'ON Data'!$E:$E,6),SUMIFS('ON Data'!AM:AM,'ON Data'!$E:$E,6))</f>
        <v>453554</v>
      </c>
      <c r="AH20" s="631"/>
    </row>
    <row r="21" spans="1:34" ht="15" hidden="1" outlineLevel="1" thickBot="1" x14ac:dyDescent="0.35">
      <c r="A21" s="257" t="s">
        <v>111</v>
      </c>
      <c r="B21" s="277">
        <f xml:space="preserve">
IF($A$4&lt;=12,SUMIFS('ON Data'!F:F,'ON Data'!$D:$D,$A$4,'ON Data'!$E:$E,12),SUMIFS('ON Data'!F:F,'ON Data'!$E:$E,12))</f>
        <v>0</v>
      </c>
      <c r="C21" s="278">
        <f xml:space="preserve">
IF($A$4&lt;=12,SUMIFS('ON Data'!G:G,'ON Data'!$D:$D,$A$4,'ON Data'!$E:$E,12),SUMIFS('ON Data'!G:G,'ON Data'!$E:$E,12))</f>
        <v>0</v>
      </c>
      <c r="D21" s="279">
        <f xml:space="preserve">
IF($A$4&lt;=12,SUMIFS('ON Data'!H:H,'ON Data'!$D:$D,$A$4,'ON Data'!$E:$E,12),SUMIFS('ON Data'!H:H,'ON Data'!$E:$E,12))</f>
        <v>0</v>
      </c>
      <c r="E21" s="279">
        <f xml:space="preserve">
IF($A$4&lt;=12,SUMIFS('ON Data'!I:I,'ON Data'!$D:$D,$A$4,'ON Data'!$E:$E,12),SUMIFS('ON Data'!I:I,'ON Data'!$E:$E,12))</f>
        <v>0</v>
      </c>
      <c r="F21" s="279">
        <f xml:space="preserve">
IF($A$4&lt;=12,SUMIFS('ON Data'!K:K,'ON Data'!$D:$D,$A$4,'ON Data'!$E:$E,12),SUMIFS('ON Data'!K:K,'ON Data'!$E:$E,12))</f>
        <v>0</v>
      </c>
      <c r="G21" s="279">
        <f xml:space="preserve">
IF($A$4&lt;=12,SUMIFS('ON Data'!L:L,'ON Data'!$D:$D,$A$4,'ON Data'!$E:$E,12),SUMIFS('ON Data'!L:L,'ON Data'!$E:$E,12))</f>
        <v>0</v>
      </c>
      <c r="H21" s="279">
        <f xml:space="preserve">
IF($A$4&lt;=12,SUMIFS('ON Data'!M:M,'ON Data'!$D:$D,$A$4,'ON Data'!$E:$E,12),SUMIFS('ON Data'!M:M,'ON Data'!$E:$E,12))</f>
        <v>0</v>
      </c>
      <c r="I21" s="279">
        <f xml:space="preserve">
IF($A$4&lt;=12,SUMIFS('ON Data'!N:N,'ON Data'!$D:$D,$A$4,'ON Data'!$E:$E,12),SUMIFS('ON Data'!N:N,'ON Data'!$E:$E,12))</f>
        <v>0</v>
      </c>
      <c r="J21" s="279">
        <f xml:space="preserve">
IF($A$4&lt;=12,SUMIFS('ON Data'!O:O,'ON Data'!$D:$D,$A$4,'ON Data'!$E:$E,12),SUMIFS('ON Data'!O:O,'ON Data'!$E:$E,12))</f>
        <v>0</v>
      </c>
      <c r="K21" s="279">
        <f xml:space="preserve">
IF($A$4&lt;=12,SUMIFS('ON Data'!P:P,'ON Data'!$D:$D,$A$4,'ON Data'!$E:$E,12),SUMIFS('ON Data'!P:P,'ON Data'!$E:$E,12))</f>
        <v>0</v>
      </c>
      <c r="L21" s="279">
        <f xml:space="preserve">
IF($A$4&lt;=12,SUMIFS('ON Data'!Q:Q,'ON Data'!$D:$D,$A$4,'ON Data'!$E:$E,12),SUMIFS('ON Data'!Q:Q,'ON Data'!$E:$E,12))</f>
        <v>0</v>
      </c>
      <c r="M21" s="279">
        <f xml:space="preserve">
IF($A$4&lt;=12,SUMIFS('ON Data'!R:R,'ON Data'!$D:$D,$A$4,'ON Data'!$E:$E,12),SUMIFS('ON Data'!R:R,'ON Data'!$E:$E,12))</f>
        <v>0</v>
      </c>
      <c r="N21" s="279">
        <f xml:space="preserve">
IF($A$4&lt;=12,SUMIFS('ON Data'!S:S,'ON Data'!$D:$D,$A$4,'ON Data'!$E:$E,12),SUMIFS('ON Data'!S:S,'ON Data'!$E:$E,12))</f>
        <v>0</v>
      </c>
      <c r="O21" s="279">
        <f xml:space="preserve">
IF($A$4&lt;=12,SUMIFS('ON Data'!T:T,'ON Data'!$D:$D,$A$4,'ON Data'!$E:$E,12),SUMIFS('ON Data'!T:T,'ON Data'!$E:$E,12))</f>
        <v>0</v>
      </c>
      <c r="P21" s="279">
        <f xml:space="preserve">
IF($A$4&lt;=12,SUMIFS('ON Data'!U:U,'ON Data'!$D:$D,$A$4,'ON Data'!$E:$E,12),SUMIFS('ON Data'!U:U,'ON Data'!$E:$E,12))</f>
        <v>0</v>
      </c>
      <c r="Q21" s="279">
        <f xml:space="preserve">
IF($A$4&lt;=12,SUMIFS('ON Data'!V:V,'ON Data'!$D:$D,$A$4,'ON Data'!$E:$E,12),SUMIFS('ON Data'!V:V,'ON Data'!$E:$E,12))</f>
        <v>0</v>
      </c>
      <c r="R21" s="279">
        <f xml:space="preserve">
IF($A$4&lt;=12,SUMIFS('ON Data'!W:W,'ON Data'!$D:$D,$A$4,'ON Data'!$E:$E,12),SUMIFS('ON Data'!W:W,'ON Data'!$E:$E,12))</f>
        <v>0</v>
      </c>
      <c r="S21" s="279">
        <f xml:space="preserve">
IF($A$4&lt;=12,SUMIFS('ON Data'!X:X,'ON Data'!$D:$D,$A$4,'ON Data'!$E:$E,12),SUMIFS('ON Data'!X:X,'ON Data'!$E:$E,12))</f>
        <v>0</v>
      </c>
      <c r="T21" s="279">
        <f xml:space="preserve">
IF($A$4&lt;=12,SUMIFS('ON Data'!Y:Y,'ON Data'!$D:$D,$A$4,'ON Data'!$E:$E,12),SUMIFS('ON Data'!Y:Y,'ON Data'!$E:$E,12))</f>
        <v>0</v>
      </c>
      <c r="U21" s="279">
        <f xml:space="preserve">
IF($A$4&lt;=12,SUMIFS('ON Data'!Z:Z,'ON Data'!$D:$D,$A$4,'ON Data'!$E:$E,12),SUMIFS('ON Data'!Z:Z,'ON Data'!$E:$E,12))</f>
        <v>0</v>
      </c>
      <c r="V21" s="279">
        <f xml:space="preserve">
IF($A$4&lt;=12,SUMIFS('ON Data'!AA:AA,'ON Data'!$D:$D,$A$4,'ON Data'!$E:$E,12),SUMIFS('ON Data'!AA:AA,'ON Data'!$E:$E,12))</f>
        <v>0</v>
      </c>
      <c r="W21" s="279">
        <f xml:space="preserve">
IF($A$4&lt;=12,SUMIFS('ON Data'!AB:AB,'ON Data'!$D:$D,$A$4,'ON Data'!$E:$E,12),SUMIFS('ON Data'!AB:AB,'ON Data'!$E:$E,12))</f>
        <v>0</v>
      </c>
      <c r="X21" s="279">
        <f xml:space="preserve">
IF($A$4&lt;=12,SUMIFS('ON Data'!AC:AC,'ON Data'!$D:$D,$A$4,'ON Data'!$E:$E,12),SUMIFS('ON Data'!AC:AC,'ON Data'!$E:$E,12))</f>
        <v>0</v>
      </c>
      <c r="Y21" s="279">
        <f xml:space="preserve">
IF($A$4&lt;=12,SUMIFS('ON Data'!AD:AD,'ON Data'!$D:$D,$A$4,'ON Data'!$E:$E,12),SUMIFS('ON Data'!AD:AD,'ON Data'!$E:$E,12))</f>
        <v>0</v>
      </c>
      <c r="Z21" s="279">
        <f xml:space="preserve">
IF($A$4&lt;=12,SUMIFS('ON Data'!AE:AE,'ON Data'!$D:$D,$A$4,'ON Data'!$E:$E,12),SUMIFS('ON Data'!AE:AE,'ON Data'!$E:$E,12))</f>
        <v>0</v>
      </c>
      <c r="AA21" s="279">
        <f xml:space="preserve">
IF($A$4&lt;=12,SUMIFS('ON Data'!AF:AF,'ON Data'!$D:$D,$A$4,'ON Data'!$E:$E,12),SUMIFS('ON Data'!AF:AF,'ON Data'!$E:$E,12))</f>
        <v>0</v>
      </c>
      <c r="AB21" s="279">
        <f xml:space="preserve">
IF($A$4&lt;=12,SUMIFS('ON Data'!AG:AG,'ON Data'!$D:$D,$A$4,'ON Data'!$E:$E,12),SUMIFS('ON Data'!AG:AG,'ON Data'!$E:$E,12))</f>
        <v>0</v>
      </c>
      <c r="AC21" s="279">
        <f xml:space="preserve">
IF($A$4&lt;=12,SUMIFS('ON Data'!AH:AH,'ON Data'!$D:$D,$A$4,'ON Data'!$E:$E,12),SUMIFS('ON Data'!AH:AH,'ON Data'!$E:$E,12))</f>
        <v>0</v>
      </c>
      <c r="AD21" s="279">
        <f xml:space="preserve">
IF($A$4&lt;=12,SUMIFS('ON Data'!AI:AI,'ON Data'!$D:$D,$A$4,'ON Data'!$E:$E,12),SUMIFS('ON Data'!AI:AI,'ON Data'!$E:$E,12))</f>
        <v>0</v>
      </c>
      <c r="AE21" s="279">
        <f xml:space="preserve">
IF($A$4&lt;=12,SUMIFS('ON Data'!AJ:AJ,'ON Data'!$D:$D,$A$4,'ON Data'!$E:$E,12),SUMIFS('ON Data'!AJ:AJ,'ON Data'!$E:$E,12))</f>
        <v>0</v>
      </c>
      <c r="AF21" s="279">
        <f xml:space="preserve">
IF($A$4&lt;=12,SUMIFS('ON Data'!AK:AK,'ON Data'!$D:$D,$A$4,'ON Data'!$E:$E,12),SUMIFS('ON Data'!AK:AK,'ON Data'!$E:$E,12))</f>
        <v>0</v>
      </c>
      <c r="AG21" s="621">
        <f xml:space="preserve">
IF($A$4&lt;=12,SUMIFS('ON Data'!AM:AM,'ON Data'!$D:$D,$A$4,'ON Data'!$E:$E,12),SUMIFS('ON Data'!AM:AM,'ON Data'!$E:$E,12))</f>
        <v>0</v>
      </c>
      <c r="AH21" s="631"/>
    </row>
    <row r="22" spans="1:34" ht="15" hidden="1" outlineLevel="1" thickBot="1" x14ac:dyDescent="0.35">
      <c r="A22" s="257" t="s">
        <v>77</v>
      </c>
      <c r="B22" s="336" t="str">
        <f xml:space="preserve">
IF(OR(B21="",B21=0),"",B20/B21)</f>
        <v/>
      </c>
      <c r="C22" s="337" t="str">
        <f t="shared" ref="C22:AG22" si="2" xml:space="preserve">
IF(OR(C21="",C21=0),"",C20/C21)</f>
        <v/>
      </c>
      <c r="D22" s="338" t="str">
        <f t="shared" si="2"/>
        <v/>
      </c>
      <c r="E22" s="338" t="str">
        <f t="shared" si="2"/>
        <v/>
      </c>
      <c r="F22" s="338" t="str">
        <f t="shared" si="2"/>
        <v/>
      </c>
      <c r="G22" s="338" t="str">
        <f t="shared" si="2"/>
        <v/>
      </c>
      <c r="H22" s="338" t="str">
        <f t="shared" si="2"/>
        <v/>
      </c>
      <c r="I22" s="338" t="str">
        <f t="shared" si="2"/>
        <v/>
      </c>
      <c r="J22" s="338" t="str">
        <f t="shared" si="2"/>
        <v/>
      </c>
      <c r="K22" s="338" t="str">
        <f t="shared" si="2"/>
        <v/>
      </c>
      <c r="L22" s="338" t="str">
        <f t="shared" si="2"/>
        <v/>
      </c>
      <c r="M22" s="338" t="str">
        <f t="shared" si="2"/>
        <v/>
      </c>
      <c r="N22" s="338" t="str">
        <f t="shared" si="2"/>
        <v/>
      </c>
      <c r="O22" s="338" t="str">
        <f t="shared" si="2"/>
        <v/>
      </c>
      <c r="P22" s="338" t="str">
        <f t="shared" si="2"/>
        <v/>
      </c>
      <c r="Q22" s="338" t="str">
        <f t="shared" si="2"/>
        <v/>
      </c>
      <c r="R22" s="338" t="str">
        <f t="shared" si="2"/>
        <v/>
      </c>
      <c r="S22" s="338" t="str">
        <f t="shared" si="2"/>
        <v/>
      </c>
      <c r="T22" s="338" t="str">
        <f t="shared" si="2"/>
        <v/>
      </c>
      <c r="U22" s="338" t="str">
        <f t="shared" si="2"/>
        <v/>
      </c>
      <c r="V22" s="338" t="str">
        <f t="shared" si="2"/>
        <v/>
      </c>
      <c r="W22" s="338" t="str">
        <f t="shared" si="2"/>
        <v/>
      </c>
      <c r="X22" s="338" t="str">
        <f t="shared" si="2"/>
        <v/>
      </c>
      <c r="Y22" s="338" t="str">
        <f t="shared" si="2"/>
        <v/>
      </c>
      <c r="Z22" s="338" t="str">
        <f t="shared" si="2"/>
        <v/>
      </c>
      <c r="AA22" s="338" t="str">
        <f t="shared" si="2"/>
        <v/>
      </c>
      <c r="AB22" s="338" t="str">
        <f t="shared" si="2"/>
        <v/>
      </c>
      <c r="AC22" s="338" t="str">
        <f t="shared" si="2"/>
        <v/>
      </c>
      <c r="AD22" s="338" t="str">
        <f t="shared" si="2"/>
        <v/>
      </c>
      <c r="AE22" s="338" t="str">
        <f t="shared" si="2"/>
        <v/>
      </c>
      <c r="AF22" s="338" t="str">
        <f t="shared" si="2"/>
        <v/>
      </c>
      <c r="AG22" s="626" t="str">
        <f t="shared" si="2"/>
        <v/>
      </c>
      <c r="AH22" s="631"/>
    </row>
    <row r="23" spans="1:34" ht="15" hidden="1" outlineLevel="1" thickBot="1" x14ac:dyDescent="0.35">
      <c r="A23" s="265" t="s">
        <v>68</v>
      </c>
      <c r="B23" s="280">
        <f xml:space="preserve">
IF(B21="","",B20-B21)</f>
        <v>4899531</v>
      </c>
      <c r="C23" s="281">
        <f t="shared" ref="C23:AG23" si="3" xml:space="preserve">
IF(C21="","",C20-C21)</f>
        <v>0</v>
      </c>
      <c r="D23" s="282">
        <f t="shared" si="3"/>
        <v>2779296</v>
      </c>
      <c r="E23" s="282">
        <f t="shared" si="3"/>
        <v>0</v>
      </c>
      <c r="F23" s="282">
        <f t="shared" si="3"/>
        <v>1666681</v>
      </c>
      <c r="G23" s="282">
        <f t="shared" si="3"/>
        <v>0</v>
      </c>
      <c r="H23" s="282">
        <f t="shared" si="3"/>
        <v>0</v>
      </c>
      <c r="I23" s="282">
        <f t="shared" si="3"/>
        <v>0</v>
      </c>
      <c r="J23" s="282">
        <f t="shared" si="3"/>
        <v>0</v>
      </c>
      <c r="K23" s="282">
        <f t="shared" si="3"/>
        <v>0</v>
      </c>
      <c r="L23" s="282">
        <f t="shared" si="3"/>
        <v>0</v>
      </c>
      <c r="M23" s="282">
        <f t="shared" si="3"/>
        <v>0</v>
      </c>
      <c r="N23" s="282">
        <f t="shared" si="3"/>
        <v>0</v>
      </c>
      <c r="O23" s="282">
        <f t="shared" si="3"/>
        <v>0</v>
      </c>
      <c r="P23" s="282">
        <f t="shared" si="3"/>
        <v>0</v>
      </c>
      <c r="Q23" s="282">
        <f t="shared" si="3"/>
        <v>0</v>
      </c>
      <c r="R23" s="282">
        <f t="shared" si="3"/>
        <v>0</v>
      </c>
      <c r="S23" s="282">
        <f t="shared" si="3"/>
        <v>0</v>
      </c>
      <c r="T23" s="282">
        <f t="shared" si="3"/>
        <v>0</v>
      </c>
      <c r="U23" s="282">
        <f t="shared" si="3"/>
        <v>0</v>
      </c>
      <c r="V23" s="282">
        <f t="shared" si="3"/>
        <v>0</v>
      </c>
      <c r="W23" s="282">
        <f t="shared" si="3"/>
        <v>0</v>
      </c>
      <c r="X23" s="282">
        <f t="shared" si="3"/>
        <v>0</v>
      </c>
      <c r="Y23" s="282">
        <f t="shared" si="3"/>
        <v>0</v>
      </c>
      <c r="Z23" s="282">
        <f t="shared" si="3"/>
        <v>0</v>
      </c>
      <c r="AA23" s="282">
        <f t="shared" si="3"/>
        <v>0</v>
      </c>
      <c r="AB23" s="282">
        <f t="shared" si="3"/>
        <v>0</v>
      </c>
      <c r="AC23" s="282">
        <f t="shared" si="3"/>
        <v>0</v>
      </c>
      <c r="AD23" s="282">
        <f t="shared" si="3"/>
        <v>0</v>
      </c>
      <c r="AE23" s="282">
        <f t="shared" si="3"/>
        <v>0</v>
      </c>
      <c r="AF23" s="282">
        <f t="shared" si="3"/>
        <v>0</v>
      </c>
      <c r="AG23" s="622">
        <f t="shared" si="3"/>
        <v>453554</v>
      </c>
      <c r="AH23" s="631"/>
    </row>
    <row r="24" spans="1:34" x14ac:dyDescent="0.3">
      <c r="A24" s="259" t="s">
        <v>229</v>
      </c>
      <c r="B24" s="306" t="s">
        <v>3</v>
      </c>
      <c r="C24" s="632" t="s">
        <v>240</v>
      </c>
      <c r="D24" s="606"/>
      <c r="E24" s="607"/>
      <c r="F24" s="607" t="s">
        <v>241</v>
      </c>
      <c r="G24" s="607"/>
      <c r="H24" s="607"/>
      <c r="I24" s="607"/>
      <c r="J24" s="607"/>
      <c r="K24" s="607"/>
      <c r="L24" s="607"/>
      <c r="M24" s="607"/>
      <c r="N24" s="607"/>
      <c r="O24" s="607"/>
      <c r="P24" s="607"/>
      <c r="Q24" s="607"/>
      <c r="R24" s="607"/>
      <c r="S24" s="607"/>
      <c r="T24" s="607"/>
      <c r="U24" s="607"/>
      <c r="V24" s="607"/>
      <c r="W24" s="607"/>
      <c r="X24" s="607"/>
      <c r="Y24" s="607"/>
      <c r="Z24" s="607"/>
      <c r="AA24" s="607"/>
      <c r="AB24" s="607"/>
      <c r="AC24" s="607"/>
      <c r="AD24" s="607"/>
      <c r="AE24" s="607"/>
      <c r="AF24" s="607"/>
      <c r="AG24" s="627" t="s">
        <v>242</v>
      </c>
      <c r="AH24" s="631"/>
    </row>
    <row r="25" spans="1:34" x14ac:dyDescent="0.3">
      <c r="A25" s="260" t="s">
        <v>75</v>
      </c>
      <c r="B25" s="277">
        <f xml:space="preserve">
SUM(C25:AG25)</f>
        <v>0</v>
      </c>
      <c r="C25" s="633">
        <f xml:space="preserve">
IF($A$4&lt;=12,SUMIFS('ON Data'!H:H,'ON Data'!$D:$D,$A$4,'ON Data'!$E:$E,10),SUMIFS('ON Data'!H:H,'ON Data'!$E:$E,10))</f>
        <v>0</v>
      </c>
      <c r="D25" s="608"/>
      <c r="E25" s="609"/>
      <c r="F25" s="609">
        <f xml:space="preserve">
IF($A$4&lt;=12,SUMIFS('ON Data'!K:K,'ON Data'!$D:$D,$A$4,'ON Data'!$E:$E,10),SUMIFS('ON Data'!K:K,'ON Data'!$E:$E,10))</f>
        <v>0</v>
      </c>
      <c r="G25" s="609"/>
      <c r="H25" s="609"/>
      <c r="I25" s="609"/>
      <c r="J25" s="609"/>
      <c r="K25" s="609"/>
      <c r="L25" s="609"/>
      <c r="M25" s="609"/>
      <c r="N25" s="609"/>
      <c r="O25" s="609"/>
      <c r="P25" s="609"/>
      <c r="Q25" s="609"/>
      <c r="R25" s="609"/>
      <c r="S25" s="609"/>
      <c r="T25" s="609"/>
      <c r="U25" s="609"/>
      <c r="V25" s="609"/>
      <c r="W25" s="609"/>
      <c r="X25" s="609"/>
      <c r="Y25" s="609"/>
      <c r="Z25" s="609"/>
      <c r="AA25" s="609"/>
      <c r="AB25" s="609"/>
      <c r="AC25" s="609"/>
      <c r="AD25" s="609"/>
      <c r="AE25" s="609"/>
      <c r="AF25" s="609"/>
      <c r="AG25" s="628">
        <f xml:space="preserve">
IF($A$4&lt;=12,SUMIFS('ON Data'!AM:AM,'ON Data'!$D:$D,$A$4,'ON Data'!$E:$E,10),SUMIFS('ON Data'!AM:AM,'ON Data'!$E:$E,10))</f>
        <v>0</v>
      </c>
      <c r="AH25" s="631"/>
    </row>
    <row r="26" spans="1:34" x14ac:dyDescent="0.3">
      <c r="A26" s="266" t="s">
        <v>239</v>
      </c>
      <c r="B26" s="286">
        <f xml:space="preserve">
SUM(C26:AG26)</f>
        <v>15092.91666666667</v>
      </c>
      <c r="C26" s="633">
        <f xml:space="preserve">
IF($A$4&lt;=12,SUMIFS('ON Data'!H:H,'ON Data'!$D:$D,$A$4,'ON Data'!$E:$E,11),SUMIFS('ON Data'!H:H,'ON Data'!$E:$E,11))</f>
        <v>15092.91666666667</v>
      </c>
      <c r="D26" s="608"/>
      <c r="E26" s="609"/>
      <c r="F26" s="610">
        <f xml:space="preserve">
IF($A$4&lt;=12,SUMIFS('ON Data'!K:K,'ON Data'!$D:$D,$A$4,'ON Data'!$E:$E,11),SUMIFS('ON Data'!K:K,'ON Data'!$E:$E,11))</f>
        <v>0</v>
      </c>
      <c r="G26" s="610"/>
      <c r="H26" s="610"/>
      <c r="I26" s="610"/>
      <c r="J26" s="610"/>
      <c r="K26" s="610"/>
      <c r="L26" s="610"/>
      <c r="M26" s="610"/>
      <c r="N26" s="610"/>
      <c r="O26" s="610"/>
      <c r="P26" s="610"/>
      <c r="Q26" s="610"/>
      <c r="R26" s="610"/>
      <c r="S26" s="610"/>
      <c r="T26" s="610"/>
      <c r="U26" s="610"/>
      <c r="V26" s="610"/>
      <c r="W26" s="610"/>
      <c r="X26" s="610"/>
      <c r="Y26" s="610"/>
      <c r="Z26" s="610"/>
      <c r="AA26" s="610"/>
      <c r="AB26" s="610"/>
      <c r="AC26" s="610"/>
      <c r="AD26" s="610"/>
      <c r="AE26" s="610"/>
      <c r="AF26" s="610"/>
      <c r="AG26" s="628">
        <f xml:space="preserve">
IF($A$4&lt;=12,SUMIFS('ON Data'!AM:AM,'ON Data'!$D:$D,$A$4,'ON Data'!$E:$E,11),SUMIFS('ON Data'!AM:AM,'ON Data'!$E:$E,11))</f>
        <v>0</v>
      </c>
      <c r="AH26" s="631"/>
    </row>
    <row r="27" spans="1:34" x14ac:dyDescent="0.3">
      <c r="A27" s="266" t="s">
        <v>77</v>
      </c>
      <c r="B27" s="307">
        <f xml:space="preserve">
IF(B26=0,0,B25/B26)</f>
        <v>0</v>
      </c>
      <c r="C27" s="634">
        <f xml:space="preserve">
IF(C26=0,0,C25/C26)</f>
        <v>0</v>
      </c>
      <c r="D27" s="611"/>
      <c r="E27" s="612"/>
      <c r="F27" s="612">
        <f xml:space="preserve">
IF(F26=0,0,F25/F26)</f>
        <v>0</v>
      </c>
      <c r="G27" s="612"/>
      <c r="H27" s="612"/>
      <c r="I27" s="612"/>
      <c r="J27" s="612"/>
      <c r="K27" s="612"/>
      <c r="L27" s="612"/>
      <c r="M27" s="612"/>
      <c r="N27" s="612"/>
      <c r="O27" s="612"/>
      <c r="P27" s="612"/>
      <c r="Q27" s="612"/>
      <c r="R27" s="612"/>
      <c r="S27" s="612"/>
      <c r="T27" s="612"/>
      <c r="U27" s="612"/>
      <c r="V27" s="612"/>
      <c r="W27" s="612"/>
      <c r="X27" s="612"/>
      <c r="Y27" s="612"/>
      <c r="Z27" s="612"/>
      <c r="AA27" s="612"/>
      <c r="AB27" s="612"/>
      <c r="AC27" s="612"/>
      <c r="AD27" s="612"/>
      <c r="AE27" s="612"/>
      <c r="AF27" s="612"/>
      <c r="AG27" s="629">
        <f xml:space="preserve">
IF(AG26=0,0,AG25/AG26)</f>
        <v>0</v>
      </c>
      <c r="AH27" s="631"/>
    </row>
    <row r="28" spans="1:34" ht="15" thickBot="1" x14ac:dyDescent="0.35">
      <c r="A28" s="266" t="s">
        <v>238</v>
      </c>
      <c r="B28" s="286">
        <f xml:space="preserve">
SUM(C28:AG28)</f>
        <v>15092.91666666667</v>
      </c>
      <c r="C28" s="635">
        <f xml:space="preserve">
C26-C25</f>
        <v>15092.91666666667</v>
      </c>
      <c r="D28" s="613"/>
      <c r="E28" s="614"/>
      <c r="F28" s="614">
        <f xml:space="preserve">
F26-F25</f>
        <v>0</v>
      </c>
      <c r="G28" s="614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4"/>
      <c r="W28" s="614"/>
      <c r="X28" s="614"/>
      <c r="Y28" s="614"/>
      <c r="Z28" s="614"/>
      <c r="AA28" s="614"/>
      <c r="AB28" s="614"/>
      <c r="AC28" s="614"/>
      <c r="AD28" s="614"/>
      <c r="AE28" s="614"/>
      <c r="AF28" s="614"/>
      <c r="AG28" s="630">
        <f xml:space="preserve">
AG26-AG25</f>
        <v>0</v>
      </c>
      <c r="AH28" s="631"/>
    </row>
    <row r="29" spans="1:34" x14ac:dyDescent="0.3">
      <c r="A29" s="267"/>
      <c r="B29" s="267"/>
      <c r="C29" s="268"/>
      <c r="D29" s="26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7"/>
      <c r="AF29" s="267"/>
      <c r="AG29" s="267"/>
    </row>
    <row r="30" spans="1:34" x14ac:dyDescent="0.3">
      <c r="A30" s="126" t="s">
        <v>170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64"/>
    </row>
    <row r="31" spans="1:34" x14ac:dyDescent="0.3">
      <c r="A31" s="127" t="s">
        <v>236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64"/>
    </row>
    <row r="32" spans="1:34" ht="14.4" customHeight="1" x14ac:dyDescent="0.3">
      <c r="A32" s="303" t="s">
        <v>233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</row>
    <row r="33" spans="1:1" x14ac:dyDescent="0.3">
      <c r="A33" s="305" t="s">
        <v>243</v>
      </c>
    </row>
    <row r="34" spans="1:1" x14ac:dyDescent="0.3">
      <c r="A34" s="305" t="s">
        <v>244</v>
      </c>
    </row>
    <row r="35" spans="1:1" x14ac:dyDescent="0.3">
      <c r="A35" s="305" t="s">
        <v>245</v>
      </c>
    </row>
    <row r="36" spans="1:1" x14ac:dyDescent="0.3">
      <c r="A36" s="305" t="s">
        <v>246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8" priority="4" operator="greaterThan">
      <formula>1</formula>
    </cfRule>
  </conditionalFormatting>
  <conditionalFormatting sqref="C28 AG28 F28">
    <cfRule type="cellIs" dxfId="7" priority="3" operator="lessThan">
      <formula>0</formula>
    </cfRule>
  </conditionalFormatting>
  <conditionalFormatting sqref="B22:AG22">
    <cfRule type="cellIs" dxfId="6" priority="2" operator="greaterThan">
      <formula>1</formula>
    </cfRule>
  </conditionalFormatting>
  <conditionalFormatting sqref="B23:AG23">
    <cfRule type="cellIs" dxfId="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64" bestFit="1" customWidth="1"/>
    <col min="2" max="2" width="11.6640625" style="164" hidden="1" customWidth="1"/>
    <col min="3" max="4" width="11" style="166" customWidth="1"/>
    <col min="5" max="5" width="11" style="167" customWidth="1"/>
    <col min="6" max="16384" width="8.88671875" style="164"/>
  </cols>
  <sheetData>
    <row r="1" spans="1:5" ht="18.600000000000001" thickBot="1" x14ac:dyDescent="0.4">
      <c r="A1" s="343" t="s">
        <v>128</v>
      </c>
      <c r="B1" s="343"/>
      <c r="C1" s="344"/>
      <c r="D1" s="344"/>
      <c r="E1" s="344"/>
    </row>
    <row r="2" spans="1:5" ht="14.4" customHeight="1" thickBot="1" x14ac:dyDescent="0.35">
      <c r="A2" s="250" t="s">
        <v>289</v>
      </c>
      <c r="B2" s="165"/>
    </row>
    <row r="3" spans="1:5" ht="14.4" customHeight="1" thickBot="1" x14ac:dyDescent="0.35">
      <c r="A3" s="168"/>
      <c r="C3" s="169" t="s">
        <v>111</v>
      </c>
      <c r="D3" s="170" t="s">
        <v>75</v>
      </c>
      <c r="E3" s="171" t="s">
        <v>77</v>
      </c>
    </row>
    <row r="4" spans="1:5" ht="14.4" customHeight="1" thickBot="1" x14ac:dyDescent="0.35">
      <c r="A4" s="172" t="str">
        <f>HYPERLINK("#HI!A1","NÁKLADY CELKEM (v tisících Kč)")</f>
        <v>NÁKLADY CELKEM (v tisících Kč)</v>
      </c>
      <c r="B4" s="173"/>
      <c r="C4" s="174">
        <f ca="1">IF(ISERROR(VLOOKUP("Náklady celkem",INDIRECT("HI!$A:$G"),6,0)),0,VLOOKUP("Náklady celkem",INDIRECT("HI!$A:$G"),6,0))</f>
        <v>8718.4241626043386</v>
      </c>
      <c r="D4" s="174">
        <f ca="1">IF(ISERROR(VLOOKUP("Náklady celkem",INDIRECT("HI!$A:$G"),5,0)),0,VLOOKUP("Náklady celkem",INDIRECT("HI!$A:$G"),5,0))</f>
        <v>8803.0244700000039</v>
      </c>
      <c r="E4" s="175">
        <f ca="1">IF(C4=0,0,D4/C4)</f>
        <v>1.0097036237074286</v>
      </c>
    </row>
    <row r="5" spans="1:5" ht="14.4" customHeight="1" x14ac:dyDescent="0.3">
      <c r="A5" s="176" t="s">
        <v>162</v>
      </c>
      <c r="B5" s="177"/>
      <c r="C5" s="178"/>
      <c r="D5" s="178"/>
      <c r="E5" s="179"/>
    </row>
    <row r="6" spans="1:5" ht="14.4" customHeight="1" x14ac:dyDescent="0.3">
      <c r="A6" s="180" t="s">
        <v>167</v>
      </c>
      <c r="B6" s="181"/>
      <c r="C6" s="182"/>
      <c r="D6" s="182"/>
      <c r="E6" s="179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1" t="s">
        <v>115</v>
      </c>
      <c r="C7" s="182">
        <f>IF(ISERROR(HI!F5),"",HI!F5)</f>
        <v>732.45350701552331</v>
      </c>
      <c r="D7" s="182">
        <f>IF(ISERROR(HI!E5),"",HI!E5)</f>
        <v>530.58420000000001</v>
      </c>
      <c r="E7" s="179">
        <f t="shared" ref="E7:E15" si="0">IF(C7=0,0,D7/C7)</f>
        <v>0.72439300913710425</v>
      </c>
    </row>
    <row r="8" spans="1:5" ht="14.4" customHeight="1" x14ac:dyDescent="0.3">
      <c r="A8" s="183" t="str">
        <f>HYPERLINK("#'LŽ PL'!A1","% plnění pozitivního listu")</f>
        <v>% plnění pozitivního listu</v>
      </c>
      <c r="B8" s="181" t="s">
        <v>154</v>
      </c>
      <c r="C8" s="184">
        <v>0.9</v>
      </c>
      <c r="D8" s="184">
        <f>IF(ISERROR(VLOOKUP("celkem",'LŽ PL'!$A:$F,5,0)),0,VLOOKUP("celkem",'LŽ PL'!$A:$F,5,0))</f>
        <v>1</v>
      </c>
      <c r="E8" s="179">
        <f t="shared" si="0"/>
        <v>1.1111111111111112</v>
      </c>
    </row>
    <row r="9" spans="1:5" ht="14.4" customHeight="1" x14ac:dyDescent="0.3">
      <c r="A9" s="330" t="str">
        <f>HYPERLINK("#'LŽ Statim'!A1","% podíl statimových žádanek")</f>
        <v>% podíl statimových žádanek</v>
      </c>
      <c r="B9" s="328" t="s">
        <v>285</v>
      </c>
      <c r="C9" s="329">
        <v>0.3</v>
      </c>
      <c r="D9" s="329">
        <f>IF('LŽ Statim'!G3="",0,'LŽ Statim'!G3)</f>
        <v>0</v>
      </c>
      <c r="E9" s="179">
        <f>IF(C9=0,0,D9/C9)</f>
        <v>0</v>
      </c>
    </row>
    <row r="10" spans="1:5" ht="14.4" customHeight="1" x14ac:dyDescent="0.3">
      <c r="A10" s="185" t="s">
        <v>163</v>
      </c>
      <c r="B10" s="181"/>
      <c r="C10" s="182"/>
      <c r="D10" s="182"/>
      <c r="E10" s="179"/>
    </row>
    <row r="11" spans="1:5" ht="14.4" customHeight="1" x14ac:dyDescent="0.3">
      <c r="A11" s="183" t="str">
        <f>HYPERLINK("#'Léky Recepty'!A1","% záchytu v lékárně (Úhrada Kč)")</f>
        <v>% záchytu v lékárně (Úhrada Kč)</v>
      </c>
      <c r="B11" s="181" t="s">
        <v>120</v>
      </c>
      <c r="C11" s="184">
        <v>0.6</v>
      </c>
      <c r="D11" s="184">
        <f>IF(ISERROR(VLOOKUP("Celkem",'Léky Recepty'!B:H,5,0)),0,VLOOKUP("Celkem",'Léky Recepty'!B:H,5,0))</f>
        <v>0.66307129220719474</v>
      </c>
      <c r="E11" s="179">
        <f t="shared" si="0"/>
        <v>1.1051188203453246</v>
      </c>
    </row>
    <row r="12" spans="1:5" ht="14.4" customHeight="1" x14ac:dyDescent="0.3">
      <c r="A12" s="183" t="str">
        <f>HYPERLINK("#'LRp PL'!A1","% plnění pozitivního listu")</f>
        <v>% plnění pozitivního listu</v>
      </c>
      <c r="B12" s="181" t="s">
        <v>155</v>
      </c>
      <c r="C12" s="184">
        <v>0.8</v>
      </c>
      <c r="D12" s="184">
        <f>IF(ISERROR(VLOOKUP("Celkem",'LRp PL'!A:F,5,0)),0,VLOOKUP("Celkem",'LRp PL'!A:F,5,0))</f>
        <v>0.84758668824624006</v>
      </c>
      <c r="E12" s="179">
        <f t="shared" si="0"/>
        <v>1.0594833603078</v>
      </c>
    </row>
    <row r="13" spans="1:5" ht="14.4" customHeight="1" x14ac:dyDescent="0.3">
      <c r="A13" s="185" t="s">
        <v>164</v>
      </c>
      <c r="B13" s="181"/>
      <c r="C13" s="182"/>
      <c r="D13" s="182"/>
      <c r="E13" s="179"/>
    </row>
    <row r="14" spans="1:5" ht="14.4" customHeight="1" x14ac:dyDescent="0.3">
      <c r="A14" s="186" t="s">
        <v>168</v>
      </c>
      <c r="B14" s="181"/>
      <c r="C14" s="178"/>
      <c r="D14" s="178"/>
      <c r="E14" s="179"/>
    </row>
    <row r="15" spans="1:5" ht="14.4" customHeight="1" x14ac:dyDescent="0.3">
      <c r="A15" s="18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81" t="s">
        <v>115</v>
      </c>
      <c r="C15" s="182">
        <f>IF(ISERROR(HI!F6),"",HI!F6)</f>
        <v>75.110865883010845</v>
      </c>
      <c r="D15" s="182">
        <f>IF(ISERROR(HI!E6),"",HI!E6)</f>
        <v>57.032510000000009</v>
      </c>
      <c r="E15" s="179">
        <f t="shared" si="0"/>
        <v>0.75931104414148498</v>
      </c>
    </row>
    <row r="16" spans="1:5" ht="14.4" customHeight="1" thickBot="1" x14ac:dyDescent="0.35">
      <c r="A16" s="188" t="str">
        <f>HYPERLINK("#HI!A1","Osobní náklady")</f>
        <v>Osobní náklady</v>
      </c>
      <c r="B16" s="181"/>
      <c r="C16" s="178">
        <f ca="1">IF(ISERROR(VLOOKUP("Osobní náklady (Kč) *",INDIRECT("HI!$A:$G"),6,0)),0,VLOOKUP("Osobní náklady (Kč) *",INDIRECT("HI!$A:$G"),6,0))</f>
        <v>6206.7807487292757</v>
      </c>
      <c r="D16" s="178">
        <f ca="1">IF(ISERROR(VLOOKUP("Osobní náklady (Kč) *",INDIRECT("HI!$A:$G"),5,0)),0,VLOOKUP("Osobní náklady (Kč) *",INDIRECT("HI!$A:$G"),5,0))</f>
        <v>6609.1954700000042</v>
      </c>
      <c r="E16" s="179">
        <f ca="1">IF(C16=0,0,D16/C16)</f>
        <v>1.0648346925019248</v>
      </c>
    </row>
    <row r="17" spans="1:5" ht="14.4" customHeight="1" thickBot="1" x14ac:dyDescent="0.35">
      <c r="A17" s="192"/>
      <c r="B17" s="193"/>
      <c r="C17" s="194"/>
      <c r="D17" s="194"/>
      <c r="E17" s="195"/>
    </row>
    <row r="18" spans="1:5" ht="14.4" customHeight="1" thickBot="1" x14ac:dyDescent="0.35">
      <c r="A18" s="196" t="str">
        <f>HYPERLINK("#HI!A1","VÝNOSY CELKEM (v tisících)")</f>
        <v>VÝNOSY CELKEM (v tisících)</v>
      </c>
      <c r="B18" s="197"/>
      <c r="C18" s="198">
        <f ca="1">IF(ISERROR(VLOOKUP("Výnosy celkem",INDIRECT("HI!$A:$G"),6,0)),0,VLOOKUP("Výnosy celkem",INDIRECT("HI!$A:$G"),6,0))</f>
        <v>1759.7159999999999</v>
      </c>
      <c r="D18" s="198">
        <f ca="1">IF(ISERROR(VLOOKUP("Výnosy celkem",INDIRECT("HI!$A:$G"),5,0)),0,VLOOKUP("Výnosy celkem",INDIRECT("HI!$A:$G"),5,0))</f>
        <v>1869.1880000000001</v>
      </c>
      <c r="E18" s="199">
        <f t="shared" ref="E18:E23" ca="1" si="1">IF(C18=0,0,D18/C18)</f>
        <v>1.0622100384380209</v>
      </c>
    </row>
    <row r="19" spans="1:5" ht="14.4" customHeight="1" x14ac:dyDescent="0.3">
      <c r="A19" s="200" t="str">
        <f>HYPERLINK("#HI!A1","Ambulance (body za výkony + Kč za ZUM a ZULP)")</f>
        <v>Ambulance (body za výkony + Kč za ZUM a ZULP)</v>
      </c>
      <c r="B19" s="177"/>
      <c r="C19" s="178">
        <f ca="1">IF(ISERROR(VLOOKUP("Ambulance *",INDIRECT("HI!$A:$G"),6,0)),0,VLOOKUP("Ambulance *",INDIRECT("HI!$A:$G"),6,0))</f>
        <v>1759.7159999999999</v>
      </c>
      <c r="D19" s="178">
        <f ca="1">IF(ISERROR(VLOOKUP("Ambulance *",INDIRECT("HI!$A:$G"),5,0)),0,VLOOKUP("Ambulance *",INDIRECT("HI!$A:$G"),5,0))</f>
        <v>1869.1880000000001</v>
      </c>
      <c r="E19" s="179">
        <f t="shared" ca="1" si="1"/>
        <v>1.0622100384380209</v>
      </c>
    </row>
    <row r="20" spans="1:5" ht="14.4" customHeight="1" x14ac:dyDescent="0.3">
      <c r="A20" s="201" t="str">
        <f>HYPERLINK("#'ZV Vykáz.-A'!A1","Zdravotní výkony vykázané u ambulantních pacientů (min. 100 %)")</f>
        <v>Zdravotní výkony vykázané u ambulantních pacientů (min. 100 %)</v>
      </c>
      <c r="B20" s="164" t="s">
        <v>130</v>
      </c>
      <c r="C20" s="184">
        <v>1</v>
      </c>
      <c r="D20" s="184">
        <f>IF(ISERROR(VLOOKUP("Celkem:",'ZV Vykáz.-A'!$A:$S,7,0)),"",VLOOKUP("Celkem:",'ZV Vykáz.-A'!$A:$S,7,0))</f>
        <v>1.0622100384380206</v>
      </c>
      <c r="E20" s="179">
        <f t="shared" si="1"/>
        <v>1.0622100384380206</v>
      </c>
    </row>
    <row r="21" spans="1:5" ht="14.4" customHeight="1" x14ac:dyDescent="0.3">
      <c r="A21" s="201" t="str">
        <f>HYPERLINK("#'ZV Vykáz.-H'!A1","Zdravotní výkony vykázané u hospitalizovaných pacientů (max. 85 %)")</f>
        <v>Zdravotní výkony vykázané u hospitalizovaných pacientů (max. 85 %)</v>
      </c>
      <c r="B21" s="164" t="s">
        <v>132</v>
      </c>
      <c r="C21" s="184">
        <v>0.85</v>
      </c>
      <c r="D21" s="184">
        <f>IF(ISERROR(VLOOKUP("Celkem:",'ZV Vykáz.-H'!$A:$S,7,0)),"",VLOOKUP("Celkem:",'ZV Vykáz.-H'!$A:$S,7,0))</f>
        <v>2.0672030933385028E-3</v>
      </c>
      <c r="E21" s="179">
        <f t="shared" si="1"/>
        <v>2.4320036392217683E-3</v>
      </c>
    </row>
    <row r="22" spans="1:5" ht="14.4" customHeight="1" x14ac:dyDescent="0.3">
      <c r="A22" s="202" t="str">
        <f>HYPERLINK("#HI!A1","Hospitalizace (casemix * 30000)")</f>
        <v>Hospitalizace (casemix * 30000)</v>
      </c>
      <c r="B22" s="181"/>
      <c r="C22" s="178">
        <f ca="1">IF(ISERROR(VLOOKUP("Hospitalizace *",INDIRECT("HI!$A:$G"),6,0)),0,VLOOKUP("Hospitalizace *",INDIRECT("HI!$A:$G"),6,0))</f>
        <v>0</v>
      </c>
      <c r="D22" s="178">
        <f ca="1">IF(ISERROR(VLOOKUP("Hospitalizace *",INDIRECT("HI!$A:$G"),5,0)),0,VLOOKUP("Hospitalizace *",INDIRECT("HI!$A:$G"),5,0))</f>
        <v>0</v>
      </c>
      <c r="E22" s="179">
        <f ca="1">IF(C22=0,0,D22/C22)</f>
        <v>0</v>
      </c>
    </row>
    <row r="23" spans="1:5" ht="27.6" x14ac:dyDescent="0.3">
      <c r="A23" s="20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81" t="s">
        <v>127</v>
      </c>
      <c r="C23" s="184" t="e">
        <f>IF(#REF!&gt;1,95%,95%-2*ABS(#REF!-#REF!))</f>
        <v>#REF!</v>
      </c>
      <c r="D23" s="184">
        <f>IF(ISERROR(VLOOKUP("Celkem:",'ZV Vyžád.'!$A:$M,7,0)),"",VLOOKUP("Celkem:",'ZV Vyžád.'!$A:$M,7,0))</f>
        <v>0</v>
      </c>
      <c r="E23" s="179" t="e">
        <f t="shared" si="1"/>
        <v>#REF!</v>
      </c>
    </row>
    <row r="24" spans="1:5" ht="14.4" customHeight="1" thickBot="1" x14ac:dyDescent="0.35">
      <c r="A24" s="204" t="s">
        <v>165</v>
      </c>
      <c r="B24" s="189"/>
      <c r="C24" s="190"/>
      <c r="D24" s="190"/>
      <c r="E24" s="191"/>
    </row>
    <row r="25" spans="1:5" ht="14.4" customHeight="1" thickBot="1" x14ac:dyDescent="0.35">
      <c r="A25" s="205"/>
      <c r="B25" s="206"/>
      <c r="C25" s="207"/>
      <c r="D25" s="207"/>
      <c r="E25" s="208"/>
    </row>
    <row r="26" spans="1:5" ht="14.4" customHeight="1" thickBot="1" x14ac:dyDescent="0.35">
      <c r="A26" s="209" t="s">
        <v>166</v>
      </c>
      <c r="B26" s="210"/>
      <c r="C26" s="211"/>
      <c r="D26" s="211"/>
      <c r="E26" s="212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3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5"/>
  <sheetViews>
    <sheetView showGridLines="0" showRowColHeaders="0" workbookViewId="0"/>
  </sheetViews>
  <sheetFormatPr defaultRowHeight="14.4" x14ac:dyDescent="0.3"/>
  <cols>
    <col min="1" max="16384" width="8.88671875" style="246"/>
  </cols>
  <sheetData>
    <row r="1" spans="1:40" x14ac:dyDescent="0.3">
      <c r="A1" s="246" t="s">
        <v>1070</v>
      </c>
    </row>
    <row r="2" spans="1:40" x14ac:dyDescent="0.3">
      <c r="A2" s="250" t="s">
        <v>289</v>
      </c>
    </row>
    <row r="3" spans="1:40" x14ac:dyDescent="0.3">
      <c r="A3" s="246" t="s">
        <v>203</v>
      </c>
      <c r="B3" s="271">
        <v>2014</v>
      </c>
      <c r="D3" s="247">
        <f>MAX(D5:D1048576)</f>
        <v>11</v>
      </c>
      <c r="F3" s="247">
        <f>SUMIF($E5:$E1048576,"&lt;10",F5:F1048576)</f>
        <v>5501281.75</v>
      </c>
      <c r="G3" s="247">
        <f t="shared" ref="G3:AN3" si="0">SUMIF($E5:$E1048576,"&lt;10",G5:G1048576)</f>
        <v>0</v>
      </c>
      <c r="H3" s="247">
        <f t="shared" si="0"/>
        <v>3165034.2500000005</v>
      </c>
      <c r="I3" s="247">
        <f t="shared" si="0"/>
        <v>0</v>
      </c>
      <c r="J3" s="247">
        <f t="shared" si="0"/>
        <v>0</v>
      </c>
      <c r="K3" s="247">
        <f t="shared" si="0"/>
        <v>1840847.5</v>
      </c>
      <c r="L3" s="247">
        <f t="shared" si="0"/>
        <v>0</v>
      </c>
      <c r="M3" s="247">
        <f t="shared" si="0"/>
        <v>0</v>
      </c>
      <c r="N3" s="247">
        <f t="shared" si="0"/>
        <v>0</v>
      </c>
      <c r="O3" s="247">
        <f t="shared" si="0"/>
        <v>0</v>
      </c>
      <c r="P3" s="247">
        <f t="shared" si="0"/>
        <v>0</v>
      </c>
      <c r="Q3" s="247">
        <f t="shared" si="0"/>
        <v>0</v>
      </c>
      <c r="R3" s="247">
        <f t="shared" si="0"/>
        <v>0</v>
      </c>
      <c r="S3" s="247">
        <f t="shared" si="0"/>
        <v>0</v>
      </c>
      <c r="T3" s="247">
        <f t="shared" si="0"/>
        <v>0</v>
      </c>
      <c r="U3" s="247">
        <f t="shared" si="0"/>
        <v>0</v>
      </c>
      <c r="V3" s="247">
        <f t="shared" si="0"/>
        <v>0</v>
      </c>
      <c r="W3" s="247">
        <f t="shared" si="0"/>
        <v>0</v>
      </c>
      <c r="X3" s="247">
        <f t="shared" si="0"/>
        <v>0</v>
      </c>
      <c r="Y3" s="247">
        <f t="shared" si="0"/>
        <v>0</v>
      </c>
      <c r="Z3" s="247">
        <f t="shared" si="0"/>
        <v>0</v>
      </c>
      <c r="AA3" s="247">
        <f t="shared" si="0"/>
        <v>0</v>
      </c>
      <c r="AB3" s="247">
        <f t="shared" si="0"/>
        <v>0</v>
      </c>
      <c r="AC3" s="247">
        <f t="shared" si="0"/>
        <v>0</v>
      </c>
      <c r="AD3" s="247">
        <f t="shared" si="0"/>
        <v>0</v>
      </c>
      <c r="AE3" s="247">
        <f t="shared" si="0"/>
        <v>0</v>
      </c>
      <c r="AF3" s="247">
        <f t="shared" si="0"/>
        <v>0</v>
      </c>
      <c r="AG3" s="247">
        <f t="shared" si="0"/>
        <v>0</v>
      </c>
      <c r="AH3" s="247">
        <f t="shared" si="0"/>
        <v>0</v>
      </c>
      <c r="AI3" s="247">
        <f t="shared" si="0"/>
        <v>0</v>
      </c>
      <c r="AJ3" s="247">
        <f t="shared" si="0"/>
        <v>0</v>
      </c>
      <c r="AK3" s="247">
        <f t="shared" si="0"/>
        <v>0</v>
      </c>
      <c r="AL3" s="247">
        <f t="shared" si="0"/>
        <v>0</v>
      </c>
      <c r="AM3" s="247">
        <f t="shared" si="0"/>
        <v>495400</v>
      </c>
      <c r="AN3" s="247">
        <f t="shared" si="0"/>
        <v>0</v>
      </c>
    </row>
    <row r="4" spans="1:40" x14ac:dyDescent="0.3">
      <c r="A4" s="246" t="s">
        <v>204</v>
      </c>
      <c r="B4" s="271">
        <v>1</v>
      </c>
      <c r="C4" s="248" t="s">
        <v>5</v>
      </c>
      <c r="D4" s="249" t="s">
        <v>67</v>
      </c>
      <c r="E4" s="249" t="s">
        <v>198</v>
      </c>
      <c r="F4" s="249" t="s">
        <v>3</v>
      </c>
      <c r="G4" s="249" t="s">
        <v>199</v>
      </c>
      <c r="H4" s="249" t="s">
        <v>200</v>
      </c>
      <c r="I4" s="249" t="s">
        <v>201</v>
      </c>
      <c r="J4" s="249" t="s">
        <v>202</v>
      </c>
      <c r="K4" s="249">
        <v>305</v>
      </c>
      <c r="L4" s="249">
        <v>306</v>
      </c>
      <c r="M4" s="249">
        <v>408</v>
      </c>
      <c r="N4" s="249">
        <v>409</v>
      </c>
      <c r="O4" s="249">
        <v>410</v>
      </c>
      <c r="P4" s="249">
        <v>415</v>
      </c>
      <c r="Q4" s="249">
        <v>416</v>
      </c>
      <c r="R4" s="249">
        <v>418</v>
      </c>
      <c r="S4" s="249">
        <v>419</v>
      </c>
      <c r="T4" s="249">
        <v>420</v>
      </c>
      <c r="U4" s="249">
        <v>421</v>
      </c>
      <c r="V4" s="249">
        <v>522</v>
      </c>
      <c r="W4" s="249">
        <v>523</v>
      </c>
      <c r="X4" s="249">
        <v>524</v>
      </c>
      <c r="Y4" s="249">
        <v>525</v>
      </c>
      <c r="Z4" s="249">
        <v>526</v>
      </c>
      <c r="AA4" s="249">
        <v>527</v>
      </c>
      <c r="AB4" s="249">
        <v>528</v>
      </c>
      <c r="AC4" s="249">
        <v>629</v>
      </c>
      <c r="AD4" s="249">
        <v>630</v>
      </c>
      <c r="AE4" s="249">
        <v>636</v>
      </c>
      <c r="AF4" s="249">
        <v>637</v>
      </c>
      <c r="AG4" s="249">
        <v>640</v>
      </c>
      <c r="AH4" s="249">
        <v>642</v>
      </c>
      <c r="AI4" s="249">
        <v>743</v>
      </c>
      <c r="AJ4" s="249">
        <v>745</v>
      </c>
      <c r="AK4" s="249">
        <v>746</v>
      </c>
      <c r="AL4" s="249">
        <v>747</v>
      </c>
      <c r="AM4" s="249">
        <v>930</v>
      </c>
      <c r="AN4" s="249">
        <v>940</v>
      </c>
    </row>
    <row r="5" spans="1:40" x14ac:dyDescent="0.3">
      <c r="A5" s="246" t="s">
        <v>205</v>
      </c>
      <c r="B5" s="271">
        <v>2</v>
      </c>
      <c r="C5" s="246">
        <v>19</v>
      </c>
      <c r="D5" s="246">
        <v>1</v>
      </c>
      <c r="E5" s="246">
        <v>1</v>
      </c>
      <c r="F5" s="246">
        <v>11.35</v>
      </c>
      <c r="G5" s="246">
        <v>0</v>
      </c>
      <c r="H5" s="246">
        <v>4.3499999999999996</v>
      </c>
      <c r="I5" s="246">
        <v>0</v>
      </c>
      <c r="J5" s="246">
        <v>0</v>
      </c>
      <c r="K5" s="246">
        <v>5</v>
      </c>
      <c r="L5" s="246">
        <v>0</v>
      </c>
      <c r="M5" s="246">
        <v>0</v>
      </c>
      <c r="N5" s="246">
        <v>0</v>
      </c>
      <c r="O5" s="246">
        <v>0</v>
      </c>
      <c r="P5" s="246">
        <v>0</v>
      </c>
      <c r="Q5" s="246">
        <v>0</v>
      </c>
      <c r="R5" s="246">
        <v>0</v>
      </c>
      <c r="S5" s="246">
        <v>0</v>
      </c>
      <c r="T5" s="246">
        <v>0</v>
      </c>
      <c r="U5" s="246">
        <v>0</v>
      </c>
      <c r="V5" s="246">
        <v>0</v>
      </c>
      <c r="W5" s="246">
        <v>0</v>
      </c>
      <c r="X5" s="246">
        <v>0</v>
      </c>
      <c r="Y5" s="246">
        <v>0</v>
      </c>
      <c r="Z5" s="246">
        <v>0</v>
      </c>
      <c r="AA5" s="246">
        <v>0</v>
      </c>
      <c r="AB5" s="246">
        <v>0</v>
      </c>
      <c r="AC5" s="246">
        <v>0</v>
      </c>
      <c r="AD5" s="246">
        <v>0</v>
      </c>
      <c r="AE5" s="246">
        <v>0</v>
      </c>
      <c r="AF5" s="246">
        <v>0</v>
      </c>
      <c r="AG5" s="246">
        <v>0</v>
      </c>
      <c r="AH5" s="246">
        <v>0</v>
      </c>
      <c r="AI5" s="246">
        <v>0</v>
      </c>
      <c r="AJ5" s="246">
        <v>0</v>
      </c>
      <c r="AK5" s="246">
        <v>0</v>
      </c>
      <c r="AL5" s="246">
        <v>0</v>
      </c>
      <c r="AM5" s="246">
        <v>2</v>
      </c>
      <c r="AN5" s="246">
        <v>0</v>
      </c>
    </row>
    <row r="6" spans="1:40" x14ac:dyDescent="0.3">
      <c r="A6" s="246" t="s">
        <v>206</v>
      </c>
      <c r="B6" s="271">
        <v>3</v>
      </c>
      <c r="C6" s="246">
        <v>19</v>
      </c>
      <c r="D6" s="246">
        <v>1</v>
      </c>
      <c r="E6" s="246">
        <v>2</v>
      </c>
      <c r="F6" s="246">
        <v>2008.4</v>
      </c>
      <c r="G6" s="246">
        <v>0</v>
      </c>
      <c r="H6" s="246">
        <v>784.4</v>
      </c>
      <c r="I6" s="246">
        <v>0</v>
      </c>
      <c r="J6" s="246">
        <v>0</v>
      </c>
      <c r="K6" s="246">
        <v>880</v>
      </c>
      <c r="L6" s="246">
        <v>0</v>
      </c>
      <c r="M6" s="246">
        <v>0</v>
      </c>
      <c r="N6" s="246">
        <v>0</v>
      </c>
      <c r="O6" s="246">
        <v>0</v>
      </c>
      <c r="P6" s="246">
        <v>0</v>
      </c>
      <c r="Q6" s="246">
        <v>0</v>
      </c>
      <c r="R6" s="246">
        <v>0</v>
      </c>
      <c r="S6" s="246">
        <v>0</v>
      </c>
      <c r="T6" s="246">
        <v>0</v>
      </c>
      <c r="U6" s="246">
        <v>0</v>
      </c>
      <c r="V6" s="246">
        <v>0</v>
      </c>
      <c r="W6" s="246">
        <v>0</v>
      </c>
      <c r="X6" s="246">
        <v>0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0</v>
      </c>
      <c r="AE6" s="246">
        <v>0</v>
      </c>
      <c r="AF6" s="246">
        <v>0</v>
      </c>
      <c r="AG6" s="246">
        <v>0</v>
      </c>
      <c r="AH6" s="246">
        <v>0</v>
      </c>
      <c r="AI6" s="246">
        <v>0</v>
      </c>
      <c r="AJ6" s="246">
        <v>0</v>
      </c>
      <c r="AK6" s="246">
        <v>0</v>
      </c>
      <c r="AL6" s="246">
        <v>0</v>
      </c>
      <c r="AM6" s="246">
        <v>344</v>
      </c>
      <c r="AN6" s="246">
        <v>0</v>
      </c>
    </row>
    <row r="7" spans="1:40" x14ac:dyDescent="0.3">
      <c r="A7" s="246" t="s">
        <v>207</v>
      </c>
      <c r="B7" s="271">
        <v>4</v>
      </c>
      <c r="C7" s="246">
        <v>19</v>
      </c>
      <c r="D7" s="246">
        <v>1</v>
      </c>
      <c r="E7" s="246">
        <v>6</v>
      </c>
      <c r="F7" s="246">
        <v>395123</v>
      </c>
      <c r="G7" s="246">
        <v>0</v>
      </c>
      <c r="H7" s="246">
        <v>219346</v>
      </c>
      <c r="I7" s="246">
        <v>0</v>
      </c>
      <c r="J7" s="246">
        <v>0</v>
      </c>
      <c r="K7" s="246">
        <v>134988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246">
        <v>0</v>
      </c>
      <c r="W7" s="246">
        <v>0</v>
      </c>
      <c r="X7" s="246">
        <v>0</v>
      </c>
      <c r="Y7" s="246">
        <v>0</v>
      </c>
      <c r="Z7" s="246">
        <v>0</v>
      </c>
      <c r="AA7" s="246">
        <v>0</v>
      </c>
      <c r="AB7" s="246">
        <v>0</v>
      </c>
      <c r="AC7" s="246">
        <v>0</v>
      </c>
      <c r="AD7" s="246">
        <v>0</v>
      </c>
      <c r="AE7" s="246">
        <v>0</v>
      </c>
      <c r="AF7" s="246">
        <v>0</v>
      </c>
      <c r="AG7" s="246">
        <v>0</v>
      </c>
      <c r="AH7" s="246">
        <v>0</v>
      </c>
      <c r="AI7" s="246">
        <v>0</v>
      </c>
      <c r="AJ7" s="246">
        <v>0</v>
      </c>
      <c r="AK7" s="246">
        <v>0</v>
      </c>
      <c r="AL7" s="246">
        <v>0</v>
      </c>
      <c r="AM7" s="246">
        <v>40789</v>
      </c>
      <c r="AN7" s="246">
        <v>0</v>
      </c>
    </row>
    <row r="8" spans="1:40" x14ac:dyDescent="0.3">
      <c r="A8" s="246" t="s">
        <v>208</v>
      </c>
      <c r="B8" s="271">
        <v>5</v>
      </c>
      <c r="C8" s="246">
        <v>19</v>
      </c>
      <c r="D8" s="246">
        <v>1</v>
      </c>
      <c r="E8" s="246">
        <v>11</v>
      </c>
      <c r="F8" s="246">
        <v>1372.0833333333333</v>
      </c>
      <c r="G8" s="246">
        <v>0</v>
      </c>
      <c r="H8" s="246">
        <v>1372.0833333333333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0</v>
      </c>
      <c r="U8" s="246">
        <v>0</v>
      </c>
      <c r="V8" s="246">
        <v>0</v>
      </c>
      <c r="W8" s="246">
        <v>0</v>
      </c>
      <c r="X8" s="246">
        <v>0</v>
      </c>
      <c r="Y8" s="246">
        <v>0</v>
      </c>
      <c r="Z8" s="246">
        <v>0</v>
      </c>
      <c r="AA8" s="246">
        <v>0</v>
      </c>
      <c r="AB8" s="246">
        <v>0</v>
      </c>
      <c r="AC8" s="246">
        <v>0</v>
      </c>
      <c r="AD8" s="246">
        <v>0</v>
      </c>
      <c r="AE8" s="246">
        <v>0</v>
      </c>
      <c r="AF8" s="246">
        <v>0</v>
      </c>
      <c r="AG8" s="246">
        <v>0</v>
      </c>
      <c r="AH8" s="246">
        <v>0</v>
      </c>
      <c r="AI8" s="246">
        <v>0</v>
      </c>
      <c r="AJ8" s="246">
        <v>0</v>
      </c>
      <c r="AK8" s="246">
        <v>0</v>
      </c>
      <c r="AL8" s="246">
        <v>0</v>
      </c>
      <c r="AM8" s="246">
        <v>0</v>
      </c>
      <c r="AN8" s="246">
        <v>0</v>
      </c>
    </row>
    <row r="9" spans="1:40" x14ac:dyDescent="0.3">
      <c r="A9" s="246" t="s">
        <v>209</v>
      </c>
      <c r="B9" s="271">
        <v>6</v>
      </c>
      <c r="C9" s="246">
        <v>19</v>
      </c>
      <c r="D9" s="246">
        <v>2</v>
      </c>
      <c r="E9" s="246">
        <v>1</v>
      </c>
      <c r="F9" s="246">
        <v>11.35</v>
      </c>
      <c r="G9" s="246">
        <v>0</v>
      </c>
      <c r="H9" s="246">
        <v>4.3499999999999996</v>
      </c>
      <c r="I9" s="246">
        <v>0</v>
      </c>
      <c r="J9" s="246">
        <v>0</v>
      </c>
      <c r="K9" s="246">
        <v>5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  <c r="T9" s="246">
        <v>0</v>
      </c>
      <c r="U9" s="246">
        <v>0</v>
      </c>
      <c r="V9" s="246">
        <v>0</v>
      </c>
      <c r="W9" s="246">
        <v>0</v>
      </c>
      <c r="X9" s="246">
        <v>0</v>
      </c>
      <c r="Y9" s="246">
        <v>0</v>
      </c>
      <c r="Z9" s="246">
        <v>0</v>
      </c>
      <c r="AA9" s="246">
        <v>0</v>
      </c>
      <c r="AB9" s="246">
        <v>0</v>
      </c>
      <c r="AC9" s="246">
        <v>0</v>
      </c>
      <c r="AD9" s="246">
        <v>0</v>
      </c>
      <c r="AE9" s="246">
        <v>0</v>
      </c>
      <c r="AF9" s="246">
        <v>0</v>
      </c>
      <c r="AG9" s="246">
        <v>0</v>
      </c>
      <c r="AH9" s="246">
        <v>0</v>
      </c>
      <c r="AI9" s="246">
        <v>0</v>
      </c>
      <c r="AJ9" s="246">
        <v>0</v>
      </c>
      <c r="AK9" s="246">
        <v>0</v>
      </c>
      <c r="AL9" s="246">
        <v>0</v>
      </c>
      <c r="AM9" s="246">
        <v>2</v>
      </c>
      <c r="AN9" s="246">
        <v>0</v>
      </c>
    </row>
    <row r="10" spans="1:40" x14ac:dyDescent="0.3">
      <c r="A10" s="246" t="s">
        <v>210</v>
      </c>
      <c r="B10" s="271">
        <v>7</v>
      </c>
      <c r="C10" s="246">
        <v>19</v>
      </c>
      <c r="D10" s="246">
        <v>2</v>
      </c>
      <c r="E10" s="246">
        <v>2</v>
      </c>
      <c r="F10" s="246">
        <v>1526</v>
      </c>
      <c r="G10" s="246">
        <v>0</v>
      </c>
      <c r="H10" s="246">
        <v>638</v>
      </c>
      <c r="I10" s="246">
        <v>0</v>
      </c>
      <c r="J10" s="246">
        <v>0</v>
      </c>
      <c r="K10" s="246">
        <v>680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6">
        <v>0</v>
      </c>
      <c r="W10" s="246">
        <v>0</v>
      </c>
      <c r="X10" s="246">
        <v>0</v>
      </c>
      <c r="Y10" s="246">
        <v>0</v>
      </c>
      <c r="Z10" s="246">
        <v>0</v>
      </c>
      <c r="AA10" s="246">
        <v>0</v>
      </c>
      <c r="AB10" s="246">
        <v>0</v>
      </c>
      <c r="AC10" s="246">
        <v>0</v>
      </c>
      <c r="AD10" s="246">
        <v>0</v>
      </c>
      <c r="AE10" s="246">
        <v>0</v>
      </c>
      <c r="AF10" s="246">
        <v>0</v>
      </c>
      <c r="AG10" s="246">
        <v>0</v>
      </c>
      <c r="AH10" s="246">
        <v>0</v>
      </c>
      <c r="AI10" s="246">
        <v>0</v>
      </c>
      <c r="AJ10" s="246">
        <v>0</v>
      </c>
      <c r="AK10" s="246">
        <v>0</v>
      </c>
      <c r="AL10" s="246">
        <v>0</v>
      </c>
      <c r="AM10" s="246">
        <v>208</v>
      </c>
      <c r="AN10" s="246">
        <v>0</v>
      </c>
    </row>
    <row r="11" spans="1:40" x14ac:dyDescent="0.3">
      <c r="A11" s="246" t="s">
        <v>211</v>
      </c>
      <c r="B11" s="271">
        <v>8</v>
      </c>
      <c r="C11" s="246">
        <v>19</v>
      </c>
      <c r="D11" s="246">
        <v>2</v>
      </c>
      <c r="E11" s="246">
        <v>6</v>
      </c>
      <c r="F11" s="246">
        <v>385065</v>
      </c>
      <c r="G11" s="246">
        <v>0</v>
      </c>
      <c r="H11" s="246">
        <v>219786</v>
      </c>
      <c r="I11" s="246">
        <v>0</v>
      </c>
      <c r="J11" s="246">
        <v>0</v>
      </c>
      <c r="K11" s="246">
        <v>135092</v>
      </c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6">
        <v>0</v>
      </c>
      <c r="V11" s="246">
        <v>0</v>
      </c>
      <c r="W11" s="246">
        <v>0</v>
      </c>
      <c r="X11" s="246">
        <v>0</v>
      </c>
      <c r="Y11" s="246">
        <v>0</v>
      </c>
      <c r="Z11" s="246">
        <v>0</v>
      </c>
      <c r="AA11" s="246">
        <v>0</v>
      </c>
      <c r="AB11" s="246">
        <v>0</v>
      </c>
      <c r="AC11" s="246">
        <v>0</v>
      </c>
      <c r="AD11" s="246">
        <v>0</v>
      </c>
      <c r="AE11" s="246">
        <v>0</v>
      </c>
      <c r="AF11" s="246">
        <v>0</v>
      </c>
      <c r="AG11" s="246">
        <v>0</v>
      </c>
      <c r="AH11" s="246">
        <v>0</v>
      </c>
      <c r="AI11" s="246">
        <v>0</v>
      </c>
      <c r="AJ11" s="246">
        <v>0</v>
      </c>
      <c r="AK11" s="246">
        <v>0</v>
      </c>
      <c r="AL11" s="246">
        <v>0</v>
      </c>
      <c r="AM11" s="246">
        <v>30187</v>
      </c>
      <c r="AN11" s="246">
        <v>0</v>
      </c>
    </row>
    <row r="12" spans="1:40" x14ac:dyDescent="0.3">
      <c r="A12" s="246" t="s">
        <v>212</v>
      </c>
      <c r="B12" s="271">
        <v>9</v>
      </c>
      <c r="C12" s="246">
        <v>19</v>
      </c>
      <c r="D12" s="246">
        <v>2</v>
      </c>
      <c r="E12" s="246">
        <v>11</v>
      </c>
      <c r="F12" s="246">
        <v>1372.0833333333333</v>
      </c>
      <c r="G12" s="246">
        <v>0</v>
      </c>
      <c r="H12" s="246">
        <v>1372.0833333333333</v>
      </c>
      <c r="I12" s="246">
        <v>0</v>
      </c>
      <c r="J12" s="246">
        <v>0</v>
      </c>
      <c r="K12" s="246">
        <v>0</v>
      </c>
      <c r="L12" s="246">
        <v>0</v>
      </c>
      <c r="M12" s="246">
        <v>0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6">
        <v>0</v>
      </c>
      <c r="W12" s="246">
        <v>0</v>
      </c>
      <c r="X12" s="246">
        <v>0</v>
      </c>
      <c r="Y12" s="246">
        <v>0</v>
      </c>
      <c r="Z12" s="246">
        <v>0</v>
      </c>
      <c r="AA12" s="246">
        <v>0</v>
      </c>
      <c r="AB12" s="246">
        <v>0</v>
      </c>
      <c r="AC12" s="246">
        <v>0</v>
      </c>
      <c r="AD12" s="246">
        <v>0</v>
      </c>
      <c r="AE12" s="246">
        <v>0</v>
      </c>
      <c r="AF12" s="246">
        <v>0</v>
      </c>
      <c r="AG12" s="246">
        <v>0</v>
      </c>
      <c r="AH12" s="246">
        <v>0</v>
      </c>
      <c r="AI12" s="246">
        <v>0</v>
      </c>
      <c r="AJ12" s="246">
        <v>0</v>
      </c>
      <c r="AK12" s="246">
        <v>0</v>
      </c>
      <c r="AL12" s="246">
        <v>0</v>
      </c>
      <c r="AM12" s="246">
        <v>0</v>
      </c>
      <c r="AN12" s="246">
        <v>0</v>
      </c>
    </row>
    <row r="13" spans="1:40" x14ac:dyDescent="0.3">
      <c r="A13" s="246" t="s">
        <v>213</v>
      </c>
      <c r="B13" s="271">
        <v>10</v>
      </c>
      <c r="C13" s="246">
        <v>19</v>
      </c>
      <c r="D13" s="246">
        <v>3</v>
      </c>
      <c r="E13" s="246">
        <v>1</v>
      </c>
      <c r="F13" s="246">
        <v>11.35</v>
      </c>
      <c r="G13" s="246">
        <v>0</v>
      </c>
      <c r="H13" s="246">
        <v>4.3499999999999996</v>
      </c>
      <c r="I13" s="246">
        <v>0</v>
      </c>
      <c r="J13" s="246">
        <v>0</v>
      </c>
      <c r="K13" s="246">
        <v>5</v>
      </c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6">
        <v>0</v>
      </c>
      <c r="V13" s="246">
        <v>0</v>
      </c>
      <c r="W13" s="246">
        <v>0</v>
      </c>
      <c r="X13" s="246">
        <v>0</v>
      </c>
      <c r="Y13" s="246">
        <v>0</v>
      </c>
      <c r="Z13" s="246">
        <v>0</v>
      </c>
      <c r="AA13" s="246">
        <v>0</v>
      </c>
      <c r="AB13" s="246">
        <v>0</v>
      </c>
      <c r="AC13" s="246">
        <v>0</v>
      </c>
      <c r="AD13" s="246">
        <v>0</v>
      </c>
      <c r="AE13" s="246">
        <v>0</v>
      </c>
      <c r="AF13" s="246">
        <v>0</v>
      </c>
      <c r="AG13" s="246">
        <v>0</v>
      </c>
      <c r="AH13" s="246">
        <v>0</v>
      </c>
      <c r="AI13" s="246">
        <v>0</v>
      </c>
      <c r="AJ13" s="246">
        <v>0</v>
      </c>
      <c r="AK13" s="246">
        <v>0</v>
      </c>
      <c r="AL13" s="246">
        <v>0</v>
      </c>
      <c r="AM13" s="246">
        <v>2</v>
      </c>
      <c r="AN13" s="246">
        <v>0</v>
      </c>
    </row>
    <row r="14" spans="1:40" x14ac:dyDescent="0.3">
      <c r="A14" s="246" t="s">
        <v>214</v>
      </c>
      <c r="B14" s="271">
        <v>11</v>
      </c>
      <c r="C14" s="246">
        <v>19</v>
      </c>
      <c r="D14" s="246">
        <v>3</v>
      </c>
      <c r="E14" s="246">
        <v>2</v>
      </c>
      <c r="F14" s="246">
        <v>1686.8</v>
      </c>
      <c r="G14" s="246">
        <v>0</v>
      </c>
      <c r="H14" s="246">
        <v>730.8</v>
      </c>
      <c r="I14" s="246">
        <v>0</v>
      </c>
      <c r="J14" s="246">
        <v>0</v>
      </c>
      <c r="K14" s="246">
        <v>788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46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6">
        <v>0</v>
      </c>
      <c r="AI14" s="246">
        <v>0</v>
      </c>
      <c r="AJ14" s="246">
        <v>0</v>
      </c>
      <c r="AK14" s="246">
        <v>0</v>
      </c>
      <c r="AL14" s="246">
        <v>0</v>
      </c>
      <c r="AM14" s="246">
        <v>168</v>
      </c>
      <c r="AN14" s="246">
        <v>0</v>
      </c>
    </row>
    <row r="15" spans="1:40" x14ac:dyDescent="0.3">
      <c r="A15" s="246" t="s">
        <v>215</v>
      </c>
      <c r="B15" s="271">
        <v>12</v>
      </c>
      <c r="C15" s="246">
        <v>19</v>
      </c>
      <c r="D15" s="246">
        <v>3</v>
      </c>
      <c r="E15" s="246">
        <v>6</v>
      </c>
      <c r="F15" s="246">
        <v>377995</v>
      </c>
      <c r="G15" s="246">
        <v>0</v>
      </c>
      <c r="H15" s="246">
        <v>222409</v>
      </c>
      <c r="I15" s="246">
        <v>0</v>
      </c>
      <c r="J15" s="246">
        <v>0</v>
      </c>
      <c r="K15" s="246">
        <v>135059</v>
      </c>
      <c r="L15" s="246">
        <v>0</v>
      </c>
      <c r="M15" s="246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6">
        <v>0</v>
      </c>
      <c r="W15" s="246">
        <v>0</v>
      </c>
      <c r="X15" s="246">
        <v>0</v>
      </c>
      <c r="Y15" s="246">
        <v>0</v>
      </c>
      <c r="Z15" s="246">
        <v>0</v>
      </c>
      <c r="AA15" s="246">
        <v>0</v>
      </c>
      <c r="AB15" s="246">
        <v>0</v>
      </c>
      <c r="AC15" s="246">
        <v>0</v>
      </c>
      <c r="AD15" s="246">
        <v>0</v>
      </c>
      <c r="AE15" s="246">
        <v>0</v>
      </c>
      <c r="AF15" s="246">
        <v>0</v>
      </c>
      <c r="AG15" s="246">
        <v>0</v>
      </c>
      <c r="AH15" s="246">
        <v>0</v>
      </c>
      <c r="AI15" s="246">
        <v>0</v>
      </c>
      <c r="AJ15" s="246">
        <v>0</v>
      </c>
      <c r="AK15" s="246">
        <v>0</v>
      </c>
      <c r="AL15" s="246">
        <v>0</v>
      </c>
      <c r="AM15" s="246">
        <v>20527</v>
      </c>
      <c r="AN15" s="246">
        <v>0</v>
      </c>
    </row>
    <row r="16" spans="1:40" x14ac:dyDescent="0.3">
      <c r="A16" s="246" t="s">
        <v>203</v>
      </c>
      <c r="B16" s="271">
        <v>2014</v>
      </c>
      <c r="C16" s="246">
        <v>19</v>
      </c>
      <c r="D16" s="246">
        <v>3</v>
      </c>
      <c r="E16" s="246">
        <v>9</v>
      </c>
      <c r="F16" s="246">
        <v>4167</v>
      </c>
      <c r="G16" s="246">
        <v>0</v>
      </c>
      <c r="H16" s="246">
        <v>4000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6">
        <v>0</v>
      </c>
      <c r="V16" s="246">
        <v>0</v>
      </c>
      <c r="W16" s="246">
        <v>0</v>
      </c>
      <c r="X16" s="246">
        <v>0</v>
      </c>
      <c r="Y16" s="246">
        <v>0</v>
      </c>
      <c r="Z16" s="246">
        <v>0</v>
      </c>
      <c r="AA16" s="246">
        <v>0</v>
      </c>
      <c r="AB16" s="246">
        <v>0</v>
      </c>
      <c r="AC16" s="246">
        <v>0</v>
      </c>
      <c r="AD16" s="246">
        <v>0</v>
      </c>
      <c r="AE16" s="246">
        <v>0</v>
      </c>
      <c r="AF16" s="246">
        <v>0</v>
      </c>
      <c r="AG16" s="246">
        <v>0</v>
      </c>
      <c r="AH16" s="246">
        <v>0</v>
      </c>
      <c r="AI16" s="246">
        <v>0</v>
      </c>
      <c r="AJ16" s="246">
        <v>0</v>
      </c>
      <c r="AK16" s="246">
        <v>0</v>
      </c>
      <c r="AL16" s="246">
        <v>0</v>
      </c>
      <c r="AM16" s="246">
        <v>167</v>
      </c>
      <c r="AN16" s="246">
        <v>0</v>
      </c>
    </row>
    <row r="17" spans="3:40" x14ac:dyDescent="0.3">
      <c r="C17" s="246">
        <v>19</v>
      </c>
      <c r="D17" s="246">
        <v>3</v>
      </c>
      <c r="E17" s="246">
        <v>11</v>
      </c>
      <c r="F17" s="246">
        <v>1372.0833333333333</v>
      </c>
      <c r="G17" s="246">
        <v>0</v>
      </c>
      <c r="H17" s="246">
        <v>1372.0833333333333</v>
      </c>
      <c r="I17" s="246">
        <v>0</v>
      </c>
      <c r="J17" s="246">
        <v>0</v>
      </c>
      <c r="K17" s="246">
        <v>0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6">
        <v>0</v>
      </c>
      <c r="W17" s="246">
        <v>0</v>
      </c>
      <c r="X17" s="246">
        <v>0</v>
      </c>
      <c r="Y17" s="246">
        <v>0</v>
      </c>
      <c r="Z17" s="246">
        <v>0</v>
      </c>
      <c r="AA17" s="246">
        <v>0</v>
      </c>
      <c r="AB17" s="246">
        <v>0</v>
      </c>
      <c r="AC17" s="246">
        <v>0</v>
      </c>
      <c r="AD17" s="246">
        <v>0</v>
      </c>
      <c r="AE17" s="246">
        <v>0</v>
      </c>
      <c r="AF17" s="246">
        <v>0</v>
      </c>
      <c r="AG17" s="246">
        <v>0</v>
      </c>
      <c r="AH17" s="246">
        <v>0</v>
      </c>
      <c r="AI17" s="246">
        <v>0</v>
      </c>
      <c r="AJ17" s="246">
        <v>0</v>
      </c>
      <c r="AK17" s="246">
        <v>0</v>
      </c>
      <c r="AL17" s="246">
        <v>0</v>
      </c>
      <c r="AM17" s="246">
        <v>0</v>
      </c>
      <c r="AN17" s="246">
        <v>0</v>
      </c>
    </row>
    <row r="18" spans="3:40" x14ac:dyDescent="0.3">
      <c r="C18" s="246">
        <v>19</v>
      </c>
      <c r="D18" s="246">
        <v>4</v>
      </c>
      <c r="E18" s="246">
        <v>1</v>
      </c>
      <c r="F18" s="246">
        <v>12.35</v>
      </c>
      <c r="G18" s="246">
        <v>0</v>
      </c>
      <c r="H18" s="246">
        <v>4.3499999999999996</v>
      </c>
      <c r="I18" s="246">
        <v>0</v>
      </c>
      <c r="J18" s="246">
        <v>0</v>
      </c>
      <c r="K18" s="246">
        <v>5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6">
        <v>0</v>
      </c>
      <c r="W18" s="246">
        <v>0</v>
      </c>
      <c r="X18" s="246">
        <v>0</v>
      </c>
      <c r="Y18" s="246">
        <v>0</v>
      </c>
      <c r="Z18" s="246">
        <v>0</v>
      </c>
      <c r="AA18" s="246">
        <v>0</v>
      </c>
      <c r="AB18" s="246">
        <v>0</v>
      </c>
      <c r="AC18" s="246">
        <v>0</v>
      </c>
      <c r="AD18" s="246">
        <v>0</v>
      </c>
      <c r="AE18" s="246">
        <v>0</v>
      </c>
      <c r="AF18" s="246">
        <v>0</v>
      </c>
      <c r="AG18" s="246">
        <v>0</v>
      </c>
      <c r="AH18" s="246">
        <v>0</v>
      </c>
      <c r="AI18" s="246">
        <v>0</v>
      </c>
      <c r="AJ18" s="246">
        <v>0</v>
      </c>
      <c r="AK18" s="246">
        <v>0</v>
      </c>
      <c r="AL18" s="246">
        <v>0</v>
      </c>
      <c r="AM18" s="246">
        <v>3</v>
      </c>
      <c r="AN18" s="246">
        <v>0</v>
      </c>
    </row>
    <row r="19" spans="3:40" x14ac:dyDescent="0.3">
      <c r="C19" s="246">
        <v>19</v>
      </c>
      <c r="D19" s="246">
        <v>4</v>
      </c>
      <c r="E19" s="246">
        <v>2</v>
      </c>
      <c r="F19" s="246">
        <v>1973.6</v>
      </c>
      <c r="G19" s="246">
        <v>0</v>
      </c>
      <c r="H19" s="246">
        <v>761.6</v>
      </c>
      <c r="I19" s="246">
        <v>0</v>
      </c>
      <c r="J19" s="246">
        <v>0</v>
      </c>
      <c r="K19" s="246">
        <v>860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  <c r="AB19" s="246">
        <v>0</v>
      </c>
      <c r="AC19" s="246">
        <v>0</v>
      </c>
      <c r="AD19" s="246">
        <v>0</v>
      </c>
      <c r="AE19" s="246">
        <v>0</v>
      </c>
      <c r="AF19" s="246">
        <v>0</v>
      </c>
      <c r="AG19" s="246">
        <v>0</v>
      </c>
      <c r="AH19" s="246">
        <v>0</v>
      </c>
      <c r="AI19" s="246">
        <v>0</v>
      </c>
      <c r="AJ19" s="246">
        <v>0</v>
      </c>
      <c r="AK19" s="246">
        <v>0</v>
      </c>
      <c r="AL19" s="246">
        <v>0</v>
      </c>
      <c r="AM19" s="246">
        <v>352</v>
      </c>
      <c r="AN19" s="246">
        <v>0</v>
      </c>
    </row>
    <row r="20" spans="3:40" x14ac:dyDescent="0.3">
      <c r="C20" s="246">
        <v>19</v>
      </c>
      <c r="D20" s="246">
        <v>4</v>
      </c>
      <c r="E20" s="246">
        <v>6</v>
      </c>
      <c r="F20" s="246">
        <v>399360</v>
      </c>
      <c r="G20" s="246">
        <v>0</v>
      </c>
      <c r="H20" s="246">
        <v>222629</v>
      </c>
      <c r="I20" s="246">
        <v>0</v>
      </c>
      <c r="J20" s="246">
        <v>0</v>
      </c>
      <c r="K20" s="246">
        <v>136324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  <c r="AJ20" s="246">
        <v>0</v>
      </c>
      <c r="AK20" s="246">
        <v>0</v>
      </c>
      <c r="AL20" s="246">
        <v>0</v>
      </c>
      <c r="AM20" s="246">
        <v>40407</v>
      </c>
      <c r="AN20" s="246">
        <v>0</v>
      </c>
    </row>
    <row r="21" spans="3:40" x14ac:dyDescent="0.3">
      <c r="C21" s="246">
        <v>19</v>
      </c>
      <c r="D21" s="246">
        <v>4</v>
      </c>
      <c r="E21" s="246">
        <v>9</v>
      </c>
      <c r="F21" s="246">
        <v>4267</v>
      </c>
      <c r="G21" s="246">
        <v>0</v>
      </c>
      <c r="H21" s="246">
        <v>4000</v>
      </c>
      <c r="I21" s="246">
        <v>0</v>
      </c>
      <c r="J21" s="246">
        <v>0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  <c r="AB21" s="246">
        <v>0</v>
      </c>
      <c r="AC21" s="246">
        <v>0</v>
      </c>
      <c r="AD21" s="246">
        <v>0</v>
      </c>
      <c r="AE21" s="246">
        <v>0</v>
      </c>
      <c r="AF21" s="246">
        <v>0</v>
      </c>
      <c r="AG21" s="246">
        <v>0</v>
      </c>
      <c r="AH21" s="246">
        <v>0</v>
      </c>
      <c r="AI21" s="246">
        <v>0</v>
      </c>
      <c r="AJ21" s="246">
        <v>0</v>
      </c>
      <c r="AK21" s="246">
        <v>0</v>
      </c>
      <c r="AL21" s="246">
        <v>0</v>
      </c>
      <c r="AM21" s="246">
        <v>267</v>
      </c>
      <c r="AN21" s="246">
        <v>0</v>
      </c>
    </row>
    <row r="22" spans="3:40" x14ac:dyDescent="0.3">
      <c r="C22" s="246">
        <v>19</v>
      </c>
      <c r="D22" s="246">
        <v>4</v>
      </c>
      <c r="E22" s="246">
        <v>11</v>
      </c>
      <c r="F22" s="246">
        <v>1372.0833333333333</v>
      </c>
      <c r="G22" s="246">
        <v>0</v>
      </c>
      <c r="H22" s="246">
        <v>1372.0833333333333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  <c r="AJ22" s="246">
        <v>0</v>
      </c>
      <c r="AK22" s="246">
        <v>0</v>
      </c>
      <c r="AL22" s="246">
        <v>0</v>
      </c>
      <c r="AM22" s="246">
        <v>0</v>
      </c>
      <c r="AN22" s="246">
        <v>0</v>
      </c>
    </row>
    <row r="23" spans="3:40" x14ac:dyDescent="0.3">
      <c r="C23" s="246">
        <v>19</v>
      </c>
      <c r="D23" s="246">
        <v>5</v>
      </c>
      <c r="E23" s="246">
        <v>1</v>
      </c>
      <c r="F23" s="246">
        <v>12.35</v>
      </c>
      <c r="G23" s="246">
        <v>0</v>
      </c>
      <c r="H23" s="246">
        <v>4.3499999999999996</v>
      </c>
      <c r="I23" s="246">
        <v>0</v>
      </c>
      <c r="J23" s="246">
        <v>0</v>
      </c>
      <c r="K23" s="246">
        <v>5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  <c r="AJ23" s="246">
        <v>0</v>
      </c>
      <c r="AK23" s="246">
        <v>0</v>
      </c>
      <c r="AL23" s="246">
        <v>0</v>
      </c>
      <c r="AM23" s="246">
        <v>3</v>
      </c>
      <c r="AN23" s="246">
        <v>0</v>
      </c>
    </row>
    <row r="24" spans="3:40" x14ac:dyDescent="0.3">
      <c r="C24" s="246">
        <v>19</v>
      </c>
      <c r="D24" s="246">
        <v>5</v>
      </c>
      <c r="E24" s="246">
        <v>2</v>
      </c>
      <c r="F24" s="246">
        <v>1857.6</v>
      </c>
      <c r="G24" s="246">
        <v>0</v>
      </c>
      <c r="H24" s="246">
        <v>697.6</v>
      </c>
      <c r="I24" s="246">
        <v>0</v>
      </c>
      <c r="J24" s="246">
        <v>0</v>
      </c>
      <c r="K24" s="246">
        <v>832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  <c r="AJ24" s="246">
        <v>0</v>
      </c>
      <c r="AK24" s="246">
        <v>0</v>
      </c>
      <c r="AL24" s="246">
        <v>0</v>
      </c>
      <c r="AM24" s="246">
        <v>328</v>
      </c>
      <c r="AN24" s="246">
        <v>0</v>
      </c>
    </row>
    <row r="25" spans="3:40" x14ac:dyDescent="0.3">
      <c r="C25" s="246">
        <v>19</v>
      </c>
      <c r="D25" s="246">
        <v>5</v>
      </c>
      <c r="E25" s="246">
        <v>6</v>
      </c>
      <c r="F25" s="246">
        <v>398582</v>
      </c>
      <c r="G25" s="246">
        <v>0</v>
      </c>
      <c r="H25" s="246">
        <v>220749</v>
      </c>
      <c r="I25" s="246">
        <v>0</v>
      </c>
      <c r="J25" s="246">
        <v>0</v>
      </c>
      <c r="K25" s="246">
        <v>136838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  <c r="AJ25" s="246">
        <v>0</v>
      </c>
      <c r="AK25" s="246">
        <v>0</v>
      </c>
      <c r="AL25" s="246">
        <v>0</v>
      </c>
      <c r="AM25" s="246">
        <v>40995</v>
      </c>
      <c r="AN25" s="246">
        <v>0</v>
      </c>
    </row>
    <row r="26" spans="3:40" x14ac:dyDescent="0.3">
      <c r="C26" s="246">
        <v>19</v>
      </c>
      <c r="D26" s="246">
        <v>5</v>
      </c>
      <c r="E26" s="246">
        <v>11</v>
      </c>
      <c r="F26" s="246">
        <v>1372.0833333333333</v>
      </c>
      <c r="G26" s="246">
        <v>0</v>
      </c>
      <c r="H26" s="246">
        <v>1372.0833333333333</v>
      </c>
      <c r="I26" s="246">
        <v>0</v>
      </c>
      <c r="J26" s="246">
        <v>0</v>
      </c>
      <c r="K26" s="246">
        <v>0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6">
        <v>0</v>
      </c>
      <c r="W26" s="246">
        <v>0</v>
      </c>
      <c r="X26" s="246">
        <v>0</v>
      </c>
      <c r="Y26" s="246">
        <v>0</v>
      </c>
      <c r="Z26" s="246">
        <v>0</v>
      </c>
      <c r="AA26" s="246">
        <v>0</v>
      </c>
      <c r="AB26" s="246">
        <v>0</v>
      </c>
      <c r="AC26" s="246">
        <v>0</v>
      </c>
      <c r="AD26" s="246">
        <v>0</v>
      </c>
      <c r="AE26" s="246">
        <v>0</v>
      </c>
      <c r="AF26" s="246">
        <v>0</v>
      </c>
      <c r="AG26" s="246">
        <v>0</v>
      </c>
      <c r="AH26" s="246">
        <v>0</v>
      </c>
      <c r="AI26" s="246">
        <v>0</v>
      </c>
      <c r="AJ26" s="246">
        <v>0</v>
      </c>
      <c r="AK26" s="246">
        <v>0</v>
      </c>
      <c r="AL26" s="246">
        <v>0</v>
      </c>
      <c r="AM26" s="246">
        <v>0</v>
      </c>
      <c r="AN26" s="246">
        <v>0</v>
      </c>
    </row>
    <row r="27" spans="3:40" x14ac:dyDescent="0.3">
      <c r="C27" s="246">
        <v>19</v>
      </c>
      <c r="D27" s="246">
        <v>6</v>
      </c>
      <c r="E27" s="246">
        <v>1</v>
      </c>
      <c r="F27" s="246">
        <v>12.35</v>
      </c>
      <c r="G27" s="246">
        <v>0</v>
      </c>
      <c r="H27" s="246">
        <v>4.3499999999999996</v>
      </c>
      <c r="I27" s="246">
        <v>0</v>
      </c>
      <c r="J27" s="246">
        <v>0</v>
      </c>
      <c r="K27" s="246">
        <v>5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  <c r="AJ27" s="246">
        <v>0</v>
      </c>
      <c r="AK27" s="246">
        <v>0</v>
      </c>
      <c r="AL27" s="246">
        <v>0</v>
      </c>
      <c r="AM27" s="246">
        <v>3</v>
      </c>
      <c r="AN27" s="246">
        <v>0</v>
      </c>
    </row>
    <row r="28" spans="3:40" x14ac:dyDescent="0.3">
      <c r="C28" s="246">
        <v>19</v>
      </c>
      <c r="D28" s="246">
        <v>6</v>
      </c>
      <c r="E28" s="246">
        <v>2</v>
      </c>
      <c r="F28" s="246">
        <v>1694.8</v>
      </c>
      <c r="G28" s="246">
        <v>0</v>
      </c>
      <c r="H28" s="246">
        <v>638.79999999999995</v>
      </c>
      <c r="I28" s="246">
        <v>0</v>
      </c>
      <c r="J28" s="246">
        <v>0</v>
      </c>
      <c r="K28" s="246">
        <v>732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  <c r="AJ28" s="246">
        <v>0</v>
      </c>
      <c r="AK28" s="246">
        <v>0</v>
      </c>
      <c r="AL28" s="246">
        <v>0</v>
      </c>
      <c r="AM28" s="246">
        <v>324</v>
      </c>
      <c r="AN28" s="246">
        <v>0</v>
      </c>
    </row>
    <row r="29" spans="3:40" x14ac:dyDescent="0.3">
      <c r="C29" s="246">
        <v>19</v>
      </c>
      <c r="D29" s="246">
        <v>6</v>
      </c>
      <c r="E29" s="246">
        <v>6</v>
      </c>
      <c r="F29" s="246">
        <v>389807</v>
      </c>
      <c r="G29" s="246">
        <v>0</v>
      </c>
      <c r="H29" s="246">
        <v>210887</v>
      </c>
      <c r="I29" s="246">
        <v>0</v>
      </c>
      <c r="J29" s="246">
        <v>0</v>
      </c>
      <c r="K29" s="246">
        <v>137801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  <c r="AJ29" s="246">
        <v>0</v>
      </c>
      <c r="AK29" s="246">
        <v>0</v>
      </c>
      <c r="AL29" s="246">
        <v>0</v>
      </c>
      <c r="AM29" s="246">
        <v>41119</v>
      </c>
      <c r="AN29" s="246">
        <v>0</v>
      </c>
    </row>
    <row r="30" spans="3:40" x14ac:dyDescent="0.3">
      <c r="C30" s="246">
        <v>19</v>
      </c>
      <c r="D30" s="246">
        <v>6</v>
      </c>
      <c r="E30" s="246">
        <v>9</v>
      </c>
      <c r="F30" s="246">
        <v>6582</v>
      </c>
      <c r="G30" s="246">
        <v>0</v>
      </c>
      <c r="H30" s="246">
        <v>6582</v>
      </c>
      <c r="I30" s="246">
        <v>0</v>
      </c>
      <c r="J30" s="246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  <c r="AJ30" s="246">
        <v>0</v>
      </c>
      <c r="AK30" s="246">
        <v>0</v>
      </c>
      <c r="AL30" s="246">
        <v>0</v>
      </c>
      <c r="AM30" s="246">
        <v>0</v>
      </c>
      <c r="AN30" s="246">
        <v>0</v>
      </c>
    </row>
    <row r="31" spans="3:40" x14ac:dyDescent="0.3">
      <c r="C31" s="246">
        <v>19</v>
      </c>
      <c r="D31" s="246">
        <v>6</v>
      </c>
      <c r="E31" s="246">
        <v>11</v>
      </c>
      <c r="F31" s="246">
        <v>1372.0833333333333</v>
      </c>
      <c r="G31" s="246">
        <v>0</v>
      </c>
      <c r="H31" s="246">
        <v>1372.0833333333333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  <c r="AJ31" s="246">
        <v>0</v>
      </c>
      <c r="AK31" s="246">
        <v>0</v>
      </c>
      <c r="AL31" s="246">
        <v>0</v>
      </c>
      <c r="AM31" s="246">
        <v>0</v>
      </c>
      <c r="AN31" s="246">
        <v>0</v>
      </c>
    </row>
    <row r="32" spans="3:40" x14ac:dyDescent="0.3">
      <c r="C32" s="246">
        <v>19</v>
      </c>
      <c r="D32" s="246">
        <v>7</v>
      </c>
      <c r="E32" s="246">
        <v>1</v>
      </c>
      <c r="F32" s="246">
        <v>11.35</v>
      </c>
      <c r="G32" s="246">
        <v>0</v>
      </c>
      <c r="H32" s="246">
        <v>4.3499999999999996</v>
      </c>
      <c r="I32" s="246">
        <v>0</v>
      </c>
      <c r="J32" s="246">
        <v>0</v>
      </c>
      <c r="K32" s="246">
        <v>5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  <c r="Z32" s="246">
        <v>0</v>
      </c>
      <c r="AA32" s="246">
        <v>0</v>
      </c>
      <c r="AB32" s="246">
        <v>0</v>
      </c>
      <c r="AC32" s="246">
        <v>0</v>
      </c>
      <c r="AD32" s="246">
        <v>0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  <c r="AJ32" s="246">
        <v>0</v>
      </c>
      <c r="AK32" s="246">
        <v>0</v>
      </c>
      <c r="AL32" s="246">
        <v>0</v>
      </c>
      <c r="AM32" s="246">
        <v>2</v>
      </c>
      <c r="AN32" s="246">
        <v>0</v>
      </c>
    </row>
    <row r="33" spans="3:40" x14ac:dyDescent="0.3">
      <c r="C33" s="246">
        <v>19</v>
      </c>
      <c r="D33" s="246">
        <v>7</v>
      </c>
      <c r="E33" s="246">
        <v>2</v>
      </c>
      <c r="F33" s="246">
        <v>1570.4</v>
      </c>
      <c r="G33" s="246">
        <v>0</v>
      </c>
      <c r="H33" s="246">
        <v>582.4</v>
      </c>
      <c r="I33" s="246">
        <v>0</v>
      </c>
      <c r="J33" s="246">
        <v>0</v>
      </c>
      <c r="K33" s="246">
        <v>676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  <c r="Z33" s="246">
        <v>0</v>
      </c>
      <c r="AA33" s="246">
        <v>0</v>
      </c>
      <c r="AB33" s="246">
        <v>0</v>
      </c>
      <c r="AC33" s="246">
        <v>0</v>
      </c>
      <c r="AD33" s="246">
        <v>0</v>
      </c>
      <c r="AE33" s="246">
        <v>0</v>
      </c>
      <c r="AF33" s="246">
        <v>0</v>
      </c>
      <c r="AG33" s="246">
        <v>0</v>
      </c>
      <c r="AH33" s="246">
        <v>0</v>
      </c>
      <c r="AI33" s="246">
        <v>0</v>
      </c>
      <c r="AJ33" s="246">
        <v>0</v>
      </c>
      <c r="AK33" s="246">
        <v>0</v>
      </c>
      <c r="AL33" s="246">
        <v>0</v>
      </c>
      <c r="AM33" s="246">
        <v>312</v>
      </c>
      <c r="AN33" s="246">
        <v>0</v>
      </c>
    </row>
    <row r="34" spans="3:40" x14ac:dyDescent="0.3">
      <c r="C34" s="246">
        <v>19</v>
      </c>
      <c r="D34" s="246">
        <v>7</v>
      </c>
      <c r="E34" s="246">
        <v>6</v>
      </c>
      <c r="F34" s="246">
        <v>666176</v>
      </c>
      <c r="G34" s="246">
        <v>0</v>
      </c>
      <c r="H34" s="246">
        <v>390275</v>
      </c>
      <c r="I34" s="246">
        <v>0</v>
      </c>
      <c r="J34" s="246">
        <v>0</v>
      </c>
      <c r="K34" s="246">
        <v>217278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246">
        <v>0</v>
      </c>
      <c r="AH34" s="246">
        <v>0</v>
      </c>
      <c r="AI34" s="246">
        <v>0</v>
      </c>
      <c r="AJ34" s="246">
        <v>0</v>
      </c>
      <c r="AK34" s="246">
        <v>0</v>
      </c>
      <c r="AL34" s="246">
        <v>0</v>
      </c>
      <c r="AM34" s="246">
        <v>58623</v>
      </c>
      <c r="AN34" s="246">
        <v>0</v>
      </c>
    </row>
    <row r="35" spans="3:40" x14ac:dyDescent="0.3">
      <c r="C35" s="246">
        <v>19</v>
      </c>
      <c r="D35" s="246">
        <v>7</v>
      </c>
      <c r="E35" s="246">
        <v>9</v>
      </c>
      <c r="F35" s="246">
        <v>265488</v>
      </c>
      <c r="G35" s="246">
        <v>0</v>
      </c>
      <c r="H35" s="246">
        <v>169407</v>
      </c>
      <c r="I35" s="246">
        <v>0</v>
      </c>
      <c r="J35" s="246">
        <v>0</v>
      </c>
      <c r="K35" s="246">
        <v>78660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246">
        <v>0</v>
      </c>
      <c r="AA35" s="246">
        <v>0</v>
      </c>
      <c r="AB35" s="246">
        <v>0</v>
      </c>
      <c r="AC35" s="246">
        <v>0</v>
      </c>
      <c r="AD35" s="246">
        <v>0</v>
      </c>
      <c r="AE35" s="246">
        <v>0</v>
      </c>
      <c r="AF35" s="246">
        <v>0</v>
      </c>
      <c r="AG35" s="246">
        <v>0</v>
      </c>
      <c r="AH35" s="246">
        <v>0</v>
      </c>
      <c r="AI35" s="246">
        <v>0</v>
      </c>
      <c r="AJ35" s="246">
        <v>0</v>
      </c>
      <c r="AK35" s="246">
        <v>0</v>
      </c>
      <c r="AL35" s="246">
        <v>0</v>
      </c>
      <c r="AM35" s="246">
        <v>17421</v>
      </c>
      <c r="AN35" s="246">
        <v>0</v>
      </c>
    </row>
    <row r="36" spans="3:40" x14ac:dyDescent="0.3">
      <c r="C36" s="246">
        <v>19</v>
      </c>
      <c r="D36" s="246">
        <v>7</v>
      </c>
      <c r="E36" s="246">
        <v>11</v>
      </c>
      <c r="F36" s="246">
        <v>1372.0833333333333</v>
      </c>
      <c r="G36" s="246">
        <v>0</v>
      </c>
      <c r="H36" s="246">
        <v>1372.0833333333333</v>
      </c>
      <c r="I36" s="246">
        <v>0</v>
      </c>
      <c r="J36" s="246">
        <v>0</v>
      </c>
      <c r="K36" s="246">
        <v>0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  <c r="Z36" s="246">
        <v>0</v>
      </c>
      <c r="AA36" s="246">
        <v>0</v>
      </c>
      <c r="AB36" s="246">
        <v>0</v>
      </c>
      <c r="AC36" s="246">
        <v>0</v>
      </c>
      <c r="AD36" s="246">
        <v>0</v>
      </c>
      <c r="AE36" s="246">
        <v>0</v>
      </c>
      <c r="AF36" s="246">
        <v>0</v>
      </c>
      <c r="AG36" s="246">
        <v>0</v>
      </c>
      <c r="AH36" s="246">
        <v>0</v>
      </c>
      <c r="AI36" s="246">
        <v>0</v>
      </c>
      <c r="AJ36" s="246">
        <v>0</v>
      </c>
      <c r="AK36" s="246">
        <v>0</v>
      </c>
      <c r="AL36" s="246">
        <v>0</v>
      </c>
      <c r="AM36" s="246">
        <v>0</v>
      </c>
      <c r="AN36" s="246">
        <v>0</v>
      </c>
    </row>
    <row r="37" spans="3:40" x14ac:dyDescent="0.3">
      <c r="C37" s="246">
        <v>19</v>
      </c>
      <c r="D37" s="246">
        <v>8</v>
      </c>
      <c r="E37" s="246">
        <v>1</v>
      </c>
      <c r="F37" s="246">
        <v>11.35</v>
      </c>
      <c r="G37" s="246">
        <v>0</v>
      </c>
      <c r="H37" s="246">
        <v>4.3499999999999996</v>
      </c>
      <c r="I37" s="246">
        <v>0</v>
      </c>
      <c r="J37" s="246">
        <v>0</v>
      </c>
      <c r="K37" s="246">
        <v>5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  <c r="Z37" s="246">
        <v>0</v>
      </c>
      <c r="AA37" s="246">
        <v>0</v>
      </c>
      <c r="AB37" s="246">
        <v>0</v>
      </c>
      <c r="AC37" s="246">
        <v>0</v>
      </c>
      <c r="AD37" s="246">
        <v>0</v>
      </c>
      <c r="AE37" s="246">
        <v>0</v>
      </c>
      <c r="AF37" s="246">
        <v>0</v>
      </c>
      <c r="AG37" s="246">
        <v>0</v>
      </c>
      <c r="AH37" s="246">
        <v>0</v>
      </c>
      <c r="AI37" s="246">
        <v>0</v>
      </c>
      <c r="AJ37" s="246">
        <v>0</v>
      </c>
      <c r="AK37" s="246">
        <v>0</v>
      </c>
      <c r="AL37" s="246">
        <v>0</v>
      </c>
      <c r="AM37" s="246">
        <v>2</v>
      </c>
      <c r="AN37" s="246">
        <v>0</v>
      </c>
    </row>
    <row r="38" spans="3:40" x14ac:dyDescent="0.3">
      <c r="C38" s="246">
        <v>19</v>
      </c>
      <c r="D38" s="246">
        <v>8</v>
      </c>
      <c r="E38" s="246">
        <v>2</v>
      </c>
      <c r="F38" s="246">
        <v>1356.8</v>
      </c>
      <c r="G38" s="246">
        <v>0</v>
      </c>
      <c r="H38" s="246">
        <v>536.79999999999995</v>
      </c>
      <c r="I38" s="246">
        <v>0</v>
      </c>
      <c r="J38" s="246">
        <v>0</v>
      </c>
      <c r="K38" s="246">
        <v>616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246">
        <v>0</v>
      </c>
      <c r="AA38" s="246">
        <v>0</v>
      </c>
      <c r="AB38" s="246">
        <v>0</v>
      </c>
      <c r="AC38" s="246">
        <v>0</v>
      </c>
      <c r="AD38" s="246">
        <v>0</v>
      </c>
      <c r="AE38" s="246">
        <v>0</v>
      </c>
      <c r="AF38" s="246">
        <v>0</v>
      </c>
      <c r="AG38" s="246">
        <v>0</v>
      </c>
      <c r="AH38" s="246">
        <v>0</v>
      </c>
      <c r="AI38" s="246">
        <v>0</v>
      </c>
      <c r="AJ38" s="246">
        <v>0</v>
      </c>
      <c r="AK38" s="246">
        <v>0</v>
      </c>
      <c r="AL38" s="246">
        <v>0</v>
      </c>
      <c r="AM38" s="246">
        <v>204</v>
      </c>
      <c r="AN38" s="246">
        <v>0</v>
      </c>
    </row>
    <row r="39" spans="3:40" x14ac:dyDescent="0.3">
      <c r="C39" s="246">
        <v>19</v>
      </c>
      <c r="D39" s="246">
        <v>8</v>
      </c>
      <c r="E39" s="246">
        <v>6</v>
      </c>
      <c r="F39" s="246">
        <v>394037</v>
      </c>
      <c r="G39" s="246">
        <v>0</v>
      </c>
      <c r="H39" s="246">
        <v>218165</v>
      </c>
      <c r="I39" s="246">
        <v>0</v>
      </c>
      <c r="J39" s="246">
        <v>0</v>
      </c>
      <c r="K39" s="246">
        <v>135526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  <c r="Z39" s="246">
        <v>0</v>
      </c>
      <c r="AA39" s="246">
        <v>0</v>
      </c>
      <c r="AB39" s="246">
        <v>0</v>
      </c>
      <c r="AC39" s="246">
        <v>0</v>
      </c>
      <c r="AD39" s="246">
        <v>0</v>
      </c>
      <c r="AE39" s="246">
        <v>0</v>
      </c>
      <c r="AF39" s="246">
        <v>0</v>
      </c>
      <c r="AG39" s="246">
        <v>0</v>
      </c>
      <c r="AH39" s="246">
        <v>0</v>
      </c>
      <c r="AI39" s="246">
        <v>0</v>
      </c>
      <c r="AJ39" s="246">
        <v>0</v>
      </c>
      <c r="AK39" s="246">
        <v>0</v>
      </c>
      <c r="AL39" s="246">
        <v>0</v>
      </c>
      <c r="AM39" s="246">
        <v>40346</v>
      </c>
      <c r="AN39" s="246">
        <v>0</v>
      </c>
    </row>
    <row r="40" spans="3:40" x14ac:dyDescent="0.3">
      <c r="C40" s="246">
        <v>19</v>
      </c>
      <c r="D40" s="246">
        <v>8</v>
      </c>
      <c r="E40" s="246">
        <v>11</v>
      </c>
      <c r="F40" s="246">
        <v>1372.0833333333333</v>
      </c>
      <c r="G40" s="246">
        <v>0</v>
      </c>
      <c r="H40" s="246">
        <v>1372.0833333333333</v>
      </c>
      <c r="I40" s="246">
        <v>0</v>
      </c>
      <c r="J40" s="246">
        <v>0</v>
      </c>
      <c r="K40" s="246">
        <v>0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246">
        <v>0</v>
      </c>
      <c r="AE40" s="246">
        <v>0</v>
      </c>
      <c r="AF40" s="246">
        <v>0</v>
      </c>
      <c r="AG40" s="246">
        <v>0</v>
      </c>
      <c r="AH40" s="246">
        <v>0</v>
      </c>
      <c r="AI40" s="246">
        <v>0</v>
      </c>
      <c r="AJ40" s="246">
        <v>0</v>
      </c>
      <c r="AK40" s="246">
        <v>0</v>
      </c>
      <c r="AL40" s="246">
        <v>0</v>
      </c>
      <c r="AM40" s="246">
        <v>0</v>
      </c>
      <c r="AN40" s="246">
        <v>0</v>
      </c>
    </row>
    <row r="41" spans="3:40" x14ac:dyDescent="0.3">
      <c r="C41" s="246">
        <v>19</v>
      </c>
      <c r="D41" s="246">
        <v>9</v>
      </c>
      <c r="E41" s="246">
        <v>1</v>
      </c>
      <c r="F41" s="246">
        <v>11.35</v>
      </c>
      <c r="G41" s="246">
        <v>0</v>
      </c>
      <c r="H41" s="246">
        <v>4.3499999999999996</v>
      </c>
      <c r="I41" s="246">
        <v>0</v>
      </c>
      <c r="J41" s="246">
        <v>0</v>
      </c>
      <c r="K41" s="246">
        <v>5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246">
        <v>0</v>
      </c>
      <c r="AA41" s="246">
        <v>0</v>
      </c>
      <c r="AB41" s="246">
        <v>0</v>
      </c>
      <c r="AC41" s="246">
        <v>0</v>
      </c>
      <c r="AD41" s="246">
        <v>0</v>
      </c>
      <c r="AE41" s="246">
        <v>0</v>
      </c>
      <c r="AF41" s="246">
        <v>0</v>
      </c>
      <c r="AG41" s="246">
        <v>0</v>
      </c>
      <c r="AH41" s="246">
        <v>0</v>
      </c>
      <c r="AI41" s="246">
        <v>0</v>
      </c>
      <c r="AJ41" s="246">
        <v>0</v>
      </c>
      <c r="AK41" s="246">
        <v>0</v>
      </c>
      <c r="AL41" s="246">
        <v>0</v>
      </c>
      <c r="AM41" s="246">
        <v>2</v>
      </c>
      <c r="AN41" s="246">
        <v>0</v>
      </c>
    </row>
    <row r="42" spans="3:40" x14ac:dyDescent="0.3">
      <c r="C42" s="246">
        <v>19</v>
      </c>
      <c r="D42" s="246">
        <v>9</v>
      </c>
      <c r="E42" s="246">
        <v>2</v>
      </c>
      <c r="F42" s="246">
        <v>1913.1</v>
      </c>
      <c r="G42" s="246">
        <v>0</v>
      </c>
      <c r="H42" s="246">
        <v>741.6</v>
      </c>
      <c r="I42" s="246">
        <v>0</v>
      </c>
      <c r="J42" s="246">
        <v>0</v>
      </c>
      <c r="K42" s="246">
        <v>827.5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  <c r="Z42" s="246">
        <v>0</v>
      </c>
      <c r="AA42" s="246">
        <v>0</v>
      </c>
      <c r="AB42" s="246">
        <v>0</v>
      </c>
      <c r="AC42" s="246">
        <v>0</v>
      </c>
      <c r="AD42" s="246">
        <v>0</v>
      </c>
      <c r="AE42" s="246">
        <v>0</v>
      </c>
      <c r="AF42" s="246">
        <v>0</v>
      </c>
      <c r="AG42" s="246">
        <v>0</v>
      </c>
      <c r="AH42" s="246">
        <v>0</v>
      </c>
      <c r="AI42" s="246">
        <v>0</v>
      </c>
      <c r="AJ42" s="246">
        <v>0</v>
      </c>
      <c r="AK42" s="246">
        <v>0</v>
      </c>
      <c r="AL42" s="246">
        <v>0</v>
      </c>
      <c r="AM42" s="246">
        <v>344</v>
      </c>
      <c r="AN42" s="246">
        <v>0</v>
      </c>
    </row>
    <row r="43" spans="3:40" x14ac:dyDescent="0.3">
      <c r="C43" s="246">
        <v>19</v>
      </c>
      <c r="D43" s="246">
        <v>9</v>
      </c>
      <c r="E43" s="246">
        <v>6</v>
      </c>
      <c r="F43" s="246">
        <v>398103</v>
      </c>
      <c r="G43" s="246">
        <v>0</v>
      </c>
      <c r="H43" s="246">
        <v>220065</v>
      </c>
      <c r="I43" s="246">
        <v>0</v>
      </c>
      <c r="J43" s="246">
        <v>0</v>
      </c>
      <c r="K43" s="246">
        <v>136390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  <c r="Z43" s="246">
        <v>0</v>
      </c>
      <c r="AA43" s="246">
        <v>0</v>
      </c>
      <c r="AB43" s="246">
        <v>0</v>
      </c>
      <c r="AC43" s="246">
        <v>0</v>
      </c>
      <c r="AD43" s="246">
        <v>0</v>
      </c>
      <c r="AE43" s="246">
        <v>0</v>
      </c>
      <c r="AF43" s="246">
        <v>0</v>
      </c>
      <c r="AG43" s="246">
        <v>0</v>
      </c>
      <c r="AH43" s="246">
        <v>0</v>
      </c>
      <c r="AI43" s="246">
        <v>0</v>
      </c>
      <c r="AJ43" s="246">
        <v>0</v>
      </c>
      <c r="AK43" s="246">
        <v>0</v>
      </c>
      <c r="AL43" s="246">
        <v>0</v>
      </c>
      <c r="AM43" s="246">
        <v>41648</v>
      </c>
      <c r="AN43" s="246">
        <v>0</v>
      </c>
    </row>
    <row r="44" spans="3:40" x14ac:dyDescent="0.3">
      <c r="C44" s="246">
        <v>19</v>
      </c>
      <c r="D44" s="246">
        <v>9</v>
      </c>
      <c r="E44" s="246">
        <v>9</v>
      </c>
      <c r="F44" s="246">
        <v>243</v>
      </c>
      <c r="G44" s="246">
        <v>0</v>
      </c>
      <c r="H44" s="246">
        <v>243</v>
      </c>
      <c r="I44" s="246">
        <v>0</v>
      </c>
      <c r="J44" s="246">
        <v>0</v>
      </c>
      <c r="K44" s="246">
        <v>0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  <c r="Z44" s="246">
        <v>0</v>
      </c>
      <c r="AA44" s="246">
        <v>0</v>
      </c>
      <c r="AB44" s="246">
        <v>0</v>
      </c>
      <c r="AC44" s="246">
        <v>0</v>
      </c>
      <c r="AD44" s="246">
        <v>0</v>
      </c>
      <c r="AE44" s="246">
        <v>0</v>
      </c>
      <c r="AF44" s="246">
        <v>0</v>
      </c>
      <c r="AG44" s="246">
        <v>0</v>
      </c>
      <c r="AH44" s="246">
        <v>0</v>
      </c>
      <c r="AI44" s="246">
        <v>0</v>
      </c>
      <c r="AJ44" s="246">
        <v>0</v>
      </c>
      <c r="AK44" s="246">
        <v>0</v>
      </c>
      <c r="AL44" s="246">
        <v>0</v>
      </c>
      <c r="AM44" s="246">
        <v>0</v>
      </c>
      <c r="AN44" s="246">
        <v>0</v>
      </c>
    </row>
    <row r="45" spans="3:40" x14ac:dyDescent="0.3">
      <c r="C45" s="246">
        <v>19</v>
      </c>
      <c r="D45" s="246">
        <v>9</v>
      </c>
      <c r="E45" s="246">
        <v>11</v>
      </c>
      <c r="F45" s="246">
        <v>1372.0833333333333</v>
      </c>
      <c r="G45" s="246">
        <v>0</v>
      </c>
      <c r="H45" s="246">
        <v>1372.0833333333333</v>
      </c>
      <c r="I45" s="246">
        <v>0</v>
      </c>
      <c r="J45" s="246">
        <v>0</v>
      </c>
      <c r="K45" s="246">
        <v>0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  <c r="Z45" s="246">
        <v>0</v>
      </c>
      <c r="AA45" s="246">
        <v>0</v>
      </c>
      <c r="AB45" s="246">
        <v>0</v>
      </c>
      <c r="AC45" s="246">
        <v>0</v>
      </c>
      <c r="AD45" s="246">
        <v>0</v>
      </c>
      <c r="AE45" s="246">
        <v>0</v>
      </c>
      <c r="AF45" s="246">
        <v>0</v>
      </c>
      <c r="AG45" s="246">
        <v>0</v>
      </c>
      <c r="AH45" s="246">
        <v>0</v>
      </c>
      <c r="AI45" s="246">
        <v>0</v>
      </c>
      <c r="AJ45" s="246">
        <v>0</v>
      </c>
      <c r="AK45" s="246">
        <v>0</v>
      </c>
      <c r="AL45" s="246">
        <v>0</v>
      </c>
      <c r="AM45" s="246">
        <v>0</v>
      </c>
      <c r="AN45" s="246">
        <v>0</v>
      </c>
    </row>
    <row r="46" spans="3:40" x14ac:dyDescent="0.3">
      <c r="C46" s="246">
        <v>19</v>
      </c>
      <c r="D46" s="246">
        <v>10</v>
      </c>
      <c r="E46" s="246">
        <v>1</v>
      </c>
      <c r="F46" s="246">
        <v>11.35</v>
      </c>
      <c r="G46" s="246">
        <v>0</v>
      </c>
      <c r="H46" s="246">
        <v>4.3499999999999996</v>
      </c>
      <c r="I46" s="246">
        <v>0</v>
      </c>
      <c r="J46" s="246">
        <v>0</v>
      </c>
      <c r="K46" s="246">
        <v>5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6">
        <v>0</v>
      </c>
      <c r="W46" s="246">
        <v>0</v>
      </c>
      <c r="X46" s="246">
        <v>0</v>
      </c>
      <c r="Y46" s="246">
        <v>0</v>
      </c>
      <c r="Z46" s="246">
        <v>0</v>
      </c>
      <c r="AA46" s="246">
        <v>0</v>
      </c>
      <c r="AB46" s="246">
        <v>0</v>
      </c>
      <c r="AC46" s="246">
        <v>0</v>
      </c>
      <c r="AD46" s="246">
        <v>0</v>
      </c>
      <c r="AE46" s="246">
        <v>0</v>
      </c>
      <c r="AF46" s="246">
        <v>0</v>
      </c>
      <c r="AG46" s="246">
        <v>0</v>
      </c>
      <c r="AH46" s="246">
        <v>0</v>
      </c>
      <c r="AI46" s="246">
        <v>0</v>
      </c>
      <c r="AJ46" s="246">
        <v>0</v>
      </c>
      <c r="AK46" s="246">
        <v>0</v>
      </c>
      <c r="AL46" s="246">
        <v>0</v>
      </c>
      <c r="AM46" s="246">
        <v>2</v>
      </c>
      <c r="AN46" s="246">
        <v>0</v>
      </c>
    </row>
    <row r="47" spans="3:40" x14ac:dyDescent="0.3">
      <c r="C47" s="246">
        <v>19</v>
      </c>
      <c r="D47" s="246">
        <v>10</v>
      </c>
      <c r="E47" s="246">
        <v>2</v>
      </c>
      <c r="F47" s="246">
        <v>1845.4</v>
      </c>
      <c r="G47" s="246">
        <v>0</v>
      </c>
      <c r="H47" s="246">
        <v>728.4</v>
      </c>
      <c r="I47" s="246">
        <v>0</v>
      </c>
      <c r="J47" s="246">
        <v>0</v>
      </c>
      <c r="K47" s="246">
        <v>853</v>
      </c>
      <c r="L47" s="246">
        <v>0</v>
      </c>
      <c r="M47" s="246">
        <v>0</v>
      </c>
      <c r="N47" s="246">
        <v>0</v>
      </c>
      <c r="O47" s="246">
        <v>0</v>
      </c>
      <c r="P47" s="246">
        <v>0</v>
      </c>
      <c r="Q47" s="246">
        <v>0</v>
      </c>
      <c r="R47" s="246">
        <v>0</v>
      </c>
      <c r="S47" s="246">
        <v>0</v>
      </c>
      <c r="T47" s="246">
        <v>0</v>
      </c>
      <c r="U47" s="246">
        <v>0</v>
      </c>
      <c r="V47" s="246">
        <v>0</v>
      </c>
      <c r="W47" s="246">
        <v>0</v>
      </c>
      <c r="X47" s="246">
        <v>0</v>
      </c>
      <c r="Y47" s="246">
        <v>0</v>
      </c>
      <c r="Z47" s="246">
        <v>0</v>
      </c>
      <c r="AA47" s="246">
        <v>0</v>
      </c>
      <c r="AB47" s="246">
        <v>0</v>
      </c>
      <c r="AC47" s="246">
        <v>0</v>
      </c>
      <c r="AD47" s="246">
        <v>0</v>
      </c>
      <c r="AE47" s="246">
        <v>0</v>
      </c>
      <c r="AF47" s="246">
        <v>0</v>
      </c>
      <c r="AG47" s="246">
        <v>0</v>
      </c>
      <c r="AH47" s="246">
        <v>0</v>
      </c>
      <c r="AI47" s="246">
        <v>0</v>
      </c>
      <c r="AJ47" s="246">
        <v>0</v>
      </c>
      <c r="AK47" s="246">
        <v>0</v>
      </c>
      <c r="AL47" s="246">
        <v>0</v>
      </c>
      <c r="AM47" s="246">
        <v>264</v>
      </c>
      <c r="AN47" s="246">
        <v>0</v>
      </c>
    </row>
    <row r="48" spans="3:40" x14ac:dyDescent="0.3">
      <c r="C48" s="246">
        <v>19</v>
      </c>
      <c r="D48" s="246">
        <v>10</v>
      </c>
      <c r="E48" s="246">
        <v>6</v>
      </c>
      <c r="F48" s="246">
        <v>418013</v>
      </c>
      <c r="G48" s="246">
        <v>0</v>
      </c>
      <c r="H48" s="246">
        <v>232680</v>
      </c>
      <c r="I48" s="246">
        <v>0</v>
      </c>
      <c r="J48" s="246">
        <v>0</v>
      </c>
      <c r="K48" s="246">
        <v>135658</v>
      </c>
      <c r="L48" s="246">
        <v>0</v>
      </c>
      <c r="M48" s="246">
        <v>0</v>
      </c>
      <c r="N48" s="246">
        <v>0</v>
      </c>
      <c r="O48" s="246">
        <v>0</v>
      </c>
      <c r="P48" s="246">
        <v>0</v>
      </c>
      <c r="Q48" s="246">
        <v>0</v>
      </c>
      <c r="R48" s="246">
        <v>0</v>
      </c>
      <c r="S48" s="246">
        <v>0</v>
      </c>
      <c r="T48" s="246">
        <v>0</v>
      </c>
      <c r="U48" s="246">
        <v>0</v>
      </c>
      <c r="V48" s="246">
        <v>0</v>
      </c>
      <c r="W48" s="246">
        <v>0</v>
      </c>
      <c r="X48" s="246">
        <v>0</v>
      </c>
      <c r="Y48" s="246">
        <v>0</v>
      </c>
      <c r="Z48" s="246">
        <v>0</v>
      </c>
      <c r="AA48" s="246">
        <v>0</v>
      </c>
      <c r="AB48" s="246">
        <v>0</v>
      </c>
      <c r="AC48" s="246">
        <v>0</v>
      </c>
      <c r="AD48" s="246">
        <v>0</v>
      </c>
      <c r="AE48" s="246">
        <v>0</v>
      </c>
      <c r="AF48" s="246">
        <v>0</v>
      </c>
      <c r="AG48" s="246">
        <v>0</v>
      </c>
      <c r="AH48" s="246">
        <v>0</v>
      </c>
      <c r="AI48" s="246">
        <v>0</v>
      </c>
      <c r="AJ48" s="246">
        <v>0</v>
      </c>
      <c r="AK48" s="246">
        <v>0</v>
      </c>
      <c r="AL48" s="246">
        <v>0</v>
      </c>
      <c r="AM48" s="246">
        <v>49675</v>
      </c>
      <c r="AN48" s="246">
        <v>0</v>
      </c>
    </row>
    <row r="49" spans="3:40" x14ac:dyDescent="0.3">
      <c r="C49" s="246">
        <v>19</v>
      </c>
      <c r="D49" s="246">
        <v>10</v>
      </c>
      <c r="E49" s="246">
        <v>9</v>
      </c>
      <c r="F49" s="246">
        <v>20860</v>
      </c>
      <c r="G49" s="246">
        <v>0</v>
      </c>
      <c r="H49" s="246">
        <v>10860</v>
      </c>
      <c r="I49" s="246">
        <v>0</v>
      </c>
      <c r="J49" s="246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  <c r="Z49" s="246">
        <v>0</v>
      </c>
      <c r="AA49" s="246">
        <v>0</v>
      </c>
      <c r="AB49" s="246">
        <v>0</v>
      </c>
      <c r="AC49" s="246">
        <v>0</v>
      </c>
      <c r="AD49" s="246">
        <v>0</v>
      </c>
      <c r="AE49" s="246">
        <v>0</v>
      </c>
      <c r="AF49" s="246">
        <v>0</v>
      </c>
      <c r="AG49" s="246">
        <v>0</v>
      </c>
      <c r="AH49" s="246">
        <v>0</v>
      </c>
      <c r="AI49" s="246">
        <v>0</v>
      </c>
      <c r="AJ49" s="246">
        <v>0</v>
      </c>
      <c r="AK49" s="246">
        <v>0</v>
      </c>
      <c r="AL49" s="246">
        <v>0</v>
      </c>
      <c r="AM49" s="246">
        <v>10000</v>
      </c>
      <c r="AN49" s="246">
        <v>0</v>
      </c>
    </row>
    <row r="50" spans="3:40" x14ac:dyDescent="0.3">
      <c r="C50" s="246">
        <v>19</v>
      </c>
      <c r="D50" s="246">
        <v>10</v>
      </c>
      <c r="E50" s="246">
        <v>11</v>
      </c>
      <c r="F50" s="246">
        <v>1372.0833333333333</v>
      </c>
      <c r="G50" s="246">
        <v>0</v>
      </c>
      <c r="H50" s="246">
        <v>1372.0833333333333</v>
      </c>
      <c r="I50" s="246">
        <v>0</v>
      </c>
      <c r="J50" s="246">
        <v>0</v>
      </c>
      <c r="K50" s="246">
        <v>0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  <c r="Z50" s="246">
        <v>0</v>
      </c>
      <c r="AA50" s="246">
        <v>0</v>
      </c>
      <c r="AB50" s="246">
        <v>0</v>
      </c>
      <c r="AC50" s="246">
        <v>0</v>
      </c>
      <c r="AD50" s="246">
        <v>0</v>
      </c>
      <c r="AE50" s="246">
        <v>0</v>
      </c>
      <c r="AF50" s="246">
        <v>0</v>
      </c>
      <c r="AG50" s="246">
        <v>0</v>
      </c>
      <c r="AH50" s="246">
        <v>0</v>
      </c>
      <c r="AI50" s="246">
        <v>0</v>
      </c>
      <c r="AJ50" s="246">
        <v>0</v>
      </c>
      <c r="AK50" s="246">
        <v>0</v>
      </c>
      <c r="AL50" s="246">
        <v>0</v>
      </c>
      <c r="AM50" s="246">
        <v>0</v>
      </c>
      <c r="AN50" s="246">
        <v>0</v>
      </c>
    </row>
    <row r="51" spans="3:40" x14ac:dyDescent="0.3">
      <c r="C51" s="246">
        <v>19</v>
      </c>
      <c r="D51" s="246">
        <v>11</v>
      </c>
      <c r="E51" s="246">
        <v>1</v>
      </c>
      <c r="F51" s="246">
        <v>11.35</v>
      </c>
      <c r="G51" s="246">
        <v>0</v>
      </c>
      <c r="H51" s="246">
        <v>4.3499999999999996</v>
      </c>
      <c r="I51" s="246">
        <v>0</v>
      </c>
      <c r="J51" s="246">
        <v>0</v>
      </c>
      <c r="K51" s="246">
        <v>5</v>
      </c>
      <c r="L51" s="246">
        <v>0</v>
      </c>
      <c r="M51" s="246">
        <v>0</v>
      </c>
      <c r="N51" s="246">
        <v>0</v>
      </c>
      <c r="O51" s="246">
        <v>0</v>
      </c>
      <c r="P51" s="246">
        <v>0</v>
      </c>
      <c r="Q51" s="246">
        <v>0</v>
      </c>
      <c r="R51" s="246">
        <v>0</v>
      </c>
      <c r="S51" s="246">
        <v>0</v>
      </c>
      <c r="T51" s="246">
        <v>0</v>
      </c>
      <c r="U51" s="246">
        <v>0</v>
      </c>
      <c r="V51" s="246">
        <v>0</v>
      </c>
      <c r="W51" s="246">
        <v>0</v>
      </c>
      <c r="X51" s="246">
        <v>0</v>
      </c>
      <c r="Y51" s="246">
        <v>0</v>
      </c>
      <c r="Z51" s="246">
        <v>0</v>
      </c>
      <c r="AA51" s="246">
        <v>0</v>
      </c>
      <c r="AB51" s="246">
        <v>0</v>
      </c>
      <c r="AC51" s="246">
        <v>0</v>
      </c>
      <c r="AD51" s="246">
        <v>0</v>
      </c>
      <c r="AE51" s="246">
        <v>0</v>
      </c>
      <c r="AF51" s="246">
        <v>0</v>
      </c>
      <c r="AG51" s="246">
        <v>0</v>
      </c>
      <c r="AH51" s="246">
        <v>0</v>
      </c>
      <c r="AI51" s="246">
        <v>0</v>
      </c>
      <c r="AJ51" s="246">
        <v>0</v>
      </c>
      <c r="AK51" s="246">
        <v>0</v>
      </c>
      <c r="AL51" s="246">
        <v>0</v>
      </c>
      <c r="AM51" s="246">
        <v>2</v>
      </c>
      <c r="AN51" s="246">
        <v>0</v>
      </c>
    </row>
    <row r="52" spans="3:40" x14ac:dyDescent="0.3">
      <c r="C52" s="246">
        <v>19</v>
      </c>
      <c r="D52" s="246">
        <v>11</v>
      </c>
      <c r="E52" s="246">
        <v>2</v>
      </c>
      <c r="F52" s="246">
        <v>1780</v>
      </c>
      <c r="G52" s="246">
        <v>0</v>
      </c>
      <c r="H52" s="246">
        <v>676</v>
      </c>
      <c r="I52" s="246">
        <v>0</v>
      </c>
      <c r="J52" s="246">
        <v>0</v>
      </c>
      <c r="K52" s="246">
        <v>784</v>
      </c>
      <c r="L52" s="246">
        <v>0</v>
      </c>
      <c r="M52" s="246">
        <v>0</v>
      </c>
      <c r="N52" s="246">
        <v>0</v>
      </c>
      <c r="O52" s="246">
        <v>0</v>
      </c>
      <c r="P52" s="246">
        <v>0</v>
      </c>
      <c r="Q52" s="246">
        <v>0</v>
      </c>
      <c r="R52" s="246">
        <v>0</v>
      </c>
      <c r="S52" s="246">
        <v>0</v>
      </c>
      <c r="T52" s="246">
        <v>0</v>
      </c>
      <c r="U52" s="246">
        <v>0</v>
      </c>
      <c r="V52" s="246">
        <v>0</v>
      </c>
      <c r="W52" s="246">
        <v>0</v>
      </c>
      <c r="X52" s="246">
        <v>0</v>
      </c>
      <c r="Y52" s="246">
        <v>0</v>
      </c>
      <c r="Z52" s="246">
        <v>0</v>
      </c>
      <c r="AA52" s="246">
        <v>0</v>
      </c>
      <c r="AB52" s="246">
        <v>0</v>
      </c>
      <c r="AC52" s="246">
        <v>0</v>
      </c>
      <c r="AD52" s="246">
        <v>0</v>
      </c>
      <c r="AE52" s="246">
        <v>0</v>
      </c>
      <c r="AF52" s="246">
        <v>0</v>
      </c>
      <c r="AG52" s="246">
        <v>0</v>
      </c>
      <c r="AH52" s="246">
        <v>0</v>
      </c>
      <c r="AI52" s="246">
        <v>0</v>
      </c>
      <c r="AJ52" s="246">
        <v>0</v>
      </c>
      <c r="AK52" s="246">
        <v>0</v>
      </c>
      <c r="AL52" s="246">
        <v>0</v>
      </c>
      <c r="AM52" s="246">
        <v>320</v>
      </c>
      <c r="AN52" s="246">
        <v>0</v>
      </c>
    </row>
    <row r="53" spans="3:40" x14ac:dyDescent="0.3">
      <c r="C53" s="246">
        <v>19</v>
      </c>
      <c r="D53" s="246">
        <v>11</v>
      </c>
      <c r="E53" s="246">
        <v>6</v>
      </c>
      <c r="F53" s="246">
        <v>677270</v>
      </c>
      <c r="G53" s="246">
        <v>0</v>
      </c>
      <c r="H53" s="246">
        <v>402305</v>
      </c>
      <c r="I53" s="246">
        <v>0</v>
      </c>
      <c r="J53" s="246">
        <v>0</v>
      </c>
      <c r="K53" s="246">
        <v>225727</v>
      </c>
      <c r="L53" s="246">
        <v>0</v>
      </c>
      <c r="M53" s="246">
        <v>0</v>
      </c>
      <c r="N53" s="246">
        <v>0</v>
      </c>
      <c r="O53" s="246">
        <v>0</v>
      </c>
      <c r="P53" s="246">
        <v>0</v>
      </c>
      <c r="Q53" s="246">
        <v>0</v>
      </c>
      <c r="R53" s="246">
        <v>0</v>
      </c>
      <c r="S53" s="246">
        <v>0</v>
      </c>
      <c r="T53" s="246">
        <v>0</v>
      </c>
      <c r="U53" s="246">
        <v>0</v>
      </c>
      <c r="V53" s="246">
        <v>0</v>
      </c>
      <c r="W53" s="246">
        <v>0</v>
      </c>
      <c r="X53" s="246">
        <v>0</v>
      </c>
      <c r="Y53" s="246">
        <v>0</v>
      </c>
      <c r="Z53" s="246">
        <v>0</v>
      </c>
      <c r="AA53" s="246">
        <v>0</v>
      </c>
      <c r="AB53" s="246">
        <v>0</v>
      </c>
      <c r="AC53" s="246">
        <v>0</v>
      </c>
      <c r="AD53" s="246">
        <v>0</v>
      </c>
      <c r="AE53" s="246">
        <v>0</v>
      </c>
      <c r="AF53" s="246">
        <v>0</v>
      </c>
      <c r="AG53" s="246">
        <v>0</v>
      </c>
      <c r="AH53" s="246">
        <v>0</v>
      </c>
      <c r="AI53" s="246">
        <v>0</v>
      </c>
      <c r="AJ53" s="246">
        <v>0</v>
      </c>
      <c r="AK53" s="246">
        <v>0</v>
      </c>
      <c r="AL53" s="246">
        <v>0</v>
      </c>
      <c r="AM53" s="246">
        <v>49238</v>
      </c>
      <c r="AN53" s="246">
        <v>0</v>
      </c>
    </row>
    <row r="54" spans="3:40" x14ac:dyDescent="0.3">
      <c r="C54" s="246">
        <v>19</v>
      </c>
      <c r="D54" s="246">
        <v>11</v>
      </c>
      <c r="E54" s="246">
        <v>9</v>
      </c>
      <c r="F54" s="246">
        <v>280803</v>
      </c>
      <c r="G54" s="246">
        <v>0</v>
      </c>
      <c r="H54" s="246">
        <v>183082</v>
      </c>
      <c r="I54" s="246">
        <v>0</v>
      </c>
      <c r="J54" s="246">
        <v>0</v>
      </c>
      <c r="K54" s="246">
        <v>86923</v>
      </c>
      <c r="L54" s="246">
        <v>0</v>
      </c>
      <c r="M54" s="246">
        <v>0</v>
      </c>
      <c r="N54" s="246">
        <v>0</v>
      </c>
      <c r="O54" s="246">
        <v>0</v>
      </c>
      <c r="P54" s="246">
        <v>0</v>
      </c>
      <c r="Q54" s="246">
        <v>0</v>
      </c>
      <c r="R54" s="246">
        <v>0</v>
      </c>
      <c r="S54" s="246">
        <v>0</v>
      </c>
      <c r="T54" s="246">
        <v>0</v>
      </c>
      <c r="U54" s="246">
        <v>0</v>
      </c>
      <c r="V54" s="246">
        <v>0</v>
      </c>
      <c r="W54" s="246">
        <v>0</v>
      </c>
      <c r="X54" s="246">
        <v>0</v>
      </c>
      <c r="Y54" s="246">
        <v>0</v>
      </c>
      <c r="Z54" s="246">
        <v>0</v>
      </c>
      <c r="AA54" s="246">
        <v>0</v>
      </c>
      <c r="AB54" s="246">
        <v>0</v>
      </c>
      <c r="AC54" s="246">
        <v>0</v>
      </c>
      <c r="AD54" s="246">
        <v>0</v>
      </c>
      <c r="AE54" s="246">
        <v>0</v>
      </c>
      <c r="AF54" s="246">
        <v>0</v>
      </c>
      <c r="AG54" s="246">
        <v>0</v>
      </c>
      <c r="AH54" s="246">
        <v>0</v>
      </c>
      <c r="AI54" s="246">
        <v>0</v>
      </c>
      <c r="AJ54" s="246">
        <v>0</v>
      </c>
      <c r="AK54" s="246">
        <v>0</v>
      </c>
      <c r="AL54" s="246">
        <v>0</v>
      </c>
      <c r="AM54" s="246">
        <v>10798</v>
      </c>
      <c r="AN54" s="246">
        <v>0</v>
      </c>
    </row>
    <row r="55" spans="3:40" x14ac:dyDescent="0.3">
      <c r="C55" s="246">
        <v>19</v>
      </c>
      <c r="D55" s="246">
        <v>11</v>
      </c>
      <c r="E55" s="246">
        <v>11</v>
      </c>
      <c r="F55" s="246">
        <v>1372.0833333333333</v>
      </c>
      <c r="G55" s="246">
        <v>0</v>
      </c>
      <c r="H55" s="246">
        <v>1372.0833333333333</v>
      </c>
      <c r="I55" s="246">
        <v>0</v>
      </c>
      <c r="J55" s="246">
        <v>0</v>
      </c>
      <c r="K55" s="246">
        <v>0</v>
      </c>
      <c r="L55" s="246">
        <v>0</v>
      </c>
      <c r="M55" s="246">
        <v>0</v>
      </c>
      <c r="N55" s="246">
        <v>0</v>
      </c>
      <c r="O55" s="246">
        <v>0</v>
      </c>
      <c r="P55" s="246">
        <v>0</v>
      </c>
      <c r="Q55" s="246">
        <v>0</v>
      </c>
      <c r="R55" s="246">
        <v>0</v>
      </c>
      <c r="S55" s="246">
        <v>0</v>
      </c>
      <c r="T55" s="246">
        <v>0</v>
      </c>
      <c r="U55" s="246">
        <v>0</v>
      </c>
      <c r="V55" s="246">
        <v>0</v>
      </c>
      <c r="W55" s="246">
        <v>0</v>
      </c>
      <c r="X55" s="246">
        <v>0</v>
      </c>
      <c r="Y55" s="246">
        <v>0</v>
      </c>
      <c r="Z55" s="246">
        <v>0</v>
      </c>
      <c r="AA55" s="246">
        <v>0</v>
      </c>
      <c r="AB55" s="246">
        <v>0</v>
      </c>
      <c r="AC55" s="246">
        <v>0</v>
      </c>
      <c r="AD55" s="246">
        <v>0</v>
      </c>
      <c r="AE55" s="246">
        <v>0</v>
      </c>
      <c r="AF55" s="246">
        <v>0</v>
      </c>
      <c r="AG55" s="246">
        <v>0</v>
      </c>
      <c r="AH55" s="246">
        <v>0</v>
      </c>
      <c r="AI55" s="246">
        <v>0</v>
      </c>
      <c r="AJ55" s="246">
        <v>0</v>
      </c>
      <c r="AK55" s="246">
        <v>0</v>
      </c>
      <c r="AL55" s="246">
        <v>0</v>
      </c>
      <c r="AM55" s="246">
        <v>0</v>
      </c>
      <c r="AN55" s="24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5.4414062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415" t="s">
        <v>1076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4" customHeight="1" thickBot="1" x14ac:dyDescent="0.35">
      <c r="A3" s="235" t="s">
        <v>136</v>
      </c>
      <c r="B3" s="236">
        <f>SUBTOTAL(9,B6:B1048576)</f>
        <v>1759716</v>
      </c>
      <c r="C3" s="237">
        <f t="shared" ref="C3:R3" si="0">SUBTOTAL(9,C6:C1048576)</f>
        <v>1</v>
      </c>
      <c r="D3" s="237">
        <f t="shared" si="0"/>
        <v>1704430</v>
      </c>
      <c r="E3" s="237">
        <f t="shared" si="0"/>
        <v>0.94989930193281191</v>
      </c>
      <c r="F3" s="237">
        <f t="shared" si="0"/>
        <v>1869188</v>
      </c>
      <c r="G3" s="238">
        <f>IF(B3&lt;&gt;0,F3/B3,"")</f>
        <v>1.0622100384380206</v>
      </c>
      <c r="H3" s="239">
        <f t="shared" si="0"/>
        <v>85914.32</v>
      </c>
      <c r="I3" s="237">
        <f t="shared" si="0"/>
        <v>1</v>
      </c>
      <c r="J3" s="237">
        <f t="shared" si="0"/>
        <v>69843.169999999984</v>
      </c>
      <c r="K3" s="237">
        <f t="shared" si="0"/>
        <v>0.81293979862728327</v>
      </c>
      <c r="L3" s="237">
        <f t="shared" si="0"/>
        <v>63362.000000000015</v>
      </c>
      <c r="M3" s="240">
        <f>IF(H3&lt;&gt;0,L3/H3,"")</f>
        <v>0.73750219986609922</v>
      </c>
      <c r="N3" s="236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102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6"/>
      <c r="B5" s="637">
        <v>2012</v>
      </c>
      <c r="C5" s="638"/>
      <c r="D5" s="638">
        <v>2013</v>
      </c>
      <c r="E5" s="638"/>
      <c r="F5" s="638">
        <v>2014</v>
      </c>
      <c r="G5" s="639" t="s">
        <v>2</v>
      </c>
      <c r="H5" s="637">
        <v>2012</v>
      </c>
      <c r="I5" s="638"/>
      <c r="J5" s="638">
        <v>2013</v>
      </c>
      <c r="K5" s="638"/>
      <c r="L5" s="638">
        <v>2014</v>
      </c>
      <c r="M5" s="639" t="s">
        <v>2</v>
      </c>
      <c r="N5" s="637">
        <v>2012</v>
      </c>
      <c r="O5" s="638"/>
      <c r="P5" s="638">
        <v>2013</v>
      </c>
      <c r="Q5" s="638"/>
      <c r="R5" s="638">
        <v>2014</v>
      </c>
      <c r="S5" s="639" t="s">
        <v>2</v>
      </c>
    </row>
    <row r="6" spans="1:19" ht="14.4" customHeight="1" x14ac:dyDescent="0.3">
      <c r="A6" s="597" t="s">
        <v>1071</v>
      </c>
      <c r="B6" s="640">
        <v>1759716</v>
      </c>
      <c r="C6" s="566">
        <v>1</v>
      </c>
      <c r="D6" s="640">
        <v>1671553</v>
      </c>
      <c r="E6" s="566">
        <v>0.94989930193281191</v>
      </c>
      <c r="F6" s="640">
        <v>1780559</v>
      </c>
      <c r="G6" s="571">
        <v>1.0118445249119745</v>
      </c>
      <c r="H6" s="640">
        <v>85914.32</v>
      </c>
      <c r="I6" s="566">
        <v>1</v>
      </c>
      <c r="J6" s="640">
        <v>69843.169999999984</v>
      </c>
      <c r="K6" s="566">
        <v>0.81293979862728327</v>
      </c>
      <c r="L6" s="640">
        <v>63362.000000000015</v>
      </c>
      <c r="M6" s="571">
        <v>0.73750219986609922</v>
      </c>
      <c r="N6" s="640"/>
      <c r="O6" s="566"/>
      <c r="P6" s="640"/>
      <c r="Q6" s="566"/>
      <c r="R6" s="640"/>
      <c r="S6" s="135"/>
    </row>
    <row r="7" spans="1:19" ht="14.4" customHeight="1" thickBot="1" x14ac:dyDescent="0.35">
      <c r="A7" s="642" t="s">
        <v>1072</v>
      </c>
      <c r="B7" s="641"/>
      <c r="C7" s="581"/>
      <c r="D7" s="641">
        <v>32877</v>
      </c>
      <c r="E7" s="581"/>
      <c r="F7" s="641">
        <v>88629</v>
      </c>
      <c r="G7" s="586"/>
      <c r="H7" s="641"/>
      <c r="I7" s="581"/>
      <c r="J7" s="641"/>
      <c r="K7" s="581"/>
      <c r="L7" s="641"/>
      <c r="M7" s="586"/>
      <c r="N7" s="641"/>
      <c r="O7" s="581"/>
      <c r="P7" s="641"/>
      <c r="Q7" s="581"/>
      <c r="R7" s="641"/>
      <c r="S7" s="587"/>
    </row>
    <row r="8" spans="1:19" ht="14.4" customHeight="1" x14ac:dyDescent="0.3">
      <c r="A8" s="643" t="s">
        <v>1073</v>
      </c>
    </row>
    <row r="9" spans="1:19" ht="14.4" customHeight="1" x14ac:dyDescent="0.3">
      <c r="A9" s="644" t="s">
        <v>1074</v>
      </c>
    </row>
    <row r="10" spans="1:19" ht="14.4" customHeight="1" x14ac:dyDescent="0.3">
      <c r="A10" s="643" t="s">
        <v>1075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4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43" bestFit="1" customWidth="1"/>
    <col min="2" max="4" width="7.77734375" style="222" customWidth="1"/>
    <col min="5" max="7" width="7.77734375" style="119" customWidth="1"/>
    <col min="8" max="16384" width="8.88671875" style="143"/>
  </cols>
  <sheetData>
    <row r="1" spans="1:7" ht="18.600000000000001" customHeight="1" thickBot="1" x14ac:dyDescent="0.4">
      <c r="A1" s="415" t="s">
        <v>1081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</row>
    <row r="3" spans="1:7" ht="14.4" customHeight="1" thickBot="1" x14ac:dyDescent="0.35">
      <c r="A3" s="235" t="s">
        <v>136</v>
      </c>
      <c r="B3" s="333">
        <f t="shared" ref="B3:G3" si="0">SUBTOTAL(9,B6:B1048576)</f>
        <v>12283</v>
      </c>
      <c r="C3" s="334">
        <f t="shared" si="0"/>
        <v>14739</v>
      </c>
      <c r="D3" s="334">
        <f t="shared" si="0"/>
        <v>16514</v>
      </c>
      <c r="E3" s="239">
        <f t="shared" si="0"/>
        <v>1759716</v>
      </c>
      <c r="F3" s="237">
        <f t="shared" si="0"/>
        <v>1704430</v>
      </c>
      <c r="G3" s="335">
        <f t="shared" si="0"/>
        <v>1869188</v>
      </c>
    </row>
    <row r="4" spans="1:7" ht="14.4" customHeight="1" x14ac:dyDescent="0.3">
      <c r="A4" s="416" t="s">
        <v>144</v>
      </c>
      <c r="B4" s="417" t="s">
        <v>287</v>
      </c>
      <c r="C4" s="418"/>
      <c r="D4" s="418"/>
      <c r="E4" s="420" t="s">
        <v>103</v>
      </c>
      <c r="F4" s="421"/>
      <c r="G4" s="422"/>
    </row>
    <row r="5" spans="1:7" ht="14.4" customHeight="1" thickBot="1" x14ac:dyDescent="0.35">
      <c r="A5" s="636"/>
      <c r="B5" s="637">
        <v>2012</v>
      </c>
      <c r="C5" s="638">
        <v>2013</v>
      </c>
      <c r="D5" s="638">
        <v>2014</v>
      </c>
      <c r="E5" s="637">
        <v>2012</v>
      </c>
      <c r="F5" s="638">
        <v>2013</v>
      </c>
      <c r="G5" s="645">
        <v>2014</v>
      </c>
    </row>
    <row r="6" spans="1:7" ht="14.4" customHeight="1" x14ac:dyDescent="0.3">
      <c r="A6" s="597" t="s">
        <v>1077</v>
      </c>
      <c r="B6" s="129"/>
      <c r="C6" s="129"/>
      <c r="D6" s="129">
        <v>1</v>
      </c>
      <c r="E6" s="640"/>
      <c r="F6" s="640"/>
      <c r="G6" s="646">
        <v>35</v>
      </c>
    </row>
    <row r="7" spans="1:7" ht="14.4" customHeight="1" x14ac:dyDescent="0.3">
      <c r="A7" s="598" t="s">
        <v>1078</v>
      </c>
      <c r="B7" s="590">
        <v>823</v>
      </c>
      <c r="C7" s="590">
        <v>1229</v>
      </c>
      <c r="D7" s="590">
        <v>3818</v>
      </c>
      <c r="E7" s="647">
        <v>3494</v>
      </c>
      <c r="F7" s="647">
        <v>12222</v>
      </c>
      <c r="G7" s="648">
        <v>211339</v>
      </c>
    </row>
    <row r="8" spans="1:7" ht="14.4" customHeight="1" x14ac:dyDescent="0.3">
      <c r="A8" s="598" t="s">
        <v>621</v>
      </c>
      <c r="B8" s="590">
        <v>59</v>
      </c>
      <c r="C8" s="590">
        <v>5381</v>
      </c>
      <c r="D8" s="590">
        <v>5209</v>
      </c>
      <c r="E8" s="647">
        <v>10044</v>
      </c>
      <c r="F8" s="647">
        <v>513938</v>
      </c>
      <c r="G8" s="648">
        <v>478364</v>
      </c>
    </row>
    <row r="9" spans="1:7" ht="14.4" customHeight="1" x14ac:dyDescent="0.3">
      <c r="A9" s="598" t="s">
        <v>622</v>
      </c>
      <c r="B9" s="590">
        <v>403</v>
      </c>
      <c r="C9" s="590">
        <v>121</v>
      </c>
      <c r="D9" s="590">
        <v>37</v>
      </c>
      <c r="E9" s="647">
        <v>99919</v>
      </c>
      <c r="F9" s="647">
        <v>8181</v>
      </c>
      <c r="G9" s="648">
        <v>6665</v>
      </c>
    </row>
    <row r="10" spans="1:7" ht="14.4" customHeight="1" x14ac:dyDescent="0.3">
      <c r="A10" s="598" t="s">
        <v>623</v>
      </c>
      <c r="B10" s="590">
        <v>618</v>
      </c>
      <c r="C10" s="590">
        <v>3037</v>
      </c>
      <c r="D10" s="590">
        <v>2764</v>
      </c>
      <c r="E10" s="647">
        <v>85063</v>
      </c>
      <c r="F10" s="647">
        <v>452091</v>
      </c>
      <c r="G10" s="648">
        <v>432138</v>
      </c>
    </row>
    <row r="11" spans="1:7" ht="14.4" customHeight="1" x14ac:dyDescent="0.3">
      <c r="A11" s="598" t="s">
        <v>624</v>
      </c>
      <c r="B11" s="590">
        <v>68</v>
      </c>
      <c r="C11" s="590">
        <v>128</v>
      </c>
      <c r="D11" s="590">
        <v>116</v>
      </c>
      <c r="E11" s="647">
        <v>6339</v>
      </c>
      <c r="F11" s="647">
        <v>14141</v>
      </c>
      <c r="G11" s="648">
        <v>15751</v>
      </c>
    </row>
    <row r="12" spans="1:7" ht="14.4" customHeight="1" x14ac:dyDescent="0.3">
      <c r="A12" s="598" t="s">
        <v>625</v>
      </c>
      <c r="B12" s="590">
        <v>3510</v>
      </c>
      <c r="C12" s="590">
        <v>2434</v>
      </c>
      <c r="D12" s="590">
        <v>2739</v>
      </c>
      <c r="E12" s="647">
        <v>656444</v>
      </c>
      <c r="F12" s="647">
        <v>375297</v>
      </c>
      <c r="G12" s="648">
        <v>476911</v>
      </c>
    </row>
    <row r="13" spans="1:7" ht="14.4" customHeight="1" x14ac:dyDescent="0.3">
      <c r="A13" s="598" t="s">
        <v>1079</v>
      </c>
      <c r="B13" s="590"/>
      <c r="C13" s="590"/>
      <c r="D13" s="590">
        <v>1</v>
      </c>
      <c r="E13" s="647"/>
      <c r="F13" s="647"/>
      <c r="G13" s="648">
        <v>0</v>
      </c>
    </row>
    <row r="14" spans="1:7" ht="14.4" customHeight="1" x14ac:dyDescent="0.3">
      <c r="A14" s="598" t="s">
        <v>1080</v>
      </c>
      <c r="B14" s="590">
        <v>208</v>
      </c>
      <c r="C14" s="590">
        <v>434</v>
      </c>
      <c r="D14" s="590"/>
      <c r="E14" s="647">
        <v>27933</v>
      </c>
      <c r="F14" s="647">
        <v>45108</v>
      </c>
      <c r="G14" s="648"/>
    </row>
    <row r="15" spans="1:7" ht="14.4" customHeight="1" thickBot="1" x14ac:dyDescent="0.35">
      <c r="A15" s="642" t="s">
        <v>626</v>
      </c>
      <c r="B15" s="592">
        <v>6594</v>
      </c>
      <c r="C15" s="592">
        <v>1975</v>
      </c>
      <c r="D15" s="592">
        <v>1829</v>
      </c>
      <c r="E15" s="641">
        <v>870480</v>
      </c>
      <c r="F15" s="641">
        <v>283452</v>
      </c>
      <c r="G15" s="649">
        <v>247985</v>
      </c>
    </row>
    <row r="16" spans="1:7" ht="14.4" customHeight="1" x14ac:dyDescent="0.3">
      <c r="A16" s="643" t="s">
        <v>1073</v>
      </c>
    </row>
    <row r="17" spans="1:1" ht="14.4" customHeight="1" x14ac:dyDescent="0.3">
      <c r="A17" s="644" t="s">
        <v>1074</v>
      </c>
    </row>
    <row r="18" spans="1:1" ht="14.4" customHeight="1" x14ac:dyDescent="0.3">
      <c r="A18" s="643" t="s">
        <v>1075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7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43" bestFit="1" customWidth="1"/>
    <col min="2" max="2" width="2.109375" style="143" bestFit="1" customWidth="1"/>
    <col min="3" max="3" width="22.21875" style="143" customWidth="1"/>
    <col min="4" max="4" width="8" style="143" customWidth="1"/>
    <col min="5" max="5" width="50.88671875" style="143" bestFit="1" customWidth="1"/>
    <col min="6" max="7" width="11.109375" style="222" customWidth="1"/>
    <col min="8" max="9" width="9.33203125" style="143" hidden="1" customWidth="1"/>
    <col min="10" max="11" width="11.109375" style="222" customWidth="1"/>
    <col min="12" max="13" width="9.33203125" style="143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1165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332"/>
      <c r="E2" s="144"/>
      <c r="F2" s="243"/>
      <c r="G2" s="243"/>
      <c r="H2" s="144"/>
      <c r="I2" s="144"/>
      <c r="J2" s="243"/>
      <c r="K2" s="243"/>
      <c r="L2" s="144"/>
      <c r="M2" s="144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14171.74</v>
      </c>
      <c r="G3" s="114">
        <f t="shared" si="0"/>
        <v>1845630.32</v>
      </c>
      <c r="H3" s="74"/>
      <c r="I3" s="74"/>
      <c r="J3" s="114">
        <f t="shared" si="0"/>
        <v>17690.099999999999</v>
      </c>
      <c r="K3" s="114">
        <f t="shared" si="0"/>
        <v>1774273.17</v>
      </c>
      <c r="L3" s="74"/>
      <c r="M3" s="74"/>
      <c r="N3" s="114">
        <f t="shared" si="0"/>
        <v>19757.5</v>
      </c>
      <c r="O3" s="114">
        <f t="shared" si="0"/>
        <v>1932550</v>
      </c>
      <c r="P3" s="75">
        <f>IF(G3=0,0,O3/G3)</f>
        <v>1.0470948483334408</v>
      </c>
      <c r="Q3" s="115">
        <f>IF(N3=0,0,O3/N3)</f>
        <v>97.813488548652415</v>
      </c>
    </row>
    <row r="4" spans="1:17" ht="14.4" customHeight="1" x14ac:dyDescent="0.3">
      <c r="A4" s="424" t="s">
        <v>98</v>
      </c>
      <c r="B4" s="425" t="s">
        <v>99</v>
      </c>
      <c r="C4" s="426" t="s">
        <v>144</v>
      </c>
      <c r="D4" s="431" t="s">
        <v>71</v>
      </c>
      <c r="E4" s="427" t="s">
        <v>70</v>
      </c>
      <c r="F4" s="428">
        <v>2012</v>
      </c>
      <c r="G4" s="429"/>
      <c r="H4" s="112"/>
      <c r="I4" s="112"/>
      <c r="J4" s="428">
        <v>2013</v>
      </c>
      <c r="K4" s="429"/>
      <c r="L4" s="112"/>
      <c r="M4" s="112"/>
      <c r="N4" s="428">
        <v>2014</v>
      </c>
      <c r="O4" s="429"/>
      <c r="P4" s="430" t="s">
        <v>2</v>
      </c>
      <c r="Q4" s="423" t="s">
        <v>101</v>
      </c>
    </row>
    <row r="5" spans="1:17" ht="14.4" customHeight="1" thickBot="1" x14ac:dyDescent="0.35">
      <c r="A5" s="650"/>
      <c r="B5" s="651"/>
      <c r="C5" s="652"/>
      <c r="D5" s="653"/>
      <c r="E5" s="654"/>
      <c r="F5" s="655" t="s">
        <v>72</v>
      </c>
      <c r="G5" s="656" t="s">
        <v>14</v>
      </c>
      <c r="H5" s="657"/>
      <c r="I5" s="657"/>
      <c r="J5" s="655" t="s">
        <v>72</v>
      </c>
      <c r="K5" s="656" t="s">
        <v>14</v>
      </c>
      <c r="L5" s="657"/>
      <c r="M5" s="657"/>
      <c r="N5" s="655" t="s">
        <v>72</v>
      </c>
      <c r="O5" s="656" t="s">
        <v>14</v>
      </c>
      <c r="P5" s="658"/>
      <c r="Q5" s="659"/>
    </row>
    <row r="6" spans="1:17" ht="14.4" customHeight="1" x14ac:dyDescent="0.3">
      <c r="A6" s="565" t="s">
        <v>1082</v>
      </c>
      <c r="B6" s="566" t="s">
        <v>1083</v>
      </c>
      <c r="C6" s="566" t="s">
        <v>1078</v>
      </c>
      <c r="D6" s="566" t="s">
        <v>1084</v>
      </c>
      <c r="E6" s="566" t="s">
        <v>1085</v>
      </c>
      <c r="F6" s="129"/>
      <c r="G6" s="129"/>
      <c r="H6" s="566"/>
      <c r="I6" s="566"/>
      <c r="J6" s="129">
        <v>4.2</v>
      </c>
      <c r="K6" s="129">
        <v>382.99</v>
      </c>
      <c r="L6" s="566"/>
      <c r="M6" s="566">
        <v>91.188095238095229</v>
      </c>
      <c r="N6" s="129">
        <v>11.6</v>
      </c>
      <c r="O6" s="129">
        <v>656.44</v>
      </c>
      <c r="P6" s="571"/>
      <c r="Q6" s="589">
        <v>56.589655172413799</v>
      </c>
    </row>
    <row r="7" spans="1:17" ht="14.4" customHeight="1" x14ac:dyDescent="0.3">
      <c r="A7" s="572" t="s">
        <v>1082</v>
      </c>
      <c r="B7" s="573" t="s">
        <v>1083</v>
      </c>
      <c r="C7" s="573" t="s">
        <v>1078</v>
      </c>
      <c r="D7" s="573" t="s">
        <v>1086</v>
      </c>
      <c r="E7" s="573" t="s">
        <v>1087</v>
      </c>
      <c r="F7" s="590"/>
      <c r="G7" s="590"/>
      <c r="H7" s="573"/>
      <c r="I7" s="573"/>
      <c r="J7" s="590">
        <v>1</v>
      </c>
      <c r="K7" s="590">
        <v>105.46</v>
      </c>
      <c r="L7" s="573"/>
      <c r="M7" s="573">
        <v>105.46</v>
      </c>
      <c r="N7" s="590">
        <v>0.3</v>
      </c>
      <c r="O7" s="590">
        <v>31.62</v>
      </c>
      <c r="P7" s="578"/>
      <c r="Q7" s="591">
        <v>105.4</v>
      </c>
    </row>
    <row r="8" spans="1:17" ht="14.4" customHeight="1" x14ac:dyDescent="0.3">
      <c r="A8" s="572" t="s">
        <v>1082</v>
      </c>
      <c r="B8" s="573" t="s">
        <v>1083</v>
      </c>
      <c r="C8" s="573" t="s">
        <v>1078</v>
      </c>
      <c r="D8" s="573" t="s">
        <v>1088</v>
      </c>
      <c r="E8" s="573" t="s">
        <v>1089</v>
      </c>
      <c r="F8" s="590"/>
      <c r="G8" s="590"/>
      <c r="H8" s="573"/>
      <c r="I8" s="573"/>
      <c r="J8" s="590">
        <v>1</v>
      </c>
      <c r="K8" s="590">
        <v>110.63</v>
      </c>
      <c r="L8" s="573"/>
      <c r="M8" s="573">
        <v>110.63</v>
      </c>
      <c r="N8" s="590">
        <v>0.4</v>
      </c>
      <c r="O8" s="590">
        <v>44.24</v>
      </c>
      <c r="P8" s="578"/>
      <c r="Q8" s="591">
        <v>110.6</v>
      </c>
    </row>
    <row r="9" spans="1:17" ht="14.4" customHeight="1" x14ac:dyDescent="0.3">
      <c r="A9" s="572" t="s">
        <v>1082</v>
      </c>
      <c r="B9" s="573" t="s">
        <v>1083</v>
      </c>
      <c r="C9" s="573" t="s">
        <v>1078</v>
      </c>
      <c r="D9" s="573" t="s">
        <v>1090</v>
      </c>
      <c r="E9" s="573" t="s">
        <v>1091</v>
      </c>
      <c r="F9" s="590"/>
      <c r="G9" s="590"/>
      <c r="H9" s="573"/>
      <c r="I9" s="573"/>
      <c r="J9" s="590">
        <v>1</v>
      </c>
      <c r="K9" s="590">
        <v>9.4499999999999993</v>
      </c>
      <c r="L9" s="573"/>
      <c r="M9" s="573">
        <v>9.4499999999999993</v>
      </c>
      <c r="N9" s="590"/>
      <c r="O9" s="590"/>
      <c r="P9" s="578"/>
      <c r="Q9" s="591"/>
    </row>
    <row r="10" spans="1:17" ht="14.4" customHeight="1" x14ac:dyDescent="0.3">
      <c r="A10" s="572" t="s">
        <v>1082</v>
      </c>
      <c r="B10" s="573" t="s">
        <v>1083</v>
      </c>
      <c r="C10" s="573" t="s">
        <v>1078</v>
      </c>
      <c r="D10" s="573" t="s">
        <v>1092</v>
      </c>
      <c r="E10" s="573" t="s">
        <v>1073</v>
      </c>
      <c r="F10" s="590"/>
      <c r="G10" s="590"/>
      <c r="H10" s="573"/>
      <c r="I10" s="573"/>
      <c r="J10" s="590">
        <v>3</v>
      </c>
      <c r="K10" s="590">
        <v>11.34</v>
      </c>
      <c r="L10" s="573"/>
      <c r="M10" s="573">
        <v>3.78</v>
      </c>
      <c r="N10" s="590"/>
      <c r="O10" s="590"/>
      <c r="P10" s="578"/>
      <c r="Q10" s="591"/>
    </row>
    <row r="11" spans="1:17" ht="14.4" customHeight="1" x14ac:dyDescent="0.3">
      <c r="A11" s="572" t="s">
        <v>1082</v>
      </c>
      <c r="B11" s="573" t="s">
        <v>1083</v>
      </c>
      <c r="C11" s="573" t="s">
        <v>1078</v>
      </c>
      <c r="D11" s="573" t="s">
        <v>1092</v>
      </c>
      <c r="E11" s="573" t="s">
        <v>1091</v>
      </c>
      <c r="F11" s="590"/>
      <c r="G11" s="590"/>
      <c r="H11" s="573"/>
      <c r="I11" s="573"/>
      <c r="J11" s="590">
        <v>5</v>
      </c>
      <c r="K11" s="590">
        <v>18.899999999999999</v>
      </c>
      <c r="L11" s="573"/>
      <c r="M11" s="573">
        <v>3.78</v>
      </c>
      <c r="N11" s="590">
        <v>13</v>
      </c>
      <c r="O11" s="590">
        <v>49.14</v>
      </c>
      <c r="P11" s="578"/>
      <c r="Q11" s="591">
        <v>3.7800000000000002</v>
      </c>
    </row>
    <row r="12" spans="1:17" ht="14.4" customHeight="1" x14ac:dyDescent="0.3">
      <c r="A12" s="572" t="s">
        <v>1082</v>
      </c>
      <c r="B12" s="573" t="s">
        <v>1083</v>
      </c>
      <c r="C12" s="573" t="s">
        <v>1078</v>
      </c>
      <c r="D12" s="573" t="s">
        <v>1093</v>
      </c>
      <c r="E12" s="573" t="s">
        <v>1094</v>
      </c>
      <c r="F12" s="590"/>
      <c r="G12" s="590"/>
      <c r="H12" s="573"/>
      <c r="I12" s="573"/>
      <c r="J12" s="590"/>
      <c r="K12" s="590"/>
      <c r="L12" s="573"/>
      <c r="M12" s="573"/>
      <c r="N12" s="590">
        <v>1</v>
      </c>
      <c r="O12" s="590">
        <v>59.43</v>
      </c>
      <c r="P12" s="578"/>
      <c r="Q12" s="591">
        <v>59.43</v>
      </c>
    </row>
    <row r="13" spans="1:17" ht="14.4" customHeight="1" x14ac:dyDescent="0.3">
      <c r="A13" s="572" t="s">
        <v>1082</v>
      </c>
      <c r="B13" s="573" t="s">
        <v>1083</v>
      </c>
      <c r="C13" s="573" t="s">
        <v>1078</v>
      </c>
      <c r="D13" s="573" t="s">
        <v>1095</v>
      </c>
      <c r="E13" s="573" t="s">
        <v>537</v>
      </c>
      <c r="F13" s="590"/>
      <c r="G13" s="590"/>
      <c r="H13" s="573"/>
      <c r="I13" s="573"/>
      <c r="J13" s="590"/>
      <c r="K13" s="590"/>
      <c r="L13" s="573"/>
      <c r="M13" s="573"/>
      <c r="N13" s="590">
        <v>2</v>
      </c>
      <c r="O13" s="590">
        <v>7.5600000000000005</v>
      </c>
      <c r="P13" s="578"/>
      <c r="Q13" s="591">
        <v>3.7800000000000002</v>
      </c>
    </row>
    <row r="14" spans="1:17" ht="14.4" customHeight="1" x14ac:dyDescent="0.3">
      <c r="A14" s="572" t="s">
        <v>1082</v>
      </c>
      <c r="B14" s="573" t="s">
        <v>1083</v>
      </c>
      <c r="C14" s="573" t="s">
        <v>621</v>
      </c>
      <c r="D14" s="573" t="s">
        <v>1084</v>
      </c>
      <c r="E14" s="573" t="s">
        <v>1085</v>
      </c>
      <c r="F14" s="590"/>
      <c r="G14" s="590"/>
      <c r="H14" s="573"/>
      <c r="I14" s="573"/>
      <c r="J14" s="590">
        <v>6.8</v>
      </c>
      <c r="K14" s="590">
        <v>606.22</v>
      </c>
      <c r="L14" s="573"/>
      <c r="M14" s="573">
        <v>89.15</v>
      </c>
      <c r="N14" s="590">
        <v>343</v>
      </c>
      <c r="O14" s="590">
        <v>19396.649999999998</v>
      </c>
      <c r="P14" s="578"/>
      <c r="Q14" s="591">
        <v>56.55</v>
      </c>
    </row>
    <row r="15" spans="1:17" ht="14.4" customHeight="1" x14ac:dyDescent="0.3">
      <c r="A15" s="572" t="s">
        <v>1082</v>
      </c>
      <c r="B15" s="573" t="s">
        <v>1083</v>
      </c>
      <c r="C15" s="573" t="s">
        <v>621</v>
      </c>
      <c r="D15" s="573" t="s">
        <v>1096</v>
      </c>
      <c r="E15" s="573" t="s">
        <v>1097</v>
      </c>
      <c r="F15" s="590"/>
      <c r="G15" s="590"/>
      <c r="H15" s="573"/>
      <c r="I15" s="573"/>
      <c r="J15" s="590"/>
      <c r="K15" s="590"/>
      <c r="L15" s="573"/>
      <c r="M15" s="573"/>
      <c r="N15" s="590">
        <v>1</v>
      </c>
      <c r="O15" s="590">
        <v>113.2</v>
      </c>
      <c r="P15" s="578"/>
      <c r="Q15" s="591">
        <v>113.2</v>
      </c>
    </row>
    <row r="16" spans="1:17" ht="14.4" customHeight="1" x14ac:dyDescent="0.3">
      <c r="A16" s="572" t="s">
        <v>1082</v>
      </c>
      <c r="B16" s="573" t="s">
        <v>1083</v>
      </c>
      <c r="C16" s="573" t="s">
        <v>621</v>
      </c>
      <c r="D16" s="573" t="s">
        <v>1098</v>
      </c>
      <c r="E16" s="573" t="s">
        <v>1099</v>
      </c>
      <c r="F16" s="590"/>
      <c r="G16" s="590"/>
      <c r="H16" s="573"/>
      <c r="I16" s="573"/>
      <c r="J16" s="590"/>
      <c r="K16" s="590"/>
      <c r="L16" s="573"/>
      <c r="M16" s="573"/>
      <c r="N16" s="590">
        <v>0.9</v>
      </c>
      <c r="O16" s="590">
        <v>142.11000000000001</v>
      </c>
      <c r="P16" s="578"/>
      <c r="Q16" s="591">
        <v>157.9</v>
      </c>
    </row>
    <row r="17" spans="1:17" ht="14.4" customHeight="1" x14ac:dyDescent="0.3">
      <c r="A17" s="572" t="s">
        <v>1082</v>
      </c>
      <c r="B17" s="573" t="s">
        <v>1083</v>
      </c>
      <c r="C17" s="573" t="s">
        <v>621</v>
      </c>
      <c r="D17" s="573" t="s">
        <v>1100</v>
      </c>
      <c r="E17" s="573" t="s">
        <v>486</v>
      </c>
      <c r="F17" s="590"/>
      <c r="G17" s="590"/>
      <c r="H17" s="573"/>
      <c r="I17" s="573"/>
      <c r="J17" s="590"/>
      <c r="K17" s="590"/>
      <c r="L17" s="573"/>
      <c r="M17" s="573"/>
      <c r="N17" s="590">
        <v>2.9</v>
      </c>
      <c r="O17" s="590">
        <v>395.85</v>
      </c>
      <c r="P17" s="578"/>
      <c r="Q17" s="591">
        <v>136.5</v>
      </c>
    </row>
    <row r="18" spans="1:17" ht="14.4" customHeight="1" x14ac:dyDescent="0.3">
      <c r="A18" s="572" t="s">
        <v>1082</v>
      </c>
      <c r="B18" s="573" t="s">
        <v>1083</v>
      </c>
      <c r="C18" s="573" t="s">
        <v>621</v>
      </c>
      <c r="D18" s="573" t="s">
        <v>1086</v>
      </c>
      <c r="E18" s="573" t="s">
        <v>1087</v>
      </c>
      <c r="F18" s="590"/>
      <c r="G18" s="590"/>
      <c r="H18" s="573"/>
      <c r="I18" s="573"/>
      <c r="J18" s="590">
        <v>2.2999999999999998</v>
      </c>
      <c r="K18" s="590">
        <v>242.54</v>
      </c>
      <c r="L18" s="573"/>
      <c r="M18" s="573">
        <v>105.45217391304348</v>
      </c>
      <c r="N18" s="590">
        <v>27.5</v>
      </c>
      <c r="O18" s="590">
        <v>2898.5</v>
      </c>
      <c r="P18" s="578"/>
      <c r="Q18" s="591">
        <v>105.4</v>
      </c>
    </row>
    <row r="19" spans="1:17" ht="14.4" customHeight="1" x14ac:dyDescent="0.3">
      <c r="A19" s="572" t="s">
        <v>1082</v>
      </c>
      <c r="B19" s="573" t="s">
        <v>1083</v>
      </c>
      <c r="C19" s="573" t="s">
        <v>621</v>
      </c>
      <c r="D19" s="573" t="s">
        <v>1101</v>
      </c>
      <c r="E19" s="573" t="s">
        <v>542</v>
      </c>
      <c r="F19" s="590"/>
      <c r="G19" s="590"/>
      <c r="H19" s="573"/>
      <c r="I19" s="573"/>
      <c r="J19" s="590"/>
      <c r="K19" s="590"/>
      <c r="L19" s="573"/>
      <c r="M19" s="573"/>
      <c r="N19" s="590">
        <v>1.4</v>
      </c>
      <c r="O19" s="590">
        <v>75.25</v>
      </c>
      <c r="P19" s="578"/>
      <c r="Q19" s="591">
        <v>53.75</v>
      </c>
    </row>
    <row r="20" spans="1:17" ht="14.4" customHeight="1" x14ac:dyDescent="0.3">
      <c r="A20" s="572" t="s">
        <v>1082</v>
      </c>
      <c r="B20" s="573" t="s">
        <v>1083</v>
      </c>
      <c r="C20" s="573" t="s">
        <v>621</v>
      </c>
      <c r="D20" s="573" t="s">
        <v>1088</v>
      </c>
      <c r="E20" s="573" t="s">
        <v>1089</v>
      </c>
      <c r="F20" s="590"/>
      <c r="G20" s="590"/>
      <c r="H20" s="573"/>
      <c r="I20" s="573"/>
      <c r="J20" s="590">
        <v>4.5</v>
      </c>
      <c r="K20" s="590">
        <v>497.76</v>
      </c>
      <c r="L20" s="573"/>
      <c r="M20" s="573">
        <v>110.61333333333333</v>
      </c>
      <c r="N20" s="590">
        <v>18.2</v>
      </c>
      <c r="O20" s="590">
        <v>2012.9199999999998</v>
      </c>
      <c r="P20" s="578"/>
      <c r="Q20" s="591">
        <v>110.6</v>
      </c>
    </row>
    <row r="21" spans="1:17" ht="14.4" customHeight="1" x14ac:dyDescent="0.3">
      <c r="A21" s="572" t="s">
        <v>1082</v>
      </c>
      <c r="B21" s="573" t="s">
        <v>1083</v>
      </c>
      <c r="C21" s="573" t="s">
        <v>621</v>
      </c>
      <c r="D21" s="573" t="s">
        <v>1090</v>
      </c>
      <c r="E21" s="573" t="s">
        <v>1091</v>
      </c>
      <c r="F21" s="590"/>
      <c r="G21" s="590"/>
      <c r="H21" s="573"/>
      <c r="I21" s="573"/>
      <c r="J21" s="590">
        <v>16</v>
      </c>
      <c r="K21" s="590">
        <v>151.19999999999999</v>
      </c>
      <c r="L21" s="573"/>
      <c r="M21" s="573">
        <v>9.4499999999999993</v>
      </c>
      <c r="N21" s="590">
        <v>42</v>
      </c>
      <c r="O21" s="590">
        <v>396.90000000000003</v>
      </c>
      <c r="P21" s="578"/>
      <c r="Q21" s="591">
        <v>9.4500000000000011</v>
      </c>
    </row>
    <row r="22" spans="1:17" ht="14.4" customHeight="1" x14ac:dyDescent="0.3">
      <c r="A22" s="572" t="s">
        <v>1082</v>
      </c>
      <c r="B22" s="573" t="s">
        <v>1083</v>
      </c>
      <c r="C22" s="573" t="s">
        <v>621</v>
      </c>
      <c r="D22" s="573" t="s">
        <v>1092</v>
      </c>
      <c r="E22" s="573" t="s">
        <v>1073</v>
      </c>
      <c r="F22" s="590"/>
      <c r="G22" s="590"/>
      <c r="H22" s="573"/>
      <c r="I22" s="573"/>
      <c r="J22" s="590">
        <v>591</v>
      </c>
      <c r="K22" s="590">
        <v>2233.98</v>
      </c>
      <c r="L22" s="573"/>
      <c r="M22" s="573">
        <v>3.7800000000000002</v>
      </c>
      <c r="N22" s="590"/>
      <c r="O22" s="590"/>
      <c r="P22" s="578"/>
      <c r="Q22" s="591"/>
    </row>
    <row r="23" spans="1:17" ht="14.4" customHeight="1" x14ac:dyDescent="0.3">
      <c r="A23" s="572" t="s">
        <v>1082</v>
      </c>
      <c r="B23" s="573" t="s">
        <v>1083</v>
      </c>
      <c r="C23" s="573" t="s">
        <v>621</v>
      </c>
      <c r="D23" s="573" t="s">
        <v>1092</v>
      </c>
      <c r="E23" s="573" t="s">
        <v>1091</v>
      </c>
      <c r="F23" s="590"/>
      <c r="G23" s="590"/>
      <c r="H23" s="573"/>
      <c r="I23" s="573"/>
      <c r="J23" s="590">
        <v>1121</v>
      </c>
      <c r="K23" s="590">
        <v>4237.38</v>
      </c>
      <c r="L23" s="573"/>
      <c r="M23" s="573">
        <v>3.7800000000000002</v>
      </c>
      <c r="N23" s="590">
        <v>948</v>
      </c>
      <c r="O23" s="590">
        <v>3583.44</v>
      </c>
      <c r="P23" s="578"/>
      <c r="Q23" s="591">
        <v>3.7800000000000002</v>
      </c>
    </row>
    <row r="24" spans="1:17" ht="14.4" customHeight="1" x14ac:dyDescent="0.3">
      <c r="A24" s="572" t="s">
        <v>1082</v>
      </c>
      <c r="B24" s="573" t="s">
        <v>1083</v>
      </c>
      <c r="C24" s="573" t="s">
        <v>621</v>
      </c>
      <c r="D24" s="573" t="s">
        <v>1093</v>
      </c>
      <c r="E24" s="573" t="s">
        <v>1094</v>
      </c>
      <c r="F24" s="590"/>
      <c r="G24" s="590"/>
      <c r="H24" s="573"/>
      <c r="I24" s="573"/>
      <c r="J24" s="590">
        <v>269</v>
      </c>
      <c r="K24" s="590">
        <v>17992.810000000001</v>
      </c>
      <c r="L24" s="573"/>
      <c r="M24" s="573">
        <v>66.887769516728625</v>
      </c>
      <c r="N24" s="590">
        <v>233</v>
      </c>
      <c r="O24" s="590">
        <v>13847.189999999999</v>
      </c>
      <c r="P24" s="578"/>
      <c r="Q24" s="591">
        <v>59.429999999999993</v>
      </c>
    </row>
    <row r="25" spans="1:17" ht="14.4" customHeight="1" x14ac:dyDescent="0.3">
      <c r="A25" s="572" t="s">
        <v>1082</v>
      </c>
      <c r="B25" s="573" t="s">
        <v>1083</v>
      </c>
      <c r="C25" s="573" t="s">
        <v>621</v>
      </c>
      <c r="D25" s="573" t="s">
        <v>1095</v>
      </c>
      <c r="E25" s="573" t="s">
        <v>537</v>
      </c>
      <c r="F25" s="590"/>
      <c r="G25" s="590"/>
      <c r="H25" s="573"/>
      <c r="I25" s="573"/>
      <c r="J25" s="590"/>
      <c r="K25" s="590"/>
      <c r="L25" s="573"/>
      <c r="M25" s="573"/>
      <c r="N25" s="590">
        <v>787</v>
      </c>
      <c r="O25" s="590">
        <v>2974.8599999999997</v>
      </c>
      <c r="P25" s="578"/>
      <c r="Q25" s="591">
        <v>3.78</v>
      </c>
    </row>
    <row r="26" spans="1:17" ht="14.4" customHeight="1" x14ac:dyDescent="0.3">
      <c r="A26" s="572" t="s">
        <v>1082</v>
      </c>
      <c r="B26" s="573" t="s">
        <v>1083</v>
      </c>
      <c r="C26" s="573" t="s">
        <v>623</v>
      </c>
      <c r="D26" s="573" t="s">
        <v>1084</v>
      </c>
      <c r="E26" s="573" t="s">
        <v>1085</v>
      </c>
      <c r="F26" s="590">
        <v>15.599999999999998</v>
      </c>
      <c r="G26" s="590">
        <v>1410.24</v>
      </c>
      <c r="H26" s="573">
        <v>1</v>
      </c>
      <c r="I26" s="573">
        <v>90.40000000000002</v>
      </c>
      <c r="J26" s="590">
        <v>323.2</v>
      </c>
      <c r="K26" s="590">
        <v>26704.560000000001</v>
      </c>
      <c r="L26" s="573">
        <v>18.936181075561606</v>
      </c>
      <c r="M26" s="573">
        <v>82.625495049504963</v>
      </c>
      <c r="N26" s="590">
        <v>62.199999999999989</v>
      </c>
      <c r="O26" s="590">
        <v>3518.37</v>
      </c>
      <c r="P26" s="578">
        <v>2.4948732130701154</v>
      </c>
      <c r="Q26" s="591">
        <v>56.565434083601296</v>
      </c>
    </row>
    <row r="27" spans="1:17" ht="14.4" customHeight="1" x14ac:dyDescent="0.3">
      <c r="A27" s="572" t="s">
        <v>1082</v>
      </c>
      <c r="B27" s="573" t="s">
        <v>1083</v>
      </c>
      <c r="C27" s="573" t="s">
        <v>623</v>
      </c>
      <c r="D27" s="573" t="s">
        <v>1096</v>
      </c>
      <c r="E27" s="573" t="s">
        <v>1097</v>
      </c>
      <c r="F27" s="590">
        <v>2</v>
      </c>
      <c r="G27" s="590">
        <v>241.04</v>
      </c>
      <c r="H27" s="573">
        <v>1</v>
      </c>
      <c r="I27" s="573">
        <v>120.52</v>
      </c>
      <c r="J27" s="590"/>
      <c r="K27" s="590"/>
      <c r="L27" s="573"/>
      <c r="M27" s="573"/>
      <c r="N27" s="590"/>
      <c r="O27" s="590"/>
      <c r="P27" s="578"/>
      <c r="Q27" s="591"/>
    </row>
    <row r="28" spans="1:17" ht="14.4" customHeight="1" x14ac:dyDescent="0.3">
      <c r="A28" s="572" t="s">
        <v>1082</v>
      </c>
      <c r="B28" s="573" t="s">
        <v>1083</v>
      </c>
      <c r="C28" s="573" t="s">
        <v>623</v>
      </c>
      <c r="D28" s="573" t="s">
        <v>1098</v>
      </c>
      <c r="E28" s="573" t="s">
        <v>1099</v>
      </c>
      <c r="F28" s="590"/>
      <c r="G28" s="590"/>
      <c r="H28" s="573"/>
      <c r="I28" s="573"/>
      <c r="J28" s="590"/>
      <c r="K28" s="590"/>
      <c r="L28" s="573"/>
      <c r="M28" s="573"/>
      <c r="N28" s="590">
        <v>0.1</v>
      </c>
      <c r="O28" s="590">
        <v>15.79</v>
      </c>
      <c r="P28" s="578"/>
      <c r="Q28" s="591">
        <v>157.89999999999998</v>
      </c>
    </row>
    <row r="29" spans="1:17" ht="14.4" customHeight="1" x14ac:dyDescent="0.3">
      <c r="A29" s="572" t="s">
        <v>1082</v>
      </c>
      <c r="B29" s="573" t="s">
        <v>1083</v>
      </c>
      <c r="C29" s="573" t="s">
        <v>623</v>
      </c>
      <c r="D29" s="573" t="s">
        <v>1100</v>
      </c>
      <c r="E29" s="573" t="s">
        <v>486</v>
      </c>
      <c r="F29" s="590"/>
      <c r="G29" s="590"/>
      <c r="H29" s="573"/>
      <c r="I29" s="573"/>
      <c r="J29" s="590"/>
      <c r="K29" s="590"/>
      <c r="L29" s="573"/>
      <c r="M29" s="573"/>
      <c r="N29" s="590">
        <v>0.1</v>
      </c>
      <c r="O29" s="590">
        <v>13.65</v>
      </c>
      <c r="P29" s="578"/>
      <c r="Q29" s="591">
        <v>136.5</v>
      </c>
    </row>
    <row r="30" spans="1:17" ht="14.4" customHeight="1" x14ac:dyDescent="0.3">
      <c r="A30" s="572" t="s">
        <v>1082</v>
      </c>
      <c r="B30" s="573" t="s">
        <v>1083</v>
      </c>
      <c r="C30" s="573" t="s">
        <v>623</v>
      </c>
      <c r="D30" s="573" t="s">
        <v>1102</v>
      </c>
      <c r="E30" s="573" t="s">
        <v>1103</v>
      </c>
      <c r="F30" s="590"/>
      <c r="G30" s="590"/>
      <c r="H30" s="573"/>
      <c r="I30" s="573"/>
      <c r="J30" s="590"/>
      <c r="K30" s="590"/>
      <c r="L30" s="573"/>
      <c r="M30" s="573"/>
      <c r="N30" s="590">
        <v>0.2</v>
      </c>
      <c r="O30" s="590">
        <v>15.57</v>
      </c>
      <c r="P30" s="578"/>
      <c r="Q30" s="591">
        <v>77.849999999999994</v>
      </c>
    </row>
    <row r="31" spans="1:17" ht="14.4" customHeight="1" x14ac:dyDescent="0.3">
      <c r="A31" s="572" t="s">
        <v>1082</v>
      </c>
      <c r="B31" s="573" t="s">
        <v>1083</v>
      </c>
      <c r="C31" s="573" t="s">
        <v>623</v>
      </c>
      <c r="D31" s="573" t="s">
        <v>1086</v>
      </c>
      <c r="E31" s="573" t="s">
        <v>1087</v>
      </c>
      <c r="F31" s="590">
        <v>5.2999999999999989</v>
      </c>
      <c r="G31" s="590">
        <v>554.04999999999995</v>
      </c>
      <c r="H31" s="573">
        <v>1</v>
      </c>
      <c r="I31" s="573">
        <v>104.53773584905662</v>
      </c>
      <c r="J31" s="590">
        <v>14.1</v>
      </c>
      <c r="K31" s="590">
        <v>1486.98</v>
      </c>
      <c r="L31" s="573">
        <v>2.6838371988087721</v>
      </c>
      <c r="M31" s="573">
        <v>105.45957446808511</v>
      </c>
      <c r="N31" s="590">
        <v>4.5999999999999996</v>
      </c>
      <c r="O31" s="590">
        <v>484.96000000000004</v>
      </c>
      <c r="P31" s="578">
        <v>0.87530006317119402</v>
      </c>
      <c r="Q31" s="591">
        <v>105.42608695652176</v>
      </c>
    </row>
    <row r="32" spans="1:17" ht="14.4" customHeight="1" x14ac:dyDescent="0.3">
      <c r="A32" s="572" t="s">
        <v>1082</v>
      </c>
      <c r="B32" s="573" t="s">
        <v>1083</v>
      </c>
      <c r="C32" s="573" t="s">
        <v>623</v>
      </c>
      <c r="D32" s="573" t="s">
        <v>1088</v>
      </c>
      <c r="E32" s="573" t="s">
        <v>1089</v>
      </c>
      <c r="F32" s="590">
        <v>1</v>
      </c>
      <c r="G32" s="590">
        <v>109.67</v>
      </c>
      <c r="H32" s="573">
        <v>1</v>
      </c>
      <c r="I32" s="573">
        <v>109.67</v>
      </c>
      <c r="J32" s="590">
        <v>14</v>
      </c>
      <c r="K32" s="590">
        <v>1548.8199999999997</v>
      </c>
      <c r="L32" s="573">
        <v>14.12254946658156</v>
      </c>
      <c r="M32" s="573">
        <v>110.62999999999998</v>
      </c>
      <c r="N32" s="590">
        <v>3.3000000000000003</v>
      </c>
      <c r="O32" s="590">
        <v>365.04</v>
      </c>
      <c r="P32" s="578">
        <v>3.3285310476885202</v>
      </c>
      <c r="Q32" s="591">
        <v>110.61818181818181</v>
      </c>
    </row>
    <row r="33" spans="1:17" ht="14.4" customHeight="1" x14ac:dyDescent="0.3">
      <c r="A33" s="572" t="s">
        <v>1082</v>
      </c>
      <c r="B33" s="573" t="s">
        <v>1083</v>
      </c>
      <c r="C33" s="573" t="s">
        <v>623</v>
      </c>
      <c r="D33" s="573" t="s">
        <v>1090</v>
      </c>
      <c r="E33" s="573" t="s">
        <v>1091</v>
      </c>
      <c r="F33" s="590">
        <v>8</v>
      </c>
      <c r="G33" s="590">
        <v>145.36000000000001</v>
      </c>
      <c r="H33" s="573">
        <v>1</v>
      </c>
      <c r="I33" s="573">
        <v>18.170000000000002</v>
      </c>
      <c r="J33" s="590">
        <v>1</v>
      </c>
      <c r="K33" s="590">
        <v>9.4499999999999993</v>
      </c>
      <c r="L33" s="573">
        <v>6.501100715465051E-2</v>
      </c>
      <c r="M33" s="573">
        <v>9.4499999999999993</v>
      </c>
      <c r="N33" s="590">
        <v>2</v>
      </c>
      <c r="O33" s="590">
        <v>18.899999999999999</v>
      </c>
      <c r="P33" s="578">
        <v>0.13002201430930102</v>
      </c>
      <c r="Q33" s="591">
        <v>9.4499999999999993</v>
      </c>
    </row>
    <row r="34" spans="1:17" ht="14.4" customHeight="1" x14ac:dyDescent="0.3">
      <c r="A34" s="572" t="s">
        <v>1082</v>
      </c>
      <c r="B34" s="573" t="s">
        <v>1083</v>
      </c>
      <c r="C34" s="573" t="s">
        <v>623</v>
      </c>
      <c r="D34" s="573" t="s">
        <v>1092</v>
      </c>
      <c r="E34" s="573" t="s">
        <v>1073</v>
      </c>
      <c r="F34" s="590">
        <v>6</v>
      </c>
      <c r="G34" s="590">
        <v>22.5</v>
      </c>
      <c r="H34" s="573">
        <v>1</v>
      </c>
      <c r="I34" s="573">
        <v>3.75</v>
      </c>
      <c r="J34" s="590">
        <v>50</v>
      </c>
      <c r="K34" s="590">
        <v>189</v>
      </c>
      <c r="L34" s="573">
        <v>8.4</v>
      </c>
      <c r="M34" s="573">
        <v>3.78</v>
      </c>
      <c r="N34" s="590"/>
      <c r="O34" s="590"/>
      <c r="P34" s="578"/>
      <c r="Q34" s="591"/>
    </row>
    <row r="35" spans="1:17" ht="14.4" customHeight="1" x14ac:dyDescent="0.3">
      <c r="A35" s="572" t="s">
        <v>1082</v>
      </c>
      <c r="B35" s="573" t="s">
        <v>1083</v>
      </c>
      <c r="C35" s="573" t="s">
        <v>623</v>
      </c>
      <c r="D35" s="573" t="s">
        <v>1092</v>
      </c>
      <c r="E35" s="573" t="s">
        <v>1091</v>
      </c>
      <c r="F35" s="590">
        <v>29</v>
      </c>
      <c r="G35" s="590">
        <v>374.75</v>
      </c>
      <c r="H35" s="573">
        <v>1</v>
      </c>
      <c r="I35" s="573">
        <v>12.922413793103448</v>
      </c>
      <c r="J35" s="590">
        <v>128</v>
      </c>
      <c r="K35" s="590">
        <v>483.84000000000003</v>
      </c>
      <c r="L35" s="573">
        <v>1.2911007338225484</v>
      </c>
      <c r="M35" s="573">
        <v>3.7800000000000002</v>
      </c>
      <c r="N35" s="590">
        <v>94</v>
      </c>
      <c r="O35" s="590">
        <v>355.32</v>
      </c>
      <c r="P35" s="578">
        <v>0.94815210140093398</v>
      </c>
      <c r="Q35" s="591">
        <v>3.78</v>
      </c>
    </row>
    <row r="36" spans="1:17" ht="14.4" customHeight="1" x14ac:dyDescent="0.3">
      <c r="A36" s="572" t="s">
        <v>1082</v>
      </c>
      <c r="B36" s="573" t="s">
        <v>1083</v>
      </c>
      <c r="C36" s="573" t="s">
        <v>623</v>
      </c>
      <c r="D36" s="573" t="s">
        <v>1093</v>
      </c>
      <c r="E36" s="573" t="s">
        <v>1094</v>
      </c>
      <c r="F36" s="590">
        <v>22</v>
      </c>
      <c r="G36" s="590">
        <v>2034.6799999999998</v>
      </c>
      <c r="H36" s="573">
        <v>1</v>
      </c>
      <c r="I36" s="573">
        <v>92.485454545454544</v>
      </c>
      <c r="J36" s="590">
        <v>25</v>
      </c>
      <c r="K36" s="590">
        <v>1756.85</v>
      </c>
      <c r="L36" s="573">
        <v>0.86345272966756448</v>
      </c>
      <c r="M36" s="573">
        <v>70.274000000000001</v>
      </c>
      <c r="N36" s="590">
        <v>22</v>
      </c>
      <c r="O36" s="590">
        <v>1307.46</v>
      </c>
      <c r="P36" s="578">
        <v>0.64258753219179432</v>
      </c>
      <c r="Q36" s="591">
        <v>59.43</v>
      </c>
    </row>
    <row r="37" spans="1:17" ht="14.4" customHeight="1" x14ac:dyDescent="0.3">
      <c r="A37" s="572" t="s">
        <v>1082</v>
      </c>
      <c r="B37" s="573" t="s">
        <v>1083</v>
      </c>
      <c r="C37" s="573" t="s">
        <v>623</v>
      </c>
      <c r="D37" s="573" t="s">
        <v>1095</v>
      </c>
      <c r="E37" s="573" t="s">
        <v>537</v>
      </c>
      <c r="F37" s="590"/>
      <c r="G37" s="590"/>
      <c r="H37" s="573"/>
      <c r="I37" s="573"/>
      <c r="J37" s="590"/>
      <c r="K37" s="590"/>
      <c r="L37" s="573"/>
      <c r="M37" s="573"/>
      <c r="N37" s="590">
        <v>97</v>
      </c>
      <c r="O37" s="590">
        <v>366.65999999999997</v>
      </c>
      <c r="P37" s="578"/>
      <c r="Q37" s="591">
        <v>3.78</v>
      </c>
    </row>
    <row r="38" spans="1:17" ht="14.4" customHeight="1" x14ac:dyDescent="0.3">
      <c r="A38" s="572" t="s">
        <v>1082</v>
      </c>
      <c r="B38" s="573" t="s">
        <v>1083</v>
      </c>
      <c r="C38" s="573" t="s">
        <v>624</v>
      </c>
      <c r="D38" s="573" t="s">
        <v>1084</v>
      </c>
      <c r="E38" s="573" t="s">
        <v>1085</v>
      </c>
      <c r="F38" s="590">
        <v>8.6</v>
      </c>
      <c r="G38" s="590">
        <v>797.06000000000006</v>
      </c>
      <c r="H38" s="573">
        <v>1</v>
      </c>
      <c r="I38" s="573">
        <v>92.681395348837214</v>
      </c>
      <c r="J38" s="590">
        <v>2.2000000000000002</v>
      </c>
      <c r="K38" s="590">
        <v>200.60999999999999</v>
      </c>
      <c r="L38" s="573">
        <v>0.25168745138383558</v>
      </c>
      <c r="M38" s="573">
        <v>91.186363636363623</v>
      </c>
      <c r="N38" s="590">
        <v>2.1999999999999997</v>
      </c>
      <c r="O38" s="590">
        <v>124.41</v>
      </c>
      <c r="P38" s="578">
        <v>0.15608611647805684</v>
      </c>
      <c r="Q38" s="591">
        <v>56.550000000000004</v>
      </c>
    </row>
    <row r="39" spans="1:17" ht="14.4" customHeight="1" x14ac:dyDescent="0.3">
      <c r="A39" s="572" t="s">
        <v>1082</v>
      </c>
      <c r="B39" s="573" t="s">
        <v>1083</v>
      </c>
      <c r="C39" s="573" t="s">
        <v>624</v>
      </c>
      <c r="D39" s="573" t="s">
        <v>1096</v>
      </c>
      <c r="E39" s="573" t="s">
        <v>1097</v>
      </c>
      <c r="F39" s="590"/>
      <c r="G39" s="590"/>
      <c r="H39" s="573"/>
      <c r="I39" s="573"/>
      <c r="J39" s="590">
        <v>2</v>
      </c>
      <c r="K39" s="590">
        <v>243.16</v>
      </c>
      <c r="L39" s="573"/>
      <c r="M39" s="573">
        <v>121.58</v>
      </c>
      <c r="N39" s="590"/>
      <c r="O39" s="590"/>
      <c r="P39" s="578"/>
      <c r="Q39" s="591"/>
    </row>
    <row r="40" spans="1:17" ht="14.4" customHeight="1" x14ac:dyDescent="0.3">
      <c r="A40" s="572" t="s">
        <v>1082</v>
      </c>
      <c r="B40" s="573" t="s">
        <v>1083</v>
      </c>
      <c r="C40" s="573" t="s">
        <v>624</v>
      </c>
      <c r="D40" s="573" t="s">
        <v>1100</v>
      </c>
      <c r="E40" s="573" t="s">
        <v>486</v>
      </c>
      <c r="F40" s="590">
        <v>2</v>
      </c>
      <c r="G40" s="590">
        <v>278.98</v>
      </c>
      <c r="H40" s="573">
        <v>1</v>
      </c>
      <c r="I40" s="573">
        <v>139.49</v>
      </c>
      <c r="J40" s="590"/>
      <c r="K40" s="590"/>
      <c r="L40" s="573"/>
      <c r="M40" s="573"/>
      <c r="N40" s="590"/>
      <c r="O40" s="590"/>
      <c r="P40" s="578"/>
      <c r="Q40" s="591"/>
    </row>
    <row r="41" spans="1:17" ht="14.4" customHeight="1" x14ac:dyDescent="0.3">
      <c r="A41" s="572" t="s">
        <v>1082</v>
      </c>
      <c r="B41" s="573" t="s">
        <v>1083</v>
      </c>
      <c r="C41" s="573" t="s">
        <v>624</v>
      </c>
      <c r="D41" s="573" t="s">
        <v>1086</v>
      </c>
      <c r="E41" s="573" t="s">
        <v>1087</v>
      </c>
      <c r="F41" s="590"/>
      <c r="G41" s="590"/>
      <c r="H41" s="573"/>
      <c r="I41" s="573"/>
      <c r="J41" s="590">
        <v>0.1</v>
      </c>
      <c r="K41" s="590">
        <v>10.54</v>
      </c>
      <c r="L41" s="573"/>
      <c r="M41" s="573">
        <v>105.39999999999999</v>
      </c>
      <c r="N41" s="590">
        <v>0.1</v>
      </c>
      <c r="O41" s="590">
        <v>10.54</v>
      </c>
      <c r="P41" s="578"/>
      <c r="Q41" s="591">
        <v>105.39999999999999</v>
      </c>
    </row>
    <row r="42" spans="1:17" ht="14.4" customHeight="1" x14ac:dyDescent="0.3">
      <c r="A42" s="572" t="s">
        <v>1082</v>
      </c>
      <c r="B42" s="573" t="s">
        <v>1083</v>
      </c>
      <c r="C42" s="573" t="s">
        <v>624</v>
      </c>
      <c r="D42" s="573" t="s">
        <v>1092</v>
      </c>
      <c r="E42" s="573" t="s">
        <v>1073</v>
      </c>
      <c r="F42" s="590">
        <v>2</v>
      </c>
      <c r="G42" s="590">
        <v>7.5</v>
      </c>
      <c r="H42" s="573">
        <v>1</v>
      </c>
      <c r="I42" s="573">
        <v>3.75</v>
      </c>
      <c r="J42" s="590"/>
      <c r="K42" s="590"/>
      <c r="L42" s="573"/>
      <c r="M42" s="573"/>
      <c r="N42" s="590"/>
      <c r="O42" s="590"/>
      <c r="P42" s="578"/>
      <c r="Q42" s="591"/>
    </row>
    <row r="43" spans="1:17" ht="14.4" customHeight="1" x14ac:dyDescent="0.3">
      <c r="A43" s="572" t="s">
        <v>1082</v>
      </c>
      <c r="B43" s="573" t="s">
        <v>1083</v>
      </c>
      <c r="C43" s="573" t="s">
        <v>624</v>
      </c>
      <c r="D43" s="573" t="s">
        <v>1092</v>
      </c>
      <c r="E43" s="573" t="s">
        <v>1091</v>
      </c>
      <c r="F43" s="590">
        <v>4</v>
      </c>
      <c r="G43" s="590">
        <v>35.44</v>
      </c>
      <c r="H43" s="573">
        <v>1</v>
      </c>
      <c r="I43" s="573">
        <v>8.86</v>
      </c>
      <c r="J43" s="590">
        <v>3</v>
      </c>
      <c r="K43" s="590">
        <v>11.34</v>
      </c>
      <c r="L43" s="573">
        <v>0.31997742663656886</v>
      </c>
      <c r="M43" s="573">
        <v>3.78</v>
      </c>
      <c r="N43" s="590"/>
      <c r="O43" s="590"/>
      <c r="P43" s="578"/>
      <c r="Q43" s="591"/>
    </row>
    <row r="44" spans="1:17" ht="14.4" customHeight="1" x14ac:dyDescent="0.3">
      <c r="A44" s="572" t="s">
        <v>1082</v>
      </c>
      <c r="B44" s="573" t="s">
        <v>1083</v>
      </c>
      <c r="C44" s="573" t="s">
        <v>624</v>
      </c>
      <c r="D44" s="573" t="s">
        <v>1093</v>
      </c>
      <c r="E44" s="573" t="s">
        <v>1094</v>
      </c>
      <c r="F44" s="590">
        <v>1</v>
      </c>
      <c r="G44" s="590">
        <v>112.66</v>
      </c>
      <c r="H44" s="573">
        <v>1</v>
      </c>
      <c r="I44" s="573">
        <v>112.66</v>
      </c>
      <c r="J44" s="590"/>
      <c r="K44" s="590"/>
      <c r="L44" s="573"/>
      <c r="M44" s="573"/>
      <c r="N44" s="590"/>
      <c r="O44" s="590"/>
      <c r="P44" s="578"/>
      <c r="Q44" s="591"/>
    </row>
    <row r="45" spans="1:17" ht="14.4" customHeight="1" x14ac:dyDescent="0.3">
      <c r="A45" s="572" t="s">
        <v>1082</v>
      </c>
      <c r="B45" s="573" t="s">
        <v>1083</v>
      </c>
      <c r="C45" s="573" t="s">
        <v>624</v>
      </c>
      <c r="D45" s="573" t="s">
        <v>1104</v>
      </c>
      <c r="E45" s="573" t="s">
        <v>1073</v>
      </c>
      <c r="F45" s="590">
        <v>1</v>
      </c>
      <c r="G45" s="590">
        <v>19.16</v>
      </c>
      <c r="H45" s="573">
        <v>1</v>
      </c>
      <c r="I45" s="573">
        <v>19.16</v>
      </c>
      <c r="J45" s="590"/>
      <c r="K45" s="590"/>
      <c r="L45" s="573"/>
      <c r="M45" s="573"/>
      <c r="N45" s="590"/>
      <c r="O45" s="590"/>
      <c r="P45" s="578"/>
      <c r="Q45" s="591"/>
    </row>
    <row r="46" spans="1:17" ht="14.4" customHeight="1" x14ac:dyDescent="0.3">
      <c r="A46" s="572" t="s">
        <v>1082</v>
      </c>
      <c r="B46" s="573" t="s">
        <v>1083</v>
      </c>
      <c r="C46" s="573" t="s">
        <v>624</v>
      </c>
      <c r="D46" s="573" t="s">
        <v>1095</v>
      </c>
      <c r="E46" s="573" t="s">
        <v>537</v>
      </c>
      <c r="F46" s="590"/>
      <c r="G46" s="590"/>
      <c r="H46" s="573"/>
      <c r="I46" s="573"/>
      <c r="J46" s="590"/>
      <c r="K46" s="590"/>
      <c r="L46" s="573"/>
      <c r="M46" s="573"/>
      <c r="N46" s="590">
        <v>11</v>
      </c>
      <c r="O46" s="590">
        <v>41.58</v>
      </c>
      <c r="P46" s="578"/>
      <c r="Q46" s="591">
        <v>3.78</v>
      </c>
    </row>
    <row r="47" spans="1:17" ht="14.4" customHeight="1" x14ac:dyDescent="0.3">
      <c r="A47" s="572" t="s">
        <v>1082</v>
      </c>
      <c r="B47" s="573" t="s">
        <v>1083</v>
      </c>
      <c r="C47" s="573" t="s">
        <v>625</v>
      </c>
      <c r="D47" s="573" t="s">
        <v>1084</v>
      </c>
      <c r="E47" s="573" t="s">
        <v>1085</v>
      </c>
      <c r="F47" s="590">
        <v>169.2</v>
      </c>
      <c r="G47" s="590">
        <v>15627.750000000002</v>
      </c>
      <c r="H47" s="573">
        <v>1</v>
      </c>
      <c r="I47" s="573">
        <v>92.362588652482287</v>
      </c>
      <c r="J47" s="590">
        <v>26.2</v>
      </c>
      <c r="K47" s="590">
        <v>2181.5700000000002</v>
      </c>
      <c r="L47" s="573">
        <v>0.13959591111964292</v>
      </c>
      <c r="M47" s="573">
        <v>83.26603053435116</v>
      </c>
      <c r="N47" s="590">
        <v>8.8000000000000007</v>
      </c>
      <c r="O47" s="590">
        <v>497.64000000000004</v>
      </c>
      <c r="P47" s="578">
        <v>3.1843355569419779E-2</v>
      </c>
      <c r="Q47" s="591">
        <v>56.55</v>
      </c>
    </row>
    <row r="48" spans="1:17" ht="14.4" customHeight="1" x14ac:dyDescent="0.3">
      <c r="A48" s="572" t="s">
        <v>1082</v>
      </c>
      <c r="B48" s="573" t="s">
        <v>1083</v>
      </c>
      <c r="C48" s="573" t="s">
        <v>625</v>
      </c>
      <c r="D48" s="573" t="s">
        <v>1100</v>
      </c>
      <c r="E48" s="573" t="s">
        <v>486</v>
      </c>
      <c r="F48" s="590">
        <v>0.5</v>
      </c>
      <c r="G48" s="590">
        <v>69.12</v>
      </c>
      <c r="H48" s="573">
        <v>1</v>
      </c>
      <c r="I48" s="573">
        <v>138.24</v>
      </c>
      <c r="J48" s="590"/>
      <c r="K48" s="590"/>
      <c r="L48" s="573"/>
      <c r="M48" s="573"/>
      <c r="N48" s="590"/>
      <c r="O48" s="590"/>
      <c r="P48" s="578"/>
      <c r="Q48" s="591"/>
    </row>
    <row r="49" spans="1:17" ht="14.4" customHeight="1" x14ac:dyDescent="0.3">
      <c r="A49" s="572" t="s">
        <v>1082</v>
      </c>
      <c r="B49" s="573" t="s">
        <v>1083</v>
      </c>
      <c r="C49" s="573" t="s">
        <v>625</v>
      </c>
      <c r="D49" s="573" t="s">
        <v>1086</v>
      </c>
      <c r="E49" s="573" t="s">
        <v>1087</v>
      </c>
      <c r="F49" s="590">
        <v>9.1999999999999993</v>
      </c>
      <c r="G49" s="590">
        <v>961.76</v>
      </c>
      <c r="H49" s="573">
        <v>1</v>
      </c>
      <c r="I49" s="573">
        <v>104.53913043478262</v>
      </c>
      <c r="J49" s="590">
        <v>0.1</v>
      </c>
      <c r="K49" s="590">
        <v>10.54</v>
      </c>
      <c r="L49" s="573">
        <v>1.0959075029113292E-2</v>
      </c>
      <c r="M49" s="573">
        <v>105.39999999999999</v>
      </c>
      <c r="N49" s="590">
        <v>0.30000000000000004</v>
      </c>
      <c r="O49" s="590">
        <v>31.619999999999997</v>
      </c>
      <c r="P49" s="578">
        <v>3.2877225087339874E-2</v>
      </c>
      <c r="Q49" s="591">
        <v>105.39999999999998</v>
      </c>
    </row>
    <row r="50" spans="1:17" ht="14.4" customHeight="1" x14ac:dyDescent="0.3">
      <c r="A50" s="572" t="s">
        <v>1082</v>
      </c>
      <c r="B50" s="573" t="s">
        <v>1083</v>
      </c>
      <c r="C50" s="573" t="s">
        <v>625</v>
      </c>
      <c r="D50" s="573" t="s">
        <v>1088</v>
      </c>
      <c r="E50" s="573" t="s">
        <v>1089</v>
      </c>
      <c r="F50" s="590"/>
      <c r="G50" s="590"/>
      <c r="H50" s="573"/>
      <c r="I50" s="573"/>
      <c r="J50" s="590"/>
      <c r="K50" s="590"/>
      <c r="L50" s="573"/>
      <c r="M50" s="573"/>
      <c r="N50" s="590">
        <v>0.2</v>
      </c>
      <c r="O50" s="590">
        <v>22.12</v>
      </c>
      <c r="P50" s="578"/>
      <c r="Q50" s="591">
        <v>110.6</v>
      </c>
    </row>
    <row r="51" spans="1:17" ht="14.4" customHeight="1" x14ac:dyDescent="0.3">
      <c r="A51" s="572" t="s">
        <v>1082</v>
      </c>
      <c r="B51" s="573" t="s">
        <v>1083</v>
      </c>
      <c r="C51" s="573" t="s">
        <v>625</v>
      </c>
      <c r="D51" s="573" t="s">
        <v>1090</v>
      </c>
      <c r="E51" s="573" t="s">
        <v>1091</v>
      </c>
      <c r="F51" s="590">
        <v>10</v>
      </c>
      <c r="G51" s="590">
        <v>93.7</v>
      </c>
      <c r="H51" s="573">
        <v>1</v>
      </c>
      <c r="I51" s="573">
        <v>9.370000000000001</v>
      </c>
      <c r="J51" s="590"/>
      <c r="K51" s="590"/>
      <c r="L51" s="573"/>
      <c r="M51" s="573"/>
      <c r="N51" s="590">
        <v>1</v>
      </c>
      <c r="O51" s="590">
        <v>9.4499999999999993</v>
      </c>
      <c r="P51" s="578">
        <v>0.10085378868729988</v>
      </c>
      <c r="Q51" s="591">
        <v>9.4499999999999993</v>
      </c>
    </row>
    <row r="52" spans="1:17" ht="14.4" customHeight="1" x14ac:dyDescent="0.3">
      <c r="A52" s="572" t="s">
        <v>1082</v>
      </c>
      <c r="B52" s="573" t="s">
        <v>1083</v>
      </c>
      <c r="C52" s="573" t="s">
        <v>625</v>
      </c>
      <c r="D52" s="573" t="s">
        <v>1092</v>
      </c>
      <c r="E52" s="573" t="s">
        <v>1073</v>
      </c>
      <c r="F52" s="590">
        <v>70</v>
      </c>
      <c r="G52" s="590">
        <v>262.5</v>
      </c>
      <c r="H52" s="573">
        <v>1</v>
      </c>
      <c r="I52" s="573">
        <v>3.75</v>
      </c>
      <c r="J52" s="590">
        <v>3</v>
      </c>
      <c r="K52" s="590">
        <v>11.34</v>
      </c>
      <c r="L52" s="573">
        <v>4.3200000000000002E-2</v>
      </c>
      <c r="M52" s="573">
        <v>3.78</v>
      </c>
      <c r="N52" s="590"/>
      <c r="O52" s="590"/>
      <c r="P52" s="578"/>
      <c r="Q52" s="591"/>
    </row>
    <row r="53" spans="1:17" ht="14.4" customHeight="1" x14ac:dyDescent="0.3">
      <c r="A53" s="572" t="s">
        <v>1082</v>
      </c>
      <c r="B53" s="573" t="s">
        <v>1083</v>
      </c>
      <c r="C53" s="573" t="s">
        <v>625</v>
      </c>
      <c r="D53" s="573" t="s">
        <v>1092</v>
      </c>
      <c r="E53" s="573" t="s">
        <v>1091</v>
      </c>
      <c r="F53" s="590">
        <v>116</v>
      </c>
      <c r="G53" s="590">
        <v>919.69</v>
      </c>
      <c r="H53" s="573">
        <v>1</v>
      </c>
      <c r="I53" s="573">
        <v>7.9283620689655177</v>
      </c>
      <c r="J53" s="590">
        <v>10</v>
      </c>
      <c r="K53" s="590">
        <v>37.800000000000004</v>
      </c>
      <c r="L53" s="573">
        <v>4.1100805706270595E-2</v>
      </c>
      <c r="M53" s="573">
        <v>3.7800000000000002</v>
      </c>
      <c r="N53" s="590">
        <v>1</v>
      </c>
      <c r="O53" s="590">
        <v>3.7800000000000002</v>
      </c>
      <c r="P53" s="578">
        <v>4.110080570627059E-3</v>
      </c>
      <c r="Q53" s="591">
        <v>3.7800000000000002</v>
      </c>
    </row>
    <row r="54" spans="1:17" ht="14.4" customHeight="1" x14ac:dyDescent="0.3">
      <c r="A54" s="572" t="s">
        <v>1082</v>
      </c>
      <c r="B54" s="573" t="s">
        <v>1083</v>
      </c>
      <c r="C54" s="573" t="s">
        <v>625</v>
      </c>
      <c r="D54" s="573" t="s">
        <v>1093</v>
      </c>
      <c r="E54" s="573" t="s">
        <v>1094</v>
      </c>
      <c r="F54" s="590">
        <v>71</v>
      </c>
      <c r="G54" s="590">
        <v>7721.46</v>
      </c>
      <c r="H54" s="573">
        <v>1</v>
      </c>
      <c r="I54" s="573">
        <v>108.75295774647887</v>
      </c>
      <c r="J54" s="590">
        <v>3</v>
      </c>
      <c r="K54" s="590">
        <v>178.29</v>
      </c>
      <c r="L54" s="573">
        <v>2.3090192787374408E-2</v>
      </c>
      <c r="M54" s="573">
        <v>59.43</v>
      </c>
      <c r="N54" s="590">
        <v>4</v>
      </c>
      <c r="O54" s="590">
        <v>237.72</v>
      </c>
      <c r="P54" s="578">
        <v>3.0786923716499211E-2</v>
      </c>
      <c r="Q54" s="591">
        <v>59.43</v>
      </c>
    </row>
    <row r="55" spans="1:17" ht="14.4" customHeight="1" x14ac:dyDescent="0.3">
      <c r="A55" s="572" t="s">
        <v>1082</v>
      </c>
      <c r="B55" s="573" t="s">
        <v>1083</v>
      </c>
      <c r="C55" s="573" t="s">
        <v>625</v>
      </c>
      <c r="D55" s="573" t="s">
        <v>1095</v>
      </c>
      <c r="E55" s="573" t="s">
        <v>537</v>
      </c>
      <c r="F55" s="590"/>
      <c r="G55" s="590"/>
      <c r="H55" s="573"/>
      <c r="I55" s="573"/>
      <c r="J55" s="590"/>
      <c r="K55" s="590"/>
      <c r="L55" s="573"/>
      <c r="M55" s="573"/>
      <c r="N55" s="590">
        <v>42</v>
      </c>
      <c r="O55" s="590">
        <v>158.76</v>
      </c>
      <c r="P55" s="578"/>
      <c r="Q55" s="591">
        <v>3.78</v>
      </c>
    </row>
    <row r="56" spans="1:17" ht="14.4" customHeight="1" x14ac:dyDescent="0.3">
      <c r="A56" s="572" t="s">
        <v>1082</v>
      </c>
      <c r="B56" s="573" t="s">
        <v>1083</v>
      </c>
      <c r="C56" s="573" t="s">
        <v>625</v>
      </c>
      <c r="D56" s="573" t="s">
        <v>1105</v>
      </c>
      <c r="E56" s="573" t="s">
        <v>1106</v>
      </c>
      <c r="F56" s="590">
        <v>0.16</v>
      </c>
      <c r="G56" s="590">
        <v>0</v>
      </c>
      <c r="H56" s="573"/>
      <c r="I56" s="573">
        <v>0</v>
      </c>
      <c r="J56" s="590"/>
      <c r="K56" s="590"/>
      <c r="L56" s="573"/>
      <c r="M56" s="573"/>
      <c r="N56" s="590"/>
      <c r="O56" s="590"/>
      <c r="P56" s="578"/>
      <c r="Q56" s="591"/>
    </row>
    <row r="57" spans="1:17" ht="14.4" customHeight="1" x14ac:dyDescent="0.3">
      <c r="A57" s="572" t="s">
        <v>1082</v>
      </c>
      <c r="B57" s="573" t="s">
        <v>1083</v>
      </c>
      <c r="C57" s="573" t="s">
        <v>1080</v>
      </c>
      <c r="D57" s="573" t="s">
        <v>1084</v>
      </c>
      <c r="E57" s="573" t="s">
        <v>1085</v>
      </c>
      <c r="F57" s="590">
        <v>2.6</v>
      </c>
      <c r="G57" s="590">
        <v>235.04</v>
      </c>
      <c r="H57" s="573">
        <v>1</v>
      </c>
      <c r="I57" s="573">
        <v>90.399999999999991</v>
      </c>
      <c r="J57" s="590"/>
      <c r="K57" s="590"/>
      <c r="L57" s="573"/>
      <c r="M57" s="573"/>
      <c r="N57" s="590"/>
      <c r="O57" s="590"/>
      <c r="P57" s="578"/>
      <c r="Q57" s="591"/>
    </row>
    <row r="58" spans="1:17" ht="14.4" customHeight="1" x14ac:dyDescent="0.3">
      <c r="A58" s="572" t="s">
        <v>1082</v>
      </c>
      <c r="B58" s="573" t="s">
        <v>1083</v>
      </c>
      <c r="C58" s="573" t="s">
        <v>1080</v>
      </c>
      <c r="D58" s="573" t="s">
        <v>1100</v>
      </c>
      <c r="E58" s="573" t="s">
        <v>486</v>
      </c>
      <c r="F58" s="590">
        <v>0.2</v>
      </c>
      <c r="G58" s="590">
        <v>27.88</v>
      </c>
      <c r="H58" s="573">
        <v>1</v>
      </c>
      <c r="I58" s="573">
        <v>139.39999999999998</v>
      </c>
      <c r="J58" s="590"/>
      <c r="K58" s="590"/>
      <c r="L58" s="573"/>
      <c r="M58" s="573"/>
      <c r="N58" s="590"/>
      <c r="O58" s="590"/>
      <c r="P58" s="578"/>
      <c r="Q58" s="591"/>
    </row>
    <row r="59" spans="1:17" ht="14.4" customHeight="1" x14ac:dyDescent="0.3">
      <c r="A59" s="572" t="s">
        <v>1082</v>
      </c>
      <c r="B59" s="573" t="s">
        <v>1083</v>
      </c>
      <c r="C59" s="573" t="s">
        <v>1080</v>
      </c>
      <c r="D59" s="573" t="s">
        <v>1086</v>
      </c>
      <c r="E59" s="573" t="s">
        <v>1087</v>
      </c>
      <c r="F59" s="590">
        <v>1</v>
      </c>
      <c r="G59" s="590">
        <v>104.54</v>
      </c>
      <c r="H59" s="573">
        <v>1</v>
      </c>
      <c r="I59" s="573">
        <v>104.54</v>
      </c>
      <c r="J59" s="590">
        <v>0.3</v>
      </c>
      <c r="K59" s="590">
        <v>31.62</v>
      </c>
      <c r="L59" s="573">
        <v>0.30246795484981825</v>
      </c>
      <c r="M59" s="573">
        <v>105.4</v>
      </c>
      <c r="N59" s="590"/>
      <c r="O59" s="590"/>
      <c r="P59" s="578"/>
      <c r="Q59" s="591"/>
    </row>
    <row r="60" spans="1:17" ht="14.4" customHeight="1" x14ac:dyDescent="0.3">
      <c r="A60" s="572" t="s">
        <v>1082</v>
      </c>
      <c r="B60" s="573" t="s">
        <v>1083</v>
      </c>
      <c r="C60" s="573" t="s">
        <v>1080</v>
      </c>
      <c r="D60" s="573" t="s">
        <v>1090</v>
      </c>
      <c r="E60" s="573" t="s">
        <v>1091</v>
      </c>
      <c r="F60" s="590">
        <v>2</v>
      </c>
      <c r="G60" s="590">
        <v>33.799999999999997</v>
      </c>
      <c r="H60" s="573">
        <v>1</v>
      </c>
      <c r="I60" s="573">
        <v>16.899999999999999</v>
      </c>
      <c r="J60" s="590">
        <v>2</v>
      </c>
      <c r="K60" s="590">
        <v>18.899999999999999</v>
      </c>
      <c r="L60" s="573">
        <v>0.55917159763313606</v>
      </c>
      <c r="M60" s="573">
        <v>9.4499999999999993</v>
      </c>
      <c r="N60" s="590"/>
      <c r="O60" s="590"/>
      <c r="P60" s="578"/>
      <c r="Q60" s="591"/>
    </row>
    <row r="61" spans="1:17" ht="14.4" customHeight="1" x14ac:dyDescent="0.3">
      <c r="A61" s="572" t="s">
        <v>1082</v>
      </c>
      <c r="B61" s="573" t="s">
        <v>1083</v>
      </c>
      <c r="C61" s="573" t="s">
        <v>1080</v>
      </c>
      <c r="D61" s="573" t="s">
        <v>1092</v>
      </c>
      <c r="E61" s="573" t="s">
        <v>1091</v>
      </c>
      <c r="F61" s="590">
        <v>9</v>
      </c>
      <c r="G61" s="590">
        <v>128.88</v>
      </c>
      <c r="H61" s="573">
        <v>1</v>
      </c>
      <c r="I61" s="573">
        <v>14.32</v>
      </c>
      <c r="J61" s="590">
        <v>123</v>
      </c>
      <c r="K61" s="590">
        <v>464.94000000000005</v>
      </c>
      <c r="L61" s="573">
        <v>3.6075418994413413</v>
      </c>
      <c r="M61" s="573">
        <v>3.7800000000000002</v>
      </c>
      <c r="N61" s="590"/>
      <c r="O61" s="590"/>
      <c r="P61" s="578"/>
      <c r="Q61" s="591"/>
    </row>
    <row r="62" spans="1:17" ht="14.4" customHeight="1" x14ac:dyDescent="0.3">
      <c r="A62" s="572" t="s">
        <v>1082</v>
      </c>
      <c r="B62" s="573" t="s">
        <v>1083</v>
      </c>
      <c r="C62" s="573" t="s">
        <v>1080</v>
      </c>
      <c r="D62" s="573" t="s">
        <v>1093</v>
      </c>
      <c r="E62" s="573" t="s">
        <v>1094</v>
      </c>
      <c r="F62" s="590"/>
      <c r="G62" s="590"/>
      <c r="H62" s="573"/>
      <c r="I62" s="573"/>
      <c r="J62" s="590">
        <v>11</v>
      </c>
      <c r="K62" s="590">
        <v>653.73</v>
      </c>
      <c r="L62" s="573"/>
      <c r="M62" s="573">
        <v>59.43</v>
      </c>
      <c r="N62" s="590"/>
      <c r="O62" s="590"/>
      <c r="P62" s="578"/>
      <c r="Q62" s="591"/>
    </row>
    <row r="63" spans="1:17" ht="14.4" customHeight="1" x14ac:dyDescent="0.3">
      <c r="A63" s="572" t="s">
        <v>1082</v>
      </c>
      <c r="B63" s="573" t="s">
        <v>1083</v>
      </c>
      <c r="C63" s="573" t="s">
        <v>626</v>
      </c>
      <c r="D63" s="573" t="s">
        <v>1084</v>
      </c>
      <c r="E63" s="573" t="s">
        <v>1085</v>
      </c>
      <c r="F63" s="590">
        <v>38.999999999999993</v>
      </c>
      <c r="G63" s="590">
        <v>3564.84</v>
      </c>
      <c r="H63" s="573">
        <v>1</v>
      </c>
      <c r="I63" s="573">
        <v>91.40615384615387</v>
      </c>
      <c r="J63" s="590">
        <v>61</v>
      </c>
      <c r="K63" s="590">
        <v>5078.1899999999996</v>
      </c>
      <c r="L63" s="573">
        <v>1.4245211566297504</v>
      </c>
      <c r="M63" s="573">
        <v>83.249016393442616</v>
      </c>
      <c r="N63" s="590">
        <v>70.2</v>
      </c>
      <c r="O63" s="590">
        <v>3969.8999999999996</v>
      </c>
      <c r="P63" s="578">
        <v>1.1136264180159556</v>
      </c>
      <c r="Q63" s="591">
        <v>56.551282051282044</v>
      </c>
    </row>
    <row r="64" spans="1:17" ht="14.4" customHeight="1" x14ac:dyDescent="0.3">
      <c r="A64" s="572" t="s">
        <v>1082</v>
      </c>
      <c r="B64" s="573" t="s">
        <v>1083</v>
      </c>
      <c r="C64" s="573" t="s">
        <v>626</v>
      </c>
      <c r="D64" s="573" t="s">
        <v>1096</v>
      </c>
      <c r="E64" s="573" t="s">
        <v>1097</v>
      </c>
      <c r="F64" s="590">
        <v>11.2</v>
      </c>
      <c r="G64" s="590">
        <v>1349.8</v>
      </c>
      <c r="H64" s="573">
        <v>1</v>
      </c>
      <c r="I64" s="573">
        <v>120.51785714285715</v>
      </c>
      <c r="J64" s="590">
        <v>2</v>
      </c>
      <c r="K64" s="590">
        <v>243.16</v>
      </c>
      <c r="L64" s="573">
        <v>0.18014520669728848</v>
      </c>
      <c r="M64" s="573">
        <v>121.58</v>
      </c>
      <c r="N64" s="590"/>
      <c r="O64" s="590"/>
      <c r="P64" s="578"/>
      <c r="Q64" s="591"/>
    </row>
    <row r="65" spans="1:17" ht="14.4" customHeight="1" x14ac:dyDescent="0.3">
      <c r="A65" s="572" t="s">
        <v>1082</v>
      </c>
      <c r="B65" s="573" t="s">
        <v>1083</v>
      </c>
      <c r="C65" s="573" t="s">
        <v>626</v>
      </c>
      <c r="D65" s="573" t="s">
        <v>1100</v>
      </c>
      <c r="E65" s="573" t="s">
        <v>486</v>
      </c>
      <c r="F65" s="590">
        <v>0.8</v>
      </c>
      <c r="G65" s="590">
        <v>111.52000000000001</v>
      </c>
      <c r="H65" s="573">
        <v>1</v>
      </c>
      <c r="I65" s="573">
        <v>139.4</v>
      </c>
      <c r="J65" s="590"/>
      <c r="K65" s="590"/>
      <c r="L65" s="573"/>
      <c r="M65" s="573"/>
      <c r="N65" s="590">
        <v>0.7</v>
      </c>
      <c r="O65" s="590">
        <v>95.55</v>
      </c>
      <c r="P65" s="578">
        <v>0.85679698708751784</v>
      </c>
      <c r="Q65" s="591">
        <v>136.5</v>
      </c>
    </row>
    <row r="66" spans="1:17" ht="14.4" customHeight="1" x14ac:dyDescent="0.3">
      <c r="A66" s="572" t="s">
        <v>1082</v>
      </c>
      <c r="B66" s="573" t="s">
        <v>1083</v>
      </c>
      <c r="C66" s="573" t="s">
        <v>626</v>
      </c>
      <c r="D66" s="573" t="s">
        <v>1102</v>
      </c>
      <c r="E66" s="573" t="s">
        <v>1103</v>
      </c>
      <c r="F66" s="590"/>
      <c r="G66" s="590"/>
      <c r="H66" s="573"/>
      <c r="I66" s="573"/>
      <c r="J66" s="590"/>
      <c r="K66" s="590"/>
      <c r="L66" s="573"/>
      <c r="M66" s="573"/>
      <c r="N66" s="590">
        <v>1.2</v>
      </c>
      <c r="O66" s="590">
        <v>93.42</v>
      </c>
      <c r="P66" s="578"/>
      <c r="Q66" s="591">
        <v>77.850000000000009</v>
      </c>
    </row>
    <row r="67" spans="1:17" ht="14.4" customHeight="1" x14ac:dyDescent="0.3">
      <c r="A67" s="572" t="s">
        <v>1082</v>
      </c>
      <c r="B67" s="573" t="s">
        <v>1083</v>
      </c>
      <c r="C67" s="573" t="s">
        <v>626</v>
      </c>
      <c r="D67" s="573" t="s">
        <v>1086</v>
      </c>
      <c r="E67" s="573" t="s">
        <v>1087</v>
      </c>
      <c r="F67" s="590">
        <v>5.3000000000000007</v>
      </c>
      <c r="G67" s="590">
        <v>554.01</v>
      </c>
      <c r="H67" s="573">
        <v>1</v>
      </c>
      <c r="I67" s="573">
        <v>104.53018867924527</v>
      </c>
      <c r="J67" s="590">
        <v>2</v>
      </c>
      <c r="K67" s="590">
        <v>210.92</v>
      </c>
      <c r="L67" s="573">
        <v>0.38071514954603708</v>
      </c>
      <c r="M67" s="573">
        <v>105.46</v>
      </c>
      <c r="N67" s="590">
        <v>3</v>
      </c>
      <c r="O67" s="590">
        <v>316.2</v>
      </c>
      <c r="P67" s="578">
        <v>0.57074782043645422</v>
      </c>
      <c r="Q67" s="591">
        <v>105.39999999999999</v>
      </c>
    </row>
    <row r="68" spans="1:17" ht="14.4" customHeight="1" x14ac:dyDescent="0.3">
      <c r="A68" s="572" t="s">
        <v>1082</v>
      </c>
      <c r="B68" s="573" t="s">
        <v>1083</v>
      </c>
      <c r="C68" s="573" t="s">
        <v>626</v>
      </c>
      <c r="D68" s="573" t="s">
        <v>1088</v>
      </c>
      <c r="E68" s="573" t="s">
        <v>1089</v>
      </c>
      <c r="F68" s="590">
        <v>3</v>
      </c>
      <c r="G68" s="590">
        <v>329.01</v>
      </c>
      <c r="H68" s="573">
        <v>1</v>
      </c>
      <c r="I68" s="573">
        <v>109.67</v>
      </c>
      <c r="J68" s="590">
        <v>2.1</v>
      </c>
      <c r="K68" s="590">
        <v>232.32</v>
      </c>
      <c r="L68" s="573">
        <v>0.7061183550651956</v>
      </c>
      <c r="M68" s="573">
        <v>110.62857142857142</v>
      </c>
      <c r="N68" s="590">
        <v>3.1</v>
      </c>
      <c r="O68" s="590">
        <v>342.86</v>
      </c>
      <c r="P68" s="578">
        <v>1.0420959849244704</v>
      </c>
      <c r="Q68" s="591">
        <v>110.6</v>
      </c>
    </row>
    <row r="69" spans="1:17" ht="14.4" customHeight="1" x14ac:dyDescent="0.3">
      <c r="A69" s="572" t="s">
        <v>1082</v>
      </c>
      <c r="B69" s="573" t="s">
        <v>1083</v>
      </c>
      <c r="C69" s="573" t="s">
        <v>626</v>
      </c>
      <c r="D69" s="573" t="s">
        <v>1090</v>
      </c>
      <c r="E69" s="573" t="s">
        <v>1091</v>
      </c>
      <c r="F69" s="590">
        <v>32</v>
      </c>
      <c r="G69" s="590">
        <v>375.14</v>
      </c>
      <c r="H69" s="573">
        <v>1</v>
      </c>
      <c r="I69" s="573">
        <v>11.723125</v>
      </c>
      <c r="J69" s="590">
        <v>4</v>
      </c>
      <c r="K69" s="590">
        <v>37.799999999999997</v>
      </c>
      <c r="L69" s="573">
        <v>0.10076238204403688</v>
      </c>
      <c r="M69" s="573">
        <v>9.4499999999999993</v>
      </c>
      <c r="N69" s="590"/>
      <c r="O69" s="590"/>
      <c r="P69" s="578"/>
      <c r="Q69" s="591"/>
    </row>
    <row r="70" spans="1:17" ht="14.4" customHeight="1" x14ac:dyDescent="0.3">
      <c r="A70" s="572" t="s">
        <v>1082</v>
      </c>
      <c r="B70" s="573" t="s">
        <v>1083</v>
      </c>
      <c r="C70" s="573" t="s">
        <v>626</v>
      </c>
      <c r="D70" s="573" t="s">
        <v>1092</v>
      </c>
      <c r="E70" s="573" t="s">
        <v>1073</v>
      </c>
      <c r="F70" s="590">
        <v>267</v>
      </c>
      <c r="G70" s="590">
        <v>1001.25</v>
      </c>
      <c r="H70" s="573">
        <v>1</v>
      </c>
      <c r="I70" s="573">
        <v>3.75</v>
      </c>
      <c r="J70" s="590">
        <v>20</v>
      </c>
      <c r="K70" s="590">
        <v>75.599999999999994</v>
      </c>
      <c r="L70" s="573">
        <v>7.5505617977528083E-2</v>
      </c>
      <c r="M70" s="573">
        <v>3.78</v>
      </c>
      <c r="N70" s="590"/>
      <c r="O70" s="590"/>
      <c r="P70" s="578"/>
      <c r="Q70" s="591"/>
    </row>
    <row r="71" spans="1:17" ht="14.4" customHeight="1" x14ac:dyDescent="0.3">
      <c r="A71" s="572" t="s">
        <v>1082</v>
      </c>
      <c r="B71" s="573" t="s">
        <v>1083</v>
      </c>
      <c r="C71" s="573" t="s">
        <v>626</v>
      </c>
      <c r="D71" s="573" t="s">
        <v>1092</v>
      </c>
      <c r="E71" s="573" t="s">
        <v>1091</v>
      </c>
      <c r="F71" s="590">
        <v>584</v>
      </c>
      <c r="G71" s="590">
        <v>6599.0199999999995</v>
      </c>
      <c r="H71" s="573">
        <v>1</v>
      </c>
      <c r="I71" s="573">
        <v>11.299691780821917</v>
      </c>
      <c r="J71" s="590">
        <v>79</v>
      </c>
      <c r="K71" s="590">
        <v>298.62</v>
      </c>
      <c r="L71" s="573">
        <v>4.5252173807625987E-2</v>
      </c>
      <c r="M71" s="573">
        <v>3.7800000000000002</v>
      </c>
      <c r="N71" s="590">
        <v>11</v>
      </c>
      <c r="O71" s="590">
        <v>41.58</v>
      </c>
      <c r="P71" s="578">
        <v>6.300935593466909E-3</v>
      </c>
      <c r="Q71" s="591">
        <v>3.78</v>
      </c>
    </row>
    <row r="72" spans="1:17" ht="14.4" customHeight="1" x14ac:dyDescent="0.3">
      <c r="A72" s="572" t="s">
        <v>1082</v>
      </c>
      <c r="B72" s="573" t="s">
        <v>1083</v>
      </c>
      <c r="C72" s="573" t="s">
        <v>626</v>
      </c>
      <c r="D72" s="573" t="s">
        <v>1093</v>
      </c>
      <c r="E72" s="573" t="s">
        <v>1094</v>
      </c>
      <c r="F72" s="590">
        <v>378</v>
      </c>
      <c r="G72" s="590">
        <v>39700.519999999997</v>
      </c>
      <c r="H72" s="573">
        <v>1</v>
      </c>
      <c r="I72" s="573">
        <v>105.02783068783069</v>
      </c>
      <c r="J72" s="590">
        <v>14</v>
      </c>
      <c r="K72" s="590">
        <v>832.01999999999987</v>
      </c>
      <c r="L72" s="573">
        <v>2.0957408114553662E-2</v>
      </c>
      <c r="M72" s="573">
        <v>59.429999999999993</v>
      </c>
      <c r="N72" s="590">
        <v>51</v>
      </c>
      <c r="O72" s="590">
        <v>3030.9300000000003</v>
      </c>
      <c r="P72" s="578">
        <v>7.6344843845874075E-2</v>
      </c>
      <c r="Q72" s="591">
        <v>59.430000000000007</v>
      </c>
    </row>
    <row r="73" spans="1:17" ht="14.4" customHeight="1" x14ac:dyDescent="0.3">
      <c r="A73" s="572" t="s">
        <v>1082</v>
      </c>
      <c r="B73" s="573" t="s">
        <v>1083</v>
      </c>
      <c r="C73" s="573" t="s">
        <v>626</v>
      </c>
      <c r="D73" s="573" t="s">
        <v>1095</v>
      </c>
      <c r="E73" s="573" t="s">
        <v>537</v>
      </c>
      <c r="F73" s="590"/>
      <c r="G73" s="590"/>
      <c r="H73" s="573"/>
      <c r="I73" s="573"/>
      <c r="J73" s="590"/>
      <c r="K73" s="590"/>
      <c r="L73" s="573"/>
      <c r="M73" s="573"/>
      <c r="N73" s="590">
        <v>314</v>
      </c>
      <c r="O73" s="590">
        <v>1186.9199999999998</v>
      </c>
      <c r="P73" s="578"/>
      <c r="Q73" s="591">
        <v>3.7799999999999994</v>
      </c>
    </row>
    <row r="74" spans="1:17" ht="14.4" customHeight="1" x14ac:dyDescent="0.3">
      <c r="A74" s="572" t="s">
        <v>1082</v>
      </c>
      <c r="B74" s="573" t="s">
        <v>1083</v>
      </c>
      <c r="C74" s="573" t="s">
        <v>626</v>
      </c>
      <c r="D74" s="573" t="s">
        <v>1105</v>
      </c>
      <c r="E74" s="573" t="s">
        <v>1106</v>
      </c>
      <c r="F74" s="590">
        <v>0.08</v>
      </c>
      <c r="G74" s="590">
        <v>0</v>
      </c>
      <c r="H74" s="573"/>
      <c r="I74" s="573">
        <v>0</v>
      </c>
      <c r="J74" s="590"/>
      <c r="K74" s="590"/>
      <c r="L74" s="573"/>
      <c r="M74" s="573"/>
      <c r="N74" s="590"/>
      <c r="O74" s="590"/>
      <c r="P74" s="578"/>
      <c r="Q74" s="591"/>
    </row>
    <row r="75" spans="1:17" ht="14.4" customHeight="1" x14ac:dyDescent="0.3">
      <c r="A75" s="572" t="s">
        <v>1082</v>
      </c>
      <c r="B75" s="573" t="s">
        <v>1107</v>
      </c>
      <c r="C75" s="573" t="s">
        <v>1077</v>
      </c>
      <c r="D75" s="573" t="s">
        <v>1108</v>
      </c>
      <c r="E75" s="573" t="s">
        <v>1109</v>
      </c>
      <c r="F75" s="590"/>
      <c r="G75" s="590"/>
      <c r="H75" s="573"/>
      <c r="I75" s="573"/>
      <c r="J75" s="590"/>
      <c r="K75" s="590"/>
      <c r="L75" s="573"/>
      <c r="M75" s="573"/>
      <c r="N75" s="590">
        <v>1</v>
      </c>
      <c r="O75" s="590">
        <v>35</v>
      </c>
      <c r="P75" s="578"/>
      <c r="Q75" s="591">
        <v>35</v>
      </c>
    </row>
    <row r="76" spans="1:17" ht="14.4" customHeight="1" x14ac:dyDescent="0.3">
      <c r="A76" s="572" t="s">
        <v>1082</v>
      </c>
      <c r="B76" s="573" t="s">
        <v>1107</v>
      </c>
      <c r="C76" s="573" t="s">
        <v>1078</v>
      </c>
      <c r="D76" s="573" t="s">
        <v>1110</v>
      </c>
      <c r="E76" s="573" t="s">
        <v>1111</v>
      </c>
      <c r="F76" s="590"/>
      <c r="G76" s="590"/>
      <c r="H76" s="573"/>
      <c r="I76" s="573"/>
      <c r="J76" s="590">
        <v>2</v>
      </c>
      <c r="K76" s="590">
        <v>338</v>
      </c>
      <c r="L76" s="573"/>
      <c r="M76" s="573">
        <v>169</v>
      </c>
      <c r="N76" s="590">
        <v>55</v>
      </c>
      <c r="O76" s="590">
        <v>9344</v>
      </c>
      <c r="P76" s="578"/>
      <c r="Q76" s="591">
        <v>169.8909090909091</v>
      </c>
    </row>
    <row r="77" spans="1:17" ht="14.4" customHeight="1" x14ac:dyDescent="0.3">
      <c r="A77" s="572" t="s">
        <v>1082</v>
      </c>
      <c r="B77" s="573" t="s">
        <v>1107</v>
      </c>
      <c r="C77" s="573" t="s">
        <v>1078</v>
      </c>
      <c r="D77" s="573" t="s">
        <v>1112</v>
      </c>
      <c r="E77" s="573" t="s">
        <v>1113</v>
      </c>
      <c r="F77" s="590"/>
      <c r="G77" s="590"/>
      <c r="H77" s="573"/>
      <c r="I77" s="573"/>
      <c r="J77" s="590"/>
      <c r="K77" s="590"/>
      <c r="L77" s="573"/>
      <c r="M77" s="573"/>
      <c r="N77" s="590">
        <v>26</v>
      </c>
      <c r="O77" s="590">
        <v>2936</v>
      </c>
      <c r="P77" s="578"/>
      <c r="Q77" s="591">
        <v>112.92307692307692</v>
      </c>
    </row>
    <row r="78" spans="1:17" ht="14.4" customHeight="1" x14ac:dyDescent="0.3">
      <c r="A78" s="572" t="s">
        <v>1082</v>
      </c>
      <c r="B78" s="573" t="s">
        <v>1107</v>
      </c>
      <c r="C78" s="573" t="s">
        <v>1078</v>
      </c>
      <c r="D78" s="573" t="s">
        <v>1108</v>
      </c>
      <c r="E78" s="573" t="s">
        <v>1109</v>
      </c>
      <c r="F78" s="590"/>
      <c r="G78" s="590"/>
      <c r="H78" s="573"/>
      <c r="I78" s="573"/>
      <c r="J78" s="590">
        <v>36</v>
      </c>
      <c r="K78" s="590">
        <v>1224</v>
      </c>
      <c r="L78" s="573"/>
      <c r="M78" s="573">
        <v>34</v>
      </c>
      <c r="N78" s="590">
        <v>353</v>
      </c>
      <c r="O78" s="590">
        <v>12289</v>
      </c>
      <c r="P78" s="578"/>
      <c r="Q78" s="591">
        <v>34.813031161473084</v>
      </c>
    </row>
    <row r="79" spans="1:17" ht="14.4" customHeight="1" x14ac:dyDescent="0.3">
      <c r="A79" s="572" t="s">
        <v>1082</v>
      </c>
      <c r="B79" s="573" t="s">
        <v>1107</v>
      </c>
      <c r="C79" s="573" t="s">
        <v>1078</v>
      </c>
      <c r="D79" s="573" t="s">
        <v>1114</v>
      </c>
      <c r="E79" s="573" t="s">
        <v>1115</v>
      </c>
      <c r="F79" s="590">
        <v>1</v>
      </c>
      <c r="G79" s="590">
        <v>10</v>
      </c>
      <c r="H79" s="573">
        <v>1</v>
      </c>
      <c r="I79" s="573">
        <v>10</v>
      </c>
      <c r="J79" s="590"/>
      <c r="K79" s="590"/>
      <c r="L79" s="573"/>
      <c r="M79" s="573"/>
      <c r="N79" s="590">
        <v>16</v>
      </c>
      <c r="O79" s="590">
        <v>160</v>
      </c>
      <c r="P79" s="578">
        <v>16</v>
      </c>
      <c r="Q79" s="591">
        <v>10</v>
      </c>
    </row>
    <row r="80" spans="1:17" ht="14.4" customHeight="1" x14ac:dyDescent="0.3">
      <c r="A80" s="572" t="s">
        <v>1082</v>
      </c>
      <c r="B80" s="573" t="s">
        <v>1107</v>
      </c>
      <c r="C80" s="573" t="s">
        <v>1078</v>
      </c>
      <c r="D80" s="573" t="s">
        <v>1116</v>
      </c>
      <c r="E80" s="573" t="s">
        <v>1117</v>
      </c>
      <c r="F80" s="590"/>
      <c r="G80" s="590"/>
      <c r="H80" s="573"/>
      <c r="I80" s="573"/>
      <c r="J80" s="590">
        <v>2</v>
      </c>
      <c r="K80" s="590">
        <v>10</v>
      </c>
      <c r="L80" s="573"/>
      <c r="M80" s="573">
        <v>5</v>
      </c>
      <c r="N80" s="590">
        <v>6</v>
      </c>
      <c r="O80" s="590">
        <v>30</v>
      </c>
      <c r="P80" s="578"/>
      <c r="Q80" s="591">
        <v>5</v>
      </c>
    </row>
    <row r="81" spans="1:17" ht="14.4" customHeight="1" x14ac:dyDescent="0.3">
      <c r="A81" s="572" t="s">
        <v>1082</v>
      </c>
      <c r="B81" s="573" t="s">
        <v>1107</v>
      </c>
      <c r="C81" s="573" t="s">
        <v>1078</v>
      </c>
      <c r="D81" s="573" t="s">
        <v>1118</v>
      </c>
      <c r="E81" s="573" t="s">
        <v>1119</v>
      </c>
      <c r="F81" s="590"/>
      <c r="G81" s="590"/>
      <c r="H81" s="573"/>
      <c r="I81" s="573"/>
      <c r="J81" s="590">
        <v>2</v>
      </c>
      <c r="K81" s="590">
        <v>10</v>
      </c>
      <c r="L81" s="573"/>
      <c r="M81" s="573">
        <v>5</v>
      </c>
      <c r="N81" s="590">
        <v>6</v>
      </c>
      <c r="O81" s="590">
        <v>30</v>
      </c>
      <c r="P81" s="578"/>
      <c r="Q81" s="591">
        <v>5</v>
      </c>
    </row>
    <row r="82" spans="1:17" ht="14.4" customHeight="1" x14ac:dyDescent="0.3">
      <c r="A82" s="572" t="s">
        <v>1082</v>
      </c>
      <c r="B82" s="573" t="s">
        <v>1107</v>
      </c>
      <c r="C82" s="573" t="s">
        <v>1078</v>
      </c>
      <c r="D82" s="573" t="s">
        <v>1120</v>
      </c>
      <c r="E82" s="573" t="s">
        <v>1121</v>
      </c>
      <c r="F82" s="590"/>
      <c r="G82" s="590"/>
      <c r="H82" s="573"/>
      <c r="I82" s="573"/>
      <c r="J82" s="590"/>
      <c r="K82" s="590"/>
      <c r="L82" s="573"/>
      <c r="M82" s="573"/>
      <c r="N82" s="590">
        <v>1</v>
      </c>
      <c r="O82" s="590">
        <v>69</v>
      </c>
      <c r="P82" s="578"/>
      <c r="Q82" s="591">
        <v>69</v>
      </c>
    </row>
    <row r="83" spans="1:17" ht="14.4" customHeight="1" x14ac:dyDescent="0.3">
      <c r="A83" s="572" t="s">
        <v>1082</v>
      </c>
      <c r="B83" s="573" t="s">
        <v>1107</v>
      </c>
      <c r="C83" s="573" t="s">
        <v>1078</v>
      </c>
      <c r="D83" s="573" t="s">
        <v>1122</v>
      </c>
      <c r="E83" s="573" t="s">
        <v>1123</v>
      </c>
      <c r="F83" s="590"/>
      <c r="G83" s="590"/>
      <c r="H83" s="573"/>
      <c r="I83" s="573"/>
      <c r="J83" s="590"/>
      <c r="K83" s="590"/>
      <c r="L83" s="573"/>
      <c r="M83" s="573"/>
      <c r="N83" s="590">
        <v>7</v>
      </c>
      <c r="O83" s="590">
        <v>825</v>
      </c>
      <c r="P83" s="578"/>
      <c r="Q83" s="591">
        <v>117.85714285714286</v>
      </c>
    </row>
    <row r="84" spans="1:17" ht="14.4" customHeight="1" x14ac:dyDescent="0.3">
      <c r="A84" s="572" t="s">
        <v>1082</v>
      </c>
      <c r="B84" s="573" t="s">
        <v>1107</v>
      </c>
      <c r="C84" s="573" t="s">
        <v>1078</v>
      </c>
      <c r="D84" s="573" t="s">
        <v>1124</v>
      </c>
      <c r="E84" s="573" t="s">
        <v>1125</v>
      </c>
      <c r="F84" s="590"/>
      <c r="G84" s="590"/>
      <c r="H84" s="573"/>
      <c r="I84" s="573"/>
      <c r="J84" s="590">
        <v>1</v>
      </c>
      <c r="K84" s="590">
        <v>163</v>
      </c>
      <c r="L84" s="573"/>
      <c r="M84" s="573">
        <v>163</v>
      </c>
      <c r="N84" s="590"/>
      <c r="O84" s="590"/>
      <c r="P84" s="578"/>
      <c r="Q84" s="591"/>
    </row>
    <row r="85" spans="1:17" ht="14.4" customHeight="1" x14ac:dyDescent="0.3">
      <c r="A85" s="572" t="s">
        <v>1082</v>
      </c>
      <c r="B85" s="573" t="s">
        <v>1107</v>
      </c>
      <c r="C85" s="573" t="s">
        <v>1078</v>
      </c>
      <c r="D85" s="573" t="s">
        <v>1126</v>
      </c>
      <c r="E85" s="573" t="s">
        <v>1127</v>
      </c>
      <c r="F85" s="590"/>
      <c r="G85" s="590"/>
      <c r="H85" s="573"/>
      <c r="I85" s="573"/>
      <c r="J85" s="590">
        <v>8</v>
      </c>
      <c r="K85" s="590">
        <v>0</v>
      </c>
      <c r="L85" s="573"/>
      <c r="M85" s="573">
        <v>0</v>
      </c>
      <c r="N85" s="590">
        <v>10</v>
      </c>
      <c r="O85" s="590">
        <v>0</v>
      </c>
      <c r="P85" s="578"/>
      <c r="Q85" s="591">
        <v>0</v>
      </c>
    </row>
    <row r="86" spans="1:17" ht="14.4" customHeight="1" x14ac:dyDescent="0.3">
      <c r="A86" s="572" t="s">
        <v>1082</v>
      </c>
      <c r="B86" s="573" t="s">
        <v>1107</v>
      </c>
      <c r="C86" s="573" t="s">
        <v>1078</v>
      </c>
      <c r="D86" s="573" t="s">
        <v>1128</v>
      </c>
      <c r="E86" s="573" t="s">
        <v>1129</v>
      </c>
      <c r="F86" s="590"/>
      <c r="G86" s="590"/>
      <c r="H86" s="573"/>
      <c r="I86" s="573"/>
      <c r="J86" s="590">
        <v>1</v>
      </c>
      <c r="K86" s="590">
        <v>168</v>
      </c>
      <c r="L86" s="573"/>
      <c r="M86" s="573">
        <v>168</v>
      </c>
      <c r="N86" s="590">
        <v>381</v>
      </c>
      <c r="O86" s="590">
        <v>64542</v>
      </c>
      <c r="P86" s="578"/>
      <c r="Q86" s="591">
        <v>169.4015748031496</v>
      </c>
    </row>
    <row r="87" spans="1:17" ht="14.4" customHeight="1" x14ac:dyDescent="0.3">
      <c r="A87" s="572" t="s">
        <v>1082</v>
      </c>
      <c r="B87" s="573" t="s">
        <v>1107</v>
      </c>
      <c r="C87" s="573" t="s">
        <v>1078</v>
      </c>
      <c r="D87" s="573" t="s">
        <v>1130</v>
      </c>
      <c r="E87" s="573" t="s">
        <v>1131</v>
      </c>
      <c r="F87" s="590">
        <v>808</v>
      </c>
      <c r="G87" s="590">
        <v>0</v>
      </c>
      <c r="H87" s="573"/>
      <c r="I87" s="573">
        <v>0</v>
      </c>
      <c r="J87" s="590">
        <v>1048</v>
      </c>
      <c r="K87" s="590">
        <v>0</v>
      </c>
      <c r="L87" s="573"/>
      <c r="M87" s="573">
        <v>0</v>
      </c>
      <c r="N87" s="590">
        <v>1251</v>
      </c>
      <c r="O87" s="590">
        <v>0</v>
      </c>
      <c r="P87" s="578"/>
      <c r="Q87" s="591">
        <v>0</v>
      </c>
    </row>
    <row r="88" spans="1:17" ht="14.4" customHeight="1" x14ac:dyDescent="0.3">
      <c r="A88" s="572" t="s">
        <v>1082</v>
      </c>
      <c r="B88" s="573" t="s">
        <v>1107</v>
      </c>
      <c r="C88" s="573" t="s">
        <v>1078</v>
      </c>
      <c r="D88" s="573" t="s">
        <v>1132</v>
      </c>
      <c r="E88" s="573" t="s">
        <v>1133</v>
      </c>
      <c r="F88" s="590"/>
      <c r="G88" s="590"/>
      <c r="H88" s="573"/>
      <c r="I88" s="573"/>
      <c r="J88" s="590">
        <v>39</v>
      </c>
      <c r="K88" s="590">
        <v>1365</v>
      </c>
      <c r="L88" s="573"/>
      <c r="M88" s="573">
        <v>35</v>
      </c>
      <c r="N88" s="590">
        <v>655</v>
      </c>
      <c r="O88" s="590">
        <v>23356</v>
      </c>
      <c r="P88" s="578"/>
      <c r="Q88" s="591">
        <v>35.658015267175571</v>
      </c>
    </row>
    <row r="89" spans="1:17" ht="14.4" customHeight="1" x14ac:dyDescent="0.3">
      <c r="A89" s="572" t="s">
        <v>1082</v>
      </c>
      <c r="B89" s="573" t="s">
        <v>1107</v>
      </c>
      <c r="C89" s="573" t="s">
        <v>1078</v>
      </c>
      <c r="D89" s="573" t="s">
        <v>1134</v>
      </c>
      <c r="E89" s="573" t="s">
        <v>1135</v>
      </c>
      <c r="F89" s="590"/>
      <c r="G89" s="590"/>
      <c r="H89" s="573"/>
      <c r="I89" s="573"/>
      <c r="J89" s="590"/>
      <c r="K89" s="590"/>
      <c r="L89" s="573"/>
      <c r="M89" s="573"/>
      <c r="N89" s="590">
        <v>0</v>
      </c>
      <c r="O89" s="590">
        <v>0</v>
      </c>
      <c r="P89" s="578"/>
      <c r="Q89" s="591"/>
    </row>
    <row r="90" spans="1:17" ht="14.4" customHeight="1" x14ac:dyDescent="0.3">
      <c r="A90" s="572" t="s">
        <v>1082</v>
      </c>
      <c r="B90" s="573" t="s">
        <v>1107</v>
      </c>
      <c r="C90" s="573" t="s">
        <v>1078</v>
      </c>
      <c r="D90" s="573" t="s">
        <v>1136</v>
      </c>
      <c r="E90" s="573" t="s">
        <v>1137</v>
      </c>
      <c r="F90" s="590"/>
      <c r="G90" s="590"/>
      <c r="H90" s="573"/>
      <c r="I90" s="573"/>
      <c r="J90" s="590">
        <v>7</v>
      </c>
      <c r="K90" s="590">
        <v>987</v>
      </c>
      <c r="L90" s="573"/>
      <c r="M90" s="573">
        <v>141</v>
      </c>
      <c r="N90" s="590">
        <v>10</v>
      </c>
      <c r="O90" s="590">
        <v>1358</v>
      </c>
      <c r="P90" s="578"/>
      <c r="Q90" s="591">
        <v>135.80000000000001</v>
      </c>
    </row>
    <row r="91" spans="1:17" ht="14.4" customHeight="1" x14ac:dyDescent="0.3">
      <c r="A91" s="572" t="s">
        <v>1082</v>
      </c>
      <c r="B91" s="573" t="s">
        <v>1107</v>
      </c>
      <c r="C91" s="573" t="s">
        <v>1078</v>
      </c>
      <c r="D91" s="573" t="s">
        <v>1138</v>
      </c>
      <c r="E91" s="573" t="s">
        <v>1139</v>
      </c>
      <c r="F91" s="590">
        <v>1</v>
      </c>
      <c r="G91" s="590">
        <v>68</v>
      </c>
      <c r="H91" s="573">
        <v>1</v>
      </c>
      <c r="I91" s="573">
        <v>68</v>
      </c>
      <c r="J91" s="590">
        <v>57</v>
      </c>
      <c r="K91" s="590">
        <v>3933</v>
      </c>
      <c r="L91" s="573">
        <v>57.838235294117645</v>
      </c>
      <c r="M91" s="573">
        <v>69</v>
      </c>
      <c r="N91" s="590">
        <v>281</v>
      </c>
      <c r="O91" s="590">
        <v>19554</v>
      </c>
      <c r="P91" s="578">
        <v>287.55882352941177</v>
      </c>
      <c r="Q91" s="591">
        <v>69.587188612099638</v>
      </c>
    </row>
    <row r="92" spans="1:17" ht="14.4" customHeight="1" x14ac:dyDescent="0.3">
      <c r="A92" s="572" t="s">
        <v>1082</v>
      </c>
      <c r="B92" s="573" t="s">
        <v>1107</v>
      </c>
      <c r="C92" s="573" t="s">
        <v>1078</v>
      </c>
      <c r="D92" s="573" t="s">
        <v>1140</v>
      </c>
      <c r="E92" s="573" t="s">
        <v>1141</v>
      </c>
      <c r="F92" s="590">
        <v>2</v>
      </c>
      <c r="G92" s="590">
        <v>660</v>
      </c>
      <c r="H92" s="573">
        <v>1</v>
      </c>
      <c r="I92" s="573">
        <v>330</v>
      </c>
      <c r="J92" s="590"/>
      <c r="K92" s="590"/>
      <c r="L92" s="573"/>
      <c r="M92" s="573"/>
      <c r="N92" s="590">
        <v>1</v>
      </c>
      <c r="O92" s="590">
        <v>330</v>
      </c>
      <c r="P92" s="578">
        <v>0.5</v>
      </c>
      <c r="Q92" s="591">
        <v>330</v>
      </c>
    </row>
    <row r="93" spans="1:17" ht="14.4" customHeight="1" x14ac:dyDescent="0.3">
      <c r="A93" s="572" t="s">
        <v>1082</v>
      </c>
      <c r="B93" s="573" t="s">
        <v>1107</v>
      </c>
      <c r="C93" s="573" t="s">
        <v>1078</v>
      </c>
      <c r="D93" s="573" t="s">
        <v>1142</v>
      </c>
      <c r="E93" s="573" t="s">
        <v>1143</v>
      </c>
      <c r="F93" s="590"/>
      <c r="G93" s="590"/>
      <c r="H93" s="573"/>
      <c r="I93" s="573"/>
      <c r="J93" s="590"/>
      <c r="K93" s="590"/>
      <c r="L93" s="573"/>
      <c r="M93" s="573"/>
      <c r="N93" s="590">
        <v>2</v>
      </c>
      <c r="O93" s="590">
        <v>418</v>
      </c>
      <c r="P93" s="578"/>
      <c r="Q93" s="591">
        <v>209</v>
      </c>
    </row>
    <row r="94" spans="1:17" ht="14.4" customHeight="1" x14ac:dyDescent="0.3">
      <c r="A94" s="572" t="s">
        <v>1082</v>
      </c>
      <c r="B94" s="573" t="s">
        <v>1107</v>
      </c>
      <c r="C94" s="573" t="s">
        <v>1078</v>
      </c>
      <c r="D94" s="573" t="s">
        <v>1144</v>
      </c>
      <c r="E94" s="573" t="s">
        <v>1145</v>
      </c>
      <c r="F94" s="590"/>
      <c r="G94" s="590"/>
      <c r="H94" s="573"/>
      <c r="I94" s="573"/>
      <c r="J94" s="590">
        <v>1</v>
      </c>
      <c r="K94" s="590">
        <v>76</v>
      </c>
      <c r="L94" s="573"/>
      <c r="M94" s="573">
        <v>76</v>
      </c>
      <c r="N94" s="590">
        <v>440</v>
      </c>
      <c r="O94" s="590">
        <v>33758</v>
      </c>
      <c r="P94" s="578"/>
      <c r="Q94" s="591">
        <v>76.722727272727269</v>
      </c>
    </row>
    <row r="95" spans="1:17" ht="14.4" customHeight="1" x14ac:dyDescent="0.3">
      <c r="A95" s="572" t="s">
        <v>1082</v>
      </c>
      <c r="B95" s="573" t="s">
        <v>1107</v>
      </c>
      <c r="C95" s="573" t="s">
        <v>1078</v>
      </c>
      <c r="D95" s="573" t="s">
        <v>1146</v>
      </c>
      <c r="E95" s="573" t="s">
        <v>1147</v>
      </c>
      <c r="F95" s="590"/>
      <c r="G95" s="590"/>
      <c r="H95" s="573"/>
      <c r="I95" s="573"/>
      <c r="J95" s="590"/>
      <c r="K95" s="590"/>
      <c r="L95" s="573"/>
      <c r="M95" s="573"/>
      <c r="N95" s="590">
        <v>20</v>
      </c>
      <c r="O95" s="590">
        <v>534</v>
      </c>
      <c r="P95" s="578"/>
      <c r="Q95" s="591">
        <v>26.7</v>
      </c>
    </row>
    <row r="96" spans="1:17" ht="14.4" customHeight="1" x14ac:dyDescent="0.3">
      <c r="A96" s="572" t="s">
        <v>1082</v>
      </c>
      <c r="B96" s="573" t="s">
        <v>1107</v>
      </c>
      <c r="C96" s="573" t="s">
        <v>1078</v>
      </c>
      <c r="D96" s="573" t="s">
        <v>1148</v>
      </c>
      <c r="E96" s="573" t="s">
        <v>1149</v>
      </c>
      <c r="F96" s="590"/>
      <c r="G96" s="590"/>
      <c r="H96" s="573"/>
      <c r="I96" s="573"/>
      <c r="J96" s="590">
        <v>13</v>
      </c>
      <c r="K96" s="590">
        <v>728</v>
      </c>
      <c r="L96" s="573"/>
      <c r="M96" s="573">
        <v>56</v>
      </c>
      <c r="N96" s="590">
        <v>160</v>
      </c>
      <c r="O96" s="590">
        <v>9076</v>
      </c>
      <c r="P96" s="578"/>
      <c r="Q96" s="591">
        <v>56.725000000000001</v>
      </c>
    </row>
    <row r="97" spans="1:17" ht="14.4" customHeight="1" x14ac:dyDescent="0.3">
      <c r="A97" s="572" t="s">
        <v>1082</v>
      </c>
      <c r="B97" s="573" t="s">
        <v>1107</v>
      </c>
      <c r="C97" s="573" t="s">
        <v>1078</v>
      </c>
      <c r="D97" s="573" t="s">
        <v>1150</v>
      </c>
      <c r="E97" s="573" t="s">
        <v>1151</v>
      </c>
      <c r="F97" s="590"/>
      <c r="G97" s="590"/>
      <c r="H97" s="573"/>
      <c r="I97" s="573"/>
      <c r="J97" s="590"/>
      <c r="K97" s="590"/>
      <c r="L97" s="573"/>
      <c r="M97" s="573"/>
      <c r="N97" s="590">
        <v>124</v>
      </c>
      <c r="O97" s="590">
        <v>29960</v>
      </c>
      <c r="P97" s="578"/>
      <c r="Q97" s="591">
        <v>241.61290322580646</v>
      </c>
    </row>
    <row r="98" spans="1:17" ht="14.4" customHeight="1" x14ac:dyDescent="0.3">
      <c r="A98" s="572" t="s">
        <v>1082</v>
      </c>
      <c r="B98" s="573" t="s">
        <v>1107</v>
      </c>
      <c r="C98" s="573" t="s">
        <v>1078</v>
      </c>
      <c r="D98" s="573" t="s">
        <v>1152</v>
      </c>
      <c r="E98" s="573" t="s">
        <v>1153</v>
      </c>
      <c r="F98" s="590">
        <v>1</v>
      </c>
      <c r="G98" s="590">
        <v>646</v>
      </c>
      <c r="H98" s="573">
        <v>1</v>
      </c>
      <c r="I98" s="573">
        <v>646</v>
      </c>
      <c r="J98" s="590">
        <v>2</v>
      </c>
      <c r="K98" s="590">
        <v>1290</v>
      </c>
      <c r="L98" s="573">
        <v>1.9969040247678018</v>
      </c>
      <c r="M98" s="573">
        <v>645</v>
      </c>
      <c r="N98" s="590"/>
      <c r="O98" s="590"/>
      <c r="P98" s="578"/>
      <c r="Q98" s="591"/>
    </row>
    <row r="99" spans="1:17" ht="14.4" customHeight="1" x14ac:dyDescent="0.3">
      <c r="A99" s="572" t="s">
        <v>1082</v>
      </c>
      <c r="B99" s="573" t="s">
        <v>1107</v>
      </c>
      <c r="C99" s="573" t="s">
        <v>1078</v>
      </c>
      <c r="D99" s="573" t="s">
        <v>1154</v>
      </c>
      <c r="E99" s="573" t="s">
        <v>1155</v>
      </c>
      <c r="F99" s="590">
        <v>10</v>
      </c>
      <c r="G99" s="590">
        <v>2110</v>
      </c>
      <c r="H99" s="573">
        <v>1</v>
      </c>
      <c r="I99" s="573">
        <v>211</v>
      </c>
      <c r="J99" s="590">
        <v>8</v>
      </c>
      <c r="K99" s="590">
        <v>1696</v>
      </c>
      <c r="L99" s="573">
        <v>0.80379146919431277</v>
      </c>
      <c r="M99" s="573">
        <v>212</v>
      </c>
      <c r="N99" s="590">
        <v>13</v>
      </c>
      <c r="O99" s="590">
        <v>2770</v>
      </c>
      <c r="P99" s="578">
        <v>1.3127962085308056</v>
      </c>
      <c r="Q99" s="591">
        <v>213.07692307692307</v>
      </c>
    </row>
    <row r="100" spans="1:17" ht="14.4" customHeight="1" x14ac:dyDescent="0.3">
      <c r="A100" s="572" t="s">
        <v>1082</v>
      </c>
      <c r="B100" s="573" t="s">
        <v>1107</v>
      </c>
      <c r="C100" s="573" t="s">
        <v>621</v>
      </c>
      <c r="D100" s="573" t="s">
        <v>1110</v>
      </c>
      <c r="E100" s="573" t="s">
        <v>1111</v>
      </c>
      <c r="F100" s="590">
        <v>2</v>
      </c>
      <c r="G100" s="590">
        <v>336</v>
      </c>
      <c r="H100" s="573">
        <v>1</v>
      </c>
      <c r="I100" s="573">
        <v>168</v>
      </c>
      <c r="J100" s="590">
        <v>26</v>
      </c>
      <c r="K100" s="590">
        <v>4394</v>
      </c>
      <c r="L100" s="573">
        <v>13.077380952380953</v>
      </c>
      <c r="M100" s="573">
        <v>169</v>
      </c>
      <c r="N100" s="590">
        <v>3</v>
      </c>
      <c r="O100" s="590">
        <v>508</v>
      </c>
      <c r="P100" s="578">
        <v>1.5119047619047619</v>
      </c>
      <c r="Q100" s="591">
        <v>169.33333333333334</v>
      </c>
    </row>
    <row r="101" spans="1:17" ht="14.4" customHeight="1" x14ac:dyDescent="0.3">
      <c r="A101" s="572" t="s">
        <v>1082</v>
      </c>
      <c r="B101" s="573" t="s">
        <v>1107</v>
      </c>
      <c r="C101" s="573" t="s">
        <v>621</v>
      </c>
      <c r="D101" s="573" t="s">
        <v>1112</v>
      </c>
      <c r="E101" s="573" t="s">
        <v>1113</v>
      </c>
      <c r="F101" s="590"/>
      <c r="G101" s="590"/>
      <c r="H101" s="573"/>
      <c r="I101" s="573"/>
      <c r="J101" s="590">
        <v>42</v>
      </c>
      <c r="K101" s="590">
        <v>4704</v>
      </c>
      <c r="L101" s="573"/>
      <c r="M101" s="573">
        <v>112</v>
      </c>
      <c r="N101" s="590">
        <v>45</v>
      </c>
      <c r="O101" s="590">
        <v>5058</v>
      </c>
      <c r="P101" s="578"/>
      <c r="Q101" s="591">
        <v>112.4</v>
      </c>
    </row>
    <row r="102" spans="1:17" ht="14.4" customHeight="1" x14ac:dyDescent="0.3">
      <c r="A102" s="572" t="s">
        <v>1082</v>
      </c>
      <c r="B102" s="573" t="s">
        <v>1107</v>
      </c>
      <c r="C102" s="573" t="s">
        <v>621</v>
      </c>
      <c r="D102" s="573" t="s">
        <v>1108</v>
      </c>
      <c r="E102" s="573" t="s">
        <v>1109</v>
      </c>
      <c r="F102" s="590">
        <v>4</v>
      </c>
      <c r="G102" s="590">
        <v>136</v>
      </c>
      <c r="H102" s="573">
        <v>1</v>
      </c>
      <c r="I102" s="573">
        <v>34</v>
      </c>
      <c r="J102" s="590">
        <v>1959</v>
      </c>
      <c r="K102" s="590">
        <v>66606</v>
      </c>
      <c r="L102" s="573">
        <v>489.75</v>
      </c>
      <c r="M102" s="573">
        <v>34</v>
      </c>
      <c r="N102" s="590">
        <v>1866</v>
      </c>
      <c r="O102" s="590">
        <v>64751</v>
      </c>
      <c r="P102" s="578">
        <v>476.11029411764707</v>
      </c>
      <c r="Q102" s="591">
        <v>34.70042872454448</v>
      </c>
    </row>
    <row r="103" spans="1:17" ht="14.4" customHeight="1" x14ac:dyDescent="0.3">
      <c r="A103" s="572" t="s">
        <v>1082</v>
      </c>
      <c r="B103" s="573" t="s">
        <v>1107</v>
      </c>
      <c r="C103" s="573" t="s">
        <v>621</v>
      </c>
      <c r="D103" s="573" t="s">
        <v>1114</v>
      </c>
      <c r="E103" s="573" t="s">
        <v>1115</v>
      </c>
      <c r="F103" s="590"/>
      <c r="G103" s="590"/>
      <c r="H103" s="573"/>
      <c r="I103" s="573"/>
      <c r="J103" s="590">
        <v>7</v>
      </c>
      <c r="K103" s="590">
        <v>70</v>
      </c>
      <c r="L103" s="573"/>
      <c r="M103" s="573">
        <v>10</v>
      </c>
      <c r="N103" s="590">
        <v>10</v>
      </c>
      <c r="O103" s="590">
        <v>100</v>
      </c>
      <c r="P103" s="578"/>
      <c r="Q103" s="591">
        <v>10</v>
      </c>
    </row>
    <row r="104" spans="1:17" ht="14.4" customHeight="1" x14ac:dyDescent="0.3">
      <c r="A104" s="572" t="s">
        <v>1082</v>
      </c>
      <c r="B104" s="573" t="s">
        <v>1107</v>
      </c>
      <c r="C104" s="573" t="s">
        <v>621</v>
      </c>
      <c r="D104" s="573" t="s">
        <v>1116</v>
      </c>
      <c r="E104" s="573" t="s">
        <v>1117</v>
      </c>
      <c r="F104" s="590"/>
      <c r="G104" s="590"/>
      <c r="H104" s="573"/>
      <c r="I104" s="573"/>
      <c r="J104" s="590">
        <v>2</v>
      </c>
      <c r="K104" s="590">
        <v>10</v>
      </c>
      <c r="L104" s="573"/>
      <c r="M104" s="573">
        <v>5</v>
      </c>
      <c r="N104" s="590">
        <v>5</v>
      </c>
      <c r="O104" s="590">
        <v>25</v>
      </c>
      <c r="P104" s="578"/>
      <c r="Q104" s="591">
        <v>5</v>
      </c>
    </row>
    <row r="105" spans="1:17" ht="14.4" customHeight="1" x14ac:dyDescent="0.3">
      <c r="A105" s="572" t="s">
        <v>1082</v>
      </c>
      <c r="B105" s="573" t="s">
        <v>1107</v>
      </c>
      <c r="C105" s="573" t="s">
        <v>621</v>
      </c>
      <c r="D105" s="573" t="s">
        <v>1118</v>
      </c>
      <c r="E105" s="573" t="s">
        <v>1119</v>
      </c>
      <c r="F105" s="590">
        <v>1</v>
      </c>
      <c r="G105" s="590">
        <v>5</v>
      </c>
      <c r="H105" s="573">
        <v>1</v>
      </c>
      <c r="I105" s="573">
        <v>5</v>
      </c>
      <c r="J105" s="590">
        <v>15</v>
      </c>
      <c r="K105" s="590">
        <v>75</v>
      </c>
      <c r="L105" s="573">
        <v>15</v>
      </c>
      <c r="M105" s="573">
        <v>5</v>
      </c>
      <c r="N105" s="590">
        <v>6</v>
      </c>
      <c r="O105" s="590">
        <v>30</v>
      </c>
      <c r="P105" s="578">
        <v>6</v>
      </c>
      <c r="Q105" s="591">
        <v>5</v>
      </c>
    </row>
    <row r="106" spans="1:17" ht="14.4" customHeight="1" x14ac:dyDescent="0.3">
      <c r="A106" s="572" t="s">
        <v>1082</v>
      </c>
      <c r="B106" s="573" t="s">
        <v>1107</v>
      </c>
      <c r="C106" s="573" t="s">
        <v>621</v>
      </c>
      <c r="D106" s="573" t="s">
        <v>1120</v>
      </c>
      <c r="E106" s="573" t="s">
        <v>1121</v>
      </c>
      <c r="F106" s="590"/>
      <c r="G106" s="590"/>
      <c r="H106" s="573"/>
      <c r="I106" s="573"/>
      <c r="J106" s="590">
        <v>10</v>
      </c>
      <c r="K106" s="590">
        <v>690</v>
      </c>
      <c r="L106" s="573"/>
      <c r="M106" s="573">
        <v>69</v>
      </c>
      <c r="N106" s="590">
        <v>7</v>
      </c>
      <c r="O106" s="590">
        <v>489</v>
      </c>
      <c r="P106" s="578"/>
      <c r="Q106" s="591">
        <v>69.857142857142861</v>
      </c>
    </row>
    <row r="107" spans="1:17" ht="14.4" customHeight="1" x14ac:dyDescent="0.3">
      <c r="A107" s="572" t="s">
        <v>1082</v>
      </c>
      <c r="B107" s="573" t="s">
        <v>1107</v>
      </c>
      <c r="C107" s="573" t="s">
        <v>621</v>
      </c>
      <c r="D107" s="573" t="s">
        <v>1122</v>
      </c>
      <c r="E107" s="573" t="s">
        <v>1123</v>
      </c>
      <c r="F107" s="590"/>
      <c r="G107" s="590"/>
      <c r="H107" s="573"/>
      <c r="I107" s="573"/>
      <c r="J107" s="590"/>
      <c r="K107" s="590"/>
      <c r="L107" s="573"/>
      <c r="M107" s="573"/>
      <c r="N107" s="590">
        <v>19</v>
      </c>
      <c r="O107" s="590">
        <v>2226</v>
      </c>
      <c r="P107" s="578"/>
      <c r="Q107" s="591">
        <v>117.15789473684211</v>
      </c>
    </row>
    <row r="108" spans="1:17" ht="14.4" customHeight="1" x14ac:dyDescent="0.3">
      <c r="A108" s="572" t="s">
        <v>1082</v>
      </c>
      <c r="B108" s="573" t="s">
        <v>1107</v>
      </c>
      <c r="C108" s="573" t="s">
        <v>621</v>
      </c>
      <c r="D108" s="573" t="s">
        <v>1156</v>
      </c>
      <c r="E108" s="573" t="s">
        <v>1157</v>
      </c>
      <c r="F108" s="590"/>
      <c r="G108" s="590"/>
      <c r="H108" s="573"/>
      <c r="I108" s="573"/>
      <c r="J108" s="590">
        <v>626</v>
      </c>
      <c r="K108" s="590">
        <v>73242</v>
      </c>
      <c r="L108" s="573"/>
      <c r="M108" s="573">
        <v>117</v>
      </c>
      <c r="N108" s="590">
        <v>83</v>
      </c>
      <c r="O108" s="590">
        <v>9711</v>
      </c>
      <c r="P108" s="578"/>
      <c r="Q108" s="591">
        <v>117</v>
      </c>
    </row>
    <row r="109" spans="1:17" ht="14.4" customHeight="1" x14ac:dyDescent="0.3">
      <c r="A109" s="572" t="s">
        <v>1082</v>
      </c>
      <c r="B109" s="573" t="s">
        <v>1107</v>
      </c>
      <c r="C109" s="573" t="s">
        <v>621</v>
      </c>
      <c r="D109" s="573" t="s">
        <v>1124</v>
      </c>
      <c r="E109" s="573" t="s">
        <v>1125</v>
      </c>
      <c r="F109" s="590"/>
      <c r="G109" s="590"/>
      <c r="H109" s="573"/>
      <c r="I109" s="573"/>
      <c r="J109" s="590">
        <v>140</v>
      </c>
      <c r="K109" s="590">
        <v>22820</v>
      </c>
      <c r="L109" s="573"/>
      <c r="M109" s="573">
        <v>163</v>
      </c>
      <c r="N109" s="590">
        <v>194</v>
      </c>
      <c r="O109" s="590">
        <v>31758</v>
      </c>
      <c r="P109" s="578"/>
      <c r="Q109" s="591">
        <v>163.70103092783506</v>
      </c>
    </row>
    <row r="110" spans="1:17" ht="14.4" customHeight="1" x14ac:dyDescent="0.3">
      <c r="A110" s="572" t="s">
        <v>1082</v>
      </c>
      <c r="B110" s="573" t="s">
        <v>1107</v>
      </c>
      <c r="C110" s="573" t="s">
        <v>621</v>
      </c>
      <c r="D110" s="573" t="s">
        <v>1128</v>
      </c>
      <c r="E110" s="573" t="s">
        <v>1129</v>
      </c>
      <c r="F110" s="590"/>
      <c r="G110" s="590"/>
      <c r="H110" s="573"/>
      <c r="I110" s="573"/>
      <c r="J110" s="590">
        <v>8</v>
      </c>
      <c r="K110" s="590">
        <v>1344</v>
      </c>
      <c r="L110" s="573"/>
      <c r="M110" s="573">
        <v>168</v>
      </c>
      <c r="N110" s="590">
        <v>15</v>
      </c>
      <c r="O110" s="590">
        <v>2528</v>
      </c>
      <c r="P110" s="578"/>
      <c r="Q110" s="591">
        <v>168.53333333333333</v>
      </c>
    </row>
    <row r="111" spans="1:17" ht="14.4" customHeight="1" x14ac:dyDescent="0.3">
      <c r="A111" s="572" t="s">
        <v>1082</v>
      </c>
      <c r="B111" s="573" t="s">
        <v>1107</v>
      </c>
      <c r="C111" s="573" t="s">
        <v>621</v>
      </c>
      <c r="D111" s="573" t="s">
        <v>1130</v>
      </c>
      <c r="E111" s="573" t="s">
        <v>1131</v>
      </c>
      <c r="F111" s="590"/>
      <c r="G111" s="590"/>
      <c r="H111" s="573"/>
      <c r="I111" s="573"/>
      <c r="J111" s="590">
        <v>91</v>
      </c>
      <c r="K111" s="590">
        <v>0</v>
      </c>
      <c r="L111" s="573"/>
      <c r="M111" s="573">
        <v>0</v>
      </c>
      <c r="N111" s="590">
        <v>188</v>
      </c>
      <c r="O111" s="590">
        <v>0</v>
      </c>
      <c r="P111" s="578"/>
      <c r="Q111" s="591">
        <v>0</v>
      </c>
    </row>
    <row r="112" spans="1:17" ht="14.4" customHeight="1" x14ac:dyDescent="0.3">
      <c r="A112" s="572" t="s">
        <v>1082</v>
      </c>
      <c r="B112" s="573" t="s">
        <v>1107</v>
      </c>
      <c r="C112" s="573" t="s">
        <v>621</v>
      </c>
      <c r="D112" s="573" t="s">
        <v>1132</v>
      </c>
      <c r="E112" s="573" t="s">
        <v>1133</v>
      </c>
      <c r="F112" s="590">
        <v>5</v>
      </c>
      <c r="G112" s="590">
        <v>125</v>
      </c>
      <c r="H112" s="573">
        <v>1</v>
      </c>
      <c r="I112" s="573">
        <v>25</v>
      </c>
      <c r="J112" s="590">
        <v>63</v>
      </c>
      <c r="K112" s="590">
        <v>2205</v>
      </c>
      <c r="L112" s="573">
        <v>17.64</v>
      </c>
      <c r="M112" s="573">
        <v>35</v>
      </c>
      <c r="N112" s="590">
        <v>4</v>
      </c>
      <c r="O112" s="590">
        <v>142</v>
      </c>
      <c r="P112" s="578">
        <v>1.1359999999999999</v>
      </c>
      <c r="Q112" s="591">
        <v>35.5</v>
      </c>
    </row>
    <row r="113" spans="1:17" ht="14.4" customHeight="1" x14ac:dyDescent="0.3">
      <c r="A113" s="572" t="s">
        <v>1082</v>
      </c>
      <c r="B113" s="573" t="s">
        <v>1107</v>
      </c>
      <c r="C113" s="573" t="s">
        <v>621</v>
      </c>
      <c r="D113" s="573" t="s">
        <v>1136</v>
      </c>
      <c r="E113" s="573" t="s">
        <v>1137</v>
      </c>
      <c r="F113" s="590"/>
      <c r="G113" s="590"/>
      <c r="H113" s="573"/>
      <c r="I113" s="573"/>
      <c r="J113" s="590">
        <v>1992</v>
      </c>
      <c r="K113" s="590">
        <v>280872</v>
      </c>
      <c r="L113" s="573"/>
      <c r="M113" s="573">
        <v>141</v>
      </c>
      <c r="N113" s="590">
        <v>2011</v>
      </c>
      <c r="O113" s="590">
        <v>265065</v>
      </c>
      <c r="P113" s="578"/>
      <c r="Q113" s="591">
        <v>131.80755842864247</v>
      </c>
    </row>
    <row r="114" spans="1:17" ht="14.4" customHeight="1" x14ac:dyDescent="0.3">
      <c r="A114" s="572" t="s">
        <v>1082</v>
      </c>
      <c r="B114" s="573" t="s">
        <v>1107</v>
      </c>
      <c r="C114" s="573" t="s">
        <v>621</v>
      </c>
      <c r="D114" s="573" t="s">
        <v>1138</v>
      </c>
      <c r="E114" s="573" t="s">
        <v>1139</v>
      </c>
      <c r="F114" s="590">
        <v>1</v>
      </c>
      <c r="G114" s="590">
        <v>68</v>
      </c>
      <c r="H114" s="573">
        <v>1</v>
      </c>
      <c r="I114" s="573">
        <v>68</v>
      </c>
      <c r="J114" s="590">
        <v>11</v>
      </c>
      <c r="K114" s="590">
        <v>759</v>
      </c>
      <c r="L114" s="573">
        <v>11.161764705882353</v>
      </c>
      <c r="M114" s="573">
        <v>69</v>
      </c>
      <c r="N114" s="590">
        <v>2</v>
      </c>
      <c r="O114" s="590">
        <v>140</v>
      </c>
      <c r="P114" s="578">
        <v>2.0588235294117645</v>
      </c>
      <c r="Q114" s="591">
        <v>70</v>
      </c>
    </row>
    <row r="115" spans="1:17" ht="14.4" customHeight="1" x14ac:dyDescent="0.3">
      <c r="A115" s="572" t="s">
        <v>1082</v>
      </c>
      <c r="B115" s="573" t="s">
        <v>1107</v>
      </c>
      <c r="C115" s="573" t="s">
        <v>621</v>
      </c>
      <c r="D115" s="573" t="s">
        <v>1140</v>
      </c>
      <c r="E115" s="573" t="s">
        <v>1141</v>
      </c>
      <c r="F115" s="590"/>
      <c r="G115" s="590"/>
      <c r="H115" s="573"/>
      <c r="I115" s="573"/>
      <c r="J115" s="590">
        <v>10</v>
      </c>
      <c r="K115" s="590">
        <v>3270</v>
      </c>
      <c r="L115" s="573"/>
      <c r="M115" s="573">
        <v>327</v>
      </c>
      <c r="N115" s="590">
        <v>9</v>
      </c>
      <c r="O115" s="590">
        <v>2967</v>
      </c>
      <c r="P115" s="578"/>
      <c r="Q115" s="591">
        <v>329.66666666666669</v>
      </c>
    </row>
    <row r="116" spans="1:17" ht="14.4" customHeight="1" x14ac:dyDescent="0.3">
      <c r="A116" s="572" t="s">
        <v>1082</v>
      </c>
      <c r="B116" s="573" t="s">
        <v>1107</v>
      </c>
      <c r="C116" s="573" t="s">
        <v>621</v>
      </c>
      <c r="D116" s="573" t="s">
        <v>1142</v>
      </c>
      <c r="E116" s="573" t="s">
        <v>1143</v>
      </c>
      <c r="F116" s="590">
        <v>4</v>
      </c>
      <c r="G116" s="590">
        <v>820</v>
      </c>
      <c r="H116" s="573">
        <v>1</v>
      </c>
      <c r="I116" s="573">
        <v>205</v>
      </c>
      <c r="J116" s="590">
        <v>13</v>
      </c>
      <c r="K116" s="590">
        <v>2678</v>
      </c>
      <c r="L116" s="573">
        <v>3.2658536585365852</v>
      </c>
      <c r="M116" s="573">
        <v>206</v>
      </c>
      <c r="N116" s="590">
        <v>18</v>
      </c>
      <c r="O116" s="590">
        <v>3762</v>
      </c>
      <c r="P116" s="578">
        <v>4.5878048780487806</v>
      </c>
      <c r="Q116" s="591">
        <v>209</v>
      </c>
    </row>
    <row r="117" spans="1:17" ht="14.4" customHeight="1" x14ac:dyDescent="0.3">
      <c r="A117" s="572" t="s">
        <v>1082</v>
      </c>
      <c r="B117" s="573" t="s">
        <v>1107</v>
      </c>
      <c r="C117" s="573" t="s">
        <v>621</v>
      </c>
      <c r="D117" s="573" t="s">
        <v>1144</v>
      </c>
      <c r="E117" s="573" t="s">
        <v>1145</v>
      </c>
      <c r="F117" s="590"/>
      <c r="G117" s="590"/>
      <c r="H117" s="573"/>
      <c r="I117" s="573"/>
      <c r="J117" s="590">
        <v>51</v>
      </c>
      <c r="K117" s="590">
        <v>3876</v>
      </c>
      <c r="L117" s="573"/>
      <c r="M117" s="573">
        <v>76</v>
      </c>
      <c r="N117" s="590">
        <v>56</v>
      </c>
      <c r="O117" s="590">
        <v>4275</v>
      </c>
      <c r="P117" s="578"/>
      <c r="Q117" s="591">
        <v>76.339285714285708</v>
      </c>
    </row>
    <row r="118" spans="1:17" ht="14.4" customHeight="1" x14ac:dyDescent="0.3">
      <c r="A118" s="572" t="s">
        <v>1082</v>
      </c>
      <c r="B118" s="573" t="s">
        <v>1107</v>
      </c>
      <c r="C118" s="573" t="s">
        <v>621</v>
      </c>
      <c r="D118" s="573" t="s">
        <v>1146</v>
      </c>
      <c r="E118" s="573" t="s">
        <v>1147</v>
      </c>
      <c r="F118" s="590"/>
      <c r="G118" s="590"/>
      <c r="H118" s="573"/>
      <c r="I118" s="573"/>
      <c r="J118" s="590"/>
      <c r="K118" s="590"/>
      <c r="L118" s="573"/>
      <c r="M118" s="573"/>
      <c r="N118" s="590">
        <v>2</v>
      </c>
      <c r="O118" s="590">
        <v>52</v>
      </c>
      <c r="P118" s="578"/>
      <c r="Q118" s="591">
        <v>26</v>
      </c>
    </row>
    <row r="119" spans="1:17" ht="14.4" customHeight="1" x14ac:dyDescent="0.3">
      <c r="A119" s="572" t="s">
        <v>1082</v>
      </c>
      <c r="B119" s="573" t="s">
        <v>1107</v>
      </c>
      <c r="C119" s="573" t="s">
        <v>621</v>
      </c>
      <c r="D119" s="573" t="s">
        <v>1148</v>
      </c>
      <c r="E119" s="573" t="s">
        <v>1149</v>
      </c>
      <c r="F119" s="590">
        <v>2</v>
      </c>
      <c r="G119" s="590">
        <v>114</v>
      </c>
      <c r="H119" s="573">
        <v>1</v>
      </c>
      <c r="I119" s="573">
        <v>57</v>
      </c>
      <c r="J119" s="590">
        <v>17</v>
      </c>
      <c r="K119" s="590">
        <v>952</v>
      </c>
      <c r="L119" s="573">
        <v>8.3508771929824555</v>
      </c>
      <c r="M119" s="573">
        <v>56</v>
      </c>
      <c r="N119" s="590">
        <v>3</v>
      </c>
      <c r="O119" s="590">
        <v>170</v>
      </c>
      <c r="P119" s="578">
        <v>1.4912280701754386</v>
      </c>
      <c r="Q119" s="591">
        <v>56.666666666666664</v>
      </c>
    </row>
    <row r="120" spans="1:17" ht="14.4" customHeight="1" x14ac:dyDescent="0.3">
      <c r="A120" s="572" t="s">
        <v>1082</v>
      </c>
      <c r="B120" s="573" t="s">
        <v>1107</v>
      </c>
      <c r="C120" s="573" t="s">
        <v>621</v>
      </c>
      <c r="D120" s="573" t="s">
        <v>1150</v>
      </c>
      <c r="E120" s="573" t="s">
        <v>1151</v>
      </c>
      <c r="F120" s="590"/>
      <c r="G120" s="590"/>
      <c r="H120" s="573"/>
      <c r="I120" s="573"/>
      <c r="J120" s="590">
        <v>3</v>
      </c>
      <c r="K120" s="590">
        <v>720</v>
      </c>
      <c r="L120" s="573"/>
      <c r="M120" s="573">
        <v>240</v>
      </c>
      <c r="N120" s="590"/>
      <c r="O120" s="590"/>
      <c r="P120" s="578"/>
      <c r="Q120" s="591"/>
    </row>
    <row r="121" spans="1:17" ht="14.4" customHeight="1" x14ac:dyDescent="0.3">
      <c r="A121" s="572" t="s">
        <v>1082</v>
      </c>
      <c r="B121" s="573" t="s">
        <v>1107</v>
      </c>
      <c r="C121" s="573" t="s">
        <v>621</v>
      </c>
      <c r="D121" s="573" t="s">
        <v>1152</v>
      </c>
      <c r="E121" s="573" t="s">
        <v>1153</v>
      </c>
      <c r="F121" s="590"/>
      <c r="G121" s="590"/>
      <c r="H121" s="573"/>
      <c r="I121" s="573"/>
      <c r="J121" s="590">
        <v>12</v>
      </c>
      <c r="K121" s="590">
        <v>7740</v>
      </c>
      <c r="L121" s="573"/>
      <c r="M121" s="573">
        <v>645</v>
      </c>
      <c r="N121" s="590">
        <v>12</v>
      </c>
      <c r="O121" s="590">
        <v>7806</v>
      </c>
      <c r="P121" s="578"/>
      <c r="Q121" s="591">
        <v>650.5</v>
      </c>
    </row>
    <row r="122" spans="1:17" ht="14.4" customHeight="1" x14ac:dyDescent="0.3">
      <c r="A122" s="572" t="s">
        <v>1082</v>
      </c>
      <c r="B122" s="573" t="s">
        <v>1107</v>
      </c>
      <c r="C122" s="573" t="s">
        <v>621</v>
      </c>
      <c r="D122" s="573" t="s">
        <v>1154</v>
      </c>
      <c r="E122" s="573" t="s">
        <v>1155</v>
      </c>
      <c r="F122" s="590">
        <v>40</v>
      </c>
      <c r="G122" s="590">
        <v>8440</v>
      </c>
      <c r="H122" s="573">
        <v>1</v>
      </c>
      <c r="I122" s="573">
        <v>211</v>
      </c>
      <c r="J122" s="590">
        <v>40</v>
      </c>
      <c r="K122" s="590">
        <v>8480</v>
      </c>
      <c r="L122" s="573">
        <v>1.0047393364928909</v>
      </c>
      <c r="M122" s="573">
        <v>212</v>
      </c>
      <c r="N122" s="590">
        <v>7</v>
      </c>
      <c r="O122" s="590">
        <v>1492</v>
      </c>
      <c r="P122" s="578">
        <v>0.17677725118483412</v>
      </c>
      <c r="Q122" s="591">
        <v>213.14285714285714</v>
      </c>
    </row>
    <row r="123" spans="1:17" ht="14.4" customHeight="1" x14ac:dyDescent="0.3">
      <c r="A123" s="572" t="s">
        <v>1082</v>
      </c>
      <c r="B123" s="573" t="s">
        <v>1107</v>
      </c>
      <c r="C123" s="573" t="s">
        <v>622</v>
      </c>
      <c r="D123" s="573" t="s">
        <v>1158</v>
      </c>
      <c r="E123" s="573" t="s">
        <v>1073</v>
      </c>
      <c r="F123" s="590">
        <v>169</v>
      </c>
      <c r="G123" s="590">
        <v>73008</v>
      </c>
      <c r="H123" s="573">
        <v>1</v>
      </c>
      <c r="I123" s="573">
        <v>432</v>
      </c>
      <c r="J123" s="590"/>
      <c r="K123" s="590"/>
      <c r="L123" s="573"/>
      <c r="M123" s="573"/>
      <c r="N123" s="590"/>
      <c r="O123" s="590"/>
      <c r="P123" s="578"/>
      <c r="Q123" s="591"/>
    </row>
    <row r="124" spans="1:17" ht="14.4" customHeight="1" x14ac:dyDescent="0.3">
      <c r="A124" s="572" t="s">
        <v>1082</v>
      </c>
      <c r="B124" s="573" t="s">
        <v>1107</v>
      </c>
      <c r="C124" s="573" t="s">
        <v>622</v>
      </c>
      <c r="D124" s="573" t="s">
        <v>1159</v>
      </c>
      <c r="E124" s="573" t="s">
        <v>1073</v>
      </c>
      <c r="F124" s="590">
        <v>1</v>
      </c>
      <c r="G124" s="590">
        <v>168</v>
      </c>
      <c r="H124" s="573">
        <v>1</v>
      </c>
      <c r="I124" s="573">
        <v>168</v>
      </c>
      <c r="J124" s="590"/>
      <c r="K124" s="590"/>
      <c r="L124" s="573"/>
      <c r="M124" s="573"/>
      <c r="N124" s="590"/>
      <c r="O124" s="590"/>
      <c r="P124" s="578"/>
      <c r="Q124" s="591"/>
    </row>
    <row r="125" spans="1:17" ht="14.4" customHeight="1" x14ac:dyDescent="0.3">
      <c r="A125" s="572" t="s">
        <v>1082</v>
      </c>
      <c r="B125" s="573" t="s">
        <v>1107</v>
      </c>
      <c r="C125" s="573" t="s">
        <v>622</v>
      </c>
      <c r="D125" s="573" t="s">
        <v>1110</v>
      </c>
      <c r="E125" s="573" t="s">
        <v>1111</v>
      </c>
      <c r="F125" s="590"/>
      <c r="G125" s="590"/>
      <c r="H125" s="573"/>
      <c r="I125" s="573"/>
      <c r="J125" s="590">
        <v>1</v>
      </c>
      <c r="K125" s="590">
        <v>169</v>
      </c>
      <c r="L125" s="573"/>
      <c r="M125" s="573">
        <v>169</v>
      </c>
      <c r="N125" s="590">
        <v>1</v>
      </c>
      <c r="O125" s="590">
        <v>170</v>
      </c>
      <c r="P125" s="578"/>
      <c r="Q125" s="591">
        <v>170</v>
      </c>
    </row>
    <row r="126" spans="1:17" ht="14.4" customHeight="1" x14ac:dyDescent="0.3">
      <c r="A126" s="572" t="s">
        <v>1082</v>
      </c>
      <c r="B126" s="573" t="s">
        <v>1107</v>
      </c>
      <c r="C126" s="573" t="s">
        <v>622</v>
      </c>
      <c r="D126" s="573" t="s">
        <v>1112</v>
      </c>
      <c r="E126" s="573" t="s">
        <v>1113</v>
      </c>
      <c r="F126" s="590">
        <v>1</v>
      </c>
      <c r="G126" s="590">
        <v>62</v>
      </c>
      <c r="H126" s="573">
        <v>1</v>
      </c>
      <c r="I126" s="573">
        <v>62</v>
      </c>
      <c r="J126" s="590">
        <v>1</v>
      </c>
      <c r="K126" s="590">
        <v>112</v>
      </c>
      <c r="L126" s="573">
        <v>1.8064516129032258</v>
      </c>
      <c r="M126" s="573">
        <v>112</v>
      </c>
      <c r="N126" s="590">
        <v>1</v>
      </c>
      <c r="O126" s="590">
        <v>112</v>
      </c>
      <c r="P126" s="578">
        <v>1.8064516129032258</v>
      </c>
      <c r="Q126" s="591">
        <v>112</v>
      </c>
    </row>
    <row r="127" spans="1:17" ht="14.4" customHeight="1" x14ac:dyDescent="0.3">
      <c r="A127" s="572" t="s">
        <v>1082</v>
      </c>
      <c r="B127" s="573" t="s">
        <v>1107</v>
      </c>
      <c r="C127" s="573" t="s">
        <v>622</v>
      </c>
      <c r="D127" s="573" t="s">
        <v>1108</v>
      </c>
      <c r="E127" s="573" t="s">
        <v>1109</v>
      </c>
      <c r="F127" s="590">
        <v>41</v>
      </c>
      <c r="G127" s="590">
        <v>1394</v>
      </c>
      <c r="H127" s="573">
        <v>1</v>
      </c>
      <c r="I127" s="573">
        <v>34</v>
      </c>
      <c r="J127" s="590">
        <v>35</v>
      </c>
      <c r="K127" s="590">
        <v>1190</v>
      </c>
      <c r="L127" s="573">
        <v>0.85365853658536583</v>
      </c>
      <c r="M127" s="573">
        <v>34</v>
      </c>
      <c r="N127" s="590">
        <v>12</v>
      </c>
      <c r="O127" s="590">
        <v>416</v>
      </c>
      <c r="P127" s="578">
        <v>0.29842180774748922</v>
      </c>
      <c r="Q127" s="591">
        <v>34.666666666666664</v>
      </c>
    </row>
    <row r="128" spans="1:17" ht="14.4" customHeight="1" x14ac:dyDescent="0.3">
      <c r="A128" s="572" t="s">
        <v>1082</v>
      </c>
      <c r="B128" s="573" t="s">
        <v>1107</v>
      </c>
      <c r="C128" s="573" t="s">
        <v>622</v>
      </c>
      <c r="D128" s="573" t="s">
        <v>1114</v>
      </c>
      <c r="E128" s="573" t="s">
        <v>1115</v>
      </c>
      <c r="F128" s="590">
        <v>2</v>
      </c>
      <c r="G128" s="590">
        <v>20</v>
      </c>
      <c r="H128" s="573">
        <v>1</v>
      </c>
      <c r="I128" s="573">
        <v>10</v>
      </c>
      <c r="J128" s="590"/>
      <c r="K128" s="590"/>
      <c r="L128" s="573"/>
      <c r="M128" s="573"/>
      <c r="N128" s="590">
        <v>1</v>
      </c>
      <c r="O128" s="590">
        <v>10</v>
      </c>
      <c r="P128" s="578">
        <v>0.5</v>
      </c>
      <c r="Q128" s="591">
        <v>10</v>
      </c>
    </row>
    <row r="129" spans="1:17" ht="14.4" customHeight="1" x14ac:dyDescent="0.3">
      <c r="A129" s="572" t="s">
        <v>1082</v>
      </c>
      <c r="B129" s="573" t="s">
        <v>1107</v>
      </c>
      <c r="C129" s="573" t="s">
        <v>622</v>
      </c>
      <c r="D129" s="573" t="s">
        <v>1120</v>
      </c>
      <c r="E129" s="573" t="s">
        <v>1121</v>
      </c>
      <c r="F129" s="590"/>
      <c r="G129" s="590"/>
      <c r="H129" s="573"/>
      <c r="I129" s="573"/>
      <c r="J129" s="590">
        <v>2</v>
      </c>
      <c r="K129" s="590">
        <v>138</v>
      </c>
      <c r="L129" s="573"/>
      <c r="M129" s="573">
        <v>69</v>
      </c>
      <c r="N129" s="590">
        <v>3</v>
      </c>
      <c r="O129" s="590">
        <v>209</v>
      </c>
      <c r="P129" s="578"/>
      <c r="Q129" s="591">
        <v>69.666666666666671</v>
      </c>
    </row>
    <row r="130" spans="1:17" ht="14.4" customHeight="1" x14ac:dyDescent="0.3">
      <c r="A130" s="572" t="s">
        <v>1082</v>
      </c>
      <c r="B130" s="573" t="s">
        <v>1107</v>
      </c>
      <c r="C130" s="573" t="s">
        <v>622</v>
      </c>
      <c r="D130" s="573" t="s">
        <v>1124</v>
      </c>
      <c r="E130" s="573" t="s">
        <v>1125</v>
      </c>
      <c r="F130" s="590">
        <v>1</v>
      </c>
      <c r="G130" s="590">
        <v>164</v>
      </c>
      <c r="H130" s="573">
        <v>1</v>
      </c>
      <c r="I130" s="573">
        <v>164</v>
      </c>
      <c r="J130" s="590"/>
      <c r="K130" s="590"/>
      <c r="L130" s="573"/>
      <c r="M130" s="573"/>
      <c r="N130" s="590"/>
      <c r="O130" s="590"/>
      <c r="P130" s="578"/>
      <c r="Q130" s="591"/>
    </row>
    <row r="131" spans="1:17" ht="14.4" customHeight="1" x14ac:dyDescent="0.3">
      <c r="A131" s="572" t="s">
        <v>1082</v>
      </c>
      <c r="B131" s="573" t="s">
        <v>1107</v>
      </c>
      <c r="C131" s="573" t="s">
        <v>622</v>
      </c>
      <c r="D131" s="573" t="s">
        <v>1132</v>
      </c>
      <c r="E131" s="573" t="s">
        <v>1133</v>
      </c>
      <c r="F131" s="590">
        <v>42</v>
      </c>
      <c r="G131" s="590">
        <v>1050</v>
      </c>
      <c r="H131" s="573">
        <v>1</v>
      </c>
      <c r="I131" s="573">
        <v>25</v>
      </c>
      <c r="J131" s="590">
        <v>47</v>
      </c>
      <c r="K131" s="590">
        <v>1645</v>
      </c>
      <c r="L131" s="573">
        <v>1.5666666666666667</v>
      </c>
      <c r="M131" s="573">
        <v>35</v>
      </c>
      <c r="N131" s="590">
        <v>5</v>
      </c>
      <c r="O131" s="590">
        <v>177</v>
      </c>
      <c r="P131" s="578">
        <v>0.16857142857142857</v>
      </c>
      <c r="Q131" s="591">
        <v>35.4</v>
      </c>
    </row>
    <row r="132" spans="1:17" ht="14.4" customHeight="1" x14ac:dyDescent="0.3">
      <c r="A132" s="572" t="s">
        <v>1082</v>
      </c>
      <c r="B132" s="573" t="s">
        <v>1107</v>
      </c>
      <c r="C132" s="573" t="s">
        <v>622</v>
      </c>
      <c r="D132" s="573" t="s">
        <v>1160</v>
      </c>
      <c r="E132" s="573" t="s">
        <v>1161</v>
      </c>
      <c r="F132" s="590">
        <v>1</v>
      </c>
      <c r="G132" s="590">
        <v>19</v>
      </c>
      <c r="H132" s="573">
        <v>1</v>
      </c>
      <c r="I132" s="573">
        <v>19</v>
      </c>
      <c r="J132" s="590"/>
      <c r="K132" s="590"/>
      <c r="L132" s="573"/>
      <c r="M132" s="573"/>
      <c r="N132" s="590"/>
      <c r="O132" s="590"/>
      <c r="P132" s="578"/>
      <c r="Q132" s="591"/>
    </row>
    <row r="133" spans="1:17" ht="14.4" customHeight="1" x14ac:dyDescent="0.3">
      <c r="A133" s="572" t="s">
        <v>1082</v>
      </c>
      <c r="B133" s="573" t="s">
        <v>1107</v>
      </c>
      <c r="C133" s="573" t="s">
        <v>622</v>
      </c>
      <c r="D133" s="573" t="s">
        <v>1138</v>
      </c>
      <c r="E133" s="573" t="s">
        <v>1139</v>
      </c>
      <c r="F133" s="590">
        <v>60</v>
      </c>
      <c r="G133" s="590">
        <v>4080</v>
      </c>
      <c r="H133" s="573">
        <v>1</v>
      </c>
      <c r="I133" s="573">
        <v>68</v>
      </c>
      <c r="J133" s="590"/>
      <c r="K133" s="590"/>
      <c r="L133" s="573"/>
      <c r="M133" s="573"/>
      <c r="N133" s="590">
        <v>1</v>
      </c>
      <c r="O133" s="590">
        <v>70</v>
      </c>
      <c r="P133" s="578">
        <v>1.7156862745098041E-2</v>
      </c>
      <c r="Q133" s="591">
        <v>70</v>
      </c>
    </row>
    <row r="134" spans="1:17" ht="14.4" customHeight="1" x14ac:dyDescent="0.3">
      <c r="A134" s="572" t="s">
        <v>1082</v>
      </c>
      <c r="B134" s="573" t="s">
        <v>1107</v>
      </c>
      <c r="C134" s="573" t="s">
        <v>622</v>
      </c>
      <c r="D134" s="573" t="s">
        <v>1140</v>
      </c>
      <c r="E134" s="573" t="s">
        <v>1141</v>
      </c>
      <c r="F134" s="590">
        <v>24</v>
      </c>
      <c r="G134" s="590">
        <v>7920</v>
      </c>
      <c r="H134" s="573">
        <v>1</v>
      </c>
      <c r="I134" s="573">
        <v>330</v>
      </c>
      <c r="J134" s="590">
        <v>1</v>
      </c>
      <c r="K134" s="590">
        <v>327</v>
      </c>
      <c r="L134" s="573">
        <v>4.128787878787879E-2</v>
      </c>
      <c r="M134" s="573">
        <v>327</v>
      </c>
      <c r="N134" s="590"/>
      <c r="O134" s="590"/>
      <c r="P134" s="578"/>
      <c r="Q134" s="591"/>
    </row>
    <row r="135" spans="1:17" ht="14.4" customHeight="1" x14ac:dyDescent="0.3">
      <c r="A135" s="572" t="s">
        <v>1082</v>
      </c>
      <c r="B135" s="573" t="s">
        <v>1107</v>
      </c>
      <c r="C135" s="573" t="s">
        <v>622</v>
      </c>
      <c r="D135" s="573" t="s">
        <v>1142</v>
      </c>
      <c r="E135" s="573" t="s">
        <v>1143</v>
      </c>
      <c r="F135" s="590"/>
      <c r="G135" s="590"/>
      <c r="H135" s="573"/>
      <c r="I135" s="573"/>
      <c r="J135" s="590">
        <v>2</v>
      </c>
      <c r="K135" s="590">
        <v>412</v>
      </c>
      <c r="L135" s="573"/>
      <c r="M135" s="573">
        <v>206</v>
      </c>
      <c r="N135" s="590">
        <v>4</v>
      </c>
      <c r="O135" s="590">
        <v>830</v>
      </c>
      <c r="P135" s="578"/>
      <c r="Q135" s="591">
        <v>207.5</v>
      </c>
    </row>
    <row r="136" spans="1:17" ht="14.4" customHeight="1" x14ac:dyDescent="0.3">
      <c r="A136" s="572" t="s">
        <v>1082</v>
      </c>
      <c r="B136" s="573" t="s">
        <v>1107</v>
      </c>
      <c r="C136" s="573" t="s">
        <v>622</v>
      </c>
      <c r="D136" s="573" t="s">
        <v>1144</v>
      </c>
      <c r="E136" s="573" t="s">
        <v>1145</v>
      </c>
      <c r="F136" s="590"/>
      <c r="G136" s="590"/>
      <c r="H136" s="573"/>
      <c r="I136" s="573"/>
      <c r="J136" s="590"/>
      <c r="K136" s="590"/>
      <c r="L136" s="573"/>
      <c r="M136" s="573"/>
      <c r="N136" s="590">
        <v>1</v>
      </c>
      <c r="O136" s="590">
        <v>76</v>
      </c>
      <c r="P136" s="578"/>
      <c r="Q136" s="591">
        <v>76</v>
      </c>
    </row>
    <row r="137" spans="1:17" ht="14.4" customHeight="1" x14ac:dyDescent="0.3">
      <c r="A137" s="572" t="s">
        <v>1082</v>
      </c>
      <c r="B137" s="573" t="s">
        <v>1107</v>
      </c>
      <c r="C137" s="573" t="s">
        <v>622</v>
      </c>
      <c r="D137" s="573" t="s">
        <v>1146</v>
      </c>
      <c r="E137" s="573" t="s">
        <v>1147</v>
      </c>
      <c r="F137" s="590"/>
      <c r="G137" s="590"/>
      <c r="H137" s="573"/>
      <c r="I137" s="573"/>
      <c r="J137" s="590">
        <v>1</v>
      </c>
      <c r="K137" s="590">
        <v>26</v>
      </c>
      <c r="L137" s="573"/>
      <c r="M137" s="573">
        <v>26</v>
      </c>
      <c r="N137" s="590"/>
      <c r="O137" s="590"/>
      <c r="P137" s="578"/>
      <c r="Q137" s="591"/>
    </row>
    <row r="138" spans="1:17" ht="14.4" customHeight="1" x14ac:dyDescent="0.3">
      <c r="A138" s="572" t="s">
        <v>1082</v>
      </c>
      <c r="B138" s="573" t="s">
        <v>1107</v>
      </c>
      <c r="C138" s="573" t="s">
        <v>622</v>
      </c>
      <c r="D138" s="573" t="s">
        <v>1148</v>
      </c>
      <c r="E138" s="573" t="s">
        <v>1149</v>
      </c>
      <c r="F138" s="590">
        <v>30</v>
      </c>
      <c r="G138" s="590">
        <v>1710</v>
      </c>
      <c r="H138" s="573">
        <v>1</v>
      </c>
      <c r="I138" s="573">
        <v>57</v>
      </c>
      <c r="J138" s="590">
        <v>21</v>
      </c>
      <c r="K138" s="590">
        <v>1176</v>
      </c>
      <c r="L138" s="573">
        <v>0.68771929824561406</v>
      </c>
      <c r="M138" s="573">
        <v>56</v>
      </c>
      <c r="N138" s="590">
        <v>1</v>
      </c>
      <c r="O138" s="590">
        <v>56</v>
      </c>
      <c r="P138" s="578">
        <v>3.2748538011695909E-2</v>
      </c>
      <c r="Q138" s="591">
        <v>56</v>
      </c>
    </row>
    <row r="139" spans="1:17" ht="14.4" customHeight="1" x14ac:dyDescent="0.3">
      <c r="A139" s="572" t="s">
        <v>1082</v>
      </c>
      <c r="B139" s="573" t="s">
        <v>1107</v>
      </c>
      <c r="C139" s="573" t="s">
        <v>622</v>
      </c>
      <c r="D139" s="573" t="s">
        <v>1152</v>
      </c>
      <c r="E139" s="573" t="s">
        <v>1153</v>
      </c>
      <c r="F139" s="590">
        <v>9</v>
      </c>
      <c r="G139" s="590">
        <v>5814</v>
      </c>
      <c r="H139" s="573">
        <v>1</v>
      </c>
      <c r="I139" s="573">
        <v>646</v>
      </c>
      <c r="J139" s="590">
        <v>2</v>
      </c>
      <c r="K139" s="590">
        <v>1290</v>
      </c>
      <c r="L139" s="573">
        <v>0.22187822497420021</v>
      </c>
      <c r="M139" s="573">
        <v>645</v>
      </c>
      <c r="N139" s="590">
        <v>7</v>
      </c>
      <c r="O139" s="590">
        <v>4539</v>
      </c>
      <c r="P139" s="578">
        <v>0.7807017543859649</v>
      </c>
      <c r="Q139" s="591">
        <v>648.42857142857144</v>
      </c>
    </row>
    <row r="140" spans="1:17" ht="14.4" customHeight="1" x14ac:dyDescent="0.3">
      <c r="A140" s="572" t="s">
        <v>1082</v>
      </c>
      <c r="B140" s="573" t="s">
        <v>1107</v>
      </c>
      <c r="C140" s="573" t="s">
        <v>622</v>
      </c>
      <c r="D140" s="573" t="s">
        <v>1154</v>
      </c>
      <c r="E140" s="573" t="s">
        <v>1155</v>
      </c>
      <c r="F140" s="590">
        <v>19</v>
      </c>
      <c r="G140" s="590">
        <v>4009</v>
      </c>
      <c r="H140" s="573">
        <v>1</v>
      </c>
      <c r="I140" s="573">
        <v>211</v>
      </c>
      <c r="J140" s="590">
        <v>8</v>
      </c>
      <c r="K140" s="590">
        <v>1696</v>
      </c>
      <c r="L140" s="573">
        <v>0.42304814168121724</v>
      </c>
      <c r="M140" s="573">
        <v>212</v>
      </c>
      <c r="N140" s="590"/>
      <c r="O140" s="590"/>
      <c r="P140" s="578"/>
      <c r="Q140" s="591"/>
    </row>
    <row r="141" spans="1:17" ht="14.4" customHeight="1" x14ac:dyDescent="0.3">
      <c r="A141" s="572" t="s">
        <v>1082</v>
      </c>
      <c r="B141" s="573" t="s">
        <v>1107</v>
      </c>
      <c r="C141" s="573" t="s">
        <v>622</v>
      </c>
      <c r="D141" s="573" t="s">
        <v>1162</v>
      </c>
      <c r="E141" s="573" t="s">
        <v>1073</v>
      </c>
      <c r="F141" s="590">
        <v>3</v>
      </c>
      <c r="G141" s="590">
        <v>501</v>
      </c>
      <c r="H141" s="573">
        <v>1</v>
      </c>
      <c r="I141" s="573">
        <v>167</v>
      </c>
      <c r="J141" s="590"/>
      <c r="K141" s="590"/>
      <c r="L141" s="573"/>
      <c r="M141" s="573"/>
      <c r="N141" s="590"/>
      <c r="O141" s="590"/>
      <c r="P141" s="578"/>
      <c r="Q141" s="591"/>
    </row>
    <row r="142" spans="1:17" ht="14.4" customHeight="1" x14ac:dyDescent="0.3">
      <c r="A142" s="572" t="s">
        <v>1082</v>
      </c>
      <c r="B142" s="573" t="s">
        <v>1107</v>
      </c>
      <c r="C142" s="573" t="s">
        <v>623</v>
      </c>
      <c r="D142" s="573" t="s">
        <v>1158</v>
      </c>
      <c r="E142" s="573" t="s">
        <v>1073</v>
      </c>
      <c r="F142" s="590">
        <v>10</v>
      </c>
      <c r="G142" s="590">
        <v>4320</v>
      </c>
      <c r="H142" s="573">
        <v>1</v>
      </c>
      <c r="I142" s="573">
        <v>432</v>
      </c>
      <c r="J142" s="590"/>
      <c r="K142" s="590"/>
      <c r="L142" s="573"/>
      <c r="M142" s="573"/>
      <c r="N142" s="590"/>
      <c r="O142" s="590"/>
      <c r="P142" s="578"/>
      <c r="Q142" s="591"/>
    </row>
    <row r="143" spans="1:17" ht="14.4" customHeight="1" x14ac:dyDescent="0.3">
      <c r="A143" s="572" t="s">
        <v>1082</v>
      </c>
      <c r="B143" s="573" t="s">
        <v>1107</v>
      </c>
      <c r="C143" s="573" t="s">
        <v>623</v>
      </c>
      <c r="D143" s="573" t="s">
        <v>1159</v>
      </c>
      <c r="E143" s="573" t="s">
        <v>1073</v>
      </c>
      <c r="F143" s="590">
        <v>3</v>
      </c>
      <c r="G143" s="590">
        <v>504</v>
      </c>
      <c r="H143" s="573">
        <v>1</v>
      </c>
      <c r="I143" s="573">
        <v>168</v>
      </c>
      <c r="J143" s="590"/>
      <c r="K143" s="590"/>
      <c r="L143" s="573"/>
      <c r="M143" s="573"/>
      <c r="N143" s="590"/>
      <c r="O143" s="590"/>
      <c r="P143" s="578"/>
      <c r="Q143" s="591"/>
    </row>
    <row r="144" spans="1:17" ht="14.4" customHeight="1" x14ac:dyDescent="0.3">
      <c r="A144" s="572" t="s">
        <v>1082</v>
      </c>
      <c r="B144" s="573" t="s">
        <v>1107</v>
      </c>
      <c r="C144" s="573" t="s">
        <v>623</v>
      </c>
      <c r="D144" s="573" t="s">
        <v>1110</v>
      </c>
      <c r="E144" s="573" t="s">
        <v>1111</v>
      </c>
      <c r="F144" s="590">
        <v>6</v>
      </c>
      <c r="G144" s="590">
        <v>1008</v>
      </c>
      <c r="H144" s="573">
        <v>1</v>
      </c>
      <c r="I144" s="573">
        <v>168</v>
      </c>
      <c r="J144" s="590">
        <v>49</v>
      </c>
      <c r="K144" s="590">
        <v>8281</v>
      </c>
      <c r="L144" s="573">
        <v>8.2152777777777786</v>
      </c>
      <c r="M144" s="573">
        <v>169</v>
      </c>
      <c r="N144" s="590">
        <v>25</v>
      </c>
      <c r="O144" s="590">
        <v>4237</v>
      </c>
      <c r="P144" s="578">
        <v>4.2033730158730158</v>
      </c>
      <c r="Q144" s="591">
        <v>169.48</v>
      </c>
    </row>
    <row r="145" spans="1:17" ht="14.4" customHeight="1" x14ac:dyDescent="0.3">
      <c r="A145" s="572" t="s">
        <v>1082</v>
      </c>
      <c r="B145" s="573" t="s">
        <v>1107</v>
      </c>
      <c r="C145" s="573" t="s">
        <v>623</v>
      </c>
      <c r="D145" s="573" t="s">
        <v>1112</v>
      </c>
      <c r="E145" s="573" t="s">
        <v>1113</v>
      </c>
      <c r="F145" s="590">
        <v>8</v>
      </c>
      <c r="G145" s="590">
        <v>496</v>
      </c>
      <c r="H145" s="573">
        <v>1</v>
      </c>
      <c r="I145" s="573">
        <v>62</v>
      </c>
      <c r="J145" s="590">
        <v>6</v>
      </c>
      <c r="K145" s="590">
        <v>672</v>
      </c>
      <c r="L145" s="573">
        <v>1.3548387096774193</v>
      </c>
      <c r="M145" s="573">
        <v>112</v>
      </c>
      <c r="N145" s="590">
        <v>5</v>
      </c>
      <c r="O145" s="590">
        <v>564</v>
      </c>
      <c r="P145" s="578">
        <v>1.1370967741935485</v>
      </c>
      <c r="Q145" s="591">
        <v>112.8</v>
      </c>
    </row>
    <row r="146" spans="1:17" ht="14.4" customHeight="1" x14ac:dyDescent="0.3">
      <c r="A146" s="572" t="s">
        <v>1082</v>
      </c>
      <c r="B146" s="573" t="s">
        <v>1107</v>
      </c>
      <c r="C146" s="573" t="s">
        <v>623</v>
      </c>
      <c r="D146" s="573" t="s">
        <v>1108</v>
      </c>
      <c r="E146" s="573" t="s">
        <v>1109</v>
      </c>
      <c r="F146" s="590">
        <v>187</v>
      </c>
      <c r="G146" s="590">
        <v>6358</v>
      </c>
      <c r="H146" s="573">
        <v>1</v>
      </c>
      <c r="I146" s="573">
        <v>34</v>
      </c>
      <c r="J146" s="590">
        <v>539</v>
      </c>
      <c r="K146" s="590">
        <v>18326</v>
      </c>
      <c r="L146" s="573">
        <v>2.8823529411764706</v>
      </c>
      <c r="M146" s="573">
        <v>34</v>
      </c>
      <c r="N146" s="590">
        <v>528</v>
      </c>
      <c r="O146" s="590">
        <v>18318</v>
      </c>
      <c r="P146" s="578">
        <v>2.8810946838628499</v>
      </c>
      <c r="Q146" s="591">
        <v>34.69318181818182</v>
      </c>
    </row>
    <row r="147" spans="1:17" ht="14.4" customHeight="1" x14ac:dyDescent="0.3">
      <c r="A147" s="572" t="s">
        <v>1082</v>
      </c>
      <c r="B147" s="573" t="s">
        <v>1107</v>
      </c>
      <c r="C147" s="573" t="s">
        <v>623</v>
      </c>
      <c r="D147" s="573" t="s">
        <v>1114</v>
      </c>
      <c r="E147" s="573" t="s">
        <v>1115</v>
      </c>
      <c r="F147" s="590">
        <v>6</v>
      </c>
      <c r="G147" s="590">
        <v>60</v>
      </c>
      <c r="H147" s="573">
        <v>1</v>
      </c>
      <c r="I147" s="573">
        <v>10</v>
      </c>
      <c r="J147" s="590">
        <v>268</v>
      </c>
      <c r="K147" s="590">
        <v>2680</v>
      </c>
      <c r="L147" s="573">
        <v>44.666666666666664</v>
      </c>
      <c r="M147" s="573">
        <v>10</v>
      </c>
      <c r="N147" s="590">
        <v>354</v>
      </c>
      <c r="O147" s="590">
        <v>3540</v>
      </c>
      <c r="P147" s="578">
        <v>59</v>
      </c>
      <c r="Q147" s="591">
        <v>10</v>
      </c>
    </row>
    <row r="148" spans="1:17" ht="14.4" customHeight="1" x14ac:dyDescent="0.3">
      <c r="A148" s="572" t="s">
        <v>1082</v>
      </c>
      <c r="B148" s="573" t="s">
        <v>1107</v>
      </c>
      <c r="C148" s="573" t="s">
        <v>623</v>
      </c>
      <c r="D148" s="573" t="s">
        <v>1116</v>
      </c>
      <c r="E148" s="573" t="s">
        <v>1117</v>
      </c>
      <c r="F148" s="590">
        <v>5</v>
      </c>
      <c r="G148" s="590">
        <v>25</v>
      </c>
      <c r="H148" s="573">
        <v>1</v>
      </c>
      <c r="I148" s="573">
        <v>5</v>
      </c>
      <c r="J148" s="590">
        <v>74</v>
      </c>
      <c r="K148" s="590">
        <v>370</v>
      </c>
      <c r="L148" s="573">
        <v>14.8</v>
      </c>
      <c r="M148" s="573">
        <v>5</v>
      </c>
      <c r="N148" s="590">
        <v>89</v>
      </c>
      <c r="O148" s="590">
        <v>445</v>
      </c>
      <c r="P148" s="578">
        <v>17.8</v>
      </c>
      <c r="Q148" s="591">
        <v>5</v>
      </c>
    </row>
    <row r="149" spans="1:17" ht="14.4" customHeight="1" x14ac:dyDescent="0.3">
      <c r="A149" s="572" t="s">
        <v>1082</v>
      </c>
      <c r="B149" s="573" t="s">
        <v>1107</v>
      </c>
      <c r="C149" s="573" t="s">
        <v>623</v>
      </c>
      <c r="D149" s="573" t="s">
        <v>1118</v>
      </c>
      <c r="E149" s="573" t="s">
        <v>1119</v>
      </c>
      <c r="F149" s="590">
        <v>5</v>
      </c>
      <c r="G149" s="590">
        <v>25</v>
      </c>
      <c r="H149" s="573">
        <v>1</v>
      </c>
      <c r="I149" s="573">
        <v>5</v>
      </c>
      <c r="J149" s="590">
        <v>4</v>
      </c>
      <c r="K149" s="590">
        <v>20</v>
      </c>
      <c r="L149" s="573">
        <v>0.8</v>
      </c>
      <c r="M149" s="573">
        <v>5</v>
      </c>
      <c r="N149" s="590"/>
      <c r="O149" s="590"/>
      <c r="P149" s="578"/>
      <c r="Q149" s="591"/>
    </row>
    <row r="150" spans="1:17" ht="14.4" customHeight="1" x14ac:dyDescent="0.3">
      <c r="A150" s="572" t="s">
        <v>1082</v>
      </c>
      <c r="B150" s="573" t="s">
        <v>1107</v>
      </c>
      <c r="C150" s="573" t="s">
        <v>623</v>
      </c>
      <c r="D150" s="573" t="s">
        <v>1120</v>
      </c>
      <c r="E150" s="573" t="s">
        <v>1121</v>
      </c>
      <c r="F150" s="590"/>
      <c r="G150" s="590"/>
      <c r="H150" s="573"/>
      <c r="I150" s="573"/>
      <c r="J150" s="590">
        <v>85</v>
      </c>
      <c r="K150" s="590">
        <v>5865</v>
      </c>
      <c r="L150" s="573"/>
      <c r="M150" s="573">
        <v>69</v>
      </c>
      <c r="N150" s="590">
        <v>75</v>
      </c>
      <c r="O150" s="590">
        <v>5209</v>
      </c>
      <c r="P150" s="578"/>
      <c r="Q150" s="591">
        <v>69.453333333333333</v>
      </c>
    </row>
    <row r="151" spans="1:17" ht="14.4" customHeight="1" x14ac:dyDescent="0.3">
      <c r="A151" s="572" t="s">
        <v>1082</v>
      </c>
      <c r="B151" s="573" t="s">
        <v>1107</v>
      </c>
      <c r="C151" s="573" t="s">
        <v>623</v>
      </c>
      <c r="D151" s="573" t="s">
        <v>1122</v>
      </c>
      <c r="E151" s="573" t="s">
        <v>1123</v>
      </c>
      <c r="F151" s="590"/>
      <c r="G151" s="590"/>
      <c r="H151" s="573"/>
      <c r="I151" s="573"/>
      <c r="J151" s="590"/>
      <c r="K151" s="590"/>
      <c r="L151" s="573"/>
      <c r="M151" s="573"/>
      <c r="N151" s="590">
        <v>4</v>
      </c>
      <c r="O151" s="590">
        <v>472</v>
      </c>
      <c r="P151" s="578"/>
      <c r="Q151" s="591">
        <v>118</v>
      </c>
    </row>
    <row r="152" spans="1:17" ht="14.4" customHeight="1" x14ac:dyDescent="0.3">
      <c r="A152" s="572" t="s">
        <v>1082</v>
      </c>
      <c r="B152" s="573" t="s">
        <v>1107</v>
      </c>
      <c r="C152" s="573" t="s">
        <v>623</v>
      </c>
      <c r="D152" s="573" t="s">
        <v>1156</v>
      </c>
      <c r="E152" s="573" t="s">
        <v>1157</v>
      </c>
      <c r="F152" s="590">
        <v>30</v>
      </c>
      <c r="G152" s="590">
        <v>3480</v>
      </c>
      <c r="H152" s="573">
        <v>1</v>
      </c>
      <c r="I152" s="573">
        <v>116</v>
      </c>
      <c r="J152" s="590">
        <v>60</v>
      </c>
      <c r="K152" s="590">
        <v>7020</v>
      </c>
      <c r="L152" s="573">
        <v>2.0172413793103448</v>
      </c>
      <c r="M152" s="573">
        <v>117</v>
      </c>
      <c r="N152" s="590">
        <v>6</v>
      </c>
      <c r="O152" s="590">
        <v>702</v>
      </c>
      <c r="P152" s="578">
        <v>0.20172413793103447</v>
      </c>
      <c r="Q152" s="591">
        <v>117</v>
      </c>
    </row>
    <row r="153" spans="1:17" ht="14.4" customHeight="1" x14ac:dyDescent="0.3">
      <c r="A153" s="572" t="s">
        <v>1082</v>
      </c>
      <c r="B153" s="573" t="s">
        <v>1107</v>
      </c>
      <c r="C153" s="573" t="s">
        <v>623</v>
      </c>
      <c r="D153" s="573" t="s">
        <v>1124</v>
      </c>
      <c r="E153" s="573" t="s">
        <v>1125</v>
      </c>
      <c r="F153" s="590">
        <v>2</v>
      </c>
      <c r="G153" s="590">
        <v>328</v>
      </c>
      <c r="H153" s="573">
        <v>1</v>
      </c>
      <c r="I153" s="573">
        <v>164</v>
      </c>
      <c r="J153" s="590">
        <v>58</v>
      </c>
      <c r="K153" s="590">
        <v>9454</v>
      </c>
      <c r="L153" s="573">
        <v>28.823170731707318</v>
      </c>
      <c r="M153" s="573">
        <v>163</v>
      </c>
      <c r="N153" s="590">
        <v>79</v>
      </c>
      <c r="O153" s="590">
        <v>12923</v>
      </c>
      <c r="P153" s="578">
        <v>39.399390243902438</v>
      </c>
      <c r="Q153" s="591">
        <v>163.58227848101265</v>
      </c>
    </row>
    <row r="154" spans="1:17" ht="14.4" customHeight="1" x14ac:dyDescent="0.3">
      <c r="A154" s="572" t="s">
        <v>1082</v>
      </c>
      <c r="B154" s="573" t="s">
        <v>1107</v>
      </c>
      <c r="C154" s="573" t="s">
        <v>623</v>
      </c>
      <c r="D154" s="573" t="s">
        <v>1126</v>
      </c>
      <c r="E154" s="573" t="s">
        <v>1127</v>
      </c>
      <c r="F154" s="590">
        <v>1</v>
      </c>
      <c r="G154" s="590">
        <v>0</v>
      </c>
      <c r="H154" s="573"/>
      <c r="I154" s="573">
        <v>0</v>
      </c>
      <c r="J154" s="590">
        <v>1</v>
      </c>
      <c r="K154" s="590">
        <v>0</v>
      </c>
      <c r="L154" s="573"/>
      <c r="M154" s="573">
        <v>0</v>
      </c>
      <c r="N154" s="590">
        <v>1</v>
      </c>
      <c r="O154" s="590">
        <v>0</v>
      </c>
      <c r="P154" s="578"/>
      <c r="Q154" s="591">
        <v>0</v>
      </c>
    </row>
    <row r="155" spans="1:17" ht="14.4" customHeight="1" x14ac:dyDescent="0.3">
      <c r="A155" s="572" t="s">
        <v>1082</v>
      </c>
      <c r="B155" s="573" t="s">
        <v>1107</v>
      </c>
      <c r="C155" s="573" t="s">
        <v>623</v>
      </c>
      <c r="D155" s="573" t="s">
        <v>1128</v>
      </c>
      <c r="E155" s="573" t="s">
        <v>1129</v>
      </c>
      <c r="F155" s="590">
        <v>1</v>
      </c>
      <c r="G155" s="590">
        <v>167</v>
      </c>
      <c r="H155" s="573">
        <v>1</v>
      </c>
      <c r="I155" s="573">
        <v>167</v>
      </c>
      <c r="J155" s="590">
        <v>54</v>
      </c>
      <c r="K155" s="590">
        <v>9072</v>
      </c>
      <c r="L155" s="573">
        <v>54.32335329341317</v>
      </c>
      <c r="M155" s="573">
        <v>168</v>
      </c>
      <c r="N155" s="590">
        <v>19</v>
      </c>
      <c r="O155" s="590">
        <v>3196</v>
      </c>
      <c r="P155" s="578">
        <v>19.137724550898202</v>
      </c>
      <c r="Q155" s="591">
        <v>168.21052631578948</v>
      </c>
    </row>
    <row r="156" spans="1:17" ht="14.4" customHeight="1" x14ac:dyDescent="0.3">
      <c r="A156" s="572" t="s">
        <v>1082</v>
      </c>
      <c r="B156" s="573" t="s">
        <v>1107</v>
      </c>
      <c r="C156" s="573" t="s">
        <v>623</v>
      </c>
      <c r="D156" s="573" t="s">
        <v>1130</v>
      </c>
      <c r="E156" s="573" t="s">
        <v>1131</v>
      </c>
      <c r="F156" s="590"/>
      <c r="G156" s="590"/>
      <c r="H156" s="573"/>
      <c r="I156" s="573"/>
      <c r="J156" s="590">
        <v>36</v>
      </c>
      <c r="K156" s="590">
        <v>0</v>
      </c>
      <c r="L156" s="573"/>
      <c r="M156" s="573">
        <v>0</v>
      </c>
      <c r="N156" s="590">
        <v>44</v>
      </c>
      <c r="O156" s="590">
        <v>0</v>
      </c>
      <c r="P156" s="578"/>
      <c r="Q156" s="591">
        <v>0</v>
      </c>
    </row>
    <row r="157" spans="1:17" ht="14.4" customHeight="1" x14ac:dyDescent="0.3">
      <c r="A157" s="572" t="s">
        <v>1082</v>
      </c>
      <c r="B157" s="573" t="s">
        <v>1107</v>
      </c>
      <c r="C157" s="573" t="s">
        <v>623</v>
      </c>
      <c r="D157" s="573" t="s">
        <v>1132</v>
      </c>
      <c r="E157" s="573" t="s">
        <v>1133</v>
      </c>
      <c r="F157" s="590">
        <v>42</v>
      </c>
      <c r="G157" s="590">
        <v>1050</v>
      </c>
      <c r="H157" s="573">
        <v>1</v>
      </c>
      <c r="I157" s="573">
        <v>25</v>
      </c>
      <c r="J157" s="590">
        <v>151</v>
      </c>
      <c r="K157" s="590">
        <v>5285</v>
      </c>
      <c r="L157" s="573">
        <v>5.0333333333333332</v>
      </c>
      <c r="M157" s="573">
        <v>35</v>
      </c>
      <c r="N157" s="590">
        <v>13</v>
      </c>
      <c r="O157" s="590">
        <v>462</v>
      </c>
      <c r="P157" s="578">
        <v>0.44</v>
      </c>
      <c r="Q157" s="591">
        <v>35.53846153846154</v>
      </c>
    </row>
    <row r="158" spans="1:17" ht="14.4" customHeight="1" x14ac:dyDescent="0.3">
      <c r="A158" s="572" t="s">
        <v>1082</v>
      </c>
      <c r="B158" s="573" t="s">
        <v>1107</v>
      </c>
      <c r="C158" s="573" t="s">
        <v>623</v>
      </c>
      <c r="D158" s="573" t="s">
        <v>1136</v>
      </c>
      <c r="E158" s="573" t="s">
        <v>1137</v>
      </c>
      <c r="F158" s="590">
        <v>64</v>
      </c>
      <c r="G158" s="590">
        <v>9024</v>
      </c>
      <c r="H158" s="573">
        <v>1</v>
      </c>
      <c r="I158" s="573">
        <v>141</v>
      </c>
      <c r="J158" s="590">
        <v>214</v>
      </c>
      <c r="K158" s="590">
        <v>30174</v>
      </c>
      <c r="L158" s="573">
        <v>3.34375</v>
      </c>
      <c r="M158" s="573">
        <v>141</v>
      </c>
      <c r="N158" s="590">
        <v>233</v>
      </c>
      <c r="O158" s="590">
        <v>30656</v>
      </c>
      <c r="P158" s="578">
        <v>3.397163120567376</v>
      </c>
      <c r="Q158" s="591">
        <v>131.57081545064378</v>
      </c>
    </row>
    <row r="159" spans="1:17" ht="14.4" customHeight="1" x14ac:dyDescent="0.3">
      <c r="A159" s="572" t="s">
        <v>1082</v>
      </c>
      <c r="B159" s="573" t="s">
        <v>1107</v>
      </c>
      <c r="C159" s="573" t="s">
        <v>623</v>
      </c>
      <c r="D159" s="573" t="s">
        <v>1138</v>
      </c>
      <c r="E159" s="573" t="s">
        <v>1139</v>
      </c>
      <c r="F159" s="590">
        <v>29</v>
      </c>
      <c r="G159" s="590">
        <v>1972</v>
      </c>
      <c r="H159" s="573">
        <v>1</v>
      </c>
      <c r="I159" s="573">
        <v>68</v>
      </c>
      <c r="J159" s="590">
        <v>243</v>
      </c>
      <c r="K159" s="590">
        <v>16767</v>
      </c>
      <c r="L159" s="573">
        <v>8.5025354969574032</v>
      </c>
      <c r="M159" s="573">
        <v>69</v>
      </c>
      <c r="N159" s="590">
        <v>177</v>
      </c>
      <c r="O159" s="590">
        <v>12340</v>
      </c>
      <c r="P159" s="578">
        <v>6.2576064908722113</v>
      </c>
      <c r="Q159" s="591">
        <v>69.717514124293785</v>
      </c>
    </row>
    <row r="160" spans="1:17" ht="14.4" customHeight="1" x14ac:dyDescent="0.3">
      <c r="A160" s="572" t="s">
        <v>1082</v>
      </c>
      <c r="B160" s="573" t="s">
        <v>1107</v>
      </c>
      <c r="C160" s="573" t="s">
        <v>623</v>
      </c>
      <c r="D160" s="573" t="s">
        <v>1140</v>
      </c>
      <c r="E160" s="573" t="s">
        <v>1141</v>
      </c>
      <c r="F160" s="590">
        <v>23</v>
      </c>
      <c r="G160" s="590">
        <v>7590</v>
      </c>
      <c r="H160" s="573">
        <v>1</v>
      </c>
      <c r="I160" s="573">
        <v>330</v>
      </c>
      <c r="J160" s="590">
        <v>289</v>
      </c>
      <c r="K160" s="590">
        <v>94503</v>
      </c>
      <c r="L160" s="573">
        <v>12.45098814229249</v>
      </c>
      <c r="M160" s="573">
        <v>327</v>
      </c>
      <c r="N160" s="590">
        <v>365</v>
      </c>
      <c r="O160" s="590">
        <v>120177</v>
      </c>
      <c r="P160" s="578">
        <v>15.833596837944665</v>
      </c>
      <c r="Q160" s="591">
        <v>329.25205479452057</v>
      </c>
    </row>
    <row r="161" spans="1:17" ht="14.4" customHeight="1" x14ac:dyDescent="0.3">
      <c r="A161" s="572" t="s">
        <v>1082</v>
      </c>
      <c r="B161" s="573" t="s">
        <v>1107</v>
      </c>
      <c r="C161" s="573" t="s">
        <v>623</v>
      </c>
      <c r="D161" s="573" t="s">
        <v>1142</v>
      </c>
      <c r="E161" s="573" t="s">
        <v>1143</v>
      </c>
      <c r="F161" s="590"/>
      <c r="G161" s="590"/>
      <c r="H161" s="573"/>
      <c r="I161" s="573"/>
      <c r="J161" s="590">
        <v>35</v>
      </c>
      <c r="K161" s="590">
        <v>7210</v>
      </c>
      <c r="L161" s="573"/>
      <c r="M161" s="573">
        <v>206</v>
      </c>
      <c r="N161" s="590">
        <v>45</v>
      </c>
      <c r="O161" s="590">
        <v>9384</v>
      </c>
      <c r="P161" s="578"/>
      <c r="Q161" s="591">
        <v>208.53333333333333</v>
      </c>
    </row>
    <row r="162" spans="1:17" ht="14.4" customHeight="1" x14ac:dyDescent="0.3">
      <c r="A162" s="572" t="s">
        <v>1082</v>
      </c>
      <c r="B162" s="573" t="s">
        <v>1107</v>
      </c>
      <c r="C162" s="573" t="s">
        <v>623</v>
      </c>
      <c r="D162" s="573" t="s">
        <v>1144</v>
      </c>
      <c r="E162" s="573" t="s">
        <v>1145</v>
      </c>
      <c r="F162" s="590">
        <v>4</v>
      </c>
      <c r="G162" s="590">
        <v>304</v>
      </c>
      <c r="H162" s="573">
        <v>1</v>
      </c>
      <c r="I162" s="573">
        <v>76</v>
      </c>
      <c r="J162" s="590">
        <v>69</v>
      </c>
      <c r="K162" s="590">
        <v>5244</v>
      </c>
      <c r="L162" s="573">
        <v>17.25</v>
      </c>
      <c r="M162" s="573">
        <v>76</v>
      </c>
      <c r="N162" s="590">
        <v>38</v>
      </c>
      <c r="O162" s="590">
        <v>2903</v>
      </c>
      <c r="P162" s="578">
        <v>9.5493421052631575</v>
      </c>
      <c r="Q162" s="591">
        <v>76.39473684210526</v>
      </c>
    </row>
    <row r="163" spans="1:17" ht="14.4" customHeight="1" x14ac:dyDescent="0.3">
      <c r="A163" s="572" t="s">
        <v>1082</v>
      </c>
      <c r="B163" s="573" t="s">
        <v>1107</v>
      </c>
      <c r="C163" s="573" t="s">
        <v>623</v>
      </c>
      <c r="D163" s="573" t="s">
        <v>1146</v>
      </c>
      <c r="E163" s="573" t="s">
        <v>1147</v>
      </c>
      <c r="F163" s="590">
        <v>9</v>
      </c>
      <c r="G163" s="590">
        <v>126</v>
      </c>
      <c r="H163" s="573">
        <v>1</v>
      </c>
      <c r="I163" s="573">
        <v>14</v>
      </c>
      <c r="J163" s="590">
        <v>10</v>
      </c>
      <c r="K163" s="590">
        <v>260</v>
      </c>
      <c r="L163" s="573">
        <v>2.0634920634920637</v>
      </c>
      <c r="M163" s="573">
        <v>26</v>
      </c>
      <c r="N163" s="590">
        <v>1</v>
      </c>
      <c r="O163" s="590">
        <v>26</v>
      </c>
      <c r="P163" s="578">
        <v>0.20634920634920634</v>
      </c>
      <c r="Q163" s="591">
        <v>26</v>
      </c>
    </row>
    <row r="164" spans="1:17" ht="14.4" customHeight="1" x14ac:dyDescent="0.3">
      <c r="A164" s="572" t="s">
        <v>1082</v>
      </c>
      <c r="B164" s="573" t="s">
        <v>1107</v>
      </c>
      <c r="C164" s="573" t="s">
        <v>623</v>
      </c>
      <c r="D164" s="573" t="s">
        <v>1148</v>
      </c>
      <c r="E164" s="573" t="s">
        <v>1149</v>
      </c>
      <c r="F164" s="590">
        <v>24</v>
      </c>
      <c r="G164" s="590">
        <v>1368</v>
      </c>
      <c r="H164" s="573">
        <v>1</v>
      </c>
      <c r="I164" s="573">
        <v>57</v>
      </c>
      <c r="J164" s="590">
        <v>88</v>
      </c>
      <c r="K164" s="590">
        <v>4928</v>
      </c>
      <c r="L164" s="573">
        <v>3.6023391812865495</v>
      </c>
      <c r="M164" s="573">
        <v>56</v>
      </c>
      <c r="N164" s="590">
        <v>3</v>
      </c>
      <c r="O164" s="590">
        <v>169</v>
      </c>
      <c r="P164" s="578">
        <v>0.12353801169590643</v>
      </c>
      <c r="Q164" s="591">
        <v>56.333333333333336</v>
      </c>
    </row>
    <row r="165" spans="1:17" ht="14.4" customHeight="1" x14ac:dyDescent="0.3">
      <c r="A165" s="572" t="s">
        <v>1082</v>
      </c>
      <c r="B165" s="573" t="s">
        <v>1107</v>
      </c>
      <c r="C165" s="573" t="s">
        <v>623</v>
      </c>
      <c r="D165" s="573" t="s">
        <v>1150</v>
      </c>
      <c r="E165" s="573" t="s">
        <v>1151</v>
      </c>
      <c r="F165" s="590"/>
      <c r="G165" s="590"/>
      <c r="H165" s="573"/>
      <c r="I165" s="573"/>
      <c r="J165" s="590">
        <v>24</v>
      </c>
      <c r="K165" s="590">
        <v>5760</v>
      </c>
      <c r="L165" s="573"/>
      <c r="M165" s="573">
        <v>240</v>
      </c>
      <c r="N165" s="590">
        <v>20</v>
      </c>
      <c r="O165" s="590">
        <v>4820</v>
      </c>
      <c r="P165" s="578"/>
      <c r="Q165" s="591">
        <v>241</v>
      </c>
    </row>
    <row r="166" spans="1:17" ht="14.4" customHeight="1" x14ac:dyDescent="0.3">
      <c r="A166" s="572" t="s">
        <v>1082</v>
      </c>
      <c r="B166" s="573" t="s">
        <v>1107</v>
      </c>
      <c r="C166" s="573" t="s">
        <v>623</v>
      </c>
      <c r="D166" s="573" t="s">
        <v>1152</v>
      </c>
      <c r="E166" s="573" t="s">
        <v>1153</v>
      </c>
      <c r="F166" s="590">
        <v>31</v>
      </c>
      <c r="G166" s="590">
        <v>20026</v>
      </c>
      <c r="H166" s="573">
        <v>1</v>
      </c>
      <c r="I166" s="573">
        <v>646</v>
      </c>
      <c r="J166" s="590">
        <v>180</v>
      </c>
      <c r="K166" s="590">
        <v>116100</v>
      </c>
      <c r="L166" s="573">
        <v>5.797463297712973</v>
      </c>
      <c r="M166" s="573">
        <v>645</v>
      </c>
      <c r="N166" s="590">
        <v>159</v>
      </c>
      <c r="O166" s="590">
        <v>103263</v>
      </c>
      <c r="P166" s="578">
        <v>5.1564466193947869</v>
      </c>
      <c r="Q166" s="591">
        <v>649.45283018867929</v>
      </c>
    </row>
    <row r="167" spans="1:17" ht="14.4" customHeight="1" x14ac:dyDescent="0.3">
      <c r="A167" s="572" t="s">
        <v>1082</v>
      </c>
      <c r="B167" s="573" t="s">
        <v>1107</v>
      </c>
      <c r="C167" s="573" t="s">
        <v>623</v>
      </c>
      <c r="D167" s="573" t="s">
        <v>1154</v>
      </c>
      <c r="E167" s="573" t="s">
        <v>1155</v>
      </c>
      <c r="F167" s="590">
        <v>124</v>
      </c>
      <c r="G167" s="590">
        <v>26164</v>
      </c>
      <c r="H167" s="573">
        <v>1</v>
      </c>
      <c r="I167" s="573">
        <v>211</v>
      </c>
      <c r="J167" s="590">
        <v>480</v>
      </c>
      <c r="K167" s="590">
        <v>101760</v>
      </c>
      <c r="L167" s="573">
        <v>3.8893135606176426</v>
      </c>
      <c r="M167" s="573">
        <v>212</v>
      </c>
      <c r="N167" s="590">
        <v>437</v>
      </c>
      <c r="O167" s="590">
        <v>93270</v>
      </c>
      <c r="P167" s="578">
        <v>3.5648218926769606</v>
      </c>
      <c r="Q167" s="591">
        <v>213.43249427917621</v>
      </c>
    </row>
    <row r="168" spans="1:17" ht="14.4" customHeight="1" x14ac:dyDescent="0.3">
      <c r="A168" s="572" t="s">
        <v>1082</v>
      </c>
      <c r="B168" s="573" t="s">
        <v>1107</v>
      </c>
      <c r="C168" s="573" t="s">
        <v>623</v>
      </c>
      <c r="D168" s="573" t="s">
        <v>1162</v>
      </c>
      <c r="E168" s="573" t="s">
        <v>1073</v>
      </c>
      <c r="F168" s="590">
        <v>4</v>
      </c>
      <c r="G168" s="590">
        <v>668</v>
      </c>
      <c r="H168" s="573">
        <v>1</v>
      </c>
      <c r="I168" s="573">
        <v>167</v>
      </c>
      <c r="J168" s="590"/>
      <c r="K168" s="590"/>
      <c r="L168" s="573"/>
      <c r="M168" s="573"/>
      <c r="N168" s="590"/>
      <c r="O168" s="590"/>
      <c r="P168" s="578"/>
      <c r="Q168" s="591"/>
    </row>
    <row r="169" spans="1:17" ht="14.4" customHeight="1" x14ac:dyDescent="0.3">
      <c r="A169" s="572" t="s">
        <v>1082</v>
      </c>
      <c r="B169" s="573" t="s">
        <v>1107</v>
      </c>
      <c r="C169" s="573" t="s">
        <v>624</v>
      </c>
      <c r="D169" s="573" t="s">
        <v>1158</v>
      </c>
      <c r="E169" s="573" t="s">
        <v>1073</v>
      </c>
      <c r="F169" s="590">
        <v>2</v>
      </c>
      <c r="G169" s="590">
        <v>864</v>
      </c>
      <c r="H169" s="573">
        <v>1</v>
      </c>
      <c r="I169" s="573">
        <v>432</v>
      </c>
      <c r="J169" s="590"/>
      <c r="K169" s="590"/>
      <c r="L169" s="573"/>
      <c r="M169" s="573"/>
      <c r="N169" s="590"/>
      <c r="O169" s="590"/>
      <c r="P169" s="578"/>
      <c r="Q169" s="591"/>
    </row>
    <row r="170" spans="1:17" ht="14.4" customHeight="1" x14ac:dyDescent="0.3">
      <c r="A170" s="572" t="s">
        <v>1082</v>
      </c>
      <c r="B170" s="573" t="s">
        <v>1107</v>
      </c>
      <c r="C170" s="573" t="s">
        <v>624</v>
      </c>
      <c r="D170" s="573" t="s">
        <v>1112</v>
      </c>
      <c r="E170" s="573" t="s">
        <v>1113</v>
      </c>
      <c r="F170" s="590">
        <v>1</v>
      </c>
      <c r="G170" s="590">
        <v>62</v>
      </c>
      <c r="H170" s="573">
        <v>1</v>
      </c>
      <c r="I170" s="573">
        <v>62</v>
      </c>
      <c r="J170" s="590">
        <v>6</v>
      </c>
      <c r="K170" s="590">
        <v>672</v>
      </c>
      <c r="L170" s="573">
        <v>10.838709677419354</v>
      </c>
      <c r="M170" s="573">
        <v>112</v>
      </c>
      <c r="N170" s="590">
        <v>2</v>
      </c>
      <c r="O170" s="590">
        <v>226</v>
      </c>
      <c r="P170" s="578">
        <v>3.6451612903225805</v>
      </c>
      <c r="Q170" s="591">
        <v>113</v>
      </c>
    </row>
    <row r="171" spans="1:17" ht="14.4" customHeight="1" x14ac:dyDescent="0.3">
      <c r="A171" s="572" t="s">
        <v>1082</v>
      </c>
      <c r="B171" s="573" t="s">
        <v>1107</v>
      </c>
      <c r="C171" s="573" t="s">
        <v>624</v>
      </c>
      <c r="D171" s="573" t="s">
        <v>1108</v>
      </c>
      <c r="E171" s="573" t="s">
        <v>1109</v>
      </c>
      <c r="F171" s="590">
        <v>20</v>
      </c>
      <c r="G171" s="590">
        <v>680</v>
      </c>
      <c r="H171" s="573">
        <v>1</v>
      </c>
      <c r="I171" s="573">
        <v>34</v>
      </c>
      <c r="J171" s="590">
        <v>27</v>
      </c>
      <c r="K171" s="590">
        <v>918</v>
      </c>
      <c r="L171" s="573">
        <v>1.35</v>
      </c>
      <c r="M171" s="573">
        <v>34</v>
      </c>
      <c r="N171" s="590">
        <v>28</v>
      </c>
      <c r="O171" s="590">
        <v>977</v>
      </c>
      <c r="P171" s="578">
        <v>1.4367647058823529</v>
      </c>
      <c r="Q171" s="591">
        <v>34.892857142857146</v>
      </c>
    </row>
    <row r="172" spans="1:17" ht="14.4" customHeight="1" x14ac:dyDescent="0.3">
      <c r="A172" s="572" t="s">
        <v>1082</v>
      </c>
      <c r="B172" s="573" t="s">
        <v>1107</v>
      </c>
      <c r="C172" s="573" t="s">
        <v>624</v>
      </c>
      <c r="D172" s="573" t="s">
        <v>1114</v>
      </c>
      <c r="E172" s="573" t="s">
        <v>1115</v>
      </c>
      <c r="F172" s="590"/>
      <c r="G172" s="590"/>
      <c r="H172" s="573"/>
      <c r="I172" s="573"/>
      <c r="J172" s="590"/>
      <c r="K172" s="590"/>
      <c r="L172" s="573"/>
      <c r="M172" s="573"/>
      <c r="N172" s="590">
        <v>1</v>
      </c>
      <c r="O172" s="590">
        <v>10</v>
      </c>
      <c r="P172" s="578"/>
      <c r="Q172" s="591">
        <v>10</v>
      </c>
    </row>
    <row r="173" spans="1:17" ht="14.4" customHeight="1" x14ac:dyDescent="0.3">
      <c r="A173" s="572" t="s">
        <v>1082</v>
      </c>
      <c r="B173" s="573" t="s">
        <v>1107</v>
      </c>
      <c r="C173" s="573" t="s">
        <v>624</v>
      </c>
      <c r="D173" s="573" t="s">
        <v>1120</v>
      </c>
      <c r="E173" s="573" t="s">
        <v>1121</v>
      </c>
      <c r="F173" s="590"/>
      <c r="G173" s="590"/>
      <c r="H173" s="573"/>
      <c r="I173" s="573"/>
      <c r="J173" s="590">
        <v>1</v>
      </c>
      <c r="K173" s="590">
        <v>69</v>
      </c>
      <c r="L173" s="573"/>
      <c r="M173" s="573">
        <v>69</v>
      </c>
      <c r="N173" s="590">
        <v>2</v>
      </c>
      <c r="O173" s="590">
        <v>140</v>
      </c>
      <c r="P173" s="578"/>
      <c r="Q173" s="591">
        <v>70</v>
      </c>
    </row>
    <row r="174" spans="1:17" ht="14.4" customHeight="1" x14ac:dyDescent="0.3">
      <c r="A174" s="572" t="s">
        <v>1082</v>
      </c>
      <c r="B174" s="573" t="s">
        <v>1107</v>
      </c>
      <c r="C174" s="573" t="s">
        <v>624</v>
      </c>
      <c r="D174" s="573" t="s">
        <v>1124</v>
      </c>
      <c r="E174" s="573" t="s">
        <v>1125</v>
      </c>
      <c r="F174" s="590">
        <v>1</v>
      </c>
      <c r="G174" s="590">
        <v>164</v>
      </c>
      <c r="H174" s="573">
        <v>1</v>
      </c>
      <c r="I174" s="573">
        <v>164</v>
      </c>
      <c r="J174" s="590">
        <v>1</v>
      </c>
      <c r="K174" s="590">
        <v>163</v>
      </c>
      <c r="L174" s="573">
        <v>0.99390243902439024</v>
      </c>
      <c r="M174" s="573">
        <v>163</v>
      </c>
      <c r="N174" s="590"/>
      <c r="O174" s="590"/>
      <c r="P174" s="578"/>
      <c r="Q174" s="591"/>
    </row>
    <row r="175" spans="1:17" ht="14.4" customHeight="1" x14ac:dyDescent="0.3">
      <c r="A175" s="572" t="s">
        <v>1082</v>
      </c>
      <c r="B175" s="573" t="s">
        <v>1107</v>
      </c>
      <c r="C175" s="573" t="s">
        <v>624</v>
      </c>
      <c r="D175" s="573" t="s">
        <v>1128</v>
      </c>
      <c r="E175" s="573" t="s">
        <v>1129</v>
      </c>
      <c r="F175" s="590"/>
      <c r="G175" s="590"/>
      <c r="H175" s="573"/>
      <c r="I175" s="573"/>
      <c r="J175" s="590">
        <v>3</v>
      </c>
      <c r="K175" s="590">
        <v>504</v>
      </c>
      <c r="L175" s="573"/>
      <c r="M175" s="573">
        <v>168</v>
      </c>
      <c r="N175" s="590"/>
      <c r="O175" s="590"/>
      <c r="P175" s="578"/>
      <c r="Q175" s="591"/>
    </row>
    <row r="176" spans="1:17" ht="14.4" customHeight="1" x14ac:dyDescent="0.3">
      <c r="A176" s="572" t="s">
        <v>1082</v>
      </c>
      <c r="B176" s="573" t="s">
        <v>1107</v>
      </c>
      <c r="C176" s="573" t="s">
        <v>624</v>
      </c>
      <c r="D176" s="573" t="s">
        <v>1130</v>
      </c>
      <c r="E176" s="573" t="s">
        <v>1131</v>
      </c>
      <c r="F176" s="590"/>
      <c r="G176" s="590"/>
      <c r="H176" s="573"/>
      <c r="I176" s="573"/>
      <c r="J176" s="590"/>
      <c r="K176" s="590"/>
      <c r="L176" s="573"/>
      <c r="M176" s="573"/>
      <c r="N176" s="590">
        <v>2</v>
      </c>
      <c r="O176" s="590">
        <v>0</v>
      </c>
      <c r="P176" s="578"/>
      <c r="Q176" s="591">
        <v>0</v>
      </c>
    </row>
    <row r="177" spans="1:17" ht="14.4" customHeight="1" x14ac:dyDescent="0.3">
      <c r="A177" s="572" t="s">
        <v>1082</v>
      </c>
      <c r="B177" s="573" t="s">
        <v>1107</v>
      </c>
      <c r="C177" s="573" t="s">
        <v>624</v>
      </c>
      <c r="D177" s="573" t="s">
        <v>1132</v>
      </c>
      <c r="E177" s="573" t="s">
        <v>1133</v>
      </c>
      <c r="F177" s="590">
        <v>8</v>
      </c>
      <c r="G177" s="590">
        <v>200</v>
      </c>
      <c r="H177" s="573">
        <v>1</v>
      </c>
      <c r="I177" s="573">
        <v>25</v>
      </c>
      <c r="J177" s="590">
        <v>14</v>
      </c>
      <c r="K177" s="590">
        <v>490</v>
      </c>
      <c r="L177" s="573">
        <v>2.4500000000000002</v>
      </c>
      <c r="M177" s="573">
        <v>35</v>
      </c>
      <c r="N177" s="590">
        <v>2</v>
      </c>
      <c r="O177" s="590">
        <v>72</v>
      </c>
      <c r="P177" s="578">
        <v>0.36</v>
      </c>
      <c r="Q177" s="591">
        <v>36</v>
      </c>
    </row>
    <row r="178" spans="1:17" ht="14.4" customHeight="1" x14ac:dyDescent="0.3">
      <c r="A178" s="572" t="s">
        <v>1082</v>
      </c>
      <c r="B178" s="573" t="s">
        <v>1107</v>
      </c>
      <c r="C178" s="573" t="s">
        <v>624</v>
      </c>
      <c r="D178" s="573" t="s">
        <v>1136</v>
      </c>
      <c r="E178" s="573" t="s">
        <v>1137</v>
      </c>
      <c r="F178" s="590">
        <v>6</v>
      </c>
      <c r="G178" s="590">
        <v>846</v>
      </c>
      <c r="H178" s="573">
        <v>1</v>
      </c>
      <c r="I178" s="573">
        <v>141</v>
      </c>
      <c r="J178" s="590">
        <v>3</v>
      </c>
      <c r="K178" s="590">
        <v>423</v>
      </c>
      <c r="L178" s="573">
        <v>0.5</v>
      </c>
      <c r="M178" s="573">
        <v>141</v>
      </c>
      <c r="N178" s="590">
        <v>11</v>
      </c>
      <c r="O178" s="590">
        <v>1408</v>
      </c>
      <c r="P178" s="578">
        <v>1.6643026004728132</v>
      </c>
      <c r="Q178" s="591">
        <v>128</v>
      </c>
    </row>
    <row r="179" spans="1:17" ht="14.4" customHeight="1" x14ac:dyDescent="0.3">
      <c r="A179" s="572" t="s">
        <v>1082</v>
      </c>
      <c r="B179" s="573" t="s">
        <v>1107</v>
      </c>
      <c r="C179" s="573" t="s">
        <v>624</v>
      </c>
      <c r="D179" s="573" t="s">
        <v>1138</v>
      </c>
      <c r="E179" s="573" t="s">
        <v>1139</v>
      </c>
      <c r="F179" s="590">
        <v>15</v>
      </c>
      <c r="G179" s="590">
        <v>1020</v>
      </c>
      <c r="H179" s="573">
        <v>1</v>
      </c>
      <c r="I179" s="573">
        <v>68</v>
      </c>
      <c r="J179" s="590">
        <v>17</v>
      </c>
      <c r="K179" s="590">
        <v>1173</v>
      </c>
      <c r="L179" s="573">
        <v>1.1499999999999999</v>
      </c>
      <c r="M179" s="573">
        <v>69</v>
      </c>
      <c r="N179" s="590">
        <v>14</v>
      </c>
      <c r="O179" s="590">
        <v>978</v>
      </c>
      <c r="P179" s="578">
        <v>0.95882352941176474</v>
      </c>
      <c r="Q179" s="591">
        <v>69.857142857142861</v>
      </c>
    </row>
    <row r="180" spans="1:17" ht="14.4" customHeight="1" x14ac:dyDescent="0.3">
      <c r="A180" s="572" t="s">
        <v>1082</v>
      </c>
      <c r="B180" s="573" t="s">
        <v>1107</v>
      </c>
      <c r="C180" s="573" t="s">
        <v>624</v>
      </c>
      <c r="D180" s="573" t="s">
        <v>1140</v>
      </c>
      <c r="E180" s="573" t="s">
        <v>1141</v>
      </c>
      <c r="F180" s="590">
        <v>2</v>
      </c>
      <c r="G180" s="590">
        <v>660</v>
      </c>
      <c r="H180" s="573">
        <v>1</v>
      </c>
      <c r="I180" s="573">
        <v>330</v>
      </c>
      <c r="J180" s="590">
        <v>4</v>
      </c>
      <c r="K180" s="590">
        <v>1308</v>
      </c>
      <c r="L180" s="573">
        <v>1.9818181818181819</v>
      </c>
      <c r="M180" s="573">
        <v>327</v>
      </c>
      <c r="N180" s="590">
        <v>2</v>
      </c>
      <c r="O180" s="590">
        <v>660</v>
      </c>
      <c r="P180" s="578">
        <v>1</v>
      </c>
      <c r="Q180" s="591">
        <v>330</v>
      </c>
    </row>
    <row r="181" spans="1:17" ht="14.4" customHeight="1" x14ac:dyDescent="0.3">
      <c r="A181" s="572" t="s">
        <v>1082</v>
      </c>
      <c r="B181" s="573" t="s">
        <v>1107</v>
      </c>
      <c r="C181" s="573" t="s">
        <v>624</v>
      </c>
      <c r="D181" s="573" t="s">
        <v>1142</v>
      </c>
      <c r="E181" s="573" t="s">
        <v>1143</v>
      </c>
      <c r="F181" s="590"/>
      <c r="G181" s="590"/>
      <c r="H181" s="573"/>
      <c r="I181" s="573"/>
      <c r="J181" s="590">
        <v>2</v>
      </c>
      <c r="K181" s="590">
        <v>412</v>
      </c>
      <c r="L181" s="573"/>
      <c r="M181" s="573">
        <v>206</v>
      </c>
      <c r="N181" s="590">
        <v>1</v>
      </c>
      <c r="O181" s="590">
        <v>209</v>
      </c>
      <c r="P181" s="578"/>
      <c r="Q181" s="591">
        <v>209</v>
      </c>
    </row>
    <row r="182" spans="1:17" ht="14.4" customHeight="1" x14ac:dyDescent="0.3">
      <c r="A182" s="572" t="s">
        <v>1082</v>
      </c>
      <c r="B182" s="573" t="s">
        <v>1107</v>
      </c>
      <c r="C182" s="573" t="s">
        <v>624</v>
      </c>
      <c r="D182" s="573" t="s">
        <v>1144</v>
      </c>
      <c r="E182" s="573" t="s">
        <v>1145</v>
      </c>
      <c r="F182" s="590"/>
      <c r="G182" s="590"/>
      <c r="H182" s="573"/>
      <c r="I182" s="573"/>
      <c r="J182" s="590">
        <v>6</v>
      </c>
      <c r="K182" s="590">
        <v>456</v>
      </c>
      <c r="L182" s="573"/>
      <c r="M182" s="573">
        <v>76</v>
      </c>
      <c r="N182" s="590">
        <v>4</v>
      </c>
      <c r="O182" s="590">
        <v>308</v>
      </c>
      <c r="P182" s="578"/>
      <c r="Q182" s="591">
        <v>77</v>
      </c>
    </row>
    <row r="183" spans="1:17" ht="14.4" customHeight="1" x14ac:dyDescent="0.3">
      <c r="A183" s="572" t="s">
        <v>1082</v>
      </c>
      <c r="B183" s="573" t="s">
        <v>1107</v>
      </c>
      <c r="C183" s="573" t="s">
        <v>624</v>
      </c>
      <c r="D183" s="573" t="s">
        <v>1146</v>
      </c>
      <c r="E183" s="573" t="s">
        <v>1147</v>
      </c>
      <c r="F183" s="590">
        <v>2</v>
      </c>
      <c r="G183" s="590">
        <v>28</v>
      </c>
      <c r="H183" s="573">
        <v>1</v>
      </c>
      <c r="I183" s="573">
        <v>14</v>
      </c>
      <c r="J183" s="590">
        <v>6</v>
      </c>
      <c r="K183" s="590">
        <v>156</v>
      </c>
      <c r="L183" s="573">
        <v>5.5714285714285712</v>
      </c>
      <c r="M183" s="573">
        <v>26</v>
      </c>
      <c r="N183" s="590"/>
      <c r="O183" s="590"/>
      <c r="P183" s="578"/>
      <c r="Q183" s="591"/>
    </row>
    <row r="184" spans="1:17" ht="14.4" customHeight="1" x14ac:dyDescent="0.3">
      <c r="A184" s="572" t="s">
        <v>1082</v>
      </c>
      <c r="B184" s="573" t="s">
        <v>1107</v>
      </c>
      <c r="C184" s="573" t="s">
        <v>624</v>
      </c>
      <c r="D184" s="573" t="s">
        <v>1148</v>
      </c>
      <c r="E184" s="573" t="s">
        <v>1149</v>
      </c>
      <c r="F184" s="590">
        <v>3</v>
      </c>
      <c r="G184" s="590">
        <v>171</v>
      </c>
      <c r="H184" s="573">
        <v>1</v>
      </c>
      <c r="I184" s="573">
        <v>57</v>
      </c>
      <c r="J184" s="590">
        <v>7</v>
      </c>
      <c r="K184" s="590">
        <v>392</v>
      </c>
      <c r="L184" s="573">
        <v>2.2923976608187133</v>
      </c>
      <c r="M184" s="573">
        <v>56</v>
      </c>
      <c r="N184" s="590">
        <v>1</v>
      </c>
      <c r="O184" s="590">
        <v>57</v>
      </c>
      <c r="P184" s="578">
        <v>0.33333333333333331</v>
      </c>
      <c r="Q184" s="591">
        <v>57</v>
      </c>
    </row>
    <row r="185" spans="1:17" ht="14.4" customHeight="1" x14ac:dyDescent="0.3">
      <c r="A185" s="572" t="s">
        <v>1082</v>
      </c>
      <c r="B185" s="573" t="s">
        <v>1107</v>
      </c>
      <c r="C185" s="573" t="s">
        <v>624</v>
      </c>
      <c r="D185" s="573" t="s">
        <v>1152</v>
      </c>
      <c r="E185" s="573" t="s">
        <v>1153</v>
      </c>
      <c r="F185" s="590"/>
      <c r="G185" s="590"/>
      <c r="H185" s="573"/>
      <c r="I185" s="573"/>
      <c r="J185" s="590">
        <v>1</v>
      </c>
      <c r="K185" s="590">
        <v>645</v>
      </c>
      <c r="L185" s="573"/>
      <c r="M185" s="573">
        <v>645</v>
      </c>
      <c r="N185" s="590">
        <v>2</v>
      </c>
      <c r="O185" s="590">
        <v>1302</v>
      </c>
      <c r="P185" s="578"/>
      <c r="Q185" s="591">
        <v>651</v>
      </c>
    </row>
    <row r="186" spans="1:17" ht="14.4" customHeight="1" x14ac:dyDescent="0.3">
      <c r="A186" s="572" t="s">
        <v>1082</v>
      </c>
      <c r="B186" s="573" t="s">
        <v>1107</v>
      </c>
      <c r="C186" s="573" t="s">
        <v>624</v>
      </c>
      <c r="D186" s="573" t="s">
        <v>1154</v>
      </c>
      <c r="E186" s="573" t="s">
        <v>1155</v>
      </c>
      <c r="F186" s="590">
        <v>7</v>
      </c>
      <c r="G186" s="590">
        <v>1477</v>
      </c>
      <c r="H186" s="573">
        <v>1</v>
      </c>
      <c r="I186" s="573">
        <v>211</v>
      </c>
      <c r="J186" s="590">
        <v>30</v>
      </c>
      <c r="K186" s="590">
        <v>6360</v>
      </c>
      <c r="L186" s="573">
        <v>4.3060257278266754</v>
      </c>
      <c r="M186" s="573">
        <v>212</v>
      </c>
      <c r="N186" s="590">
        <v>44</v>
      </c>
      <c r="O186" s="590">
        <v>9404</v>
      </c>
      <c r="P186" s="578">
        <v>6.3669600541638456</v>
      </c>
      <c r="Q186" s="591">
        <v>213.72727272727272</v>
      </c>
    </row>
    <row r="187" spans="1:17" ht="14.4" customHeight="1" x14ac:dyDescent="0.3">
      <c r="A187" s="572" t="s">
        <v>1082</v>
      </c>
      <c r="B187" s="573" t="s">
        <v>1107</v>
      </c>
      <c r="C187" s="573" t="s">
        <v>624</v>
      </c>
      <c r="D187" s="573" t="s">
        <v>1162</v>
      </c>
      <c r="E187" s="573" t="s">
        <v>1073</v>
      </c>
      <c r="F187" s="590">
        <v>1</v>
      </c>
      <c r="G187" s="590">
        <v>167</v>
      </c>
      <c r="H187" s="573">
        <v>1</v>
      </c>
      <c r="I187" s="573">
        <v>167</v>
      </c>
      <c r="J187" s="590"/>
      <c r="K187" s="590"/>
      <c r="L187" s="573"/>
      <c r="M187" s="573"/>
      <c r="N187" s="590"/>
      <c r="O187" s="590"/>
      <c r="P187" s="578"/>
      <c r="Q187" s="591"/>
    </row>
    <row r="188" spans="1:17" ht="14.4" customHeight="1" x14ac:dyDescent="0.3">
      <c r="A188" s="572" t="s">
        <v>1082</v>
      </c>
      <c r="B188" s="573" t="s">
        <v>1107</v>
      </c>
      <c r="C188" s="573" t="s">
        <v>625</v>
      </c>
      <c r="D188" s="573" t="s">
        <v>1158</v>
      </c>
      <c r="E188" s="573" t="s">
        <v>1073</v>
      </c>
      <c r="F188" s="590">
        <v>74</v>
      </c>
      <c r="G188" s="590">
        <v>31968</v>
      </c>
      <c r="H188" s="573">
        <v>1</v>
      </c>
      <c r="I188" s="573">
        <v>432</v>
      </c>
      <c r="J188" s="590"/>
      <c r="K188" s="590"/>
      <c r="L188" s="573"/>
      <c r="M188" s="573"/>
      <c r="N188" s="590"/>
      <c r="O188" s="590"/>
      <c r="P188" s="578"/>
      <c r="Q188" s="591"/>
    </row>
    <row r="189" spans="1:17" ht="14.4" customHeight="1" x14ac:dyDescent="0.3">
      <c r="A189" s="572" t="s">
        <v>1082</v>
      </c>
      <c r="B189" s="573" t="s">
        <v>1107</v>
      </c>
      <c r="C189" s="573" t="s">
        <v>625</v>
      </c>
      <c r="D189" s="573" t="s">
        <v>1159</v>
      </c>
      <c r="E189" s="573" t="s">
        <v>1073</v>
      </c>
      <c r="F189" s="590">
        <v>15</v>
      </c>
      <c r="G189" s="590">
        <v>2520</v>
      </c>
      <c r="H189" s="573">
        <v>1</v>
      </c>
      <c r="I189" s="573">
        <v>168</v>
      </c>
      <c r="J189" s="590"/>
      <c r="K189" s="590"/>
      <c r="L189" s="573"/>
      <c r="M189" s="573"/>
      <c r="N189" s="590"/>
      <c r="O189" s="590"/>
      <c r="P189" s="578"/>
      <c r="Q189" s="591"/>
    </row>
    <row r="190" spans="1:17" ht="14.4" customHeight="1" x14ac:dyDescent="0.3">
      <c r="A190" s="572" t="s">
        <v>1082</v>
      </c>
      <c r="B190" s="573" t="s">
        <v>1107</v>
      </c>
      <c r="C190" s="573" t="s">
        <v>625</v>
      </c>
      <c r="D190" s="573" t="s">
        <v>1110</v>
      </c>
      <c r="E190" s="573" t="s">
        <v>1111</v>
      </c>
      <c r="F190" s="590">
        <v>55</v>
      </c>
      <c r="G190" s="590">
        <v>9240</v>
      </c>
      <c r="H190" s="573">
        <v>1</v>
      </c>
      <c r="I190" s="573">
        <v>168</v>
      </c>
      <c r="J190" s="590">
        <v>46</v>
      </c>
      <c r="K190" s="590">
        <v>7774</v>
      </c>
      <c r="L190" s="573">
        <v>0.84134199134199139</v>
      </c>
      <c r="M190" s="573">
        <v>169</v>
      </c>
      <c r="N190" s="590">
        <v>11</v>
      </c>
      <c r="O190" s="590">
        <v>1863</v>
      </c>
      <c r="P190" s="578">
        <v>0.20162337662337662</v>
      </c>
      <c r="Q190" s="591">
        <v>169.36363636363637</v>
      </c>
    </row>
    <row r="191" spans="1:17" ht="14.4" customHeight="1" x14ac:dyDescent="0.3">
      <c r="A191" s="572" t="s">
        <v>1082</v>
      </c>
      <c r="B191" s="573" t="s">
        <v>1107</v>
      </c>
      <c r="C191" s="573" t="s">
        <v>625</v>
      </c>
      <c r="D191" s="573" t="s">
        <v>1163</v>
      </c>
      <c r="E191" s="573" t="s">
        <v>1073</v>
      </c>
      <c r="F191" s="590">
        <v>0</v>
      </c>
      <c r="G191" s="590">
        <v>0</v>
      </c>
      <c r="H191" s="573"/>
      <c r="I191" s="573"/>
      <c r="J191" s="590"/>
      <c r="K191" s="590"/>
      <c r="L191" s="573"/>
      <c r="M191" s="573"/>
      <c r="N191" s="590"/>
      <c r="O191" s="590"/>
      <c r="P191" s="578"/>
      <c r="Q191" s="591"/>
    </row>
    <row r="192" spans="1:17" ht="14.4" customHeight="1" x14ac:dyDescent="0.3">
      <c r="A192" s="572" t="s">
        <v>1082</v>
      </c>
      <c r="B192" s="573" t="s">
        <v>1107</v>
      </c>
      <c r="C192" s="573" t="s">
        <v>625</v>
      </c>
      <c r="D192" s="573" t="s">
        <v>1112</v>
      </c>
      <c r="E192" s="573" t="s">
        <v>1113</v>
      </c>
      <c r="F192" s="590">
        <v>4</v>
      </c>
      <c r="G192" s="590">
        <v>248</v>
      </c>
      <c r="H192" s="573">
        <v>1</v>
      </c>
      <c r="I192" s="573">
        <v>62</v>
      </c>
      <c r="J192" s="590">
        <v>3</v>
      </c>
      <c r="K192" s="590">
        <v>336</v>
      </c>
      <c r="L192" s="573">
        <v>1.3548387096774193</v>
      </c>
      <c r="M192" s="573">
        <v>112</v>
      </c>
      <c r="N192" s="590">
        <v>1</v>
      </c>
      <c r="O192" s="590">
        <v>113</v>
      </c>
      <c r="P192" s="578">
        <v>0.45564516129032256</v>
      </c>
      <c r="Q192" s="591">
        <v>113</v>
      </c>
    </row>
    <row r="193" spans="1:17" ht="14.4" customHeight="1" x14ac:dyDescent="0.3">
      <c r="A193" s="572" t="s">
        <v>1082</v>
      </c>
      <c r="B193" s="573" t="s">
        <v>1107</v>
      </c>
      <c r="C193" s="573" t="s">
        <v>625</v>
      </c>
      <c r="D193" s="573" t="s">
        <v>1108</v>
      </c>
      <c r="E193" s="573" t="s">
        <v>1109</v>
      </c>
      <c r="F193" s="590">
        <v>464</v>
      </c>
      <c r="G193" s="590">
        <v>15776</v>
      </c>
      <c r="H193" s="573">
        <v>1</v>
      </c>
      <c r="I193" s="573">
        <v>34</v>
      </c>
      <c r="J193" s="590">
        <v>369</v>
      </c>
      <c r="K193" s="590">
        <v>12546</v>
      </c>
      <c r="L193" s="573">
        <v>0.79525862068965514</v>
      </c>
      <c r="M193" s="573">
        <v>34</v>
      </c>
      <c r="N193" s="590">
        <v>424</v>
      </c>
      <c r="O193" s="590">
        <v>14714</v>
      </c>
      <c r="P193" s="578">
        <v>0.93268255578093306</v>
      </c>
      <c r="Q193" s="591">
        <v>34.702830188679243</v>
      </c>
    </row>
    <row r="194" spans="1:17" ht="14.4" customHeight="1" x14ac:dyDescent="0.3">
      <c r="A194" s="572" t="s">
        <v>1082</v>
      </c>
      <c r="B194" s="573" t="s">
        <v>1107</v>
      </c>
      <c r="C194" s="573" t="s">
        <v>625</v>
      </c>
      <c r="D194" s="573" t="s">
        <v>1114</v>
      </c>
      <c r="E194" s="573" t="s">
        <v>1115</v>
      </c>
      <c r="F194" s="590">
        <v>174</v>
      </c>
      <c r="G194" s="590">
        <v>1740</v>
      </c>
      <c r="H194" s="573">
        <v>1</v>
      </c>
      <c r="I194" s="573">
        <v>10</v>
      </c>
      <c r="J194" s="590">
        <v>226</v>
      </c>
      <c r="K194" s="590">
        <v>2260</v>
      </c>
      <c r="L194" s="573">
        <v>1.2988505747126438</v>
      </c>
      <c r="M194" s="573">
        <v>10</v>
      </c>
      <c r="N194" s="590">
        <v>364</v>
      </c>
      <c r="O194" s="590">
        <v>3640</v>
      </c>
      <c r="P194" s="578">
        <v>2.0919540229885056</v>
      </c>
      <c r="Q194" s="591">
        <v>10</v>
      </c>
    </row>
    <row r="195" spans="1:17" ht="14.4" customHeight="1" x14ac:dyDescent="0.3">
      <c r="A195" s="572" t="s">
        <v>1082</v>
      </c>
      <c r="B195" s="573" t="s">
        <v>1107</v>
      </c>
      <c r="C195" s="573" t="s">
        <v>625</v>
      </c>
      <c r="D195" s="573" t="s">
        <v>1116</v>
      </c>
      <c r="E195" s="573" t="s">
        <v>1117</v>
      </c>
      <c r="F195" s="590">
        <v>35</v>
      </c>
      <c r="G195" s="590">
        <v>175</v>
      </c>
      <c r="H195" s="573">
        <v>1</v>
      </c>
      <c r="I195" s="573">
        <v>5</v>
      </c>
      <c r="J195" s="590">
        <v>7</v>
      </c>
      <c r="K195" s="590">
        <v>35</v>
      </c>
      <c r="L195" s="573">
        <v>0.2</v>
      </c>
      <c r="M195" s="573">
        <v>5</v>
      </c>
      <c r="N195" s="590">
        <v>6</v>
      </c>
      <c r="O195" s="590">
        <v>30</v>
      </c>
      <c r="P195" s="578">
        <v>0.17142857142857143</v>
      </c>
      <c r="Q195" s="591">
        <v>5</v>
      </c>
    </row>
    <row r="196" spans="1:17" ht="14.4" customHeight="1" x14ac:dyDescent="0.3">
      <c r="A196" s="572" t="s">
        <v>1082</v>
      </c>
      <c r="B196" s="573" t="s">
        <v>1107</v>
      </c>
      <c r="C196" s="573" t="s">
        <v>625</v>
      </c>
      <c r="D196" s="573" t="s">
        <v>1118</v>
      </c>
      <c r="E196" s="573" t="s">
        <v>1119</v>
      </c>
      <c r="F196" s="590">
        <v>2</v>
      </c>
      <c r="G196" s="590">
        <v>10</v>
      </c>
      <c r="H196" s="573">
        <v>1</v>
      </c>
      <c r="I196" s="573">
        <v>5</v>
      </c>
      <c r="J196" s="590">
        <v>1</v>
      </c>
      <c r="K196" s="590">
        <v>5</v>
      </c>
      <c r="L196" s="573">
        <v>0.5</v>
      </c>
      <c r="M196" s="573">
        <v>5</v>
      </c>
      <c r="N196" s="590"/>
      <c r="O196" s="590"/>
      <c r="P196" s="578"/>
      <c r="Q196" s="591"/>
    </row>
    <row r="197" spans="1:17" ht="14.4" customHeight="1" x14ac:dyDescent="0.3">
      <c r="A197" s="572" t="s">
        <v>1082</v>
      </c>
      <c r="B197" s="573" t="s">
        <v>1107</v>
      </c>
      <c r="C197" s="573" t="s">
        <v>625</v>
      </c>
      <c r="D197" s="573" t="s">
        <v>1120</v>
      </c>
      <c r="E197" s="573" t="s">
        <v>1121</v>
      </c>
      <c r="F197" s="590">
        <v>4</v>
      </c>
      <c r="G197" s="590">
        <v>272</v>
      </c>
      <c r="H197" s="573">
        <v>1</v>
      </c>
      <c r="I197" s="573">
        <v>68</v>
      </c>
      <c r="J197" s="590">
        <v>105</v>
      </c>
      <c r="K197" s="590">
        <v>7245</v>
      </c>
      <c r="L197" s="573">
        <v>26.636029411764707</v>
      </c>
      <c r="M197" s="573">
        <v>69</v>
      </c>
      <c r="N197" s="590">
        <v>65</v>
      </c>
      <c r="O197" s="590">
        <v>4504</v>
      </c>
      <c r="P197" s="578">
        <v>16.558823529411764</v>
      </c>
      <c r="Q197" s="591">
        <v>69.292307692307688</v>
      </c>
    </row>
    <row r="198" spans="1:17" ht="14.4" customHeight="1" x14ac:dyDescent="0.3">
      <c r="A198" s="572" t="s">
        <v>1082</v>
      </c>
      <c r="B198" s="573" t="s">
        <v>1107</v>
      </c>
      <c r="C198" s="573" t="s">
        <v>625</v>
      </c>
      <c r="D198" s="573" t="s">
        <v>1122</v>
      </c>
      <c r="E198" s="573" t="s">
        <v>1123</v>
      </c>
      <c r="F198" s="590"/>
      <c r="G198" s="590"/>
      <c r="H198" s="573"/>
      <c r="I198" s="573"/>
      <c r="J198" s="590">
        <v>3</v>
      </c>
      <c r="K198" s="590">
        <v>351</v>
      </c>
      <c r="L198" s="573"/>
      <c r="M198" s="573">
        <v>117</v>
      </c>
      <c r="N198" s="590">
        <v>4</v>
      </c>
      <c r="O198" s="590">
        <v>472</v>
      </c>
      <c r="P198" s="578"/>
      <c r="Q198" s="591">
        <v>118</v>
      </c>
    </row>
    <row r="199" spans="1:17" ht="14.4" customHeight="1" x14ac:dyDescent="0.3">
      <c r="A199" s="572" t="s">
        <v>1082</v>
      </c>
      <c r="B199" s="573" t="s">
        <v>1107</v>
      </c>
      <c r="C199" s="573" t="s">
        <v>625</v>
      </c>
      <c r="D199" s="573" t="s">
        <v>1156</v>
      </c>
      <c r="E199" s="573" t="s">
        <v>1157</v>
      </c>
      <c r="F199" s="590">
        <v>247</v>
      </c>
      <c r="G199" s="590">
        <v>28652</v>
      </c>
      <c r="H199" s="573">
        <v>1</v>
      </c>
      <c r="I199" s="573">
        <v>116</v>
      </c>
      <c r="J199" s="590">
        <v>10</v>
      </c>
      <c r="K199" s="590">
        <v>1170</v>
      </c>
      <c r="L199" s="573">
        <v>4.0834845735027221E-2</v>
      </c>
      <c r="M199" s="573">
        <v>117</v>
      </c>
      <c r="N199" s="590">
        <v>2</v>
      </c>
      <c r="O199" s="590">
        <v>234</v>
      </c>
      <c r="P199" s="578">
        <v>8.1669691470054439E-3</v>
      </c>
      <c r="Q199" s="591">
        <v>117</v>
      </c>
    </row>
    <row r="200" spans="1:17" ht="14.4" customHeight="1" x14ac:dyDescent="0.3">
      <c r="A200" s="572" t="s">
        <v>1082</v>
      </c>
      <c r="B200" s="573" t="s">
        <v>1107</v>
      </c>
      <c r="C200" s="573" t="s">
        <v>625</v>
      </c>
      <c r="D200" s="573" t="s">
        <v>1124</v>
      </c>
      <c r="E200" s="573" t="s">
        <v>1125</v>
      </c>
      <c r="F200" s="590">
        <v>15</v>
      </c>
      <c r="G200" s="590">
        <v>2460</v>
      </c>
      <c r="H200" s="573">
        <v>1</v>
      </c>
      <c r="I200" s="573">
        <v>164</v>
      </c>
      <c r="J200" s="590">
        <v>2</v>
      </c>
      <c r="K200" s="590">
        <v>326</v>
      </c>
      <c r="L200" s="573">
        <v>0.13252032520325202</v>
      </c>
      <c r="M200" s="573">
        <v>163</v>
      </c>
      <c r="N200" s="590">
        <v>1</v>
      </c>
      <c r="O200" s="590">
        <v>164</v>
      </c>
      <c r="P200" s="578">
        <v>6.6666666666666666E-2</v>
      </c>
      <c r="Q200" s="591">
        <v>164</v>
      </c>
    </row>
    <row r="201" spans="1:17" ht="14.4" customHeight="1" x14ac:dyDescent="0.3">
      <c r="A201" s="572" t="s">
        <v>1082</v>
      </c>
      <c r="B201" s="573" t="s">
        <v>1107</v>
      </c>
      <c r="C201" s="573" t="s">
        <v>625</v>
      </c>
      <c r="D201" s="573" t="s">
        <v>1126</v>
      </c>
      <c r="E201" s="573" t="s">
        <v>1127</v>
      </c>
      <c r="F201" s="590">
        <v>2</v>
      </c>
      <c r="G201" s="590">
        <v>0</v>
      </c>
      <c r="H201" s="573"/>
      <c r="I201" s="573">
        <v>0</v>
      </c>
      <c r="J201" s="590">
        <v>1</v>
      </c>
      <c r="K201" s="590">
        <v>0</v>
      </c>
      <c r="L201" s="573"/>
      <c r="M201" s="573">
        <v>0</v>
      </c>
      <c r="N201" s="590"/>
      <c r="O201" s="590"/>
      <c r="P201" s="578"/>
      <c r="Q201" s="591"/>
    </row>
    <row r="202" spans="1:17" ht="14.4" customHeight="1" x14ac:dyDescent="0.3">
      <c r="A202" s="572" t="s">
        <v>1082</v>
      </c>
      <c r="B202" s="573" t="s">
        <v>1107</v>
      </c>
      <c r="C202" s="573" t="s">
        <v>625</v>
      </c>
      <c r="D202" s="573" t="s">
        <v>1128</v>
      </c>
      <c r="E202" s="573" t="s">
        <v>1129</v>
      </c>
      <c r="F202" s="590">
        <v>33</v>
      </c>
      <c r="G202" s="590">
        <v>5511</v>
      </c>
      <c r="H202" s="573">
        <v>1</v>
      </c>
      <c r="I202" s="573">
        <v>167</v>
      </c>
      <c r="J202" s="590">
        <v>70</v>
      </c>
      <c r="K202" s="590">
        <v>11760</v>
      </c>
      <c r="L202" s="573">
        <v>2.1339139902014153</v>
      </c>
      <c r="M202" s="573">
        <v>168</v>
      </c>
      <c r="N202" s="590">
        <v>35</v>
      </c>
      <c r="O202" s="590">
        <v>5890</v>
      </c>
      <c r="P202" s="578">
        <v>1.0687715478134641</v>
      </c>
      <c r="Q202" s="591">
        <v>168.28571428571428</v>
      </c>
    </row>
    <row r="203" spans="1:17" ht="14.4" customHeight="1" x14ac:dyDescent="0.3">
      <c r="A203" s="572" t="s">
        <v>1082</v>
      </c>
      <c r="B203" s="573" t="s">
        <v>1107</v>
      </c>
      <c r="C203" s="573" t="s">
        <v>625</v>
      </c>
      <c r="D203" s="573" t="s">
        <v>1130</v>
      </c>
      <c r="E203" s="573" t="s">
        <v>1131</v>
      </c>
      <c r="F203" s="590">
        <v>3</v>
      </c>
      <c r="G203" s="590">
        <v>0</v>
      </c>
      <c r="H203" s="573"/>
      <c r="I203" s="573">
        <v>0</v>
      </c>
      <c r="J203" s="590">
        <v>27</v>
      </c>
      <c r="K203" s="590">
        <v>0</v>
      </c>
      <c r="L203" s="573"/>
      <c r="M203" s="573">
        <v>0</v>
      </c>
      <c r="N203" s="590">
        <v>45</v>
      </c>
      <c r="O203" s="590">
        <v>0</v>
      </c>
      <c r="P203" s="578"/>
      <c r="Q203" s="591">
        <v>0</v>
      </c>
    </row>
    <row r="204" spans="1:17" ht="14.4" customHeight="1" x14ac:dyDescent="0.3">
      <c r="A204" s="572" t="s">
        <v>1082</v>
      </c>
      <c r="B204" s="573" t="s">
        <v>1107</v>
      </c>
      <c r="C204" s="573" t="s">
        <v>625</v>
      </c>
      <c r="D204" s="573" t="s">
        <v>1132</v>
      </c>
      <c r="E204" s="573" t="s">
        <v>1133</v>
      </c>
      <c r="F204" s="590">
        <v>132</v>
      </c>
      <c r="G204" s="590">
        <v>3300</v>
      </c>
      <c r="H204" s="573">
        <v>1</v>
      </c>
      <c r="I204" s="573">
        <v>25</v>
      </c>
      <c r="J204" s="590">
        <v>168</v>
      </c>
      <c r="K204" s="590">
        <v>5880</v>
      </c>
      <c r="L204" s="573">
        <v>1.7818181818181817</v>
      </c>
      <c r="M204" s="573">
        <v>35</v>
      </c>
      <c r="N204" s="590">
        <v>13</v>
      </c>
      <c r="O204" s="590">
        <v>463</v>
      </c>
      <c r="P204" s="578">
        <v>0.14030303030303029</v>
      </c>
      <c r="Q204" s="591">
        <v>35.615384615384613</v>
      </c>
    </row>
    <row r="205" spans="1:17" ht="14.4" customHeight="1" x14ac:dyDescent="0.3">
      <c r="A205" s="572" t="s">
        <v>1082</v>
      </c>
      <c r="B205" s="573" t="s">
        <v>1107</v>
      </c>
      <c r="C205" s="573" t="s">
        <v>625</v>
      </c>
      <c r="D205" s="573" t="s">
        <v>1160</v>
      </c>
      <c r="E205" s="573" t="s">
        <v>1161</v>
      </c>
      <c r="F205" s="590">
        <v>3</v>
      </c>
      <c r="G205" s="590">
        <v>57</v>
      </c>
      <c r="H205" s="573">
        <v>1</v>
      </c>
      <c r="I205" s="573">
        <v>19</v>
      </c>
      <c r="J205" s="590"/>
      <c r="K205" s="590"/>
      <c r="L205" s="573"/>
      <c r="M205" s="573"/>
      <c r="N205" s="590"/>
      <c r="O205" s="590"/>
      <c r="P205" s="578"/>
      <c r="Q205" s="591"/>
    </row>
    <row r="206" spans="1:17" ht="14.4" customHeight="1" x14ac:dyDescent="0.3">
      <c r="A206" s="572" t="s">
        <v>1082</v>
      </c>
      <c r="B206" s="573" t="s">
        <v>1107</v>
      </c>
      <c r="C206" s="573" t="s">
        <v>625</v>
      </c>
      <c r="D206" s="573" t="s">
        <v>1136</v>
      </c>
      <c r="E206" s="573" t="s">
        <v>1137</v>
      </c>
      <c r="F206" s="590">
        <v>272</v>
      </c>
      <c r="G206" s="590">
        <v>38352</v>
      </c>
      <c r="H206" s="573">
        <v>1</v>
      </c>
      <c r="I206" s="573">
        <v>141</v>
      </c>
      <c r="J206" s="590">
        <v>21</v>
      </c>
      <c r="K206" s="590">
        <v>2961</v>
      </c>
      <c r="L206" s="573">
        <v>7.720588235294118E-2</v>
      </c>
      <c r="M206" s="573">
        <v>141</v>
      </c>
      <c r="N206" s="590">
        <v>44</v>
      </c>
      <c r="O206" s="590">
        <v>5658</v>
      </c>
      <c r="P206" s="578">
        <v>0.14752816020025031</v>
      </c>
      <c r="Q206" s="591">
        <v>128.59090909090909</v>
      </c>
    </row>
    <row r="207" spans="1:17" ht="14.4" customHeight="1" x14ac:dyDescent="0.3">
      <c r="A207" s="572" t="s">
        <v>1082</v>
      </c>
      <c r="B207" s="573" t="s">
        <v>1107</v>
      </c>
      <c r="C207" s="573" t="s">
        <v>625</v>
      </c>
      <c r="D207" s="573" t="s">
        <v>1138</v>
      </c>
      <c r="E207" s="573" t="s">
        <v>1139</v>
      </c>
      <c r="F207" s="590">
        <v>378</v>
      </c>
      <c r="G207" s="590">
        <v>25704</v>
      </c>
      <c r="H207" s="573">
        <v>1</v>
      </c>
      <c r="I207" s="573">
        <v>68</v>
      </c>
      <c r="J207" s="590">
        <v>312</v>
      </c>
      <c r="K207" s="590">
        <v>21528</v>
      </c>
      <c r="L207" s="573">
        <v>0.83753501400560226</v>
      </c>
      <c r="M207" s="573">
        <v>69</v>
      </c>
      <c r="N207" s="590">
        <v>397</v>
      </c>
      <c r="O207" s="590">
        <v>27642</v>
      </c>
      <c r="P207" s="578">
        <v>1.0753968253968254</v>
      </c>
      <c r="Q207" s="591">
        <v>69.627204030226707</v>
      </c>
    </row>
    <row r="208" spans="1:17" ht="14.4" customHeight="1" x14ac:dyDescent="0.3">
      <c r="A208" s="572" t="s">
        <v>1082</v>
      </c>
      <c r="B208" s="573" t="s">
        <v>1107</v>
      </c>
      <c r="C208" s="573" t="s">
        <v>625</v>
      </c>
      <c r="D208" s="573" t="s">
        <v>1140</v>
      </c>
      <c r="E208" s="573" t="s">
        <v>1141</v>
      </c>
      <c r="F208" s="590">
        <v>508</v>
      </c>
      <c r="G208" s="590">
        <v>167640</v>
      </c>
      <c r="H208" s="573">
        <v>1</v>
      </c>
      <c r="I208" s="573">
        <v>330</v>
      </c>
      <c r="J208" s="590">
        <v>225</v>
      </c>
      <c r="K208" s="590">
        <v>73575</v>
      </c>
      <c r="L208" s="573">
        <v>0.43888690050107371</v>
      </c>
      <c r="M208" s="573">
        <v>327</v>
      </c>
      <c r="N208" s="590">
        <v>369</v>
      </c>
      <c r="O208" s="590">
        <v>121455</v>
      </c>
      <c r="P208" s="578">
        <v>0.72449892627057977</v>
      </c>
      <c r="Q208" s="591">
        <v>329.14634146341461</v>
      </c>
    </row>
    <row r="209" spans="1:17" ht="14.4" customHeight="1" x14ac:dyDescent="0.3">
      <c r="A209" s="572" t="s">
        <v>1082</v>
      </c>
      <c r="B209" s="573" t="s">
        <v>1107</v>
      </c>
      <c r="C209" s="573" t="s">
        <v>625</v>
      </c>
      <c r="D209" s="573" t="s">
        <v>1142</v>
      </c>
      <c r="E209" s="573" t="s">
        <v>1143</v>
      </c>
      <c r="F209" s="590">
        <v>13</v>
      </c>
      <c r="G209" s="590">
        <v>2665</v>
      </c>
      <c r="H209" s="573">
        <v>1</v>
      </c>
      <c r="I209" s="573">
        <v>205</v>
      </c>
      <c r="J209" s="590">
        <v>25</v>
      </c>
      <c r="K209" s="590">
        <v>5150</v>
      </c>
      <c r="L209" s="573">
        <v>1.9324577861163228</v>
      </c>
      <c r="M209" s="573">
        <v>206</v>
      </c>
      <c r="N209" s="590">
        <v>85</v>
      </c>
      <c r="O209" s="590">
        <v>17711</v>
      </c>
      <c r="P209" s="578">
        <v>6.6457786116322701</v>
      </c>
      <c r="Q209" s="591">
        <v>208.36470588235295</v>
      </c>
    </row>
    <row r="210" spans="1:17" ht="14.4" customHeight="1" x14ac:dyDescent="0.3">
      <c r="A210" s="572" t="s">
        <v>1082</v>
      </c>
      <c r="B210" s="573" t="s">
        <v>1107</v>
      </c>
      <c r="C210" s="573" t="s">
        <v>625</v>
      </c>
      <c r="D210" s="573" t="s">
        <v>1144</v>
      </c>
      <c r="E210" s="573" t="s">
        <v>1145</v>
      </c>
      <c r="F210" s="590">
        <v>77</v>
      </c>
      <c r="G210" s="590">
        <v>5852</v>
      </c>
      <c r="H210" s="573">
        <v>1</v>
      </c>
      <c r="I210" s="573">
        <v>76</v>
      </c>
      <c r="J210" s="590">
        <v>115</v>
      </c>
      <c r="K210" s="590">
        <v>8740</v>
      </c>
      <c r="L210" s="573">
        <v>1.4935064935064934</v>
      </c>
      <c r="M210" s="573">
        <v>76</v>
      </c>
      <c r="N210" s="590">
        <v>65</v>
      </c>
      <c r="O210" s="590">
        <v>4963</v>
      </c>
      <c r="P210" s="578">
        <v>0.84808612440191389</v>
      </c>
      <c r="Q210" s="591">
        <v>76.353846153846149</v>
      </c>
    </row>
    <row r="211" spans="1:17" ht="14.4" customHeight="1" x14ac:dyDescent="0.3">
      <c r="A211" s="572" t="s">
        <v>1082</v>
      </c>
      <c r="B211" s="573" t="s">
        <v>1107</v>
      </c>
      <c r="C211" s="573" t="s">
        <v>625</v>
      </c>
      <c r="D211" s="573" t="s">
        <v>1146</v>
      </c>
      <c r="E211" s="573" t="s">
        <v>1147</v>
      </c>
      <c r="F211" s="590">
        <v>5</v>
      </c>
      <c r="G211" s="590">
        <v>70</v>
      </c>
      <c r="H211" s="573">
        <v>1</v>
      </c>
      <c r="I211" s="573">
        <v>14</v>
      </c>
      <c r="J211" s="590">
        <v>3</v>
      </c>
      <c r="K211" s="590">
        <v>78</v>
      </c>
      <c r="L211" s="573">
        <v>1.1142857142857143</v>
      </c>
      <c r="M211" s="573">
        <v>26</v>
      </c>
      <c r="N211" s="590"/>
      <c r="O211" s="590"/>
      <c r="P211" s="578"/>
      <c r="Q211" s="591"/>
    </row>
    <row r="212" spans="1:17" ht="14.4" customHeight="1" x14ac:dyDescent="0.3">
      <c r="A212" s="572" t="s">
        <v>1082</v>
      </c>
      <c r="B212" s="573" t="s">
        <v>1107</v>
      </c>
      <c r="C212" s="573" t="s">
        <v>625</v>
      </c>
      <c r="D212" s="573" t="s">
        <v>1148</v>
      </c>
      <c r="E212" s="573" t="s">
        <v>1149</v>
      </c>
      <c r="F212" s="590">
        <v>64</v>
      </c>
      <c r="G212" s="590">
        <v>3648</v>
      </c>
      <c r="H212" s="573">
        <v>1</v>
      </c>
      <c r="I212" s="573">
        <v>57</v>
      </c>
      <c r="J212" s="590">
        <v>75</v>
      </c>
      <c r="K212" s="590">
        <v>4200</v>
      </c>
      <c r="L212" s="573">
        <v>1.1513157894736843</v>
      </c>
      <c r="M212" s="573">
        <v>56</v>
      </c>
      <c r="N212" s="590">
        <v>4</v>
      </c>
      <c r="O212" s="590">
        <v>227</v>
      </c>
      <c r="P212" s="578">
        <v>6.2225877192982455E-2</v>
      </c>
      <c r="Q212" s="591">
        <v>56.75</v>
      </c>
    </row>
    <row r="213" spans="1:17" ht="14.4" customHeight="1" x14ac:dyDescent="0.3">
      <c r="A213" s="572" t="s">
        <v>1082</v>
      </c>
      <c r="B213" s="573" t="s">
        <v>1107</v>
      </c>
      <c r="C213" s="573" t="s">
        <v>625</v>
      </c>
      <c r="D213" s="573" t="s">
        <v>1150</v>
      </c>
      <c r="E213" s="573" t="s">
        <v>1151</v>
      </c>
      <c r="F213" s="590">
        <v>87</v>
      </c>
      <c r="G213" s="590">
        <v>20793</v>
      </c>
      <c r="H213" s="573">
        <v>1</v>
      </c>
      <c r="I213" s="573">
        <v>239</v>
      </c>
      <c r="J213" s="590">
        <v>84</v>
      </c>
      <c r="K213" s="590">
        <v>20160</v>
      </c>
      <c r="L213" s="573">
        <v>0.9695570624729476</v>
      </c>
      <c r="M213" s="573">
        <v>240</v>
      </c>
      <c r="N213" s="590">
        <v>54</v>
      </c>
      <c r="O213" s="590">
        <v>13020</v>
      </c>
      <c r="P213" s="578">
        <v>0.62617226951377869</v>
      </c>
      <c r="Q213" s="591">
        <v>241.11111111111111</v>
      </c>
    </row>
    <row r="214" spans="1:17" ht="14.4" customHeight="1" x14ac:dyDescent="0.3">
      <c r="A214" s="572" t="s">
        <v>1082</v>
      </c>
      <c r="B214" s="573" t="s">
        <v>1107</v>
      </c>
      <c r="C214" s="573" t="s">
        <v>625</v>
      </c>
      <c r="D214" s="573" t="s">
        <v>1152</v>
      </c>
      <c r="E214" s="573" t="s">
        <v>1153</v>
      </c>
      <c r="F214" s="590">
        <v>257</v>
      </c>
      <c r="G214" s="590">
        <v>166022</v>
      </c>
      <c r="H214" s="573">
        <v>1</v>
      </c>
      <c r="I214" s="573">
        <v>646</v>
      </c>
      <c r="J214" s="590">
        <v>175</v>
      </c>
      <c r="K214" s="590">
        <v>112875</v>
      </c>
      <c r="L214" s="573">
        <v>0.6798797749695823</v>
      </c>
      <c r="M214" s="573">
        <v>645</v>
      </c>
      <c r="N214" s="590">
        <v>218</v>
      </c>
      <c r="O214" s="590">
        <v>141534</v>
      </c>
      <c r="P214" s="578">
        <v>0.85250147570803869</v>
      </c>
      <c r="Q214" s="591">
        <v>649.2385321100918</v>
      </c>
    </row>
    <row r="215" spans="1:17" ht="14.4" customHeight="1" x14ac:dyDescent="0.3">
      <c r="A215" s="572" t="s">
        <v>1082</v>
      </c>
      <c r="B215" s="573" t="s">
        <v>1107</v>
      </c>
      <c r="C215" s="573" t="s">
        <v>625</v>
      </c>
      <c r="D215" s="573" t="s">
        <v>1154</v>
      </c>
      <c r="E215" s="573" t="s">
        <v>1155</v>
      </c>
      <c r="F215" s="590">
        <v>585</v>
      </c>
      <c r="G215" s="590">
        <v>123435</v>
      </c>
      <c r="H215" s="573">
        <v>1</v>
      </c>
      <c r="I215" s="573">
        <v>211</v>
      </c>
      <c r="J215" s="590">
        <v>359</v>
      </c>
      <c r="K215" s="590">
        <v>76108</v>
      </c>
      <c r="L215" s="573">
        <v>0.61658362701016733</v>
      </c>
      <c r="M215" s="573">
        <v>212</v>
      </c>
      <c r="N215" s="590">
        <v>522</v>
      </c>
      <c r="O215" s="590">
        <v>111434</v>
      </c>
      <c r="P215" s="578">
        <v>0.90277473974156441</v>
      </c>
      <c r="Q215" s="591">
        <v>213.4750957854406</v>
      </c>
    </row>
    <row r="216" spans="1:17" ht="14.4" customHeight="1" x14ac:dyDescent="0.3">
      <c r="A216" s="572" t="s">
        <v>1082</v>
      </c>
      <c r="B216" s="573" t="s">
        <v>1107</v>
      </c>
      <c r="C216" s="573" t="s">
        <v>625</v>
      </c>
      <c r="D216" s="573" t="s">
        <v>1162</v>
      </c>
      <c r="E216" s="573" t="s">
        <v>1073</v>
      </c>
      <c r="F216" s="590">
        <v>2</v>
      </c>
      <c r="G216" s="590">
        <v>334</v>
      </c>
      <c r="H216" s="573">
        <v>1</v>
      </c>
      <c r="I216" s="573">
        <v>167</v>
      </c>
      <c r="J216" s="590"/>
      <c r="K216" s="590"/>
      <c r="L216" s="573"/>
      <c r="M216" s="573"/>
      <c r="N216" s="590"/>
      <c r="O216" s="590"/>
      <c r="P216" s="578"/>
      <c r="Q216" s="591"/>
    </row>
    <row r="217" spans="1:17" ht="14.4" customHeight="1" x14ac:dyDescent="0.3">
      <c r="A217" s="572" t="s">
        <v>1082</v>
      </c>
      <c r="B217" s="573" t="s">
        <v>1107</v>
      </c>
      <c r="C217" s="573" t="s">
        <v>1079</v>
      </c>
      <c r="D217" s="573" t="s">
        <v>1130</v>
      </c>
      <c r="E217" s="573" t="s">
        <v>1131</v>
      </c>
      <c r="F217" s="590"/>
      <c r="G217" s="590"/>
      <c r="H217" s="573"/>
      <c r="I217" s="573"/>
      <c r="J217" s="590"/>
      <c r="K217" s="590"/>
      <c r="L217" s="573"/>
      <c r="M217" s="573"/>
      <c r="N217" s="590">
        <v>1</v>
      </c>
      <c r="O217" s="590">
        <v>0</v>
      </c>
      <c r="P217" s="578"/>
      <c r="Q217" s="591">
        <v>0</v>
      </c>
    </row>
    <row r="218" spans="1:17" ht="14.4" customHeight="1" x14ac:dyDescent="0.3">
      <c r="A218" s="572" t="s">
        <v>1082</v>
      </c>
      <c r="B218" s="573" t="s">
        <v>1107</v>
      </c>
      <c r="C218" s="573" t="s">
        <v>1080</v>
      </c>
      <c r="D218" s="573" t="s">
        <v>1158</v>
      </c>
      <c r="E218" s="573" t="s">
        <v>1073</v>
      </c>
      <c r="F218" s="590">
        <v>1</v>
      </c>
      <c r="G218" s="590">
        <v>432</v>
      </c>
      <c r="H218" s="573">
        <v>1</v>
      </c>
      <c r="I218" s="573">
        <v>432</v>
      </c>
      <c r="J218" s="590"/>
      <c r="K218" s="590"/>
      <c r="L218" s="573"/>
      <c r="M218" s="573"/>
      <c r="N218" s="590"/>
      <c r="O218" s="590"/>
      <c r="P218" s="578"/>
      <c r="Q218" s="591"/>
    </row>
    <row r="219" spans="1:17" ht="14.4" customHeight="1" x14ac:dyDescent="0.3">
      <c r="A219" s="572" t="s">
        <v>1082</v>
      </c>
      <c r="B219" s="573" t="s">
        <v>1107</v>
      </c>
      <c r="C219" s="573" t="s">
        <v>1080</v>
      </c>
      <c r="D219" s="573" t="s">
        <v>1159</v>
      </c>
      <c r="E219" s="573" t="s">
        <v>1073</v>
      </c>
      <c r="F219" s="590">
        <v>1</v>
      </c>
      <c r="G219" s="590">
        <v>168</v>
      </c>
      <c r="H219" s="573">
        <v>1</v>
      </c>
      <c r="I219" s="573">
        <v>168</v>
      </c>
      <c r="J219" s="590"/>
      <c r="K219" s="590"/>
      <c r="L219" s="573"/>
      <c r="M219" s="573"/>
      <c r="N219" s="590"/>
      <c r="O219" s="590"/>
      <c r="P219" s="578"/>
      <c r="Q219" s="591"/>
    </row>
    <row r="220" spans="1:17" ht="14.4" customHeight="1" x14ac:dyDescent="0.3">
      <c r="A220" s="572" t="s">
        <v>1082</v>
      </c>
      <c r="B220" s="573" t="s">
        <v>1107</v>
      </c>
      <c r="C220" s="573" t="s">
        <v>1080</v>
      </c>
      <c r="D220" s="573" t="s">
        <v>1110</v>
      </c>
      <c r="E220" s="573" t="s">
        <v>1111</v>
      </c>
      <c r="F220" s="590">
        <v>2</v>
      </c>
      <c r="G220" s="590">
        <v>336</v>
      </c>
      <c r="H220" s="573">
        <v>1</v>
      </c>
      <c r="I220" s="573">
        <v>168</v>
      </c>
      <c r="J220" s="590"/>
      <c r="K220" s="590"/>
      <c r="L220" s="573"/>
      <c r="M220" s="573"/>
      <c r="N220" s="590"/>
      <c r="O220" s="590"/>
      <c r="P220" s="578"/>
      <c r="Q220" s="591"/>
    </row>
    <row r="221" spans="1:17" ht="14.4" customHeight="1" x14ac:dyDescent="0.3">
      <c r="A221" s="572" t="s">
        <v>1082</v>
      </c>
      <c r="B221" s="573" t="s">
        <v>1107</v>
      </c>
      <c r="C221" s="573" t="s">
        <v>1080</v>
      </c>
      <c r="D221" s="573" t="s">
        <v>1108</v>
      </c>
      <c r="E221" s="573" t="s">
        <v>1109</v>
      </c>
      <c r="F221" s="590">
        <v>44</v>
      </c>
      <c r="G221" s="590">
        <v>1496</v>
      </c>
      <c r="H221" s="573">
        <v>1</v>
      </c>
      <c r="I221" s="573">
        <v>34</v>
      </c>
      <c r="J221" s="590">
        <v>150</v>
      </c>
      <c r="K221" s="590">
        <v>5100</v>
      </c>
      <c r="L221" s="573">
        <v>3.4090909090909092</v>
      </c>
      <c r="M221" s="573">
        <v>34</v>
      </c>
      <c r="N221" s="590"/>
      <c r="O221" s="590"/>
      <c r="P221" s="578"/>
      <c r="Q221" s="591"/>
    </row>
    <row r="222" spans="1:17" ht="14.4" customHeight="1" x14ac:dyDescent="0.3">
      <c r="A222" s="572" t="s">
        <v>1082</v>
      </c>
      <c r="B222" s="573" t="s">
        <v>1107</v>
      </c>
      <c r="C222" s="573" t="s">
        <v>1080</v>
      </c>
      <c r="D222" s="573" t="s">
        <v>1114</v>
      </c>
      <c r="E222" s="573" t="s">
        <v>1115</v>
      </c>
      <c r="F222" s="590">
        <v>5</v>
      </c>
      <c r="G222" s="590">
        <v>50</v>
      </c>
      <c r="H222" s="573">
        <v>1</v>
      </c>
      <c r="I222" s="573">
        <v>10</v>
      </c>
      <c r="J222" s="590">
        <v>5</v>
      </c>
      <c r="K222" s="590">
        <v>50</v>
      </c>
      <c r="L222" s="573">
        <v>1</v>
      </c>
      <c r="M222" s="573">
        <v>10</v>
      </c>
      <c r="N222" s="590"/>
      <c r="O222" s="590"/>
      <c r="P222" s="578"/>
      <c r="Q222" s="591"/>
    </row>
    <row r="223" spans="1:17" ht="14.4" customHeight="1" x14ac:dyDescent="0.3">
      <c r="A223" s="572" t="s">
        <v>1082</v>
      </c>
      <c r="B223" s="573" t="s">
        <v>1107</v>
      </c>
      <c r="C223" s="573" t="s">
        <v>1080</v>
      </c>
      <c r="D223" s="573" t="s">
        <v>1118</v>
      </c>
      <c r="E223" s="573" t="s">
        <v>1119</v>
      </c>
      <c r="F223" s="590"/>
      <c r="G223" s="590"/>
      <c r="H223" s="573"/>
      <c r="I223" s="573"/>
      <c r="J223" s="590">
        <v>2</v>
      </c>
      <c r="K223" s="590">
        <v>10</v>
      </c>
      <c r="L223" s="573"/>
      <c r="M223" s="573">
        <v>5</v>
      </c>
      <c r="N223" s="590"/>
      <c r="O223" s="590"/>
      <c r="P223" s="578"/>
      <c r="Q223" s="591"/>
    </row>
    <row r="224" spans="1:17" ht="14.4" customHeight="1" x14ac:dyDescent="0.3">
      <c r="A224" s="572" t="s">
        <v>1082</v>
      </c>
      <c r="B224" s="573" t="s">
        <v>1107</v>
      </c>
      <c r="C224" s="573" t="s">
        <v>1080</v>
      </c>
      <c r="D224" s="573" t="s">
        <v>1120</v>
      </c>
      <c r="E224" s="573" t="s">
        <v>1121</v>
      </c>
      <c r="F224" s="590"/>
      <c r="G224" s="590"/>
      <c r="H224" s="573"/>
      <c r="I224" s="573"/>
      <c r="J224" s="590">
        <v>3</v>
      </c>
      <c r="K224" s="590">
        <v>207</v>
      </c>
      <c r="L224" s="573"/>
      <c r="M224" s="573">
        <v>69</v>
      </c>
      <c r="N224" s="590"/>
      <c r="O224" s="590"/>
      <c r="P224" s="578"/>
      <c r="Q224" s="591"/>
    </row>
    <row r="225" spans="1:17" ht="14.4" customHeight="1" x14ac:dyDescent="0.3">
      <c r="A225" s="572" t="s">
        <v>1082</v>
      </c>
      <c r="B225" s="573" t="s">
        <v>1107</v>
      </c>
      <c r="C225" s="573" t="s">
        <v>1080</v>
      </c>
      <c r="D225" s="573" t="s">
        <v>1156</v>
      </c>
      <c r="E225" s="573" t="s">
        <v>1157</v>
      </c>
      <c r="F225" s="590">
        <v>2</v>
      </c>
      <c r="G225" s="590">
        <v>232</v>
      </c>
      <c r="H225" s="573">
        <v>1</v>
      </c>
      <c r="I225" s="573">
        <v>116</v>
      </c>
      <c r="J225" s="590">
        <v>50</v>
      </c>
      <c r="K225" s="590">
        <v>5850</v>
      </c>
      <c r="L225" s="573">
        <v>25.21551724137931</v>
      </c>
      <c r="M225" s="573">
        <v>117</v>
      </c>
      <c r="N225" s="590"/>
      <c r="O225" s="590"/>
      <c r="P225" s="578"/>
      <c r="Q225" s="591"/>
    </row>
    <row r="226" spans="1:17" ht="14.4" customHeight="1" x14ac:dyDescent="0.3">
      <c r="A226" s="572" t="s">
        <v>1082</v>
      </c>
      <c r="B226" s="573" t="s">
        <v>1107</v>
      </c>
      <c r="C226" s="573" t="s">
        <v>1080</v>
      </c>
      <c r="D226" s="573" t="s">
        <v>1124</v>
      </c>
      <c r="E226" s="573" t="s">
        <v>1125</v>
      </c>
      <c r="F226" s="590"/>
      <c r="G226" s="590"/>
      <c r="H226" s="573"/>
      <c r="I226" s="573"/>
      <c r="J226" s="590">
        <v>2</v>
      </c>
      <c r="K226" s="590">
        <v>326</v>
      </c>
      <c r="L226" s="573"/>
      <c r="M226" s="573">
        <v>163</v>
      </c>
      <c r="N226" s="590"/>
      <c r="O226" s="590"/>
      <c r="P226" s="578"/>
      <c r="Q226" s="591"/>
    </row>
    <row r="227" spans="1:17" ht="14.4" customHeight="1" x14ac:dyDescent="0.3">
      <c r="A227" s="572" t="s">
        <v>1082</v>
      </c>
      <c r="B227" s="573" t="s">
        <v>1107</v>
      </c>
      <c r="C227" s="573" t="s">
        <v>1080</v>
      </c>
      <c r="D227" s="573" t="s">
        <v>1130</v>
      </c>
      <c r="E227" s="573" t="s">
        <v>1131</v>
      </c>
      <c r="F227" s="590"/>
      <c r="G227" s="590"/>
      <c r="H227" s="573"/>
      <c r="I227" s="573"/>
      <c r="J227" s="590">
        <v>2</v>
      </c>
      <c r="K227" s="590">
        <v>0</v>
      </c>
      <c r="L227" s="573"/>
      <c r="M227" s="573">
        <v>0</v>
      </c>
      <c r="N227" s="590"/>
      <c r="O227" s="590"/>
      <c r="P227" s="578"/>
      <c r="Q227" s="591"/>
    </row>
    <row r="228" spans="1:17" ht="14.4" customHeight="1" x14ac:dyDescent="0.3">
      <c r="A228" s="572" t="s">
        <v>1082</v>
      </c>
      <c r="B228" s="573" t="s">
        <v>1107</v>
      </c>
      <c r="C228" s="573" t="s">
        <v>1080</v>
      </c>
      <c r="D228" s="573" t="s">
        <v>1132</v>
      </c>
      <c r="E228" s="573" t="s">
        <v>1133</v>
      </c>
      <c r="F228" s="590">
        <v>11</v>
      </c>
      <c r="G228" s="590">
        <v>275</v>
      </c>
      <c r="H228" s="573">
        <v>1</v>
      </c>
      <c r="I228" s="573">
        <v>25</v>
      </c>
      <c r="J228" s="590">
        <v>6</v>
      </c>
      <c r="K228" s="590">
        <v>210</v>
      </c>
      <c r="L228" s="573">
        <v>0.76363636363636367</v>
      </c>
      <c r="M228" s="573">
        <v>35</v>
      </c>
      <c r="N228" s="590"/>
      <c r="O228" s="590"/>
      <c r="P228" s="578"/>
      <c r="Q228" s="591"/>
    </row>
    <row r="229" spans="1:17" ht="14.4" customHeight="1" x14ac:dyDescent="0.3">
      <c r="A229" s="572" t="s">
        <v>1082</v>
      </c>
      <c r="B229" s="573" t="s">
        <v>1107</v>
      </c>
      <c r="C229" s="573" t="s">
        <v>1080</v>
      </c>
      <c r="D229" s="573" t="s">
        <v>1136</v>
      </c>
      <c r="E229" s="573" t="s">
        <v>1137</v>
      </c>
      <c r="F229" s="590">
        <v>10</v>
      </c>
      <c r="G229" s="590">
        <v>1410</v>
      </c>
      <c r="H229" s="573">
        <v>1</v>
      </c>
      <c r="I229" s="573">
        <v>141</v>
      </c>
      <c r="J229" s="590">
        <v>139</v>
      </c>
      <c r="K229" s="590">
        <v>19599</v>
      </c>
      <c r="L229" s="573">
        <v>13.9</v>
      </c>
      <c r="M229" s="573">
        <v>141</v>
      </c>
      <c r="N229" s="590"/>
      <c r="O229" s="590"/>
      <c r="P229" s="578"/>
      <c r="Q229" s="591"/>
    </row>
    <row r="230" spans="1:17" ht="14.4" customHeight="1" x14ac:dyDescent="0.3">
      <c r="A230" s="572" t="s">
        <v>1082</v>
      </c>
      <c r="B230" s="573" t="s">
        <v>1107</v>
      </c>
      <c r="C230" s="573" t="s">
        <v>1080</v>
      </c>
      <c r="D230" s="573" t="s">
        <v>1138</v>
      </c>
      <c r="E230" s="573" t="s">
        <v>1139</v>
      </c>
      <c r="F230" s="590">
        <v>42</v>
      </c>
      <c r="G230" s="590">
        <v>2856</v>
      </c>
      <c r="H230" s="573">
        <v>1</v>
      </c>
      <c r="I230" s="573">
        <v>68</v>
      </c>
      <c r="J230" s="590">
        <v>29</v>
      </c>
      <c r="K230" s="590">
        <v>2001</v>
      </c>
      <c r="L230" s="573">
        <v>0.70063025210084029</v>
      </c>
      <c r="M230" s="573">
        <v>69</v>
      </c>
      <c r="N230" s="590"/>
      <c r="O230" s="590"/>
      <c r="P230" s="578"/>
      <c r="Q230" s="591"/>
    </row>
    <row r="231" spans="1:17" ht="14.4" customHeight="1" x14ac:dyDescent="0.3">
      <c r="A231" s="572" t="s">
        <v>1082</v>
      </c>
      <c r="B231" s="573" t="s">
        <v>1107</v>
      </c>
      <c r="C231" s="573" t="s">
        <v>1080</v>
      </c>
      <c r="D231" s="573" t="s">
        <v>1142</v>
      </c>
      <c r="E231" s="573" t="s">
        <v>1143</v>
      </c>
      <c r="F231" s="590">
        <v>11</v>
      </c>
      <c r="G231" s="590">
        <v>2255</v>
      </c>
      <c r="H231" s="573">
        <v>1</v>
      </c>
      <c r="I231" s="573">
        <v>205</v>
      </c>
      <c r="J231" s="590">
        <v>1</v>
      </c>
      <c r="K231" s="590">
        <v>206</v>
      </c>
      <c r="L231" s="573">
        <v>9.1352549889135257E-2</v>
      </c>
      <c r="M231" s="573">
        <v>206</v>
      </c>
      <c r="N231" s="590"/>
      <c r="O231" s="590"/>
      <c r="P231" s="578"/>
      <c r="Q231" s="591"/>
    </row>
    <row r="232" spans="1:17" ht="14.4" customHeight="1" x14ac:dyDescent="0.3">
      <c r="A232" s="572" t="s">
        <v>1082</v>
      </c>
      <c r="B232" s="573" t="s">
        <v>1107</v>
      </c>
      <c r="C232" s="573" t="s">
        <v>1080</v>
      </c>
      <c r="D232" s="573" t="s">
        <v>1146</v>
      </c>
      <c r="E232" s="573" t="s">
        <v>1147</v>
      </c>
      <c r="F232" s="590">
        <v>2</v>
      </c>
      <c r="G232" s="590">
        <v>28</v>
      </c>
      <c r="H232" s="573">
        <v>1</v>
      </c>
      <c r="I232" s="573">
        <v>14</v>
      </c>
      <c r="J232" s="590"/>
      <c r="K232" s="590"/>
      <c r="L232" s="573"/>
      <c r="M232" s="573"/>
      <c r="N232" s="590"/>
      <c r="O232" s="590"/>
      <c r="P232" s="578"/>
      <c r="Q232" s="591"/>
    </row>
    <row r="233" spans="1:17" ht="14.4" customHeight="1" x14ac:dyDescent="0.3">
      <c r="A233" s="572" t="s">
        <v>1082</v>
      </c>
      <c r="B233" s="573" t="s">
        <v>1107</v>
      </c>
      <c r="C233" s="573" t="s">
        <v>1080</v>
      </c>
      <c r="D233" s="573" t="s">
        <v>1148</v>
      </c>
      <c r="E233" s="573" t="s">
        <v>1149</v>
      </c>
      <c r="F233" s="590">
        <v>3</v>
      </c>
      <c r="G233" s="590">
        <v>171</v>
      </c>
      <c r="H233" s="573">
        <v>1</v>
      </c>
      <c r="I233" s="573">
        <v>57</v>
      </c>
      <c r="J233" s="590">
        <v>1</v>
      </c>
      <c r="K233" s="590">
        <v>56</v>
      </c>
      <c r="L233" s="573">
        <v>0.32748538011695905</v>
      </c>
      <c r="M233" s="573">
        <v>56</v>
      </c>
      <c r="N233" s="590"/>
      <c r="O233" s="590"/>
      <c r="P233" s="578"/>
      <c r="Q233" s="591"/>
    </row>
    <row r="234" spans="1:17" ht="14.4" customHeight="1" x14ac:dyDescent="0.3">
      <c r="A234" s="572" t="s">
        <v>1082</v>
      </c>
      <c r="B234" s="573" t="s">
        <v>1107</v>
      </c>
      <c r="C234" s="573" t="s">
        <v>1080</v>
      </c>
      <c r="D234" s="573" t="s">
        <v>1152</v>
      </c>
      <c r="E234" s="573" t="s">
        <v>1153</v>
      </c>
      <c r="F234" s="590">
        <v>6</v>
      </c>
      <c r="G234" s="590">
        <v>3876</v>
      </c>
      <c r="H234" s="573">
        <v>1</v>
      </c>
      <c r="I234" s="573">
        <v>646</v>
      </c>
      <c r="J234" s="590">
        <v>5</v>
      </c>
      <c r="K234" s="590">
        <v>3225</v>
      </c>
      <c r="L234" s="573">
        <v>0.83204334365325072</v>
      </c>
      <c r="M234" s="573">
        <v>645</v>
      </c>
      <c r="N234" s="590"/>
      <c r="O234" s="590"/>
      <c r="P234" s="578"/>
      <c r="Q234" s="591"/>
    </row>
    <row r="235" spans="1:17" ht="14.4" customHeight="1" x14ac:dyDescent="0.3">
      <c r="A235" s="572" t="s">
        <v>1082</v>
      </c>
      <c r="B235" s="573" t="s">
        <v>1107</v>
      </c>
      <c r="C235" s="573" t="s">
        <v>1080</v>
      </c>
      <c r="D235" s="573" t="s">
        <v>1154</v>
      </c>
      <c r="E235" s="573" t="s">
        <v>1155</v>
      </c>
      <c r="F235" s="590">
        <v>68</v>
      </c>
      <c r="G235" s="590">
        <v>14348</v>
      </c>
      <c r="H235" s="573">
        <v>1</v>
      </c>
      <c r="I235" s="573">
        <v>211</v>
      </c>
      <c r="J235" s="590">
        <v>39</v>
      </c>
      <c r="K235" s="590">
        <v>8268</v>
      </c>
      <c r="L235" s="573">
        <v>0.57624756063562865</v>
      </c>
      <c r="M235" s="573">
        <v>212</v>
      </c>
      <c r="N235" s="590"/>
      <c r="O235" s="590"/>
      <c r="P235" s="578"/>
      <c r="Q235" s="591"/>
    </row>
    <row r="236" spans="1:17" ht="14.4" customHeight="1" x14ac:dyDescent="0.3">
      <c r="A236" s="572" t="s">
        <v>1082</v>
      </c>
      <c r="B236" s="573" t="s">
        <v>1107</v>
      </c>
      <c r="C236" s="573" t="s">
        <v>626</v>
      </c>
      <c r="D236" s="573" t="s">
        <v>1158</v>
      </c>
      <c r="E236" s="573" t="s">
        <v>1073</v>
      </c>
      <c r="F236" s="590">
        <v>127</v>
      </c>
      <c r="G236" s="590">
        <v>54864</v>
      </c>
      <c r="H236" s="573">
        <v>1</v>
      </c>
      <c r="I236" s="573">
        <v>432</v>
      </c>
      <c r="J236" s="590"/>
      <c r="K236" s="590"/>
      <c r="L236" s="573"/>
      <c r="M236" s="573"/>
      <c r="N236" s="590"/>
      <c r="O236" s="590"/>
      <c r="P236" s="578"/>
      <c r="Q236" s="591"/>
    </row>
    <row r="237" spans="1:17" ht="14.4" customHeight="1" x14ac:dyDescent="0.3">
      <c r="A237" s="572" t="s">
        <v>1082</v>
      </c>
      <c r="B237" s="573" t="s">
        <v>1107</v>
      </c>
      <c r="C237" s="573" t="s">
        <v>626</v>
      </c>
      <c r="D237" s="573" t="s">
        <v>1159</v>
      </c>
      <c r="E237" s="573" t="s">
        <v>1073</v>
      </c>
      <c r="F237" s="590">
        <v>15</v>
      </c>
      <c r="G237" s="590">
        <v>2520</v>
      </c>
      <c r="H237" s="573">
        <v>1</v>
      </c>
      <c r="I237" s="573">
        <v>168</v>
      </c>
      <c r="J237" s="590"/>
      <c r="K237" s="590"/>
      <c r="L237" s="573"/>
      <c r="M237" s="573"/>
      <c r="N237" s="590"/>
      <c r="O237" s="590"/>
      <c r="P237" s="578"/>
      <c r="Q237" s="591"/>
    </row>
    <row r="238" spans="1:17" ht="14.4" customHeight="1" x14ac:dyDescent="0.3">
      <c r="A238" s="572" t="s">
        <v>1082</v>
      </c>
      <c r="B238" s="573" t="s">
        <v>1107</v>
      </c>
      <c r="C238" s="573" t="s">
        <v>626</v>
      </c>
      <c r="D238" s="573" t="s">
        <v>1110</v>
      </c>
      <c r="E238" s="573" t="s">
        <v>1111</v>
      </c>
      <c r="F238" s="590">
        <v>53</v>
      </c>
      <c r="G238" s="590">
        <v>8904</v>
      </c>
      <c r="H238" s="573">
        <v>1</v>
      </c>
      <c r="I238" s="573">
        <v>168</v>
      </c>
      <c r="J238" s="590">
        <v>12</v>
      </c>
      <c r="K238" s="590">
        <v>2028</v>
      </c>
      <c r="L238" s="573">
        <v>0.22776280323450135</v>
      </c>
      <c r="M238" s="573">
        <v>169</v>
      </c>
      <c r="N238" s="590">
        <v>1</v>
      </c>
      <c r="O238" s="590">
        <v>169</v>
      </c>
      <c r="P238" s="578">
        <v>1.8980233602875114E-2</v>
      </c>
      <c r="Q238" s="591">
        <v>169</v>
      </c>
    </row>
    <row r="239" spans="1:17" ht="14.4" customHeight="1" x14ac:dyDescent="0.3">
      <c r="A239" s="572" t="s">
        <v>1082</v>
      </c>
      <c r="B239" s="573" t="s">
        <v>1107</v>
      </c>
      <c r="C239" s="573" t="s">
        <v>626</v>
      </c>
      <c r="D239" s="573" t="s">
        <v>1112</v>
      </c>
      <c r="E239" s="573" t="s">
        <v>1113</v>
      </c>
      <c r="F239" s="590">
        <v>5</v>
      </c>
      <c r="G239" s="590">
        <v>310</v>
      </c>
      <c r="H239" s="573">
        <v>1</v>
      </c>
      <c r="I239" s="573">
        <v>62</v>
      </c>
      <c r="J239" s="590">
        <v>19</v>
      </c>
      <c r="K239" s="590">
        <v>2128</v>
      </c>
      <c r="L239" s="573">
        <v>6.8645161290322578</v>
      </c>
      <c r="M239" s="573">
        <v>112</v>
      </c>
      <c r="N239" s="590">
        <v>6</v>
      </c>
      <c r="O239" s="590">
        <v>678</v>
      </c>
      <c r="P239" s="578">
        <v>2.1870967741935483</v>
      </c>
      <c r="Q239" s="591">
        <v>113</v>
      </c>
    </row>
    <row r="240" spans="1:17" ht="14.4" customHeight="1" x14ac:dyDescent="0.3">
      <c r="A240" s="572" t="s">
        <v>1082</v>
      </c>
      <c r="B240" s="573" t="s">
        <v>1107</v>
      </c>
      <c r="C240" s="573" t="s">
        <v>626</v>
      </c>
      <c r="D240" s="573" t="s">
        <v>1108</v>
      </c>
      <c r="E240" s="573" t="s">
        <v>1109</v>
      </c>
      <c r="F240" s="590">
        <v>1526</v>
      </c>
      <c r="G240" s="590">
        <v>51884</v>
      </c>
      <c r="H240" s="573">
        <v>1</v>
      </c>
      <c r="I240" s="573">
        <v>34</v>
      </c>
      <c r="J240" s="590">
        <v>247</v>
      </c>
      <c r="K240" s="590">
        <v>8398</v>
      </c>
      <c r="L240" s="573">
        <v>0.16186107470511141</v>
      </c>
      <c r="M240" s="573">
        <v>34</v>
      </c>
      <c r="N240" s="590">
        <v>422</v>
      </c>
      <c r="O240" s="590">
        <v>14731</v>
      </c>
      <c r="P240" s="578">
        <v>0.28392182561097834</v>
      </c>
      <c r="Q240" s="591">
        <v>34.907582938388629</v>
      </c>
    </row>
    <row r="241" spans="1:17" ht="14.4" customHeight="1" x14ac:dyDescent="0.3">
      <c r="A241" s="572" t="s">
        <v>1082</v>
      </c>
      <c r="B241" s="573" t="s">
        <v>1107</v>
      </c>
      <c r="C241" s="573" t="s">
        <v>626</v>
      </c>
      <c r="D241" s="573" t="s">
        <v>1114</v>
      </c>
      <c r="E241" s="573" t="s">
        <v>1115</v>
      </c>
      <c r="F241" s="590">
        <v>56</v>
      </c>
      <c r="G241" s="590">
        <v>560</v>
      </c>
      <c r="H241" s="573">
        <v>1</v>
      </c>
      <c r="I241" s="573">
        <v>10</v>
      </c>
      <c r="J241" s="590">
        <v>96</v>
      </c>
      <c r="K241" s="590">
        <v>960</v>
      </c>
      <c r="L241" s="573">
        <v>1.7142857142857142</v>
      </c>
      <c r="M241" s="573">
        <v>10</v>
      </c>
      <c r="N241" s="590">
        <v>111</v>
      </c>
      <c r="O241" s="590">
        <v>1110</v>
      </c>
      <c r="P241" s="578">
        <v>1.9821428571428572</v>
      </c>
      <c r="Q241" s="591">
        <v>10</v>
      </c>
    </row>
    <row r="242" spans="1:17" ht="14.4" customHeight="1" x14ac:dyDescent="0.3">
      <c r="A242" s="572" t="s">
        <v>1082</v>
      </c>
      <c r="B242" s="573" t="s">
        <v>1107</v>
      </c>
      <c r="C242" s="573" t="s">
        <v>626</v>
      </c>
      <c r="D242" s="573" t="s">
        <v>1116</v>
      </c>
      <c r="E242" s="573" t="s">
        <v>1117</v>
      </c>
      <c r="F242" s="590">
        <v>4</v>
      </c>
      <c r="G242" s="590">
        <v>20</v>
      </c>
      <c r="H242" s="573">
        <v>1</v>
      </c>
      <c r="I242" s="573">
        <v>5</v>
      </c>
      <c r="J242" s="590">
        <v>14</v>
      </c>
      <c r="K242" s="590">
        <v>70</v>
      </c>
      <c r="L242" s="573">
        <v>3.5</v>
      </c>
      <c r="M242" s="573">
        <v>5</v>
      </c>
      <c r="N242" s="590">
        <v>6</v>
      </c>
      <c r="O242" s="590">
        <v>30</v>
      </c>
      <c r="P242" s="578">
        <v>1.5</v>
      </c>
      <c r="Q242" s="591">
        <v>5</v>
      </c>
    </row>
    <row r="243" spans="1:17" ht="14.4" customHeight="1" x14ac:dyDescent="0.3">
      <c r="A243" s="572" t="s">
        <v>1082</v>
      </c>
      <c r="B243" s="573" t="s">
        <v>1107</v>
      </c>
      <c r="C243" s="573" t="s">
        <v>626</v>
      </c>
      <c r="D243" s="573" t="s">
        <v>1118</v>
      </c>
      <c r="E243" s="573" t="s">
        <v>1119</v>
      </c>
      <c r="F243" s="590">
        <v>4</v>
      </c>
      <c r="G243" s="590">
        <v>20</v>
      </c>
      <c r="H243" s="573">
        <v>1</v>
      </c>
      <c r="I243" s="573">
        <v>5</v>
      </c>
      <c r="J243" s="590">
        <v>3</v>
      </c>
      <c r="K243" s="590">
        <v>15</v>
      </c>
      <c r="L243" s="573">
        <v>0.75</v>
      </c>
      <c r="M243" s="573">
        <v>5</v>
      </c>
      <c r="N243" s="590">
        <v>7</v>
      </c>
      <c r="O243" s="590">
        <v>35</v>
      </c>
      <c r="P243" s="578">
        <v>1.75</v>
      </c>
      <c r="Q243" s="591">
        <v>5</v>
      </c>
    </row>
    <row r="244" spans="1:17" ht="14.4" customHeight="1" x14ac:dyDescent="0.3">
      <c r="A244" s="572" t="s">
        <v>1082</v>
      </c>
      <c r="B244" s="573" t="s">
        <v>1107</v>
      </c>
      <c r="C244" s="573" t="s">
        <v>626</v>
      </c>
      <c r="D244" s="573" t="s">
        <v>1120</v>
      </c>
      <c r="E244" s="573" t="s">
        <v>1121</v>
      </c>
      <c r="F244" s="590">
        <v>8</v>
      </c>
      <c r="G244" s="590">
        <v>544</v>
      </c>
      <c r="H244" s="573">
        <v>1</v>
      </c>
      <c r="I244" s="573">
        <v>68</v>
      </c>
      <c r="J244" s="590">
        <v>68</v>
      </c>
      <c r="K244" s="590">
        <v>4692</v>
      </c>
      <c r="L244" s="573">
        <v>8.625</v>
      </c>
      <c r="M244" s="573">
        <v>69</v>
      </c>
      <c r="N244" s="590">
        <v>69</v>
      </c>
      <c r="O244" s="590">
        <v>4813</v>
      </c>
      <c r="P244" s="578">
        <v>8.8474264705882355</v>
      </c>
      <c r="Q244" s="591">
        <v>69.753623188405797</v>
      </c>
    </row>
    <row r="245" spans="1:17" ht="14.4" customHeight="1" x14ac:dyDescent="0.3">
      <c r="A245" s="572" t="s">
        <v>1082</v>
      </c>
      <c r="B245" s="573" t="s">
        <v>1107</v>
      </c>
      <c r="C245" s="573" t="s">
        <v>626</v>
      </c>
      <c r="D245" s="573" t="s">
        <v>1122</v>
      </c>
      <c r="E245" s="573" t="s">
        <v>1123</v>
      </c>
      <c r="F245" s="590"/>
      <c r="G245" s="590"/>
      <c r="H245" s="573"/>
      <c r="I245" s="573"/>
      <c r="J245" s="590">
        <v>15</v>
      </c>
      <c r="K245" s="590">
        <v>1755</v>
      </c>
      <c r="L245" s="573"/>
      <c r="M245" s="573">
        <v>117</v>
      </c>
      <c r="N245" s="590">
        <v>12</v>
      </c>
      <c r="O245" s="590">
        <v>1406</v>
      </c>
      <c r="P245" s="578"/>
      <c r="Q245" s="591">
        <v>117.16666666666667</v>
      </c>
    </row>
    <row r="246" spans="1:17" ht="14.4" customHeight="1" x14ac:dyDescent="0.3">
      <c r="A246" s="572" t="s">
        <v>1082</v>
      </c>
      <c r="B246" s="573" t="s">
        <v>1107</v>
      </c>
      <c r="C246" s="573" t="s">
        <v>626</v>
      </c>
      <c r="D246" s="573" t="s">
        <v>1156</v>
      </c>
      <c r="E246" s="573" t="s">
        <v>1157</v>
      </c>
      <c r="F246" s="590">
        <v>1050</v>
      </c>
      <c r="G246" s="590">
        <v>121800</v>
      </c>
      <c r="H246" s="573">
        <v>1</v>
      </c>
      <c r="I246" s="573">
        <v>116</v>
      </c>
      <c r="J246" s="590">
        <v>20</v>
      </c>
      <c r="K246" s="590">
        <v>2340</v>
      </c>
      <c r="L246" s="573">
        <v>1.9211822660098521E-2</v>
      </c>
      <c r="M246" s="573">
        <v>117</v>
      </c>
      <c r="N246" s="590">
        <v>2</v>
      </c>
      <c r="O246" s="590">
        <v>234</v>
      </c>
      <c r="P246" s="578">
        <v>1.9211822660098522E-3</v>
      </c>
      <c r="Q246" s="591">
        <v>117</v>
      </c>
    </row>
    <row r="247" spans="1:17" ht="14.4" customHeight="1" x14ac:dyDescent="0.3">
      <c r="A247" s="572" t="s">
        <v>1082</v>
      </c>
      <c r="B247" s="573" t="s">
        <v>1107</v>
      </c>
      <c r="C247" s="573" t="s">
        <v>626</v>
      </c>
      <c r="D247" s="573" t="s">
        <v>1124</v>
      </c>
      <c r="E247" s="573" t="s">
        <v>1125</v>
      </c>
      <c r="F247" s="590">
        <v>8</v>
      </c>
      <c r="G247" s="590">
        <v>1312</v>
      </c>
      <c r="H247" s="573">
        <v>1</v>
      </c>
      <c r="I247" s="573">
        <v>164</v>
      </c>
      <c r="J247" s="590">
        <v>11</v>
      </c>
      <c r="K247" s="590">
        <v>1793</v>
      </c>
      <c r="L247" s="573">
        <v>1.3666158536585367</v>
      </c>
      <c r="M247" s="573">
        <v>163</v>
      </c>
      <c r="N247" s="590">
        <v>38</v>
      </c>
      <c r="O247" s="590">
        <v>6232</v>
      </c>
      <c r="P247" s="578">
        <v>4.75</v>
      </c>
      <c r="Q247" s="591">
        <v>164</v>
      </c>
    </row>
    <row r="248" spans="1:17" ht="14.4" customHeight="1" x14ac:dyDescent="0.3">
      <c r="A248" s="572" t="s">
        <v>1082</v>
      </c>
      <c r="B248" s="573" t="s">
        <v>1107</v>
      </c>
      <c r="C248" s="573" t="s">
        <v>626</v>
      </c>
      <c r="D248" s="573" t="s">
        <v>1126</v>
      </c>
      <c r="E248" s="573" t="s">
        <v>1127</v>
      </c>
      <c r="F248" s="590">
        <v>2</v>
      </c>
      <c r="G248" s="590">
        <v>0</v>
      </c>
      <c r="H248" s="573"/>
      <c r="I248" s="573">
        <v>0</v>
      </c>
      <c r="J248" s="590"/>
      <c r="K248" s="590"/>
      <c r="L248" s="573"/>
      <c r="M248" s="573"/>
      <c r="N248" s="590"/>
      <c r="O248" s="590"/>
      <c r="P248" s="578"/>
      <c r="Q248" s="591"/>
    </row>
    <row r="249" spans="1:17" ht="14.4" customHeight="1" x14ac:dyDescent="0.3">
      <c r="A249" s="572" t="s">
        <v>1082</v>
      </c>
      <c r="B249" s="573" t="s">
        <v>1107</v>
      </c>
      <c r="C249" s="573" t="s">
        <v>626</v>
      </c>
      <c r="D249" s="573" t="s">
        <v>1128</v>
      </c>
      <c r="E249" s="573" t="s">
        <v>1129</v>
      </c>
      <c r="F249" s="590">
        <v>280</v>
      </c>
      <c r="G249" s="590">
        <v>46760</v>
      </c>
      <c r="H249" s="573">
        <v>1</v>
      </c>
      <c r="I249" s="573">
        <v>167</v>
      </c>
      <c r="J249" s="590">
        <v>187</v>
      </c>
      <c r="K249" s="590">
        <v>31416</v>
      </c>
      <c r="L249" s="573">
        <v>0.67185628742514969</v>
      </c>
      <c r="M249" s="573">
        <v>168</v>
      </c>
      <c r="N249" s="590">
        <v>16</v>
      </c>
      <c r="O249" s="590">
        <v>2690</v>
      </c>
      <c r="P249" s="578">
        <v>5.7527801539777587E-2</v>
      </c>
      <c r="Q249" s="591">
        <v>168.125</v>
      </c>
    </row>
    <row r="250" spans="1:17" ht="14.4" customHeight="1" x14ac:dyDescent="0.3">
      <c r="A250" s="572" t="s">
        <v>1082</v>
      </c>
      <c r="B250" s="573" t="s">
        <v>1107</v>
      </c>
      <c r="C250" s="573" t="s">
        <v>626</v>
      </c>
      <c r="D250" s="573" t="s">
        <v>1130</v>
      </c>
      <c r="E250" s="573" t="s">
        <v>1131</v>
      </c>
      <c r="F250" s="590"/>
      <c r="G250" s="590"/>
      <c r="H250" s="573"/>
      <c r="I250" s="573"/>
      <c r="J250" s="590">
        <v>24</v>
      </c>
      <c r="K250" s="590">
        <v>0</v>
      </c>
      <c r="L250" s="573"/>
      <c r="M250" s="573">
        <v>0</v>
      </c>
      <c r="N250" s="590">
        <v>56</v>
      </c>
      <c r="O250" s="590">
        <v>0</v>
      </c>
      <c r="P250" s="578"/>
      <c r="Q250" s="591">
        <v>0</v>
      </c>
    </row>
    <row r="251" spans="1:17" ht="14.4" customHeight="1" x14ac:dyDescent="0.3">
      <c r="A251" s="572" t="s">
        <v>1082</v>
      </c>
      <c r="B251" s="573" t="s">
        <v>1107</v>
      </c>
      <c r="C251" s="573" t="s">
        <v>626</v>
      </c>
      <c r="D251" s="573" t="s">
        <v>1132</v>
      </c>
      <c r="E251" s="573" t="s">
        <v>1133</v>
      </c>
      <c r="F251" s="590">
        <v>113</v>
      </c>
      <c r="G251" s="590">
        <v>2825</v>
      </c>
      <c r="H251" s="573">
        <v>1</v>
      </c>
      <c r="I251" s="573">
        <v>25</v>
      </c>
      <c r="J251" s="590">
        <v>86</v>
      </c>
      <c r="K251" s="590">
        <v>3010</v>
      </c>
      <c r="L251" s="573">
        <v>1.0654867256637168</v>
      </c>
      <c r="M251" s="573">
        <v>35</v>
      </c>
      <c r="N251" s="590">
        <v>5</v>
      </c>
      <c r="O251" s="590">
        <v>178</v>
      </c>
      <c r="P251" s="578">
        <v>6.3008849557522117E-2</v>
      </c>
      <c r="Q251" s="591">
        <v>35.6</v>
      </c>
    </row>
    <row r="252" spans="1:17" ht="14.4" customHeight="1" x14ac:dyDescent="0.3">
      <c r="A252" s="572" t="s">
        <v>1082</v>
      </c>
      <c r="B252" s="573" t="s">
        <v>1107</v>
      </c>
      <c r="C252" s="573" t="s">
        <v>626</v>
      </c>
      <c r="D252" s="573" t="s">
        <v>1160</v>
      </c>
      <c r="E252" s="573" t="s">
        <v>1161</v>
      </c>
      <c r="F252" s="590">
        <v>2</v>
      </c>
      <c r="G252" s="590">
        <v>38</v>
      </c>
      <c r="H252" s="573">
        <v>1</v>
      </c>
      <c r="I252" s="573">
        <v>19</v>
      </c>
      <c r="J252" s="590"/>
      <c r="K252" s="590"/>
      <c r="L252" s="573"/>
      <c r="M252" s="573"/>
      <c r="N252" s="590"/>
      <c r="O252" s="590"/>
      <c r="P252" s="578"/>
      <c r="Q252" s="591"/>
    </row>
    <row r="253" spans="1:17" ht="14.4" customHeight="1" x14ac:dyDescent="0.3">
      <c r="A253" s="572" t="s">
        <v>1082</v>
      </c>
      <c r="B253" s="573" t="s">
        <v>1107</v>
      </c>
      <c r="C253" s="573" t="s">
        <v>626</v>
      </c>
      <c r="D253" s="573" t="s">
        <v>1136</v>
      </c>
      <c r="E253" s="573" t="s">
        <v>1137</v>
      </c>
      <c r="F253" s="590">
        <v>1290</v>
      </c>
      <c r="G253" s="590">
        <v>181890</v>
      </c>
      <c r="H253" s="573">
        <v>1</v>
      </c>
      <c r="I253" s="573">
        <v>141</v>
      </c>
      <c r="J253" s="590">
        <v>119</v>
      </c>
      <c r="K253" s="590">
        <v>16779</v>
      </c>
      <c r="L253" s="573">
        <v>9.2248062015503882E-2</v>
      </c>
      <c r="M253" s="573">
        <v>141</v>
      </c>
      <c r="N253" s="590">
        <v>364</v>
      </c>
      <c r="O253" s="590">
        <v>46618</v>
      </c>
      <c r="P253" s="578">
        <v>0.25629776238385837</v>
      </c>
      <c r="Q253" s="591">
        <v>128.07142857142858</v>
      </c>
    </row>
    <row r="254" spans="1:17" ht="14.4" customHeight="1" x14ac:dyDescent="0.3">
      <c r="A254" s="572" t="s">
        <v>1082</v>
      </c>
      <c r="B254" s="573" t="s">
        <v>1107</v>
      </c>
      <c r="C254" s="573" t="s">
        <v>626</v>
      </c>
      <c r="D254" s="573" t="s">
        <v>1138</v>
      </c>
      <c r="E254" s="573" t="s">
        <v>1139</v>
      </c>
      <c r="F254" s="590">
        <v>242</v>
      </c>
      <c r="G254" s="590">
        <v>16456</v>
      </c>
      <c r="H254" s="573">
        <v>1</v>
      </c>
      <c r="I254" s="573">
        <v>68</v>
      </c>
      <c r="J254" s="590">
        <v>111</v>
      </c>
      <c r="K254" s="590">
        <v>7659</v>
      </c>
      <c r="L254" s="573">
        <v>0.46542294603791928</v>
      </c>
      <c r="M254" s="573">
        <v>69</v>
      </c>
      <c r="N254" s="590">
        <v>77</v>
      </c>
      <c r="O254" s="590">
        <v>5367</v>
      </c>
      <c r="P254" s="578">
        <v>0.32614244044725327</v>
      </c>
      <c r="Q254" s="591">
        <v>69.701298701298697</v>
      </c>
    </row>
    <row r="255" spans="1:17" ht="14.4" customHeight="1" x14ac:dyDescent="0.3">
      <c r="A255" s="572" t="s">
        <v>1082</v>
      </c>
      <c r="B255" s="573" t="s">
        <v>1107</v>
      </c>
      <c r="C255" s="573" t="s">
        <v>626</v>
      </c>
      <c r="D255" s="573" t="s">
        <v>1140</v>
      </c>
      <c r="E255" s="573" t="s">
        <v>1141</v>
      </c>
      <c r="F255" s="590">
        <v>178</v>
      </c>
      <c r="G255" s="590">
        <v>58740</v>
      </c>
      <c r="H255" s="573">
        <v>1</v>
      </c>
      <c r="I255" s="573">
        <v>330</v>
      </c>
      <c r="J255" s="590">
        <v>101</v>
      </c>
      <c r="K255" s="590">
        <v>33027</v>
      </c>
      <c r="L255" s="573">
        <v>0.56225740551583248</v>
      </c>
      <c r="M255" s="573">
        <v>327</v>
      </c>
      <c r="N255" s="590">
        <v>115</v>
      </c>
      <c r="O255" s="590">
        <v>37863</v>
      </c>
      <c r="P255" s="578">
        <v>0.64458631256384069</v>
      </c>
      <c r="Q255" s="591">
        <v>329.24347826086955</v>
      </c>
    </row>
    <row r="256" spans="1:17" ht="14.4" customHeight="1" x14ac:dyDescent="0.3">
      <c r="A256" s="572" t="s">
        <v>1082</v>
      </c>
      <c r="B256" s="573" t="s">
        <v>1107</v>
      </c>
      <c r="C256" s="573" t="s">
        <v>626</v>
      </c>
      <c r="D256" s="573" t="s">
        <v>1142</v>
      </c>
      <c r="E256" s="573" t="s">
        <v>1143</v>
      </c>
      <c r="F256" s="590">
        <v>3</v>
      </c>
      <c r="G256" s="590">
        <v>615</v>
      </c>
      <c r="H256" s="573">
        <v>1</v>
      </c>
      <c r="I256" s="573">
        <v>205</v>
      </c>
      <c r="J256" s="590">
        <v>91</v>
      </c>
      <c r="K256" s="590">
        <v>18746</v>
      </c>
      <c r="L256" s="573">
        <v>30.481300813008129</v>
      </c>
      <c r="M256" s="573">
        <v>206</v>
      </c>
      <c r="N256" s="590">
        <v>174</v>
      </c>
      <c r="O256" s="590">
        <v>36225</v>
      </c>
      <c r="P256" s="578">
        <v>58.902439024390247</v>
      </c>
      <c r="Q256" s="591">
        <v>208.18965517241378</v>
      </c>
    </row>
    <row r="257" spans="1:17" ht="14.4" customHeight="1" x14ac:dyDescent="0.3">
      <c r="A257" s="572" t="s">
        <v>1082</v>
      </c>
      <c r="B257" s="573" t="s">
        <v>1107</v>
      </c>
      <c r="C257" s="573" t="s">
        <v>626</v>
      </c>
      <c r="D257" s="573" t="s">
        <v>1144</v>
      </c>
      <c r="E257" s="573" t="s">
        <v>1145</v>
      </c>
      <c r="F257" s="590">
        <v>560</v>
      </c>
      <c r="G257" s="590">
        <v>42560</v>
      </c>
      <c r="H257" s="573">
        <v>1</v>
      </c>
      <c r="I257" s="573">
        <v>76</v>
      </c>
      <c r="J257" s="590">
        <v>264</v>
      </c>
      <c r="K257" s="590">
        <v>20064</v>
      </c>
      <c r="L257" s="573">
        <v>0.47142857142857142</v>
      </c>
      <c r="M257" s="573">
        <v>76</v>
      </c>
      <c r="N257" s="590">
        <v>28</v>
      </c>
      <c r="O257" s="590">
        <v>2137</v>
      </c>
      <c r="P257" s="578">
        <v>5.0211466165413533E-2</v>
      </c>
      <c r="Q257" s="591">
        <v>76.321428571428569</v>
      </c>
    </row>
    <row r="258" spans="1:17" ht="14.4" customHeight="1" x14ac:dyDescent="0.3">
      <c r="A258" s="572" t="s">
        <v>1082</v>
      </c>
      <c r="B258" s="573" t="s">
        <v>1107</v>
      </c>
      <c r="C258" s="573" t="s">
        <v>626</v>
      </c>
      <c r="D258" s="573" t="s">
        <v>1146</v>
      </c>
      <c r="E258" s="573" t="s">
        <v>1147</v>
      </c>
      <c r="F258" s="590">
        <v>3</v>
      </c>
      <c r="G258" s="590">
        <v>42</v>
      </c>
      <c r="H258" s="573">
        <v>1</v>
      </c>
      <c r="I258" s="573">
        <v>14</v>
      </c>
      <c r="J258" s="590">
        <v>6</v>
      </c>
      <c r="K258" s="590">
        <v>156</v>
      </c>
      <c r="L258" s="573">
        <v>3.7142857142857144</v>
      </c>
      <c r="M258" s="573">
        <v>26</v>
      </c>
      <c r="N258" s="590"/>
      <c r="O258" s="590"/>
      <c r="P258" s="578"/>
      <c r="Q258" s="591"/>
    </row>
    <row r="259" spans="1:17" ht="14.4" customHeight="1" x14ac:dyDescent="0.3">
      <c r="A259" s="572" t="s">
        <v>1082</v>
      </c>
      <c r="B259" s="573" t="s">
        <v>1107</v>
      </c>
      <c r="C259" s="573" t="s">
        <v>626</v>
      </c>
      <c r="D259" s="573" t="s">
        <v>1148</v>
      </c>
      <c r="E259" s="573" t="s">
        <v>1149</v>
      </c>
      <c r="F259" s="590">
        <v>85</v>
      </c>
      <c r="G259" s="590">
        <v>4845</v>
      </c>
      <c r="H259" s="573">
        <v>1</v>
      </c>
      <c r="I259" s="573">
        <v>57</v>
      </c>
      <c r="J259" s="590">
        <v>60</v>
      </c>
      <c r="K259" s="590">
        <v>3360</v>
      </c>
      <c r="L259" s="573">
        <v>0.69349845201238391</v>
      </c>
      <c r="M259" s="573">
        <v>56</v>
      </c>
      <c r="N259" s="590"/>
      <c r="O259" s="590"/>
      <c r="P259" s="578"/>
      <c r="Q259" s="591"/>
    </row>
    <row r="260" spans="1:17" ht="14.4" customHeight="1" x14ac:dyDescent="0.3">
      <c r="A260" s="572" t="s">
        <v>1082</v>
      </c>
      <c r="B260" s="573" t="s">
        <v>1107</v>
      </c>
      <c r="C260" s="573" t="s">
        <v>626</v>
      </c>
      <c r="D260" s="573" t="s">
        <v>1150</v>
      </c>
      <c r="E260" s="573" t="s">
        <v>1151</v>
      </c>
      <c r="F260" s="590">
        <v>562</v>
      </c>
      <c r="G260" s="590">
        <v>134318</v>
      </c>
      <c r="H260" s="573">
        <v>1</v>
      </c>
      <c r="I260" s="573">
        <v>239</v>
      </c>
      <c r="J260" s="590">
        <v>120</v>
      </c>
      <c r="K260" s="590">
        <v>28800</v>
      </c>
      <c r="L260" s="573">
        <v>0.21441653389716941</v>
      </c>
      <c r="M260" s="573">
        <v>240</v>
      </c>
      <c r="N260" s="590">
        <v>4</v>
      </c>
      <c r="O260" s="590">
        <v>964</v>
      </c>
      <c r="P260" s="578">
        <v>7.1769978707246981E-3</v>
      </c>
      <c r="Q260" s="591">
        <v>241</v>
      </c>
    </row>
    <row r="261" spans="1:17" ht="14.4" customHeight="1" x14ac:dyDescent="0.3">
      <c r="A261" s="572" t="s">
        <v>1082</v>
      </c>
      <c r="B261" s="573" t="s">
        <v>1107</v>
      </c>
      <c r="C261" s="573" t="s">
        <v>626</v>
      </c>
      <c r="D261" s="573" t="s">
        <v>1152</v>
      </c>
      <c r="E261" s="573" t="s">
        <v>1153</v>
      </c>
      <c r="F261" s="590">
        <v>117</v>
      </c>
      <c r="G261" s="590">
        <v>75582</v>
      </c>
      <c r="H261" s="573">
        <v>1</v>
      </c>
      <c r="I261" s="573">
        <v>646</v>
      </c>
      <c r="J261" s="590">
        <v>78</v>
      </c>
      <c r="K261" s="590">
        <v>50310</v>
      </c>
      <c r="L261" s="573">
        <v>0.66563467492260064</v>
      </c>
      <c r="M261" s="573">
        <v>645</v>
      </c>
      <c r="N261" s="590">
        <v>57</v>
      </c>
      <c r="O261" s="590">
        <v>36969</v>
      </c>
      <c r="P261" s="578">
        <v>0.48912439469715013</v>
      </c>
      <c r="Q261" s="591">
        <v>648.57894736842104</v>
      </c>
    </row>
    <row r="262" spans="1:17" ht="14.4" customHeight="1" x14ac:dyDescent="0.3">
      <c r="A262" s="572" t="s">
        <v>1082</v>
      </c>
      <c r="B262" s="573" t="s">
        <v>1107</v>
      </c>
      <c r="C262" s="573" t="s">
        <v>626</v>
      </c>
      <c r="D262" s="573" t="s">
        <v>1154</v>
      </c>
      <c r="E262" s="573" t="s">
        <v>1155</v>
      </c>
      <c r="F262" s="590">
        <v>291</v>
      </c>
      <c r="G262" s="590">
        <v>61401</v>
      </c>
      <c r="H262" s="573">
        <v>1</v>
      </c>
      <c r="I262" s="573">
        <v>211</v>
      </c>
      <c r="J262" s="590">
        <v>209</v>
      </c>
      <c r="K262" s="590">
        <v>44308</v>
      </c>
      <c r="L262" s="573">
        <v>0.72161691177668119</v>
      </c>
      <c r="M262" s="573">
        <v>212</v>
      </c>
      <c r="N262" s="590">
        <v>199</v>
      </c>
      <c r="O262" s="590">
        <v>42458</v>
      </c>
      <c r="P262" s="578">
        <v>0.69148710933046698</v>
      </c>
      <c r="Q262" s="591">
        <v>213.356783919598</v>
      </c>
    </row>
    <row r="263" spans="1:17" ht="14.4" customHeight="1" x14ac:dyDescent="0.3">
      <c r="A263" s="572" t="s">
        <v>1082</v>
      </c>
      <c r="B263" s="573" t="s">
        <v>1107</v>
      </c>
      <c r="C263" s="573" t="s">
        <v>626</v>
      </c>
      <c r="D263" s="573" t="s">
        <v>1162</v>
      </c>
      <c r="E263" s="573" t="s">
        <v>1073</v>
      </c>
      <c r="F263" s="590">
        <v>10</v>
      </c>
      <c r="G263" s="590">
        <v>1670</v>
      </c>
      <c r="H263" s="573">
        <v>1</v>
      </c>
      <c r="I263" s="573">
        <v>167</v>
      </c>
      <c r="J263" s="590"/>
      <c r="K263" s="590"/>
      <c r="L263" s="573"/>
      <c r="M263" s="573"/>
      <c r="N263" s="590"/>
      <c r="O263" s="590"/>
      <c r="P263" s="578"/>
      <c r="Q263" s="591"/>
    </row>
    <row r="264" spans="1:17" ht="14.4" customHeight="1" x14ac:dyDescent="0.3">
      <c r="A264" s="572" t="s">
        <v>1164</v>
      </c>
      <c r="B264" s="573" t="s">
        <v>1107</v>
      </c>
      <c r="C264" s="573" t="s">
        <v>1078</v>
      </c>
      <c r="D264" s="573" t="s">
        <v>1156</v>
      </c>
      <c r="E264" s="573" t="s">
        <v>1157</v>
      </c>
      <c r="F264" s="590"/>
      <c r="G264" s="590"/>
      <c r="H264" s="573"/>
      <c r="I264" s="573"/>
      <c r="J264" s="590">
        <v>2</v>
      </c>
      <c r="K264" s="590">
        <v>234</v>
      </c>
      <c r="L264" s="573"/>
      <c r="M264" s="573">
        <v>117</v>
      </c>
      <c r="N264" s="590"/>
      <c r="O264" s="590"/>
      <c r="P264" s="578"/>
      <c r="Q264" s="591"/>
    </row>
    <row r="265" spans="1:17" ht="14.4" customHeight="1" x14ac:dyDescent="0.3">
      <c r="A265" s="572" t="s">
        <v>1164</v>
      </c>
      <c r="B265" s="573" t="s">
        <v>1107</v>
      </c>
      <c r="C265" s="573" t="s">
        <v>621</v>
      </c>
      <c r="D265" s="573" t="s">
        <v>1108</v>
      </c>
      <c r="E265" s="573" t="s">
        <v>1109</v>
      </c>
      <c r="F265" s="590"/>
      <c r="G265" s="590"/>
      <c r="H265" s="573"/>
      <c r="I265" s="573"/>
      <c r="J265" s="590"/>
      <c r="K265" s="590"/>
      <c r="L265" s="573"/>
      <c r="M265" s="573"/>
      <c r="N265" s="590">
        <v>6</v>
      </c>
      <c r="O265" s="590">
        <v>210</v>
      </c>
      <c r="P265" s="578"/>
      <c r="Q265" s="591">
        <v>35</v>
      </c>
    </row>
    <row r="266" spans="1:17" ht="14.4" customHeight="1" x14ac:dyDescent="0.3">
      <c r="A266" s="572" t="s">
        <v>1164</v>
      </c>
      <c r="B266" s="573" t="s">
        <v>1107</v>
      </c>
      <c r="C266" s="573" t="s">
        <v>621</v>
      </c>
      <c r="D266" s="573" t="s">
        <v>1156</v>
      </c>
      <c r="E266" s="573" t="s">
        <v>1157</v>
      </c>
      <c r="F266" s="590"/>
      <c r="G266" s="590"/>
      <c r="H266" s="573"/>
      <c r="I266" s="573"/>
      <c r="J266" s="590">
        <v>243</v>
      </c>
      <c r="K266" s="590">
        <v>28431</v>
      </c>
      <c r="L266" s="573"/>
      <c r="M266" s="573">
        <v>117</v>
      </c>
      <c r="N266" s="590">
        <v>632</v>
      </c>
      <c r="O266" s="590">
        <v>74331</v>
      </c>
      <c r="P266" s="578"/>
      <c r="Q266" s="591">
        <v>117.61234177215189</v>
      </c>
    </row>
    <row r="267" spans="1:17" ht="14.4" customHeight="1" x14ac:dyDescent="0.3">
      <c r="A267" s="572" t="s">
        <v>1164</v>
      </c>
      <c r="B267" s="573" t="s">
        <v>1107</v>
      </c>
      <c r="C267" s="573" t="s">
        <v>621</v>
      </c>
      <c r="D267" s="573" t="s">
        <v>1136</v>
      </c>
      <c r="E267" s="573" t="s">
        <v>1137</v>
      </c>
      <c r="F267" s="590"/>
      <c r="G267" s="590"/>
      <c r="H267" s="573"/>
      <c r="I267" s="573"/>
      <c r="J267" s="590"/>
      <c r="K267" s="590"/>
      <c r="L267" s="573"/>
      <c r="M267" s="573"/>
      <c r="N267" s="590">
        <v>6</v>
      </c>
      <c r="O267" s="590">
        <v>768</v>
      </c>
      <c r="P267" s="578"/>
      <c r="Q267" s="591">
        <v>128</v>
      </c>
    </row>
    <row r="268" spans="1:17" ht="14.4" customHeight="1" x14ac:dyDescent="0.3">
      <c r="A268" s="572" t="s">
        <v>1164</v>
      </c>
      <c r="B268" s="573" t="s">
        <v>1107</v>
      </c>
      <c r="C268" s="573" t="s">
        <v>621</v>
      </c>
      <c r="D268" s="573" t="s">
        <v>1144</v>
      </c>
      <c r="E268" s="573" t="s">
        <v>1145</v>
      </c>
      <c r="F268" s="590"/>
      <c r="G268" s="590"/>
      <c r="H268" s="573"/>
      <c r="I268" s="573"/>
      <c r="J268" s="590">
        <v>0</v>
      </c>
      <c r="K268" s="590">
        <v>0</v>
      </c>
      <c r="L268" s="573"/>
      <c r="M268" s="573"/>
      <c r="N268" s="590"/>
      <c r="O268" s="590"/>
      <c r="P268" s="578"/>
      <c r="Q268" s="591"/>
    </row>
    <row r="269" spans="1:17" ht="14.4" customHeight="1" x14ac:dyDescent="0.3">
      <c r="A269" s="572" t="s">
        <v>1164</v>
      </c>
      <c r="B269" s="573" t="s">
        <v>1107</v>
      </c>
      <c r="C269" s="573" t="s">
        <v>621</v>
      </c>
      <c r="D269" s="573" t="s">
        <v>1150</v>
      </c>
      <c r="E269" s="573" t="s">
        <v>1151</v>
      </c>
      <c r="F269" s="590"/>
      <c r="G269" s="590"/>
      <c r="H269" s="573"/>
      <c r="I269" s="573"/>
      <c r="J269" s="590">
        <v>0</v>
      </c>
      <c r="K269" s="590">
        <v>0</v>
      </c>
      <c r="L269" s="573"/>
      <c r="M269" s="573"/>
      <c r="N269" s="590"/>
      <c r="O269" s="590"/>
      <c r="P269" s="578"/>
      <c r="Q269" s="591"/>
    </row>
    <row r="270" spans="1:17" ht="14.4" customHeight="1" x14ac:dyDescent="0.3">
      <c r="A270" s="572" t="s">
        <v>1164</v>
      </c>
      <c r="B270" s="573" t="s">
        <v>1107</v>
      </c>
      <c r="C270" s="573" t="s">
        <v>623</v>
      </c>
      <c r="D270" s="573" t="s">
        <v>1116</v>
      </c>
      <c r="E270" s="573" t="s">
        <v>1117</v>
      </c>
      <c r="F270" s="590"/>
      <c r="G270" s="590"/>
      <c r="H270" s="573"/>
      <c r="I270" s="573"/>
      <c r="J270" s="590"/>
      <c r="K270" s="590"/>
      <c r="L270" s="573"/>
      <c r="M270" s="573"/>
      <c r="N270" s="590">
        <v>1</v>
      </c>
      <c r="O270" s="590">
        <v>5</v>
      </c>
      <c r="P270" s="578"/>
      <c r="Q270" s="591">
        <v>5</v>
      </c>
    </row>
    <row r="271" spans="1:17" ht="14.4" customHeight="1" x14ac:dyDescent="0.3">
      <c r="A271" s="572" t="s">
        <v>1164</v>
      </c>
      <c r="B271" s="573" t="s">
        <v>1107</v>
      </c>
      <c r="C271" s="573" t="s">
        <v>623</v>
      </c>
      <c r="D271" s="573" t="s">
        <v>1156</v>
      </c>
      <c r="E271" s="573" t="s">
        <v>1157</v>
      </c>
      <c r="F271" s="590"/>
      <c r="G271" s="590"/>
      <c r="H271" s="573"/>
      <c r="I271" s="573"/>
      <c r="J271" s="590">
        <v>20</v>
      </c>
      <c r="K271" s="590">
        <v>2340</v>
      </c>
      <c r="L271" s="573"/>
      <c r="M271" s="573">
        <v>117</v>
      </c>
      <c r="N271" s="590">
        <v>43</v>
      </c>
      <c r="O271" s="590">
        <v>5057</v>
      </c>
      <c r="P271" s="578"/>
      <c r="Q271" s="591">
        <v>117.6046511627907</v>
      </c>
    </row>
    <row r="272" spans="1:17" ht="14.4" customHeight="1" x14ac:dyDescent="0.3">
      <c r="A272" s="572" t="s">
        <v>1164</v>
      </c>
      <c r="B272" s="573" t="s">
        <v>1107</v>
      </c>
      <c r="C272" s="573" t="s">
        <v>625</v>
      </c>
      <c r="D272" s="573" t="s">
        <v>1156</v>
      </c>
      <c r="E272" s="573" t="s">
        <v>1157</v>
      </c>
      <c r="F272" s="590"/>
      <c r="G272" s="590"/>
      <c r="H272" s="573"/>
      <c r="I272" s="573"/>
      <c r="J272" s="590">
        <v>2</v>
      </c>
      <c r="K272" s="590">
        <v>234</v>
      </c>
      <c r="L272" s="573"/>
      <c r="M272" s="573">
        <v>117</v>
      </c>
      <c r="N272" s="590">
        <v>10</v>
      </c>
      <c r="O272" s="590">
        <v>1180</v>
      </c>
      <c r="P272" s="578"/>
      <c r="Q272" s="591">
        <v>118</v>
      </c>
    </row>
    <row r="273" spans="1:17" ht="14.4" customHeight="1" x14ac:dyDescent="0.3">
      <c r="A273" s="572" t="s">
        <v>1164</v>
      </c>
      <c r="B273" s="573" t="s">
        <v>1107</v>
      </c>
      <c r="C273" s="573" t="s">
        <v>1080</v>
      </c>
      <c r="D273" s="573" t="s">
        <v>1156</v>
      </c>
      <c r="E273" s="573" t="s">
        <v>1157</v>
      </c>
      <c r="F273" s="590"/>
      <c r="G273" s="590"/>
      <c r="H273" s="573"/>
      <c r="I273" s="573"/>
      <c r="J273" s="590">
        <v>0</v>
      </c>
      <c r="K273" s="590">
        <v>0</v>
      </c>
      <c r="L273" s="573"/>
      <c r="M273" s="573"/>
      <c r="N273" s="590"/>
      <c r="O273" s="590"/>
      <c r="P273" s="578"/>
      <c r="Q273" s="591"/>
    </row>
    <row r="274" spans="1:17" ht="14.4" customHeight="1" thickBot="1" x14ac:dyDescent="0.35">
      <c r="A274" s="580" t="s">
        <v>1164</v>
      </c>
      <c r="B274" s="581" t="s">
        <v>1107</v>
      </c>
      <c r="C274" s="581" t="s">
        <v>626</v>
      </c>
      <c r="D274" s="581" t="s">
        <v>1156</v>
      </c>
      <c r="E274" s="581" t="s">
        <v>1157</v>
      </c>
      <c r="F274" s="592"/>
      <c r="G274" s="592"/>
      <c r="H274" s="581"/>
      <c r="I274" s="581"/>
      <c r="J274" s="592">
        <v>14</v>
      </c>
      <c r="K274" s="592">
        <v>1638</v>
      </c>
      <c r="L274" s="581"/>
      <c r="M274" s="581">
        <v>117</v>
      </c>
      <c r="N274" s="592">
        <v>60</v>
      </c>
      <c r="O274" s="592">
        <v>7078</v>
      </c>
      <c r="P274" s="586"/>
      <c r="Q274" s="593">
        <v>117.96666666666667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0.10937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352" t="s">
        <v>134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  <c r="N2" s="241"/>
      <c r="O2" s="124"/>
      <c r="P2" s="241"/>
      <c r="Q2" s="124"/>
      <c r="R2" s="241"/>
      <c r="S2" s="242"/>
    </row>
    <row r="3" spans="1:19" ht="14.4" customHeight="1" thickBot="1" x14ac:dyDescent="0.35">
      <c r="A3" s="235" t="s">
        <v>136</v>
      </c>
      <c r="B3" s="236">
        <f>SUBTOTAL(9,B6:B1048576)</f>
        <v>3817235</v>
      </c>
      <c r="C3" s="237">
        <f t="shared" ref="C3:R3" si="0">SUBTOTAL(9,C6:C1048576)</f>
        <v>4</v>
      </c>
      <c r="D3" s="237">
        <f t="shared" si="0"/>
        <v>10925</v>
      </c>
      <c r="E3" s="237">
        <f t="shared" si="0"/>
        <v>7.8955077464341459</v>
      </c>
      <c r="F3" s="237">
        <f t="shared" si="0"/>
        <v>7891</v>
      </c>
      <c r="G3" s="240">
        <f>IF(B3&lt;&gt;0,F3/B3,"")</f>
        <v>2.0672030933385028E-3</v>
      </c>
      <c r="H3" s="236">
        <f t="shared" si="0"/>
        <v>0</v>
      </c>
      <c r="I3" s="237">
        <f t="shared" si="0"/>
        <v>0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 t="str">
        <f>IF(H3&lt;&gt;0,L3/H3,"")</f>
        <v/>
      </c>
      <c r="N3" s="239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109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6"/>
      <c r="B5" s="637">
        <v>2012</v>
      </c>
      <c r="C5" s="638"/>
      <c r="D5" s="638">
        <v>2013</v>
      </c>
      <c r="E5" s="638"/>
      <c r="F5" s="638">
        <v>2014</v>
      </c>
      <c r="G5" s="639" t="s">
        <v>2</v>
      </c>
      <c r="H5" s="637">
        <v>2012</v>
      </c>
      <c r="I5" s="638"/>
      <c r="J5" s="638">
        <v>2013</v>
      </c>
      <c r="K5" s="638"/>
      <c r="L5" s="638">
        <v>2014</v>
      </c>
      <c r="M5" s="639" t="s">
        <v>2</v>
      </c>
      <c r="N5" s="637">
        <v>2012</v>
      </c>
      <c r="O5" s="638"/>
      <c r="P5" s="638">
        <v>2013</v>
      </c>
      <c r="Q5" s="638"/>
      <c r="R5" s="638">
        <v>2014</v>
      </c>
      <c r="S5" s="639" t="s">
        <v>2</v>
      </c>
    </row>
    <row r="6" spans="1:19" ht="14.4" customHeight="1" x14ac:dyDescent="0.3">
      <c r="A6" s="597" t="s">
        <v>1166</v>
      </c>
      <c r="B6" s="640">
        <v>211</v>
      </c>
      <c r="C6" s="566">
        <v>1</v>
      </c>
      <c r="D6" s="640">
        <v>714</v>
      </c>
      <c r="E6" s="566">
        <v>3.3838862559241707</v>
      </c>
      <c r="F6" s="640">
        <v>214</v>
      </c>
      <c r="G6" s="571">
        <v>1.014218009478673</v>
      </c>
      <c r="H6" s="640"/>
      <c r="I6" s="566"/>
      <c r="J6" s="640"/>
      <c r="K6" s="566"/>
      <c r="L6" s="640"/>
      <c r="M6" s="571"/>
      <c r="N6" s="640"/>
      <c r="O6" s="566"/>
      <c r="P6" s="640"/>
      <c r="Q6" s="566"/>
      <c r="R6" s="640"/>
      <c r="S6" s="135"/>
    </row>
    <row r="7" spans="1:19" ht="14.4" customHeight="1" x14ac:dyDescent="0.3">
      <c r="A7" s="598" t="s">
        <v>1167</v>
      </c>
      <c r="B7" s="647">
        <v>2390</v>
      </c>
      <c r="C7" s="573">
        <v>1</v>
      </c>
      <c r="D7" s="647">
        <v>8921</v>
      </c>
      <c r="E7" s="573">
        <v>3.7326359832635982</v>
      </c>
      <c r="F7" s="647">
        <v>3675</v>
      </c>
      <c r="G7" s="578">
        <v>1.5376569037656904</v>
      </c>
      <c r="H7" s="647"/>
      <c r="I7" s="573"/>
      <c r="J7" s="647"/>
      <c r="K7" s="573"/>
      <c r="L7" s="647"/>
      <c r="M7" s="578"/>
      <c r="N7" s="647"/>
      <c r="O7" s="573"/>
      <c r="P7" s="647"/>
      <c r="Q7" s="573"/>
      <c r="R7" s="647"/>
      <c r="S7" s="579"/>
    </row>
    <row r="8" spans="1:19" ht="14.4" customHeight="1" x14ac:dyDescent="0.3">
      <c r="A8" s="598" t="s">
        <v>1168</v>
      </c>
      <c r="B8" s="647"/>
      <c r="C8" s="573"/>
      <c r="D8" s="647"/>
      <c r="E8" s="573"/>
      <c r="F8" s="647">
        <v>34</v>
      </c>
      <c r="G8" s="578"/>
      <c r="H8" s="647"/>
      <c r="I8" s="573"/>
      <c r="J8" s="647"/>
      <c r="K8" s="573"/>
      <c r="L8" s="647"/>
      <c r="M8" s="578"/>
      <c r="N8" s="647"/>
      <c r="O8" s="573"/>
      <c r="P8" s="647"/>
      <c r="Q8" s="573"/>
      <c r="R8" s="647"/>
      <c r="S8" s="579"/>
    </row>
    <row r="9" spans="1:19" ht="14.4" customHeight="1" x14ac:dyDescent="0.3">
      <c r="A9" s="598" t="s">
        <v>1169</v>
      </c>
      <c r="B9" s="647">
        <v>1656</v>
      </c>
      <c r="C9" s="573">
        <v>1</v>
      </c>
      <c r="D9" s="647">
        <v>1290</v>
      </c>
      <c r="E9" s="573">
        <v>0.77898550724637683</v>
      </c>
      <c r="F9" s="647">
        <v>2678</v>
      </c>
      <c r="G9" s="578">
        <v>1.6171497584541064</v>
      </c>
      <c r="H9" s="647"/>
      <c r="I9" s="573"/>
      <c r="J9" s="647"/>
      <c r="K9" s="573"/>
      <c r="L9" s="647"/>
      <c r="M9" s="578"/>
      <c r="N9" s="647"/>
      <c r="O9" s="573"/>
      <c r="P9" s="647"/>
      <c r="Q9" s="573"/>
      <c r="R9" s="647"/>
      <c r="S9" s="579"/>
    </row>
    <row r="10" spans="1:19" ht="14.4" customHeight="1" x14ac:dyDescent="0.3">
      <c r="A10" s="598" t="s">
        <v>1170</v>
      </c>
      <c r="B10" s="647"/>
      <c r="C10" s="573"/>
      <c r="D10" s="647"/>
      <c r="E10" s="573"/>
      <c r="F10" s="647">
        <v>1290</v>
      </c>
      <c r="G10" s="578"/>
      <c r="H10" s="647"/>
      <c r="I10" s="573"/>
      <c r="J10" s="647"/>
      <c r="K10" s="573"/>
      <c r="L10" s="647"/>
      <c r="M10" s="578"/>
      <c r="N10" s="647"/>
      <c r="O10" s="573"/>
      <c r="P10" s="647"/>
      <c r="Q10" s="573"/>
      <c r="R10" s="647"/>
      <c r="S10" s="579"/>
    </row>
    <row r="11" spans="1:19" ht="14.4" customHeight="1" thickBot="1" x14ac:dyDescent="0.35">
      <c r="A11" s="642" t="s">
        <v>615</v>
      </c>
      <c r="B11" s="641">
        <v>3812978</v>
      </c>
      <c r="C11" s="581">
        <v>1</v>
      </c>
      <c r="D11" s="641"/>
      <c r="E11" s="581"/>
      <c r="F11" s="641"/>
      <c r="G11" s="586"/>
      <c r="H11" s="641"/>
      <c r="I11" s="581"/>
      <c r="J11" s="641"/>
      <c r="K11" s="581"/>
      <c r="L11" s="641"/>
      <c r="M11" s="586"/>
      <c r="N11" s="641"/>
      <c r="O11" s="581"/>
      <c r="P11" s="641"/>
      <c r="Q11" s="581"/>
      <c r="R11" s="641"/>
      <c r="S11" s="58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1185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144"/>
      <c r="E2" s="14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8083</v>
      </c>
      <c r="G3" s="114">
        <f t="shared" si="0"/>
        <v>3817235</v>
      </c>
      <c r="H3" s="114"/>
      <c r="I3" s="114"/>
      <c r="J3" s="114">
        <f t="shared" si="0"/>
        <v>100</v>
      </c>
      <c r="K3" s="114">
        <f t="shared" si="0"/>
        <v>10925</v>
      </c>
      <c r="L3" s="114"/>
      <c r="M3" s="114"/>
      <c r="N3" s="114">
        <f t="shared" si="0"/>
        <v>53</v>
      </c>
      <c r="O3" s="114">
        <f t="shared" si="0"/>
        <v>7891</v>
      </c>
      <c r="P3" s="75">
        <f>IF(G3=0,0,O3/G3)</f>
        <v>2.0672030933385028E-3</v>
      </c>
      <c r="Q3" s="115">
        <f>IF(N3=0,0,O3/N3)</f>
        <v>148.88679245283018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26" t="s">
        <v>100</v>
      </c>
      <c r="E4" s="427" t="s">
        <v>70</v>
      </c>
      <c r="F4" s="432">
        <v>2012</v>
      </c>
      <c r="G4" s="433"/>
      <c r="H4" s="116"/>
      <c r="I4" s="116"/>
      <c r="J4" s="432">
        <v>2013</v>
      </c>
      <c r="K4" s="433"/>
      <c r="L4" s="116"/>
      <c r="M4" s="116"/>
      <c r="N4" s="432">
        <v>2014</v>
      </c>
      <c r="O4" s="433"/>
      <c r="P4" s="434" t="s">
        <v>2</v>
      </c>
      <c r="Q4" s="423" t="s">
        <v>101</v>
      </c>
    </row>
    <row r="5" spans="1:17" ht="14.4" customHeight="1" thickBot="1" x14ac:dyDescent="0.35">
      <c r="A5" s="651"/>
      <c r="B5" s="650"/>
      <c r="C5" s="651"/>
      <c r="D5" s="652"/>
      <c r="E5" s="654"/>
      <c r="F5" s="660" t="s">
        <v>72</v>
      </c>
      <c r="G5" s="661" t="s">
        <v>14</v>
      </c>
      <c r="H5" s="662"/>
      <c r="I5" s="662"/>
      <c r="J5" s="660" t="s">
        <v>72</v>
      </c>
      <c r="K5" s="661" t="s">
        <v>14</v>
      </c>
      <c r="L5" s="662"/>
      <c r="M5" s="662"/>
      <c r="N5" s="660" t="s">
        <v>72</v>
      </c>
      <c r="O5" s="661" t="s">
        <v>14</v>
      </c>
      <c r="P5" s="663"/>
      <c r="Q5" s="659"/>
    </row>
    <row r="6" spans="1:17" ht="14.4" customHeight="1" x14ac:dyDescent="0.3">
      <c r="A6" s="565" t="s">
        <v>1171</v>
      </c>
      <c r="B6" s="566" t="s">
        <v>1082</v>
      </c>
      <c r="C6" s="566" t="s">
        <v>1107</v>
      </c>
      <c r="D6" s="566" t="s">
        <v>1120</v>
      </c>
      <c r="E6" s="566" t="s">
        <v>1121</v>
      </c>
      <c r="F6" s="129"/>
      <c r="G6" s="129"/>
      <c r="H6" s="129"/>
      <c r="I6" s="129"/>
      <c r="J6" s="129">
        <v>1</v>
      </c>
      <c r="K6" s="129">
        <v>69</v>
      </c>
      <c r="L6" s="129"/>
      <c r="M6" s="129">
        <v>69</v>
      </c>
      <c r="N6" s="129"/>
      <c r="O6" s="129"/>
      <c r="P6" s="571"/>
      <c r="Q6" s="589"/>
    </row>
    <row r="7" spans="1:17" ht="14.4" customHeight="1" x14ac:dyDescent="0.3">
      <c r="A7" s="572" t="s">
        <v>1171</v>
      </c>
      <c r="B7" s="573" t="s">
        <v>1082</v>
      </c>
      <c r="C7" s="573" t="s">
        <v>1107</v>
      </c>
      <c r="D7" s="573" t="s">
        <v>1130</v>
      </c>
      <c r="E7" s="573" t="s">
        <v>1131</v>
      </c>
      <c r="F7" s="590"/>
      <c r="G7" s="590"/>
      <c r="H7" s="590"/>
      <c r="I7" s="590"/>
      <c r="J7" s="590">
        <v>1</v>
      </c>
      <c r="K7" s="590">
        <v>0</v>
      </c>
      <c r="L7" s="590"/>
      <c r="M7" s="590">
        <v>0</v>
      </c>
      <c r="N7" s="590"/>
      <c r="O7" s="590"/>
      <c r="P7" s="578"/>
      <c r="Q7" s="591"/>
    </row>
    <row r="8" spans="1:17" ht="14.4" customHeight="1" x14ac:dyDescent="0.3">
      <c r="A8" s="572" t="s">
        <v>1171</v>
      </c>
      <c r="B8" s="573" t="s">
        <v>1082</v>
      </c>
      <c r="C8" s="573" t="s">
        <v>1107</v>
      </c>
      <c r="D8" s="573" t="s">
        <v>1152</v>
      </c>
      <c r="E8" s="573" t="s">
        <v>1153</v>
      </c>
      <c r="F8" s="590"/>
      <c r="G8" s="590"/>
      <c r="H8" s="590"/>
      <c r="I8" s="590"/>
      <c r="J8" s="590">
        <v>1</v>
      </c>
      <c r="K8" s="590">
        <v>645</v>
      </c>
      <c r="L8" s="590"/>
      <c r="M8" s="590">
        <v>645</v>
      </c>
      <c r="N8" s="590"/>
      <c r="O8" s="590"/>
      <c r="P8" s="578"/>
      <c r="Q8" s="591"/>
    </row>
    <row r="9" spans="1:17" ht="14.4" customHeight="1" x14ac:dyDescent="0.3">
      <c r="A9" s="572" t="s">
        <v>1171</v>
      </c>
      <c r="B9" s="573" t="s">
        <v>1082</v>
      </c>
      <c r="C9" s="573" t="s">
        <v>1107</v>
      </c>
      <c r="D9" s="573" t="s">
        <v>1154</v>
      </c>
      <c r="E9" s="573" t="s">
        <v>1155</v>
      </c>
      <c r="F9" s="590">
        <v>1</v>
      </c>
      <c r="G9" s="590">
        <v>211</v>
      </c>
      <c r="H9" s="590">
        <v>1</v>
      </c>
      <c r="I9" s="590">
        <v>211</v>
      </c>
      <c r="J9" s="590"/>
      <c r="K9" s="590"/>
      <c r="L9" s="590"/>
      <c r="M9" s="590"/>
      <c r="N9" s="590">
        <v>1</v>
      </c>
      <c r="O9" s="590">
        <v>214</v>
      </c>
      <c r="P9" s="578">
        <v>1.014218009478673</v>
      </c>
      <c r="Q9" s="591">
        <v>214</v>
      </c>
    </row>
    <row r="10" spans="1:17" ht="14.4" customHeight="1" x14ac:dyDescent="0.3">
      <c r="A10" s="572" t="s">
        <v>1172</v>
      </c>
      <c r="B10" s="573" t="s">
        <v>1082</v>
      </c>
      <c r="C10" s="573" t="s">
        <v>1107</v>
      </c>
      <c r="D10" s="573" t="s">
        <v>1108</v>
      </c>
      <c r="E10" s="573" t="s">
        <v>1109</v>
      </c>
      <c r="F10" s="590"/>
      <c r="G10" s="590"/>
      <c r="H10" s="590"/>
      <c r="I10" s="590"/>
      <c r="J10" s="590">
        <v>38</v>
      </c>
      <c r="K10" s="590">
        <v>1292</v>
      </c>
      <c r="L10" s="590"/>
      <c r="M10" s="590">
        <v>34</v>
      </c>
      <c r="N10" s="590">
        <v>24</v>
      </c>
      <c r="O10" s="590">
        <v>839</v>
      </c>
      <c r="P10" s="578"/>
      <c r="Q10" s="591">
        <v>34.958333333333336</v>
      </c>
    </row>
    <row r="11" spans="1:17" ht="14.4" customHeight="1" x14ac:dyDescent="0.3">
      <c r="A11" s="572" t="s">
        <v>1172</v>
      </c>
      <c r="B11" s="573" t="s">
        <v>1082</v>
      </c>
      <c r="C11" s="573" t="s">
        <v>1107</v>
      </c>
      <c r="D11" s="573" t="s">
        <v>1156</v>
      </c>
      <c r="E11" s="573" t="s">
        <v>1157</v>
      </c>
      <c r="F11" s="590"/>
      <c r="G11" s="590"/>
      <c r="H11" s="590"/>
      <c r="I11" s="590"/>
      <c r="J11" s="590">
        <v>46</v>
      </c>
      <c r="K11" s="590">
        <v>5382</v>
      </c>
      <c r="L11" s="590"/>
      <c r="M11" s="590">
        <v>117</v>
      </c>
      <c r="N11" s="590">
        <v>14</v>
      </c>
      <c r="O11" s="590">
        <v>1652</v>
      </c>
      <c r="P11" s="578"/>
      <c r="Q11" s="591">
        <v>118</v>
      </c>
    </row>
    <row r="12" spans="1:17" ht="14.4" customHeight="1" x14ac:dyDescent="0.3">
      <c r="A12" s="572" t="s">
        <v>1172</v>
      </c>
      <c r="B12" s="573" t="s">
        <v>1082</v>
      </c>
      <c r="C12" s="573" t="s">
        <v>1107</v>
      </c>
      <c r="D12" s="573" t="s">
        <v>1130</v>
      </c>
      <c r="E12" s="573" t="s">
        <v>1131</v>
      </c>
      <c r="F12" s="590"/>
      <c r="G12" s="590"/>
      <c r="H12" s="590"/>
      <c r="I12" s="590"/>
      <c r="J12" s="590">
        <v>1</v>
      </c>
      <c r="K12" s="590">
        <v>0</v>
      </c>
      <c r="L12" s="590"/>
      <c r="M12" s="590">
        <v>0</v>
      </c>
      <c r="N12" s="590"/>
      <c r="O12" s="590"/>
      <c r="P12" s="578"/>
      <c r="Q12" s="591"/>
    </row>
    <row r="13" spans="1:17" ht="14.4" customHeight="1" x14ac:dyDescent="0.3">
      <c r="A13" s="572" t="s">
        <v>1172</v>
      </c>
      <c r="B13" s="573" t="s">
        <v>1082</v>
      </c>
      <c r="C13" s="573" t="s">
        <v>1107</v>
      </c>
      <c r="D13" s="573" t="s">
        <v>1140</v>
      </c>
      <c r="E13" s="573" t="s">
        <v>1141</v>
      </c>
      <c r="F13" s="590"/>
      <c r="G13" s="590"/>
      <c r="H13" s="590"/>
      <c r="I13" s="590"/>
      <c r="J13" s="590">
        <v>1</v>
      </c>
      <c r="K13" s="590">
        <v>327</v>
      </c>
      <c r="L13" s="590"/>
      <c r="M13" s="590">
        <v>327</v>
      </c>
      <c r="N13" s="590">
        <v>1</v>
      </c>
      <c r="O13" s="590">
        <v>327</v>
      </c>
      <c r="P13" s="578"/>
      <c r="Q13" s="591">
        <v>327</v>
      </c>
    </row>
    <row r="14" spans="1:17" ht="14.4" customHeight="1" x14ac:dyDescent="0.3">
      <c r="A14" s="572" t="s">
        <v>1172</v>
      </c>
      <c r="B14" s="573" t="s">
        <v>1082</v>
      </c>
      <c r="C14" s="573" t="s">
        <v>1107</v>
      </c>
      <c r="D14" s="573" t="s">
        <v>1150</v>
      </c>
      <c r="E14" s="573" t="s">
        <v>1151</v>
      </c>
      <c r="F14" s="590">
        <v>10</v>
      </c>
      <c r="G14" s="590">
        <v>2390</v>
      </c>
      <c r="H14" s="590">
        <v>1</v>
      </c>
      <c r="I14" s="590">
        <v>239</v>
      </c>
      <c r="J14" s="590">
        <v>8</v>
      </c>
      <c r="K14" s="590">
        <v>1920</v>
      </c>
      <c r="L14" s="590">
        <v>0.80334728033472802</v>
      </c>
      <c r="M14" s="590">
        <v>240</v>
      </c>
      <c r="N14" s="590"/>
      <c r="O14" s="590"/>
      <c r="P14" s="578"/>
      <c r="Q14" s="591"/>
    </row>
    <row r="15" spans="1:17" ht="14.4" customHeight="1" x14ac:dyDescent="0.3">
      <c r="A15" s="572" t="s">
        <v>1172</v>
      </c>
      <c r="B15" s="573" t="s">
        <v>1082</v>
      </c>
      <c r="C15" s="573" t="s">
        <v>1107</v>
      </c>
      <c r="D15" s="573" t="s">
        <v>1152</v>
      </c>
      <c r="E15" s="573" t="s">
        <v>1153</v>
      </c>
      <c r="F15" s="590"/>
      <c r="G15" s="590"/>
      <c r="H15" s="590"/>
      <c r="I15" s="590"/>
      <c r="J15" s="590"/>
      <c r="K15" s="590"/>
      <c r="L15" s="590"/>
      <c r="M15" s="590"/>
      <c r="N15" s="590">
        <v>1</v>
      </c>
      <c r="O15" s="590">
        <v>645</v>
      </c>
      <c r="P15" s="578"/>
      <c r="Q15" s="591">
        <v>645</v>
      </c>
    </row>
    <row r="16" spans="1:17" ht="14.4" customHeight="1" x14ac:dyDescent="0.3">
      <c r="A16" s="572" t="s">
        <v>1172</v>
      </c>
      <c r="B16" s="573" t="s">
        <v>1082</v>
      </c>
      <c r="C16" s="573" t="s">
        <v>1107</v>
      </c>
      <c r="D16" s="573" t="s">
        <v>1154</v>
      </c>
      <c r="E16" s="573" t="s">
        <v>1155</v>
      </c>
      <c r="F16" s="590"/>
      <c r="G16" s="590"/>
      <c r="H16" s="590"/>
      <c r="I16" s="590"/>
      <c r="J16" s="590"/>
      <c r="K16" s="590"/>
      <c r="L16" s="590"/>
      <c r="M16" s="590"/>
      <c r="N16" s="590">
        <v>1</v>
      </c>
      <c r="O16" s="590">
        <v>212</v>
      </c>
      <c r="P16" s="578"/>
      <c r="Q16" s="591">
        <v>212</v>
      </c>
    </row>
    <row r="17" spans="1:17" ht="14.4" customHeight="1" x14ac:dyDescent="0.3">
      <c r="A17" s="572" t="s">
        <v>1173</v>
      </c>
      <c r="B17" s="573" t="s">
        <v>1082</v>
      </c>
      <c r="C17" s="573" t="s">
        <v>1107</v>
      </c>
      <c r="D17" s="573" t="s">
        <v>1108</v>
      </c>
      <c r="E17" s="573" t="s">
        <v>1109</v>
      </c>
      <c r="F17" s="590"/>
      <c r="G17" s="590"/>
      <c r="H17" s="590"/>
      <c r="I17" s="590"/>
      <c r="J17" s="590"/>
      <c r="K17" s="590"/>
      <c r="L17" s="590"/>
      <c r="M17" s="590"/>
      <c r="N17" s="590">
        <v>1</v>
      </c>
      <c r="O17" s="590">
        <v>34</v>
      </c>
      <c r="P17" s="578"/>
      <c r="Q17" s="591">
        <v>34</v>
      </c>
    </row>
    <row r="18" spans="1:17" ht="14.4" customHeight="1" x14ac:dyDescent="0.3">
      <c r="A18" s="572" t="s">
        <v>1174</v>
      </c>
      <c r="B18" s="573" t="s">
        <v>1082</v>
      </c>
      <c r="C18" s="573" t="s">
        <v>1107</v>
      </c>
      <c r="D18" s="573" t="s">
        <v>1108</v>
      </c>
      <c r="E18" s="573" t="s">
        <v>1109</v>
      </c>
      <c r="F18" s="590">
        <v>1</v>
      </c>
      <c r="G18" s="590">
        <v>34</v>
      </c>
      <c r="H18" s="590">
        <v>1</v>
      </c>
      <c r="I18" s="590">
        <v>34</v>
      </c>
      <c r="J18" s="590"/>
      <c r="K18" s="590"/>
      <c r="L18" s="590"/>
      <c r="M18" s="590"/>
      <c r="N18" s="590">
        <v>2</v>
      </c>
      <c r="O18" s="590">
        <v>69</v>
      </c>
      <c r="P18" s="578">
        <v>2.0294117647058822</v>
      </c>
      <c r="Q18" s="591">
        <v>34.5</v>
      </c>
    </row>
    <row r="19" spans="1:17" ht="14.4" customHeight="1" x14ac:dyDescent="0.3">
      <c r="A19" s="572" t="s">
        <v>1174</v>
      </c>
      <c r="B19" s="573" t="s">
        <v>1082</v>
      </c>
      <c r="C19" s="573" t="s">
        <v>1107</v>
      </c>
      <c r="D19" s="573" t="s">
        <v>1126</v>
      </c>
      <c r="E19" s="573" t="s">
        <v>1127</v>
      </c>
      <c r="F19" s="590">
        <v>3</v>
      </c>
      <c r="G19" s="590">
        <v>0</v>
      </c>
      <c r="H19" s="590"/>
      <c r="I19" s="590">
        <v>0</v>
      </c>
      <c r="J19" s="590">
        <v>1</v>
      </c>
      <c r="K19" s="590">
        <v>0</v>
      </c>
      <c r="L19" s="590"/>
      <c r="M19" s="590">
        <v>0</v>
      </c>
      <c r="N19" s="590"/>
      <c r="O19" s="590"/>
      <c r="P19" s="578"/>
      <c r="Q19" s="591"/>
    </row>
    <row r="20" spans="1:17" ht="14.4" customHeight="1" x14ac:dyDescent="0.3">
      <c r="A20" s="572" t="s">
        <v>1174</v>
      </c>
      <c r="B20" s="573" t="s">
        <v>1082</v>
      </c>
      <c r="C20" s="573" t="s">
        <v>1107</v>
      </c>
      <c r="D20" s="573" t="s">
        <v>1128</v>
      </c>
      <c r="E20" s="573" t="s">
        <v>1129</v>
      </c>
      <c r="F20" s="590"/>
      <c r="G20" s="590"/>
      <c r="H20" s="590"/>
      <c r="I20" s="590"/>
      <c r="J20" s="590"/>
      <c r="K20" s="590"/>
      <c r="L20" s="590"/>
      <c r="M20" s="590"/>
      <c r="N20" s="590">
        <v>2</v>
      </c>
      <c r="O20" s="590">
        <v>338</v>
      </c>
      <c r="P20" s="578"/>
      <c r="Q20" s="591">
        <v>169</v>
      </c>
    </row>
    <row r="21" spans="1:17" ht="14.4" customHeight="1" x14ac:dyDescent="0.3">
      <c r="A21" s="572" t="s">
        <v>1174</v>
      </c>
      <c r="B21" s="573" t="s">
        <v>1082</v>
      </c>
      <c r="C21" s="573" t="s">
        <v>1107</v>
      </c>
      <c r="D21" s="573" t="s">
        <v>1140</v>
      </c>
      <c r="E21" s="573" t="s">
        <v>1141</v>
      </c>
      <c r="F21" s="590">
        <v>1</v>
      </c>
      <c r="G21" s="590">
        <v>330</v>
      </c>
      <c r="H21" s="590">
        <v>1</v>
      </c>
      <c r="I21" s="590">
        <v>330</v>
      </c>
      <c r="J21" s="590"/>
      <c r="K21" s="590"/>
      <c r="L21" s="590"/>
      <c r="M21" s="590"/>
      <c r="N21" s="590">
        <v>1</v>
      </c>
      <c r="O21" s="590">
        <v>330</v>
      </c>
      <c r="P21" s="578">
        <v>1</v>
      </c>
      <c r="Q21" s="591">
        <v>330</v>
      </c>
    </row>
    <row r="22" spans="1:17" ht="14.4" customHeight="1" x14ac:dyDescent="0.3">
      <c r="A22" s="572" t="s">
        <v>1174</v>
      </c>
      <c r="B22" s="573" t="s">
        <v>1082</v>
      </c>
      <c r="C22" s="573" t="s">
        <v>1107</v>
      </c>
      <c r="D22" s="573" t="s">
        <v>1152</v>
      </c>
      <c r="E22" s="573" t="s">
        <v>1153</v>
      </c>
      <c r="F22" s="590">
        <v>2</v>
      </c>
      <c r="G22" s="590">
        <v>1292</v>
      </c>
      <c r="H22" s="590">
        <v>1</v>
      </c>
      <c r="I22" s="590">
        <v>646</v>
      </c>
      <c r="J22" s="590">
        <v>2</v>
      </c>
      <c r="K22" s="590">
        <v>1290</v>
      </c>
      <c r="L22" s="590">
        <v>0.99845201238390091</v>
      </c>
      <c r="M22" s="590">
        <v>645</v>
      </c>
      <c r="N22" s="590">
        <v>3</v>
      </c>
      <c r="O22" s="590">
        <v>1941</v>
      </c>
      <c r="P22" s="578">
        <v>1.5023219814241486</v>
      </c>
      <c r="Q22" s="591">
        <v>647</v>
      </c>
    </row>
    <row r="23" spans="1:17" ht="14.4" customHeight="1" x14ac:dyDescent="0.3">
      <c r="A23" s="572" t="s">
        <v>1175</v>
      </c>
      <c r="B23" s="573" t="s">
        <v>1082</v>
      </c>
      <c r="C23" s="573" t="s">
        <v>1107</v>
      </c>
      <c r="D23" s="573" t="s">
        <v>1152</v>
      </c>
      <c r="E23" s="573" t="s">
        <v>1153</v>
      </c>
      <c r="F23" s="590"/>
      <c r="G23" s="590"/>
      <c r="H23" s="590"/>
      <c r="I23" s="590"/>
      <c r="J23" s="590"/>
      <c r="K23" s="590"/>
      <c r="L23" s="590"/>
      <c r="M23" s="590"/>
      <c r="N23" s="590">
        <v>2</v>
      </c>
      <c r="O23" s="590">
        <v>1290</v>
      </c>
      <c r="P23" s="578"/>
      <c r="Q23" s="591">
        <v>645</v>
      </c>
    </row>
    <row r="24" spans="1:17" ht="14.4" customHeight="1" x14ac:dyDescent="0.3">
      <c r="A24" s="572" t="s">
        <v>452</v>
      </c>
      <c r="B24" s="573" t="s">
        <v>1082</v>
      </c>
      <c r="C24" s="573" t="s">
        <v>1107</v>
      </c>
      <c r="D24" s="573" t="s">
        <v>1108</v>
      </c>
      <c r="E24" s="573" t="s">
        <v>1109</v>
      </c>
      <c r="F24" s="590">
        <v>435</v>
      </c>
      <c r="G24" s="590">
        <v>14790</v>
      </c>
      <c r="H24" s="590">
        <v>1</v>
      </c>
      <c r="I24" s="590">
        <v>34</v>
      </c>
      <c r="J24" s="590"/>
      <c r="K24" s="590"/>
      <c r="L24" s="590"/>
      <c r="M24" s="590"/>
      <c r="N24" s="590"/>
      <c r="O24" s="590"/>
      <c r="P24" s="578"/>
      <c r="Q24" s="591"/>
    </row>
    <row r="25" spans="1:17" ht="14.4" customHeight="1" x14ac:dyDescent="0.3">
      <c r="A25" s="572" t="s">
        <v>452</v>
      </c>
      <c r="B25" s="573" t="s">
        <v>1082</v>
      </c>
      <c r="C25" s="573" t="s">
        <v>1107</v>
      </c>
      <c r="D25" s="573" t="s">
        <v>1116</v>
      </c>
      <c r="E25" s="573" t="s">
        <v>1117</v>
      </c>
      <c r="F25" s="590">
        <v>157</v>
      </c>
      <c r="G25" s="590">
        <v>785</v>
      </c>
      <c r="H25" s="590">
        <v>1</v>
      </c>
      <c r="I25" s="590">
        <v>5</v>
      </c>
      <c r="J25" s="590"/>
      <c r="K25" s="590"/>
      <c r="L25" s="590"/>
      <c r="M25" s="590"/>
      <c r="N25" s="590"/>
      <c r="O25" s="590"/>
      <c r="P25" s="578"/>
      <c r="Q25" s="591"/>
    </row>
    <row r="26" spans="1:17" ht="14.4" customHeight="1" x14ac:dyDescent="0.3">
      <c r="A26" s="572" t="s">
        <v>452</v>
      </c>
      <c r="B26" s="573" t="s">
        <v>1082</v>
      </c>
      <c r="C26" s="573" t="s">
        <v>1107</v>
      </c>
      <c r="D26" s="573" t="s">
        <v>1128</v>
      </c>
      <c r="E26" s="573" t="s">
        <v>1129</v>
      </c>
      <c r="F26" s="590">
        <v>34</v>
      </c>
      <c r="G26" s="590">
        <v>5678</v>
      </c>
      <c r="H26" s="590">
        <v>1</v>
      </c>
      <c r="I26" s="590">
        <v>167</v>
      </c>
      <c r="J26" s="590"/>
      <c r="K26" s="590"/>
      <c r="L26" s="590"/>
      <c r="M26" s="590"/>
      <c r="N26" s="590"/>
      <c r="O26" s="590"/>
      <c r="P26" s="578"/>
      <c r="Q26" s="591"/>
    </row>
    <row r="27" spans="1:17" ht="14.4" customHeight="1" x14ac:dyDescent="0.3">
      <c r="A27" s="572" t="s">
        <v>452</v>
      </c>
      <c r="B27" s="573" t="s">
        <v>1082</v>
      </c>
      <c r="C27" s="573" t="s">
        <v>1107</v>
      </c>
      <c r="D27" s="573" t="s">
        <v>1150</v>
      </c>
      <c r="E27" s="573" t="s">
        <v>1151</v>
      </c>
      <c r="F27" s="590">
        <v>16</v>
      </c>
      <c r="G27" s="590">
        <v>3824</v>
      </c>
      <c r="H27" s="590">
        <v>1</v>
      </c>
      <c r="I27" s="590">
        <v>239</v>
      </c>
      <c r="J27" s="590"/>
      <c r="K27" s="590"/>
      <c r="L27" s="590"/>
      <c r="M27" s="590"/>
      <c r="N27" s="590"/>
      <c r="O27" s="590"/>
      <c r="P27" s="578"/>
      <c r="Q27" s="591"/>
    </row>
    <row r="28" spans="1:17" ht="14.4" customHeight="1" x14ac:dyDescent="0.3">
      <c r="A28" s="572" t="s">
        <v>452</v>
      </c>
      <c r="B28" s="573" t="s">
        <v>1082</v>
      </c>
      <c r="C28" s="573" t="s">
        <v>1107</v>
      </c>
      <c r="D28" s="573" t="s">
        <v>1154</v>
      </c>
      <c r="E28" s="573" t="s">
        <v>1155</v>
      </c>
      <c r="F28" s="590">
        <v>1</v>
      </c>
      <c r="G28" s="590">
        <v>211</v>
      </c>
      <c r="H28" s="590">
        <v>1</v>
      </c>
      <c r="I28" s="590">
        <v>211</v>
      </c>
      <c r="J28" s="590"/>
      <c r="K28" s="590"/>
      <c r="L28" s="590"/>
      <c r="M28" s="590"/>
      <c r="N28" s="590"/>
      <c r="O28" s="590"/>
      <c r="P28" s="578"/>
      <c r="Q28" s="591"/>
    </row>
    <row r="29" spans="1:17" ht="14.4" customHeight="1" x14ac:dyDescent="0.3">
      <c r="A29" s="572" t="s">
        <v>452</v>
      </c>
      <c r="B29" s="573" t="s">
        <v>1176</v>
      </c>
      <c r="C29" s="573" t="s">
        <v>1107</v>
      </c>
      <c r="D29" s="573" t="s">
        <v>1177</v>
      </c>
      <c r="E29" s="573" t="s">
        <v>1178</v>
      </c>
      <c r="F29" s="590">
        <v>2831</v>
      </c>
      <c r="G29" s="590">
        <v>3262016</v>
      </c>
      <c r="H29" s="590">
        <v>1</v>
      </c>
      <c r="I29" s="590">
        <v>1152.2486753797245</v>
      </c>
      <c r="J29" s="590"/>
      <c r="K29" s="590"/>
      <c r="L29" s="590"/>
      <c r="M29" s="590"/>
      <c r="N29" s="590"/>
      <c r="O29" s="590"/>
      <c r="P29" s="578"/>
      <c r="Q29" s="591"/>
    </row>
    <row r="30" spans="1:17" ht="14.4" customHeight="1" x14ac:dyDescent="0.3">
      <c r="A30" s="572" t="s">
        <v>452</v>
      </c>
      <c r="B30" s="573" t="s">
        <v>1176</v>
      </c>
      <c r="C30" s="573" t="s">
        <v>1107</v>
      </c>
      <c r="D30" s="573" t="s">
        <v>1120</v>
      </c>
      <c r="E30" s="573" t="s">
        <v>1121</v>
      </c>
      <c r="F30" s="590">
        <v>16</v>
      </c>
      <c r="G30" s="590">
        <v>1088</v>
      </c>
      <c r="H30" s="590">
        <v>1</v>
      </c>
      <c r="I30" s="590">
        <v>68</v>
      </c>
      <c r="J30" s="590"/>
      <c r="K30" s="590"/>
      <c r="L30" s="590"/>
      <c r="M30" s="590"/>
      <c r="N30" s="590"/>
      <c r="O30" s="590"/>
      <c r="P30" s="578"/>
      <c r="Q30" s="591"/>
    </row>
    <row r="31" spans="1:17" ht="14.4" customHeight="1" x14ac:dyDescent="0.3">
      <c r="A31" s="572" t="s">
        <v>452</v>
      </c>
      <c r="B31" s="573" t="s">
        <v>1176</v>
      </c>
      <c r="C31" s="573" t="s">
        <v>1107</v>
      </c>
      <c r="D31" s="573" t="s">
        <v>1156</v>
      </c>
      <c r="E31" s="573" t="s">
        <v>1157</v>
      </c>
      <c r="F31" s="590">
        <v>766</v>
      </c>
      <c r="G31" s="590">
        <v>88856</v>
      </c>
      <c r="H31" s="590">
        <v>1</v>
      </c>
      <c r="I31" s="590">
        <v>116</v>
      </c>
      <c r="J31" s="590"/>
      <c r="K31" s="590"/>
      <c r="L31" s="590"/>
      <c r="M31" s="590"/>
      <c r="N31" s="590"/>
      <c r="O31" s="590"/>
      <c r="P31" s="578"/>
      <c r="Q31" s="591"/>
    </row>
    <row r="32" spans="1:17" ht="14.4" customHeight="1" x14ac:dyDescent="0.3">
      <c r="A32" s="572" t="s">
        <v>452</v>
      </c>
      <c r="B32" s="573" t="s">
        <v>1176</v>
      </c>
      <c r="C32" s="573" t="s">
        <v>1107</v>
      </c>
      <c r="D32" s="573" t="s">
        <v>1179</v>
      </c>
      <c r="E32" s="573" t="s">
        <v>1180</v>
      </c>
      <c r="F32" s="590">
        <v>0</v>
      </c>
      <c r="G32" s="590">
        <v>0</v>
      </c>
      <c r="H32" s="590"/>
      <c r="I32" s="590"/>
      <c r="J32" s="590"/>
      <c r="K32" s="590"/>
      <c r="L32" s="590"/>
      <c r="M32" s="590"/>
      <c r="N32" s="590"/>
      <c r="O32" s="590"/>
      <c r="P32" s="578"/>
      <c r="Q32" s="591"/>
    </row>
    <row r="33" spans="1:17" ht="14.4" customHeight="1" x14ac:dyDescent="0.3">
      <c r="A33" s="572" t="s">
        <v>452</v>
      </c>
      <c r="B33" s="573" t="s">
        <v>1176</v>
      </c>
      <c r="C33" s="573" t="s">
        <v>1107</v>
      </c>
      <c r="D33" s="573" t="s">
        <v>1181</v>
      </c>
      <c r="E33" s="573" t="s">
        <v>1182</v>
      </c>
      <c r="F33" s="590">
        <v>17</v>
      </c>
      <c r="G33" s="590">
        <v>0</v>
      </c>
      <c r="H33" s="590"/>
      <c r="I33" s="590">
        <v>0</v>
      </c>
      <c r="J33" s="590"/>
      <c r="K33" s="590"/>
      <c r="L33" s="590"/>
      <c r="M33" s="590"/>
      <c r="N33" s="590"/>
      <c r="O33" s="590"/>
      <c r="P33" s="578"/>
      <c r="Q33" s="591"/>
    </row>
    <row r="34" spans="1:17" ht="14.4" customHeight="1" x14ac:dyDescent="0.3">
      <c r="A34" s="572" t="s">
        <v>452</v>
      </c>
      <c r="B34" s="573" t="s">
        <v>1176</v>
      </c>
      <c r="C34" s="573" t="s">
        <v>1107</v>
      </c>
      <c r="D34" s="573" t="s">
        <v>1126</v>
      </c>
      <c r="E34" s="573" t="s">
        <v>1127</v>
      </c>
      <c r="F34" s="590">
        <v>6</v>
      </c>
      <c r="G34" s="590">
        <v>0</v>
      </c>
      <c r="H34" s="590"/>
      <c r="I34" s="590">
        <v>0</v>
      </c>
      <c r="J34" s="590"/>
      <c r="K34" s="590"/>
      <c r="L34" s="590"/>
      <c r="M34" s="590"/>
      <c r="N34" s="590"/>
      <c r="O34" s="590"/>
      <c r="P34" s="578"/>
      <c r="Q34" s="591"/>
    </row>
    <row r="35" spans="1:17" ht="14.4" customHeight="1" x14ac:dyDescent="0.3">
      <c r="A35" s="572" t="s">
        <v>452</v>
      </c>
      <c r="B35" s="573" t="s">
        <v>1176</v>
      </c>
      <c r="C35" s="573" t="s">
        <v>1107</v>
      </c>
      <c r="D35" s="573" t="s">
        <v>1183</v>
      </c>
      <c r="E35" s="573" t="s">
        <v>1073</v>
      </c>
      <c r="F35" s="590">
        <v>887</v>
      </c>
      <c r="G35" s="590">
        <v>0</v>
      </c>
      <c r="H35" s="590"/>
      <c r="I35" s="590">
        <v>0</v>
      </c>
      <c r="J35" s="590"/>
      <c r="K35" s="590"/>
      <c r="L35" s="590"/>
      <c r="M35" s="590"/>
      <c r="N35" s="590"/>
      <c r="O35" s="590"/>
      <c r="P35" s="578"/>
      <c r="Q35" s="591"/>
    </row>
    <row r="36" spans="1:17" ht="14.4" customHeight="1" x14ac:dyDescent="0.3">
      <c r="A36" s="572" t="s">
        <v>452</v>
      </c>
      <c r="B36" s="573" t="s">
        <v>1176</v>
      </c>
      <c r="C36" s="573" t="s">
        <v>1107</v>
      </c>
      <c r="D36" s="573" t="s">
        <v>1183</v>
      </c>
      <c r="E36" s="573" t="s">
        <v>1184</v>
      </c>
      <c r="F36" s="590">
        <v>1974</v>
      </c>
      <c r="G36" s="590">
        <v>0</v>
      </c>
      <c r="H36" s="590"/>
      <c r="I36" s="590">
        <v>0</v>
      </c>
      <c r="J36" s="590"/>
      <c r="K36" s="590"/>
      <c r="L36" s="590"/>
      <c r="M36" s="590"/>
      <c r="N36" s="590"/>
      <c r="O36" s="590"/>
      <c r="P36" s="578"/>
      <c r="Q36" s="591"/>
    </row>
    <row r="37" spans="1:17" ht="14.4" customHeight="1" x14ac:dyDescent="0.3">
      <c r="A37" s="572" t="s">
        <v>452</v>
      </c>
      <c r="B37" s="573" t="s">
        <v>1176</v>
      </c>
      <c r="C37" s="573" t="s">
        <v>1107</v>
      </c>
      <c r="D37" s="573" t="s">
        <v>1140</v>
      </c>
      <c r="E37" s="573" t="s">
        <v>1141</v>
      </c>
      <c r="F37" s="590">
        <v>435</v>
      </c>
      <c r="G37" s="590">
        <v>143550</v>
      </c>
      <c r="H37" s="590">
        <v>1</v>
      </c>
      <c r="I37" s="590">
        <v>330</v>
      </c>
      <c r="J37" s="590"/>
      <c r="K37" s="590"/>
      <c r="L37" s="590"/>
      <c r="M37" s="590"/>
      <c r="N37" s="590"/>
      <c r="O37" s="590"/>
      <c r="P37" s="578"/>
      <c r="Q37" s="591"/>
    </row>
    <row r="38" spans="1:17" ht="14.4" customHeight="1" x14ac:dyDescent="0.3">
      <c r="A38" s="572" t="s">
        <v>452</v>
      </c>
      <c r="B38" s="573" t="s">
        <v>1176</v>
      </c>
      <c r="C38" s="573" t="s">
        <v>1107</v>
      </c>
      <c r="D38" s="573" t="s">
        <v>1152</v>
      </c>
      <c r="E38" s="573" t="s">
        <v>1153</v>
      </c>
      <c r="F38" s="590">
        <v>434</v>
      </c>
      <c r="G38" s="590">
        <v>280364</v>
      </c>
      <c r="H38" s="590">
        <v>1</v>
      </c>
      <c r="I38" s="590">
        <v>646</v>
      </c>
      <c r="J38" s="590"/>
      <c r="K38" s="590"/>
      <c r="L38" s="590"/>
      <c r="M38" s="590"/>
      <c r="N38" s="590"/>
      <c r="O38" s="590"/>
      <c r="P38" s="578"/>
      <c r="Q38" s="591"/>
    </row>
    <row r="39" spans="1:17" ht="14.4" customHeight="1" thickBot="1" x14ac:dyDescent="0.35">
      <c r="A39" s="580" t="s">
        <v>452</v>
      </c>
      <c r="B39" s="581" t="s">
        <v>1176</v>
      </c>
      <c r="C39" s="581" t="s">
        <v>1107</v>
      </c>
      <c r="D39" s="581" t="s">
        <v>1154</v>
      </c>
      <c r="E39" s="581" t="s">
        <v>1155</v>
      </c>
      <c r="F39" s="592">
        <v>56</v>
      </c>
      <c r="G39" s="592">
        <v>11816</v>
      </c>
      <c r="H39" s="592">
        <v>1</v>
      </c>
      <c r="I39" s="592">
        <v>211</v>
      </c>
      <c r="J39" s="592"/>
      <c r="K39" s="592"/>
      <c r="L39" s="592"/>
      <c r="M39" s="592"/>
      <c r="N39" s="592"/>
      <c r="O39" s="592"/>
      <c r="P39" s="586"/>
      <c r="Q39" s="59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43" customWidth="1"/>
    <col min="2" max="2" width="7.77734375" style="119" customWidth="1"/>
    <col min="3" max="3" width="7.21875" style="143" hidden="1" customWidth="1"/>
    <col min="4" max="4" width="7.77734375" style="119" customWidth="1"/>
    <col min="5" max="5" width="7.2187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7.21875" style="143" hidden="1" customWidth="1"/>
    <col min="10" max="10" width="7.77734375" style="119" customWidth="1"/>
    <col min="11" max="11" width="7.21875" style="143" hidden="1" customWidth="1"/>
    <col min="12" max="12" width="7.77734375" style="119" customWidth="1"/>
    <col min="13" max="13" width="7.77734375" style="225" customWidth="1"/>
    <col min="14" max="16384" width="8.88671875" style="143"/>
  </cols>
  <sheetData>
    <row r="1" spans="1:13" ht="18.600000000000001" customHeight="1" thickBot="1" x14ac:dyDescent="0.4">
      <c r="A1" s="352" t="s">
        <v>135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</row>
    <row r="3" spans="1:13" ht="14.4" customHeight="1" thickBot="1" x14ac:dyDescent="0.35">
      <c r="A3" s="235" t="s">
        <v>136</v>
      </c>
      <c r="B3" s="236">
        <f>SUBTOTAL(9,B6:B1048576)</f>
        <v>112468</v>
      </c>
      <c r="C3" s="237">
        <f t="shared" ref="C3:L3" si="0">SUBTOTAL(9,C6:C1048576)</f>
        <v>7</v>
      </c>
      <c r="D3" s="237">
        <f t="shared" si="0"/>
        <v>0</v>
      </c>
      <c r="E3" s="237">
        <f t="shared" si="0"/>
        <v>0</v>
      </c>
      <c r="F3" s="237">
        <f t="shared" si="0"/>
        <v>0</v>
      </c>
      <c r="G3" s="240">
        <f>IF(B3&lt;&gt;0,F3/B3,"")</f>
        <v>0</v>
      </c>
      <c r="H3" s="236">
        <f t="shared" si="0"/>
        <v>13438.609999999999</v>
      </c>
      <c r="I3" s="237">
        <f t="shared" si="0"/>
        <v>2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>
        <f>IF(H3&lt;&gt;0,L3/H3,"")</f>
        <v>0</v>
      </c>
    </row>
    <row r="4" spans="1:13" ht="14.4" customHeight="1" x14ac:dyDescent="0.3">
      <c r="A4" s="435" t="s">
        <v>97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</row>
    <row r="5" spans="1:13" s="223" customFormat="1" ht="14.4" customHeight="1" thickBot="1" x14ac:dyDescent="0.35">
      <c r="A5" s="664"/>
      <c r="B5" s="665">
        <v>2012</v>
      </c>
      <c r="C5" s="666"/>
      <c r="D5" s="666">
        <v>2013</v>
      </c>
      <c r="E5" s="666"/>
      <c r="F5" s="666">
        <v>2014</v>
      </c>
      <c r="G5" s="639" t="s">
        <v>2</v>
      </c>
      <c r="H5" s="665">
        <v>2012</v>
      </c>
      <c r="I5" s="666"/>
      <c r="J5" s="666">
        <v>2013</v>
      </c>
      <c r="K5" s="666"/>
      <c r="L5" s="666">
        <v>2014</v>
      </c>
      <c r="M5" s="639" t="s">
        <v>2</v>
      </c>
    </row>
    <row r="6" spans="1:13" ht="14.4" customHeight="1" x14ac:dyDescent="0.3">
      <c r="A6" s="597" t="s">
        <v>1186</v>
      </c>
      <c r="B6" s="640"/>
      <c r="C6" s="566"/>
      <c r="D6" s="640"/>
      <c r="E6" s="566"/>
      <c r="F6" s="640"/>
      <c r="G6" s="571"/>
      <c r="H6" s="640">
        <v>12572.48</v>
      </c>
      <c r="I6" s="566">
        <v>1</v>
      </c>
      <c r="J6" s="640"/>
      <c r="K6" s="566"/>
      <c r="L6" s="640"/>
      <c r="M6" s="135"/>
    </row>
    <row r="7" spans="1:13" ht="14.4" customHeight="1" x14ac:dyDescent="0.3">
      <c r="A7" s="598" t="s">
        <v>1187</v>
      </c>
      <c r="B7" s="647">
        <v>12362</v>
      </c>
      <c r="C7" s="573">
        <v>1</v>
      </c>
      <c r="D7" s="647"/>
      <c r="E7" s="573"/>
      <c r="F7" s="647"/>
      <c r="G7" s="578"/>
      <c r="H7" s="647"/>
      <c r="I7" s="573"/>
      <c r="J7" s="647"/>
      <c r="K7" s="573"/>
      <c r="L7" s="647"/>
      <c r="M7" s="579"/>
    </row>
    <row r="8" spans="1:13" ht="14.4" customHeight="1" x14ac:dyDescent="0.3">
      <c r="A8" s="598" t="s">
        <v>1188</v>
      </c>
      <c r="B8" s="647">
        <v>47123</v>
      </c>
      <c r="C8" s="573">
        <v>1</v>
      </c>
      <c r="D8" s="647"/>
      <c r="E8" s="573"/>
      <c r="F8" s="647"/>
      <c r="G8" s="578"/>
      <c r="H8" s="647"/>
      <c r="I8" s="573"/>
      <c r="J8" s="647"/>
      <c r="K8" s="573"/>
      <c r="L8" s="647"/>
      <c r="M8" s="579"/>
    </row>
    <row r="9" spans="1:13" ht="14.4" customHeight="1" x14ac:dyDescent="0.3">
      <c r="A9" s="598" t="s">
        <v>1189</v>
      </c>
      <c r="B9" s="647">
        <v>24142</v>
      </c>
      <c r="C9" s="573">
        <v>1</v>
      </c>
      <c r="D9" s="647">
        <v>0</v>
      </c>
      <c r="E9" s="573">
        <v>0</v>
      </c>
      <c r="F9" s="647"/>
      <c r="G9" s="578"/>
      <c r="H9" s="647">
        <v>866.13</v>
      </c>
      <c r="I9" s="573">
        <v>1</v>
      </c>
      <c r="J9" s="647"/>
      <c r="K9" s="573"/>
      <c r="L9" s="647"/>
      <c r="M9" s="579"/>
    </row>
    <row r="10" spans="1:13" ht="14.4" customHeight="1" x14ac:dyDescent="0.3">
      <c r="A10" s="598" t="s">
        <v>1190</v>
      </c>
      <c r="B10" s="647">
        <v>2375</v>
      </c>
      <c r="C10" s="573">
        <v>1</v>
      </c>
      <c r="D10" s="647"/>
      <c r="E10" s="573"/>
      <c r="F10" s="647"/>
      <c r="G10" s="578"/>
      <c r="H10" s="647"/>
      <c r="I10" s="573"/>
      <c r="J10" s="647"/>
      <c r="K10" s="573"/>
      <c r="L10" s="647"/>
      <c r="M10" s="579"/>
    </row>
    <row r="11" spans="1:13" ht="14.4" customHeight="1" x14ac:dyDescent="0.3">
      <c r="A11" s="598" t="s">
        <v>1191</v>
      </c>
      <c r="B11" s="647">
        <v>1576</v>
      </c>
      <c r="C11" s="573">
        <v>1</v>
      </c>
      <c r="D11" s="647"/>
      <c r="E11" s="573"/>
      <c r="F11" s="647"/>
      <c r="G11" s="578"/>
      <c r="H11" s="647"/>
      <c r="I11" s="573"/>
      <c r="J11" s="647"/>
      <c r="K11" s="573"/>
      <c r="L11" s="647"/>
      <c r="M11" s="579"/>
    </row>
    <row r="12" spans="1:13" ht="14.4" customHeight="1" x14ac:dyDescent="0.3">
      <c r="A12" s="598" t="s">
        <v>1192</v>
      </c>
      <c r="B12" s="647">
        <v>17136</v>
      </c>
      <c r="C12" s="573">
        <v>1</v>
      </c>
      <c r="D12" s="647"/>
      <c r="E12" s="573"/>
      <c r="F12" s="647"/>
      <c r="G12" s="578"/>
      <c r="H12" s="647"/>
      <c r="I12" s="573"/>
      <c r="J12" s="647"/>
      <c r="K12" s="573"/>
      <c r="L12" s="647"/>
      <c r="M12" s="579"/>
    </row>
    <row r="13" spans="1:13" ht="14.4" customHeight="1" thickBot="1" x14ac:dyDescent="0.35">
      <c r="A13" s="642" t="s">
        <v>1193</v>
      </c>
      <c r="B13" s="641">
        <v>7754</v>
      </c>
      <c r="C13" s="581">
        <v>1</v>
      </c>
      <c r="D13" s="641"/>
      <c r="E13" s="581"/>
      <c r="F13" s="641"/>
      <c r="G13" s="586"/>
      <c r="H13" s="641"/>
      <c r="I13" s="581"/>
      <c r="J13" s="641"/>
      <c r="K13" s="581"/>
      <c r="L13" s="641"/>
      <c r="M13" s="58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0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52" t="s">
        <v>1406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24"/>
      <c r="C2" s="124"/>
      <c r="D2" s="124"/>
      <c r="E2" s="124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2"/>
      <c r="Q2" s="245"/>
    </row>
    <row r="3" spans="1:17" ht="14.4" customHeight="1" thickBot="1" x14ac:dyDescent="0.35">
      <c r="E3" s="87" t="s">
        <v>136</v>
      </c>
      <c r="F3" s="113">
        <f t="shared" ref="F3:O3" si="0">SUBTOTAL(9,F6:F1048576)</f>
        <v>1210.08</v>
      </c>
      <c r="G3" s="117">
        <f t="shared" si="0"/>
        <v>125906.61</v>
      </c>
      <c r="H3" s="118"/>
      <c r="I3" s="118"/>
      <c r="J3" s="113">
        <f t="shared" si="0"/>
        <v>0</v>
      </c>
      <c r="K3" s="117">
        <f t="shared" si="0"/>
        <v>0</v>
      </c>
      <c r="L3" s="118"/>
      <c r="M3" s="118"/>
      <c r="N3" s="113">
        <f t="shared" si="0"/>
        <v>0</v>
      </c>
      <c r="O3" s="117">
        <f t="shared" si="0"/>
        <v>0</v>
      </c>
      <c r="P3" s="88">
        <f>IF(G3=0,"",O3/G3)</f>
        <v>0</v>
      </c>
      <c r="Q3" s="115" t="str">
        <f>IF(N3=0,"",O3/N3)</f>
        <v/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26" t="s">
        <v>71</v>
      </c>
      <c r="E4" s="427" t="s">
        <v>11</v>
      </c>
      <c r="F4" s="432">
        <v>2012</v>
      </c>
      <c r="G4" s="433"/>
      <c r="H4" s="116"/>
      <c r="I4" s="116"/>
      <c r="J4" s="432">
        <v>2013</v>
      </c>
      <c r="K4" s="433"/>
      <c r="L4" s="116"/>
      <c r="M4" s="116"/>
      <c r="N4" s="432">
        <v>2014</v>
      </c>
      <c r="O4" s="433"/>
      <c r="P4" s="434" t="s">
        <v>2</v>
      </c>
      <c r="Q4" s="423" t="s">
        <v>101</v>
      </c>
    </row>
    <row r="5" spans="1:17" ht="14.4" customHeight="1" thickBot="1" x14ac:dyDescent="0.35">
      <c r="A5" s="651"/>
      <c r="B5" s="650"/>
      <c r="C5" s="651"/>
      <c r="D5" s="652"/>
      <c r="E5" s="654"/>
      <c r="F5" s="660" t="s">
        <v>72</v>
      </c>
      <c r="G5" s="661" t="s">
        <v>14</v>
      </c>
      <c r="H5" s="662"/>
      <c r="I5" s="662"/>
      <c r="J5" s="660" t="s">
        <v>72</v>
      </c>
      <c r="K5" s="661" t="s">
        <v>14</v>
      </c>
      <c r="L5" s="662"/>
      <c r="M5" s="662"/>
      <c r="N5" s="660" t="s">
        <v>72</v>
      </c>
      <c r="O5" s="661" t="s">
        <v>14</v>
      </c>
      <c r="P5" s="663"/>
      <c r="Q5" s="659"/>
    </row>
    <row r="6" spans="1:17" ht="14.4" customHeight="1" x14ac:dyDescent="0.3">
      <c r="A6" s="565" t="s">
        <v>1194</v>
      </c>
      <c r="B6" s="566" t="s">
        <v>1195</v>
      </c>
      <c r="C6" s="566" t="s">
        <v>1196</v>
      </c>
      <c r="D6" s="566" t="s">
        <v>1197</v>
      </c>
      <c r="E6" s="566" t="s">
        <v>1073</v>
      </c>
      <c r="F6" s="129">
        <v>404</v>
      </c>
      <c r="G6" s="129">
        <v>12572.48</v>
      </c>
      <c r="H6" s="129">
        <v>1</v>
      </c>
      <c r="I6" s="129">
        <v>31.119999999999997</v>
      </c>
      <c r="J6" s="129"/>
      <c r="K6" s="129"/>
      <c r="L6" s="129"/>
      <c r="M6" s="129"/>
      <c r="N6" s="129"/>
      <c r="O6" s="129"/>
      <c r="P6" s="571"/>
      <c r="Q6" s="589"/>
    </row>
    <row r="7" spans="1:17" ht="14.4" customHeight="1" x14ac:dyDescent="0.3">
      <c r="A7" s="572" t="s">
        <v>1198</v>
      </c>
      <c r="B7" s="573" t="s">
        <v>1199</v>
      </c>
      <c r="C7" s="573" t="s">
        <v>1107</v>
      </c>
      <c r="D7" s="573" t="s">
        <v>1200</v>
      </c>
      <c r="E7" s="573" t="s">
        <v>1201</v>
      </c>
      <c r="F7" s="590">
        <v>162</v>
      </c>
      <c r="G7" s="590">
        <v>10368</v>
      </c>
      <c r="H7" s="590">
        <v>1</v>
      </c>
      <c r="I7" s="590">
        <v>64</v>
      </c>
      <c r="J7" s="590"/>
      <c r="K7" s="590"/>
      <c r="L7" s="590"/>
      <c r="M7" s="590"/>
      <c r="N7" s="590"/>
      <c r="O7" s="590"/>
      <c r="P7" s="578"/>
      <c r="Q7" s="591"/>
    </row>
    <row r="8" spans="1:17" ht="14.4" customHeight="1" x14ac:dyDescent="0.3">
      <c r="A8" s="572" t="s">
        <v>1198</v>
      </c>
      <c r="B8" s="573" t="s">
        <v>1199</v>
      </c>
      <c r="C8" s="573" t="s">
        <v>1107</v>
      </c>
      <c r="D8" s="573" t="s">
        <v>1202</v>
      </c>
      <c r="E8" s="573" t="s">
        <v>1203</v>
      </c>
      <c r="F8" s="590">
        <v>1</v>
      </c>
      <c r="G8" s="590">
        <v>23</v>
      </c>
      <c r="H8" s="590">
        <v>1</v>
      </c>
      <c r="I8" s="590">
        <v>23</v>
      </c>
      <c r="J8" s="590"/>
      <c r="K8" s="590"/>
      <c r="L8" s="590"/>
      <c r="M8" s="590"/>
      <c r="N8" s="590"/>
      <c r="O8" s="590"/>
      <c r="P8" s="578"/>
      <c r="Q8" s="591"/>
    </row>
    <row r="9" spans="1:17" ht="14.4" customHeight="1" x14ac:dyDescent="0.3">
      <c r="A9" s="572" t="s">
        <v>1198</v>
      </c>
      <c r="B9" s="573" t="s">
        <v>1199</v>
      </c>
      <c r="C9" s="573" t="s">
        <v>1107</v>
      </c>
      <c r="D9" s="573" t="s">
        <v>1204</v>
      </c>
      <c r="E9" s="573" t="s">
        <v>1205</v>
      </c>
      <c r="F9" s="590">
        <v>8</v>
      </c>
      <c r="G9" s="590">
        <v>616</v>
      </c>
      <c r="H9" s="590">
        <v>1</v>
      </c>
      <c r="I9" s="590">
        <v>77</v>
      </c>
      <c r="J9" s="590"/>
      <c r="K9" s="590"/>
      <c r="L9" s="590"/>
      <c r="M9" s="590"/>
      <c r="N9" s="590"/>
      <c r="O9" s="590"/>
      <c r="P9" s="578"/>
      <c r="Q9" s="591"/>
    </row>
    <row r="10" spans="1:17" ht="14.4" customHeight="1" x14ac:dyDescent="0.3">
      <c r="A10" s="572" t="s">
        <v>1198</v>
      </c>
      <c r="B10" s="573" t="s">
        <v>1199</v>
      </c>
      <c r="C10" s="573" t="s">
        <v>1107</v>
      </c>
      <c r="D10" s="573" t="s">
        <v>1206</v>
      </c>
      <c r="E10" s="573" t="s">
        <v>1207</v>
      </c>
      <c r="F10" s="590">
        <v>8</v>
      </c>
      <c r="G10" s="590">
        <v>176</v>
      </c>
      <c r="H10" s="590">
        <v>1</v>
      </c>
      <c r="I10" s="590">
        <v>22</v>
      </c>
      <c r="J10" s="590"/>
      <c r="K10" s="590"/>
      <c r="L10" s="590"/>
      <c r="M10" s="590"/>
      <c r="N10" s="590"/>
      <c r="O10" s="590"/>
      <c r="P10" s="578"/>
      <c r="Q10" s="591"/>
    </row>
    <row r="11" spans="1:17" ht="14.4" customHeight="1" x14ac:dyDescent="0.3">
      <c r="A11" s="572" t="s">
        <v>1198</v>
      </c>
      <c r="B11" s="573" t="s">
        <v>1199</v>
      </c>
      <c r="C11" s="573" t="s">
        <v>1107</v>
      </c>
      <c r="D11" s="573" t="s">
        <v>1208</v>
      </c>
      <c r="E11" s="573" t="s">
        <v>1209</v>
      </c>
      <c r="F11" s="590">
        <v>2</v>
      </c>
      <c r="G11" s="590">
        <v>418</v>
      </c>
      <c r="H11" s="590">
        <v>1</v>
      </c>
      <c r="I11" s="590">
        <v>209</v>
      </c>
      <c r="J11" s="590"/>
      <c r="K11" s="590"/>
      <c r="L11" s="590"/>
      <c r="M11" s="590"/>
      <c r="N11" s="590"/>
      <c r="O11" s="590"/>
      <c r="P11" s="578"/>
      <c r="Q11" s="591"/>
    </row>
    <row r="12" spans="1:17" ht="14.4" customHeight="1" x14ac:dyDescent="0.3">
      <c r="A12" s="572" t="s">
        <v>1198</v>
      </c>
      <c r="B12" s="573" t="s">
        <v>1199</v>
      </c>
      <c r="C12" s="573" t="s">
        <v>1107</v>
      </c>
      <c r="D12" s="573" t="s">
        <v>1210</v>
      </c>
      <c r="E12" s="573" t="s">
        <v>1211</v>
      </c>
      <c r="F12" s="590">
        <v>7</v>
      </c>
      <c r="G12" s="590">
        <v>161</v>
      </c>
      <c r="H12" s="590">
        <v>1</v>
      </c>
      <c r="I12" s="590">
        <v>23</v>
      </c>
      <c r="J12" s="590"/>
      <c r="K12" s="590"/>
      <c r="L12" s="590"/>
      <c r="M12" s="590"/>
      <c r="N12" s="590"/>
      <c r="O12" s="590"/>
      <c r="P12" s="578"/>
      <c r="Q12" s="591"/>
    </row>
    <row r="13" spans="1:17" ht="14.4" customHeight="1" x14ac:dyDescent="0.3">
      <c r="A13" s="572" t="s">
        <v>1198</v>
      </c>
      <c r="B13" s="573" t="s">
        <v>1199</v>
      </c>
      <c r="C13" s="573" t="s">
        <v>1107</v>
      </c>
      <c r="D13" s="573" t="s">
        <v>1212</v>
      </c>
      <c r="E13" s="573" t="s">
        <v>1213</v>
      </c>
      <c r="F13" s="590">
        <v>1</v>
      </c>
      <c r="G13" s="590">
        <v>216</v>
      </c>
      <c r="H13" s="590">
        <v>1</v>
      </c>
      <c r="I13" s="590">
        <v>216</v>
      </c>
      <c r="J13" s="590"/>
      <c r="K13" s="590"/>
      <c r="L13" s="590"/>
      <c r="M13" s="590"/>
      <c r="N13" s="590"/>
      <c r="O13" s="590"/>
      <c r="P13" s="578"/>
      <c r="Q13" s="591"/>
    </row>
    <row r="14" spans="1:17" ht="14.4" customHeight="1" x14ac:dyDescent="0.3">
      <c r="A14" s="572" t="s">
        <v>1198</v>
      </c>
      <c r="B14" s="573" t="s">
        <v>1199</v>
      </c>
      <c r="C14" s="573" t="s">
        <v>1107</v>
      </c>
      <c r="D14" s="573" t="s">
        <v>1214</v>
      </c>
      <c r="E14" s="573" t="s">
        <v>1215</v>
      </c>
      <c r="F14" s="590">
        <v>1</v>
      </c>
      <c r="G14" s="590">
        <v>384</v>
      </c>
      <c r="H14" s="590">
        <v>1</v>
      </c>
      <c r="I14" s="590">
        <v>384</v>
      </c>
      <c r="J14" s="590"/>
      <c r="K14" s="590"/>
      <c r="L14" s="590"/>
      <c r="M14" s="590"/>
      <c r="N14" s="590"/>
      <c r="O14" s="590"/>
      <c r="P14" s="578"/>
      <c r="Q14" s="591"/>
    </row>
    <row r="15" spans="1:17" ht="14.4" customHeight="1" x14ac:dyDescent="0.3">
      <c r="A15" s="572" t="s">
        <v>1216</v>
      </c>
      <c r="B15" s="573" t="s">
        <v>1217</v>
      </c>
      <c r="C15" s="573" t="s">
        <v>1107</v>
      </c>
      <c r="D15" s="573" t="s">
        <v>1218</v>
      </c>
      <c r="E15" s="573" t="s">
        <v>1219</v>
      </c>
      <c r="F15" s="590">
        <v>3</v>
      </c>
      <c r="G15" s="590">
        <v>81</v>
      </c>
      <c r="H15" s="590">
        <v>1</v>
      </c>
      <c r="I15" s="590">
        <v>27</v>
      </c>
      <c r="J15" s="590"/>
      <c r="K15" s="590"/>
      <c r="L15" s="590"/>
      <c r="M15" s="590"/>
      <c r="N15" s="590"/>
      <c r="O15" s="590"/>
      <c r="P15" s="578"/>
      <c r="Q15" s="591"/>
    </row>
    <row r="16" spans="1:17" ht="14.4" customHeight="1" x14ac:dyDescent="0.3">
      <c r="A16" s="572" t="s">
        <v>1216</v>
      </c>
      <c r="B16" s="573" t="s">
        <v>1217</v>
      </c>
      <c r="C16" s="573" t="s">
        <v>1107</v>
      </c>
      <c r="D16" s="573" t="s">
        <v>1220</v>
      </c>
      <c r="E16" s="573" t="s">
        <v>1221</v>
      </c>
      <c r="F16" s="590">
        <v>1</v>
      </c>
      <c r="G16" s="590">
        <v>54</v>
      </c>
      <c r="H16" s="590">
        <v>1</v>
      </c>
      <c r="I16" s="590">
        <v>54</v>
      </c>
      <c r="J16" s="590"/>
      <c r="K16" s="590"/>
      <c r="L16" s="590"/>
      <c r="M16" s="590"/>
      <c r="N16" s="590"/>
      <c r="O16" s="590"/>
      <c r="P16" s="578"/>
      <c r="Q16" s="591"/>
    </row>
    <row r="17" spans="1:17" ht="14.4" customHeight="1" x14ac:dyDescent="0.3">
      <c r="A17" s="572" t="s">
        <v>1216</v>
      </c>
      <c r="B17" s="573" t="s">
        <v>1217</v>
      </c>
      <c r="C17" s="573" t="s">
        <v>1107</v>
      </c>
      <c r="D17" s="573" t="s">
        <v>1222</v>
      </c>
      <c r="E17" s="573" t="s">
        <v>1223</v>
      </c>
      <c r="F17" s="590">
        <v>3</v>
      </c>
      <c r="G17" s="590">
        <v>72</v>
      </c>
      <c r="H17" s="590">
        <v>1</v>
      </c>
      <c r="I17" s="590">
        <v>24</v>
      </c>
      <c r="J17" s="590"/>
      <c r="K17" s="590"/>
      <c r="L17" s="590"/>
      <c r="M17" s="590"/>
      <c r="N17" s="590"/>
      <c r="O17" s="590"/>
      <c r="P17" s="578"/>
      <c r="Q17" s="591"/>
    </row>
    <row r="18" spans="1:17" ht="14.4" customHeight="1" x14ac:dyDescent="0.3">
      <c r="A18" s="572" t="s">
        <v>1216</v>
      </c>
      <c r="B18" s="573" t="s">
        <v>1217</v>
      </c>
      <c r="C18" s="573" t="s">
        <v>1107</v>
      </c>
      <c r="D18" s="573" t="s">
        <v>1224</v>
      </c>
      <c r="E18" s="573" t="s">
        <v>1225</v>
      </c>
      <c r="F18" s="590">
        <v>3</v>
      </c>
      <c r="G18" s="590">
        <v>81</v>
      </c>
      <c r="H18" s="590">
        <v>1</v>
      </c>
      <c r="I18" s="590">
        <v>27</v>
      </c>
      <c r="J18" s="590"/>
      <c r="K18" s="590"/>
      <c r="L18" s="590"/>
      <c r="M18" s="590"/>
      <c r="N18" s="590"/>
      <c r="O18" s="590"/>
      <c r="P18" s="578"/>
      <c r="Q18" s="591"/>
    </row>
    <row r="19" spans="1:17" ht="14.4" customHeight="1" x14ac:dyDescent="0.3">
      <c r="A19" s="572" t="s">
        <v>1216</v>
      </c>
      <c r="B19" s="573" t="s">
        <v>1217</v>
      </c>
      <c r="C19" s="573" t="s">
        <v>1107</v>
      </c>
      <c r="D19" s="573" t="s">
        <v>1226</v>
      </c>
      <c r="E19" s="573" t="s">
        <v>1227</v>
      </c>
      <c r="F19" s="590">
        <v>3</v>
      </c>
      <c r="G19" s="590">
        <v>81</v>
      </c>
      <c r="H19" s="590">
        <v>1</v>
      </c>
      <c r="I19" s="590">
        <v>27</v>
      </c>
      <c r="J19" s="590"/>
      <c r="K19" s="590"/>
      <c r="L19" s="590"/>
      <c r="M19" s="590"/>
      <c r="N19" s="590"/>
      <c r="O19" s="590"/>
      <c r="P19" s="578"/>
      <c r="Q19" s="591"/>
    </row>
    <row r="20" spans="1:17" ht="14.4" customHeight="1" x14ac:dyDescent="0.3">
      <c r="A20" s="572" t="s">
        <v>1216</v>
      </c>
      <c r="B20" s="573" t="s">
        <v>1217</v>
      </c>
      <c r="C20" s="573" t="s">
        <v>1107</v>
      </c>
      <c r="D20" s="573" t="s">
        <v>1228</v>
      </c>
      <c r="E20" s="573" t="s">
        <v>1229</v>
      </c>
      <c r="F20" s="590">
        <v>3</v>
      </c>
      <c r="G20" s="590">
        <v>66</v>
      </c>
      <c r="H20" s="590">
        <v>1</v>
      </c>
      <c r="I20" s="590">
        <v>22</v>
      </c>
      <c r="J20" s="590"/>
      <c r="K20" s="590"/>
      <c r="L20" s="590"/>
      <c r="M20" s="590"/>
      <c r="N20" s="590"/>
      <c r="O20" s="590"/>
      <c r="P20" s="578"/>
      <c r="Q20" s="591"/>
    </row>
    <row r="21" spans="1:17" ht="14.4" customHeight="1" x14ac:dyDescent="0.3">
      <c r="A21" s="572" t="s">
        <v>1216</v>
      </c>
      <c r="B21" s="573" t="s">
        <v>1217</v>
      </c>
      <c r="C21" s="573" t="s">
        <v>1107</v>
      </c>
      <c r="D21" s="573" t="s">
        <v>1230</v>
      </c>
      <c r="E21" s="573" t="s">
        <v>1231</v>
      </c>
      <c r="F21" s="590">
        <v>1</v>
      </c>
      <c r="G21" s="590">
        <v>68</v>
      </c>
      <c r="H21" s="590">
        <v>1</v>
      </c>
      <c r="I21" s="590">
        <v>68</v>
      </c>
      <c r="J21" s="590"/>
      <c r="K21" s="590"/>
      <c r="L21" s="590"/>
      <c r="M21" s="590"/>
      <c r="N21" s="590"/>
      <c r="O21" s="590"/>
      <c r="P21" s="578"/>
      <c r="Q21" s="591"/>
    </row>
    <row r="22" spans="1:17" ht="14.4" customHeight="1" x14ac:dyDescent="0.3">
      <c r="A22" s="572" t="s">
        <v>1216</v>
      </c>
      <c r="B22" s="573" t="s">
        <v>1217</v>
      </c>
      <c r="C22" s="573" t="s">
        <v>1107</v>
      </c>
      <c r="D22" s="573" t="s">
        <v>1232</v>
      </c>
      <c r="E22" s="573" t="s">
        <v>1233</v>
      </c>
      <c r="F22" s="590">
        <v>2</v>
      </c>
      <c r="G22" s="590">
        <v>1974</v>
      </c>
      <c r="H22" s="590">
        <v>1</v>
      </c>
      <c r="I22" s="590">
        <v>987</v>
      </c>
      <c r="J22" s="590"/>
      <c r="K22" s="590"/>
      <c r="L22" s="590"/>
      <c r="M22" s="590"/>
      <c r="N22" s="590"/>
      <c r="O22" s="590"/>
      <c r="P22" s="578"/>
      <c r="Q22" s="591"/>
    </row>
    <row r="23" spans="1:17" ht="14.4" customHeight="1" x14ac:dyDescent="0.3">
      <c r="A23" s="572" t="s">
        <v>1216</v>
      </c>
      <c r="B23" s="573" t="s">
        <v>1217</v>
      </c>
      <c r="C23" s="573" t="s">
        <v>1107</v>
      </c>
      <c r="D23" s="573" t="s">
        <v>1234</v>
      </c>
      <c r="E23" s="573" t="s">
        <v>1235</v>
      </c>
      <c r="F23" s="590">
        <v>8</v>
      </c>
      <c r="G23" s="590">
        <v>504</v>
      </c>
      <c r="H23" s="590">
        <v>1</v>
      </c>
      <c r="I23" s="590">
        <v>63</v>
      </c>
      <c r="J23" s="590"/>
      <c r="K23" s="590"/>
      <c r="L23" s="590"/>
      <c r="M23" s="590"/>
      <c r="N23" s="590"/>
      <c r="O23" s="590"/>
      <c r="P23" s="578"/>
      <c r="Q23" s="591"/>
    </row>
    <row r="24" spans="1:17" ht="14.4" customHeight="1" x14ac:dyDescent="0.3">
      <c r="A24" s="572" t="s">
        <v>1216</v>
      </c>
      <c r="B24" s="573" t="s">
        <v>1217</v>
      </c>
      <c r="C24" s="573" t="s">
        <v>1107</v>
      </c>
      <c r="D24" s="573" t="s">
        <v>1236</v>
      </c>
      <c r="E24" s="573" t="s">
        <v>1237</v>
      </c>
      <c r="F24" s="590">
        <v>2</v>
      </c>
      <c r="G24" s="590">
        <v>34</v>
      </c>
      <c r="H24" s="590">
        <v>1</v>
      </c>
      <c r="I24" s="590">
        <v>17</v>
      </c>
      <c r="J24" s="590"/>
      <c r="K24" s="590"/>
      <c r="L24" s="590"/>
      <c r="M24" s="590"/>
      <c r="N24" s="590"/>
      <c r="O24" s="590"/>
      <c r="P24" s="578"/>
      <c r="Q24" s="591"/>
    </row>
    <row r="25" spans="1:17" ht="14.4" customHeight="1" x14ac:dyDescent="0.3">
      <c r="A25" s="572" t="s">
        <v>1216</v>
      </c>
      <c r="B25" s="573" t="s">
        <v>1217</v>
      </c>
      <c r="C25" s="573" t="s">
        <v>1107</v>
      </c>
      <c r="D25" s="573" t="s">
        <v>1238</v>
      </c>
      <c r="E25" s="573" t="s">
        <v>1239</v>
      </c>
      <c r="F25" s="590">
        <v>1</v>
      </c>
      <c r="G25" s="590">
        <v>107</v>
      </c>
      <c r="H25" s="590">
        <v>1</v>
      </c>
      <c r="I25" s="590">
        <v>107</v>
      </c>
      <c r="J25" s="590"/>
      <c r="K25" s="590"/>
      <c r="L25" s="590"/>
      <c r="M25" s="590"/>
      <c r="N25" s="590"/>
      <c r="O25" s="590"/>
      <c r="P25" s="578"/>
      <c r="Q25" s="591"/>
    </row>
    <row r="26" spans="1:17" ht="14.4" customHeight="1" x14ac:dyDescent="0.3">
      <c r="A26" s="572" t="s">
        <v>1216</v>
      </c>
      <c r="B26" s="573" t="s">
        <v>1217</v>
      </c>
      <c r="C26" s="573" t="s">
        <v>1107</v>
      </c>
      <c r="D26" s="573" t="s">
        <v>1240</v>
      </c>
      <c r="E26" s="573" t="s">
        <v>1241</v>
      </c>
      <c r="F26" s="590">
        <v>53</v>
      </c>
      <c r="G26" s="590">
        <v>3180</v>
      </c>
      <c r="H26" s="590">
        <v>1</v>
      </c>
      <c r="I26" s="590">
        <v>60</v>
      </c>
      <c r="J26" s="590"/>
      <c r="K26" s="590"/>
      <c r="L26" s="590"/>
      <c r="M26" s="590"/>
      <c r="N26" s="590"/>
      <c r="O26" s="590"/>
      <c r="P26" s="578"/>
      <c r="Q26" s="591"/>
    </row>
    <row r="27" spans="1:17" ht="14.4" customHeight="1" x14ac:dyDescent="0.3">
      <c r="A27" s="572" t="s">
        <v>1216</v>
      </c>
      <c r="B27" s="573" t="s">
        <v>1217</v>
      </c>
      <c r="C27" s="573" t="s">
        <v>1107</v>
      </c>
      <c r="D27" s="573" t="s">
        <v>1242</v>
      </c>
      <c r="E27" s="573" t="s">
        <v>1243</v>
      </c>
      <c r="F27" s="590">
        <v>1</v>
      </c>
      <c r="G27" s="590">
        <v>96</v>
      </c>
      <c r="H27" s="590">
        <v>1</v>
      </c>
      <c r="I27" s="590">
        <v>96</v>
      </c>
      <c r="J27" s="590"/>
      <c r="K27" s="590"/>
      <c r="L27" s="590"/>
      <c r="M27" s="590"/>
      <c r="N27" s="590"/>
      <c r="O27" s="590"/>
      <c r="P27" s="578"/>
      <c r="Q27" s="591"/>
    </row>
    <row r="28" spans="1:17" ht="14.4" customHeight="1" x14ac:dyDescent="0.3">
      <c r="A28" s="572" t="s">
        <v>1216</v>
      </c>
      <c r="B28" s="573" t="s">
        <v>1217</v>
      </c>
      <c r="C28" s="573" t="s">
        <v>1107</v>
      </c>
      <c r="D28" s="573" t="s">
        <v>1244</v>
      </c>
      <c r="E28" s="573" t="s">
        <v>1245</v>
      </c>
      <c r="F28" s="590">
        <v>1</v>
      </c>
      <c r="G28" s="590">
        <v>60</v>
      </c>
      <c r="H28" s="590">
        <v>1</v>
      </c>
      <c r="I28" s="590">
        <v>60</v>
      </c>
      <c r="J28" s="590"/>
      <c r="K28" s="590"/>
      <c r="L28" s="590"/>
      <c r="M28" s="590"/>
      <c r="N28" s="590"/>
      <c r="O28" s="590"/>
      <c r="P28" s="578"/>
      <c r="Q28" s="591"/>
    </row>
    <row r="29" spans="1:17" ht="14.4" customHeight="1" x14ac:dyDescent="0.3">
      <c r="A29" s="572" t="s">
        <v>1216</v>
      </c>
      <c r="B29" s="573" t="s">
        <v>1217</v>
      </c>
      <c r="C29" s="573" t="s">
        <v>1107</v>
      </c>
      <c r="D29" s="573" t="s">
        <v>1246</v>
      </c>
      <c r="E29" s="573" t="s">
        <v>1247</v>
      </c>
      <c r="F29" s="590">
        <v>2</v>
      </c>
      <c r="G29" s="590">
        <v>38</v>
      </c>
      <c r="H29" s="590">
        <v>1</v>
      </c>
      <c r="I29" s="590">
        <v>19</v>
      </c>
      <c r="J29" s="590"/>
      <c r="K29" s="590"/>
      <c r="L29" s="590"/>
      <c r="M29" s="590"/>
      <c r="N29" s="590"/>
      <c r="O29" s="590"/>
      <c r="P29" s="578"/>
      <c r="Q29" s="591"/>
    </row>
    <row r="30" spans="1:17" ht="14.4" customHeight="1" x14ac:dyDescent="0.3">
      <c r="A30" s="572" t="s">
        <v>1216</v>
      </c>
      <c r="B30" s="573" t="s">
        <v>1217</v>
      </c>
      <c r="C30" s="573" t="s">
        <v>1107</v>
      </c>
      <c r="D30" s="573" t="s">
        <v>1248</v>
      </c>
      <c r="E30" s="573" t="s">
        <v>1249</v>
      </c>
      <c r="F30" s="590">
        <v>1</v>
      </c>
      <c r="G30" s="590">
        <v>1207</v>
      </c>
      <c r="H30" s="590">
        <v>1</v>
      </c>
      <c r="I30" s="590">
        <v>1207</v>
      </c>
      <c r="J30" s="590"/>
      <c r="K30" s="590"/>
      <c r="L30" s="590"/>
      <c r="M30" s="590"/>
      <c r="N30" s="590"/>
      <c r="O30" s="590"/>
      <c r="P30" s="578"/>
      <c r="Q30" s="591"/>
    </row>
    <row r="31" spans="1:17" ht="14.4" customHeight="1" x14ac:dyDescent="0.3">
      <c r="A31" s="572" t="s">
        <v>1216</v>
      </c>
      <c r="B31" s="573" t="s">
        <v>1217</v>
      </c>
      <c r="C31" s="573" t="s">
        <v>1107</v>
      </c>
      <c r="D31" s="573" t="s">
        <v>1250</v>
      </c>
      <c r="E31" s="573" t="s">
        <v>1251</v>
      </c>
      <c r="F31" s="590">
        <v>2</v>
      </c>
      <c r="G31" s="590">
        <v>1192</v>
      </c>
      <c r="H31" s="590">
        <v>1</v>
      </c>
      <c r="I31" s="590">
        <v>596</v>
      </c>
      <c r="J31" s="590"/>
      <c r="K31" s="590"/>
      <c r="L31" s="590"/>
      <c r="M31" s="590"/>
      <c r="N31" s="590"/>
      <c r="O31" s="590"/>
      <c r="P31" s="578"/>
      <c r="Q31" s="591"/>
    </row>
    <row r="32" spans="1:17" ht="14.4" customHeight="1" x14ac:dyDescent="0.3">
      <c r="A32" s="572" t="s">
        <v>1216</v>
      </c>
      <c r="B32" s="573" t="s">
        <v>1217</v>
      </c>
      <c r="C32" s="573" t="s">
        <v>1107</v>
      </c>
      <c r="D32" s="573" t="s">
        <v>1252</v>
      </c>
      <c r="E32" s="573" t="s">
        <v>1253</v>
      </c>
      <c r="F32" s="590">
        <v>2</v>
      </c>
      <c r="G32" s="590">
        <v>312</v>
      </c>
      <c r="H32" s="590">
        <v>1</v>
      </c>
      <c r="I32" s="590">
        <v>156</v>
      </c>
      <c r="J32" s="590"/>
      <c r="K32" s="590"/>
      <c r="L32" s="590"/>
      <c r="M32" s="590"/>
      <c r="N32" s="590"/>
      <c r="O32" s="590"/>
      <c r="P32" s="578"/>
      <c r="Q32" s="591"/>
    </row>
    <row r="33" spans="1:17" ht="14.4" customHeight="1" x14ac:dyDescent="0.3">
      <c r="A33" s="572" t="s">
        <v>1216</v>
      </c>
      <c r="B33" s="573" t="s">
        <v>1217</v>
      </c>
      <c r="C33" s="573" t="s">
        <v>1107</v>
      </c>
      <c r="D33" s="573" t="s">
        <v>1254</v>
      </c>
      <c r="E33" s="573" t="s">
        <v>1255</v>
      </c>
      <c r="F33" s="590">
        <v>6</v>
      </c>
      <c r="G33" s="590">
        <v>780</v>
      </c>
      <c r="H33" s="590">
        <v>1</v>
      </c>
      <c r="I33" s="590">
        <v>130</v>
      </c>
      <c r="J33" s="590"/>
      <c r="K33" s="590"/>
      <c r="L33" s="590"/>
      <c r="M33" s="590"/>
      <c r="N33" s="590"/>
      <c r="O33" s="590"/>
      <c r="P33" s="578"/>
      <c r="Q33" s="591"/>
    </row>
    <row r="34" spans="1:17" ht="14.4" customHeight="1" x14ac:dyDescent="0.3">
      <c r="A34" s="572" t="s">
        <v>1216</v>
      </c>
      <c r="B34" s="573" t="s">
        <v>1217</v>
      </c>
      <c r="C34" s="573" t="s">
        <v>1107</v>
      </c>
      <c r="D34" s="573" t="s">
        <v>1256</v>
      </c>
      <c r="E34" s="573" t="s">
        <v>1257</v>
      </c>
      <c r="F34" s="590">
        <v>3</v>
      </c>
      <c r="G34" s="590">
        <v>87</v>
      </c>
      <c r="H34" s="590">
        <v>1</v>
      </c>
      <c r="I34" s="590">
        <v>29</v>
      </c>
      <c r="J34" s="590"/>
      <c r="K34" s="590"/>
      <c r="L34" s="590"/>
      <c r="M34" s="590"/>
      <c r="N34" s="590"/>
      <c r="O34" s="590"/>
      <c r="P34" s="578"/>
      <c r="Q34" s="591"/>
    </row>
    <row r="35" spans="1:17" ht="14.4" customHeight="1" x14ac:dyDescent="0.3">
      <c r="A35" s="572" t="s">
        <v>1216</v>
      </c>
      <c r="B35" s="573" t="s">
        <v>1217</v>
      </c>
      <c r="C35" s="573" t="s">
        <v>1107</v>
      </c>
      <c r="D35" s="573" t="s">
        <v>1258</v>
      </c>
      <c r="E35" s="573" t="s">
        <v>1259</v>
      </c>
      <c r="F35" s="590">
        <v>53</v>
      </c>
      <c r="G35" s="590">
        <v>2650</v>
      </c>
      <c r="H35" s="590">
        <v>1</v>
      </c>
      <c r="I35" s="590">
        <v>50</v>
      </c>
      <c r="J35" s="590"/>
      <c r="K35" s="590"/>
      <c r="L35" s="590"/>
      <c r="M35" s="590"/>
      <c r="N35" s="590"/>
      <c r="O35" s="590"/>
      <c r="P35" s="578"/>
      <c r="Q35" s="591"/>
    </row>
    <row r="36" spans="1:17" ht="14.4" customHeight="1" x14ac:dyDescent="0.3">
      <c r="A36" s="572" t="s">
        <v>1216</v>
      </c>
      <c r="B36" s="573" t="s">
        <v>1217</v>
      </c>
      <c r="C36" s="573" t="s">
        <v>1107</v>
      </c>
      <c r="D36" s="573" t="s">
        <v>1260</v>
      </c>
      <c r="E36" s="573" t="s">
        <v>1261</v>
      </c>
      <c r="F36" s="590">
        <v>17</v>
      </c>
      <c r="G36" s="590">
        <v>3060</v>
      </c>
      <c r="H36" s="590">
        <v>1</v>
      </c>
      <c r="I36" s="590">
        <v>180</v>
      </c>
      <c r="J36" s="590"/>
      <c r="K36" s="590"/>
      <c r="L36" s="590"/>
      <c r="M36" s="590"/>
      <c r="N36" s="590"/>
      <c r="O36" s="590"/>
      <c r="P36" s="578"/>
      <c r="Q36" s="591"/>
    </row>
    <row r="37" spans="1:17" ht="14.4" customHeight="1" x14ac:dyDescent="0.3">
      <c r="A37" s="572" t="s">
        <v>1216</v>
      </c>
      <c r="B37" s="573" t="s">
        <v>1217</v>
      </c>
      <c r="C37" s="573" t="s">
        <v>1107</v>
      </c>
      <c r="D37" s="573" t="s">
        <v>1262</v>
      </c>
      <c r="E37" s="573" t="s">
        <v>1263</v>
      </c>
      <c r="F37" s="590">
        <v>4</v>
      </c>
      <c r="G37" s="590">
        <v>284</v>
      </c>
      <c r="H37" s="590">
        <v>1</v>
      </c>
      <c r="I37" s="590">
        <v>71</v>
      </c>
      <c r="J37" s="590"/>
      <c r="K37" s="590"/>
      <c r="L37" s="590"/>
      <c r="M37" s="590"/>
      <c r="N37" s="590"/>
      <c r="O37" s="590"/>
      <c r="P37" s="578"/>
      <c r="Q37" s="591"/>
    </row>
    <row r="38" spans="1:17" ht="14.4" customHeight="1" x14ac:dyDescent="0.3">
      <c r="A38" s="572" t="s">
        <v>1216</v>
      </c>
      <c r="B38" s="573" t="s">
        <v>1217</v>
      </c>
      <c r="C38" s="573" t="s">
        <v>1107</v>
      </c>
      <c r="D38" s="573" t="s">
        <v>1264</v>
      </c>
      <c r="E38" s="573" t="s">
        <v>1265</v>
      </c>
      <c r="F38" s="590">
        <v>1</v>
      </c>
      <c r="G38" s="590">
        <v>181</v>
      </c>
      <c r="H38" s="590">
        <v>1</v>
      </c>
      <c r="I38" s="590">
        <v>181</v>
      </c>
      <c r="J38" s="590"/>
      <c r="K38" s="590"/>
      <c r="L38" s="590"/>
      <c r="M38" s="590"/>
      <c r="N38" s="590"/>
      <c r="O38" s="590"/>
      <c r="P38" s="578"/>
      <c r="Q38" s="591"/>
    </row>
    <row r="39" spans="1:17" ht="14.4" customHeight="1" x14ac:dyDescent="0.3">
      <c r="A39" s="572" t="s">
        <v>1216</v>
      </c>
      <c r="B39" s="573" t="s">
        <v>1217</v>
      </c>
      <c r="C39" s="573" t="s">
        <v>1107</v>
      </c>
      <c r="D39" s="573" t="s">
        <v>1266</v>
      </c>
      <c r="E39" s="573" t="s">
        <v>1267</v>
      </c>
      <c r="F39" s="590">
        <v>119</v>
      </c>
      <c r="G39" s="590">
        <v>17493</v>
      </c>
      <c r="H39" s="590">
        <v>1</v>
      </c>
      <c r="I39" s="590">
        <v>147</v>
      </c>
      <c r="J39" s="590"/>
      <c r="K39" s="590"/>
      <c r="L39" s="590"/>
      <c r="M39" s="590"/>
      <c r="N39" s="590"/>
      <c r="O39" s="590"/>
      <c r="P39" s="578"/>
      <c r="Q39" s="591"/>
    </row>
    <row r="40" spans="1:17" ht="14.4" customHeight="1" x14ac:dyDescent="0.3">
      <c r="A40" s="572" t="s">
        <v>1216</v>
      </c>
      <c r="B40" s="573" t="s">
        <v>1217</v>
      </c>
      <c r="C40" s="573" t="s">
        <v>1107</v>
      </c>
      <c r="D40" s="573" t="s">
        <v>1268</v>
      </c>
      <c r="E40" s="573" t="s">
        <v>1269</v>
      </c>
      <c r="F40" s="590">
        <v>4</v>
      </c>
      <c r="G40" s="590">
        <v>116</v>
      </c>
      <c r="H40" s="590">
        <v>1</v>
      </c>
      <c r="I40" s="590">
        <v>29</v>
      </c>
      <c r="J40" s="590"/>
      <c r="K40" s="590"/>
      <c r="L40" s="590"/>
      <c r="M40" s="590"/>
      <c r="N40" s="590"/>
      <c r="O40" s="590"/>
      <c r="P40" s="578"/>
      <c r="Q40" s="591"/>
    </row>
    <row r="41" spans="1:17" ht="14.4" customHeight="1" x14ac:dyDescent="0.3">
      <c r="A41" s="572" t="s">
        <v>1216</v>
      </c>
      <c r="B41" s="573" t="s">
        <v>1217</v>
      </c>
      <c r="C41" s="573" t="s">
        <v>1107</v>
      </c>
      <c r="D41" s="573" t="s">
        <v>1270</v>
      </c>
      <c r="E41" s="573" t="s">
        <v>1271</v>
      </c>
      <c r="F41" s="590">
        <v>2</v>
      </c>
      <c r="G41" s="590">
        <v>62</v>
      </c>
      <c r="H41" s="590">
        <v>1</v>
      </c>
      <c r="I41" s="590">
        <v>31</v>
      </c>
      <c r="J41" s="590"/>
      <c r="K41" s="590"/>
      <c r="L41" s="590"/>
      <c r="M41" s="590"/>
      <c r="N41" s="590"/>
      <c r="O41" s="590"/>
      <c r="P41" s="578"/>
      <c r="Q41" s="591"/>
    </row>
    <row r="42" spans="1:17" ht="14.4" customHeight="1" x14ac:dyDescent="0.3">
      <c r="A42" s="572" t="s">
        <v>1216</v>
      </c>
      <c r="B42" s="573" t="s">
        <v>1217</v>
      </c>
      <c r="C42" s="573" t="s">
        <v>1107</v>
      </c>
      <c r="D42" s="573" t="s">
        <v>1272</v>
      </c>
      <c r="E42" s="573" t="s">
        <v>1273</v>
      </c>
      <c r="F42" s="590">
        <v>3</v>
      </c>
      <c r="G42" s="590">
        <v>81</v>
      </c>
      <c r="H42" s="590">
        <v>1</v>
      </c>
      <c r="I42" s="590">
        <v>27</v>
      </c>
      <c r="J42" s="590"/>
      <c r="K42" s="590"/>
      <c r="L42" s="590"/>
      <c r="M42" s="590"/>
      <c r="N42" s="590"/>
      <c r="O42" s="590"/>
      <c r="P42" s="578"/>
      <c r="Q42" s="591"/>
    </row>
    <row r="43" spans="1:17" ht="14.4" customHeight="1" x14ac:dyDescent="0.3">
      <c r="A43" s="572" t="s">
        <v>1216</v>
      </c>
      <c r="B43" s="573" t="s">
        <v>1217</v>
      </c>
      <c r="C43" s="573" t="s">
        <v>1107</v>
      </c>
      <c r="D43" s="573" t="s">
        <v>1274</v>
      </c>
      <c r="E43" s="573" t="s">
        <v>1275</v>
      </c>
      <c r="F43" s="590">
        <v>11</v>
      </c>
      <c r="G43" s="590">
        <v>2783</v>
      </c>
      <c r="H43" s="590">
        <v>1</v>
      </c>
      <c r="I43" s="590">
        <v>253</v>
      </c>
      <c r="J43" s="590"/>
      <c r="K43" s="590"/>
      <c r="L43" s="590"/>
      <c r="M43" s="590"/>
      <c r="N43" s="590"/>
      <c r="O43" s="590"/>
      <c r="P43" s="578"/>
      <c r="Q43" s="591"/>
    </row>
    <row r="44" spans="1:17" ht="14.4" customHeight="1" x14ac:dyDescent="0.3">
      <c r="A44" s="572" t="s">
        <v>1216</v>
      </c>
      <c r="B44" s="573" t="s">
        <v>1217</v>
      </c>
      <c r="C44" s="573" t="s">
        <v>1107</v>
      </c>
      <c r="D44" s="573" t="s">
        <v>1276</v>
      </c>
      <c r="E44" s="573" t="s">
        <v>1277</v>
      </c>
      <c r="F44" s="590">
        <v>3</v>
      </c>
      <c r="G44" s="590">
        <v>75</v>
      </c>
      <c r="H44" s="590">
        <v>1</v>
      </c>
      <c r="I44" s="590">
        <v>25</v>
      </c>
      <c r="J44" s="590"/>
      <c r="K44" s="590"/>
      <c r="L44" s="590"/>
      <c r="M44" s="590"/>
      <c r="N44" s="590"/>
      <c r="O44" s="590"/>
      <c r="P44" s="578"/>
      <c r="Q44" s="591"/>
    </row>
    <row r="45" spans="1:17" ht="14.4" customHeight="1" x14ac:dyDescent="0.3">
      <c r="A45" s="572" t="s">
        <v>1216</v>
      </c>
      <c r="B45" s="573" t="s">
        <v>1217</v>
      </c>
      <c r="C45" s="573" t="s">
        <v>1107</v>
      </c>
      <c r="D45" s="573" t="s">
        <v>1278</v>
      </c>
      <c r="E45" s="573" t="s">
        <v>1279</v>
      </c>
      <c r="F45" s="590">
        <v>1</v>
      </c>
      <c r="G45" s="590">
        <v>30</v>
      </c>
      <c r="H45" s="590">
        <v>1</v>
      </c>
      <c r="I45" s="590">
        <v>30</v>
      </c>
      <c r="J45" s="590"/>
      <c r="K45" s="590"/>
      <c r="L45" s="590"/>
      <c r="M45" s="590"/>
      <c r="N45" s="590"/>
      <c r="O45" s="590"/>
      <c r="P45" s="578"/>
      <c r="Q45" s="591"/>
    </row>
    <row r="46" spans="1:17" ht="14.4" customHeight="1" x14ac:dyDescent="0.3">
      <c r="A46" s="572" t="s">
        <v>1216</v>
      </c>
      <c r="B46" s="573" t="s">
        <v>1217</v>
      </c>
      <c r="C46" s="573" t="s">
        <v>1107</v>
      </c>
      <c r="D46" s="573" t="s">
        <v>1280</v>
      </c>
      <c r="E46" s="573" t="s">
        <v>1281</v>
      </c>
      <c r="F46" s="590">
        <v>15</v>
      </c>
      <c r="G46" s="590">
        <v>3060</v>
      </c>
      <c r="H46" s="590">
        <v>1</v>
      </c>
      <c r="I46" s="590">
        <v>204</v>
      </c>
      <c r="J46" s="590"/>
      <c r="K46" s="590"/>
      <c r="L46" s="590"/>
      <c r="M46" s="590"/>
      <c r="N46" s="590"/>
      <c r="O46" s="590"/>
      <c r="P46" s="578"/>
      <c r="Q46" s="591"/>
    </row>
    <row r="47" spans="1:17" ht="14.4" customHeight="1" x14ac:dyDescent="0.3">
      <c r="A47" s="572" t="s">
        <v>1216</v>
      </c>
      <c r="B47" s="573" t="s">
        <v>1217</v>
      </c>
      <c r="C47" s="573" t="s">
        <v>1107</v>
      </c>
      <c r="D47" s="573" t="s">
        <v>1282</v>
      </c>
      <c r="E47" s="573" t="s">
        <v>1283</v>
      </c>
      <c r="F47" s="590">
        <v>1</v>
      </c>
      <c r="G47" s="590">
        <v>84</v>
      </c>
      <c r="H47" s="590">
        <v>1</v>
      </c>
      <c r="I47" s="590">
        <v>84</v>
      </c>
      <c r="J47" s="590"/>
      <c r="K47" s="590"/>
      <c r="L47" s="590"/>
      <c r="M47" s="590"/>
      <c r="N47" s="590"/>
      <c r="O47" s="590"/>
      <c r="P47" s="578"/>
      <c r="Q47" s="591"/>
    </row>
    <row r="48" spans="1:17" ht="14.4" customHeight="1" x14ac:dyDescent="0.3">
      <c r="A48" s="572" t="s">
        <v>1216</v>
      </c>
      <c r="B48" s="573" t="s">
        <v>1217</v>
      </c>
      <c r="C48" s="573" t="s">
        <v>1107</v>
      </c>
      <c r="D48" s="573" t="s">
        <v>1284</v>
      </c>
      <c r="E48" s="573" t="s">
        <v>1285</v>
      </c>
      <c r="F48" s="590">
        <v>26</v>
      </c>
      <c r="G48" s="590">
        <v>4498</v>
      </c>
      <c r="H48" s="590">
        <v>1</v>
      </c>
      <c r="I48" s="590">
        <v>173</v>
      </c>
      <c r="J48" s="590"/>
      <c r="K48" s="590"/>
      <c r="L48" s="590"/>
      <c r="M48" s="590"/>
      <c r="N48" s="590"/>
      <c r="O48" s="590"/>
      <c r="P48" s="578"/>
      <c r="Q48" s="591"/>
    </row>
    <row r="49" spans="1:17" ht="14.4" customHeight="1" x14ac:dyDescent="0.3">
      <c r="A49" s="572" t="s">
        <v>1216</v>
      </c>
      <c r="B49" s="573" t="s">
        <v>1217</v>
      </c>
      <c r="C49" s="573" t="s">
        <v>1107</v>
      </c>
      <c r="D49" s="573" t="s">
        <v>1286</v>
      </c>
      <c r="E49" s="573" t="s">
        <v>1287</v>
      </c>
      <c r="F49" s="590">
        <v>2</v>
      </c>
      <c r="G49" s="590">
        <v>30</v>
      </c>
      <c r="H49" s="590">
        <v>1</v>
      </c>
      <c r="I49" s="590">
        <v>15</v>
      </c>
      <c r="J49" s="590"/>
      <c r="K49" s="590"/>
      <c r="L49" s="590"/>
      <c r="M49" s="590"/>
      <c r="N49" s="590"/>
      <c r="O49" s="590"/>
      <c r="P49" s="578"/>
      <c r="Q49" s="591"/>
    </row>
    <row r="50" spans="1:17" ht="14.4" customHeight="1" x14ac:dyDescent="0.3">
      <c r="A50" s="572" t="s">
        <v>1216</v>
      </c>
      <c r="B50" s="573" t="s">
        <v>1217</v>
      </c>
      <c r="C50" s="573" t="s">
        <v>1107</v>
      </c>
      <c r="D50" s="573" t="s">
        <v>1288</v>
      </c>
      <c r="E50" s="573" t="s">
        <v>1289</v>
      </c>
      <c r="F50" s="590">
        <v>1</v>
      </c>
      <c r="G50" s="590">
        <v>249</v>
      </c>
      <c r="H50" s="590">
        <v>1</v>
      </c>
      <c r="I50" s="590">
        <v>249</v>
      </c>
      <c r="J50" s="590"/>
      <c r="K50" s="590"/>
      <c r="L50" s="590"/>
      <c r="M50" s="590"/>
      <c r="N50" s="590"/>
      <c r="O50" s="590"/>
      <c r="P50" s="578"/>
      <c r="Q50" s="591"/>
    </row>
    <row r="51" spans="1:17" ht="14.4" customHeight="1" x14ac:dyDescent="0.3">
      <c r="A51" s="572" t="s">
        <v>1216</v>
      </c>
      <c r="B51" s="573" t="s">
        <v>1217</v>
      </c>
      <c r="C51" s="573" t="s">
        <v>1107</v>
      </c>
      <c r="D51" s="573" t="s">
        <v>1290</v>
      </c>
      <c r="E51" s="573" t="s">
        <v>1291</v>
      </c>
      <c r="F51" s="590">
        <v>1</v>
      </c>
      <c r="G51" s="590">
        <v>37</v>
      </c>
      <c r="H51" s="590">
        <v>1</v>
      </c>
      <c r="I51" s="590">
        <v>37</v>
      </c>
      <c r="J51" s="590"/>
      <c r="K51" s="590"/>
      <c r="L51" s="590"/>
      <c r="M51" s="590"/>
      <c r="N51" s="590"/>
      <c r="O51" s="590"/>
      <c r="P51" s="578"/>
      <c r="Q51" s="591"/>
    </row>
    <row r="52" spans="1:17" ht="14.4" customHeight="1" x14ac:dyDescent="0.3">
      <c r="A52" s="572" t="s">
        <v>1216</v>
      </c>
      <c r="B52" s="573" t="s">
        <v>1217</v>
      </c>
      <c r="C52" s="573" t="s">
        <v>1107</v>
      </c>
      <c r="D52" s="573" t="s">
        <v>1292</v>
      </c>
      <c r="E52" s="573" t="s">
        <v>1293</v>
      </c>
      <c r="F52" s="590">
        <v>2</v>
      </c>
      <c r="G52" s="590">
        <v>46</v>
      </c>
      <c r="H52" s="590">
        <v>1</v>
      </c>
      <c r="I52" s="590">
        <v>23</v>
      </c>
      <c r="J52" s="590"/>
      <c r="K52" s="590"/>
      <c r="L52" s="590"/>
      <c r="M52" s="590"/>
      <c r="N52" s="590"/>
      <c r="O52" s="590"/>
      <c r="P52" s="578"/>
      <c r="Q52" s="591"/>
    </row>
    <row r="53" spans="1:17" ht="14.4" customHeight="1" x14ac:dyDescent="0.3">
      <c r="A53" s="572" t="s">
        <v>1216</v>
      </c>
      <c r="B53" s="573" t="s">
        <v>1217</v>
      </c>
      <c r="C53" s="573" t="s">
        <v>1107</v>
      </c>
      <c r="D53" s="573" t="s">
        <v>1294</v>
      </c>
      <c r="E53" s="573" t="s">
        <v>1295</v>
      </c>
      <c r="F53" s="590">
        <v>1</v>
      </c>
      <c r="G53" s="590">
        <v>15</v>
      </c>
      <c r="H53" s="590">
        <v>1</v>
      </c>
      <c r="I53" s="590">
        <v>15</v>
      </c>
      <c r="J53" s="590"/>
      <c r="K53" s="590"/>
      <c r="L53" s="590"/>
      <c r="M53" s="590"/>
      <c r="N53" s="590"/>
      <c r="O53" s="590"/>
      <c r="P53" s="578"/>
      <c r="Q53" s="591"/>
    </row>
    <row r="54" spans="1:17" ht="14.4" customHeight="1" x14ac:dyDescent="0.3">
      <c r="A54" s="572" t="s">
        <v>1216</v>
      </c>
      <c r="B54" s="573" t="s">
        <v>1217</v>
      </c>
      <c r="C54" s="573" t="s">
        <v>1107</v>
      </c>
      <c r="D54" s="573" t="s">
        <v>1296</v>
      </c>
      <c r="E54" s="573" t="s">
        <v>1297</v>
      </c>
      <c r="F54" s="590">
        <v>2</v>
      </c>
      <c r="G54" s="590">
        <v>38</v>
      </c>
      <c r="H54" s="590">
        <v>1</v>
      </c>
      <c r="I54" s="590">
        <v>19</v>
      </c>
      <c r="J54" s="590"/>
      <c r="K54" s="590"/>
      <c r="L54" s="590"/>
      <c r="M54" s="590"/>
      <c r="N54" s="590"/>
      <c r="O54" s="590"/>
      <c r="P54" s="578"/>
      <c r="Q54" s="591"/>
    </row>
    <row r="55" spans="1:17" ht="14.4" customHeight="1" x14ac:dyDescent="0.3">
      <c r="A55" s="572" t="s">
        <v>1216</v>
      </c>
      <c r="B55" s="573" t="s">
        <v>1217</v>
      </c>
      <c r="C55" s="573" t="s">
        <v>1107</v>
      </c>
      <c r="D55" s="573" t="s">
        <v>1298</v>
      </c>
      <c r="E55" s="573" t="s">
        <v>1299</v>
      </c>
      <c r="F55" s="590">
        <v>28</v>
      </c>
      <c r="G55" s="590">
        <v>560</v>
      </c>
      <c r="H55" s="590">
        <v>1</v>
      </c>
      <c r="I55" s="590">
        <v>20</v>
      </c>
      <c r="J55" s="590"/>
      <c r="K55" s="590"/>
      <c r="L55" s="590"/>
      <c r="M55" s="590"/>
      <c r="N55" s="590"/>
      <c r="O55" s="590"/>
      <c r="P55" s="578"/>
      <c r="Q55" s="591"/>
    </row>
    <row r="56" spans="1:17" ht="14.4" customHeight="1" x14ac:dyDescent="0.3">
      <c r="A56" s="572" t="s">
        <v>1216</v>
      </c>
      <c r="B56" s="573" t="s">
        <v>1217</v>
      </c>
      <c r="C56" s="573" t="s">
        <v>1107</v>
      </c>
      <c r="D56" s="573" t="s">
        <v>1300</v>
      </c>
      <c r="E56" s="573" t="s">
        <v>1301</v>
      </c>
      <c r="F56" s="590">
        <v>1</v>
      </c>
      <c r="G56" s="590">
        <v>78</v>
      </c>
      <c r="H56" s="590">
        <v>1</v>
      </c>
      <c r="I56" s="590">
        <v>78</v>
      </c>
      <c r="J56" s="590"/>
      <c r="K56" s="590"/>
      <c r="L56" s="590"/>
      <c r="M56" s="590"/>
      <c r="N56" s="590"/>
      <c r="O56" s="590"/>
      <c r="P56" s="578"/>
      <c r="Q56" s="591"/>
    </row>
    <row r="57" spans="1:17" ht="14.4" customHeight="1" x14ac:dyDescent="0.3">
      <c r="A57" s="572" t="s">
        <v>1216</v>
      </c>
      <c r="B57" s="573" t="s">
        <v>1217</v>
      </c>
      <c r="C57" s="573" t="s">
        <v>1107</v>
      </c>
      <c r="D57" s="573" t="s">
        <v>1302</v>
      </c>
      <c r="E57" s="573" t="s">
        <v>1303</v>
      </c>
      <c r="F57" s="590">
        <v>2</v>
      </c>
      <c r="G57" s="590">
        <v>596</v>
      </c>
      <c r="H57" s="590">
        <v>1</v>
      </c>
      <c r="I57" s="590">
        <v>298</v>
      </c>
      <c r="J57" s="590"/>
      <c r="K57" s="590"/>
      <c r="L57" s="590"/>
      <c r="M57" s="590"/>
      <c r="N57" s="590"/>
      <c r="O57" s="590"/>
      <c r="P57" s="578"/>
      <c r="Q57" s="591"/>
    </row>
    <row r="58" spans="1:17" ht="14.4" customHeight="1" x14ac:dyDescent="0.3">
      <c r="A58" s="572" t="s">
        <v>1216</v>
      </c>
      <c r="B58" s="573" t="s">
        <v>1217</v>
      </c>
      <c r="C58" s="573" t="s">
        <v>1107</v>
      </c>
      <c r="D58" s="573" t="s">
        <v>1304</v>
      </c>
      <c r="E58" s="573" t="s">
        <v>1305</v>
      </c>
      <c r="F58" s="590">
        <v>2</v>
      </c>
      <c r="G58" s="590">
        <v>42</v>
      </c>
      <c r="H58" s="590">
        <v>1</v>
      </c>
      <c r="I58" s="590">
        <v>21</v>
      </c>
      <c r="J58" s="590"/>
      <c r="K58" s="590"/>
      <c r="L58" s="590"/>
      <c r="M58" s="590"/>
      <c r="N58" s="590"/>
      <c r="O58" s="590"/>
      <c r="P58" s="578"/>
      <c r="Q58" s="591"/>
    </row>
    <row r="59" spans="1:17" ht="14.4" customHeight="1" x14ac:dyDescent="0.3">
      <c r="A59" s="572" t="s">
        <v>1216</v>
      </c>
      <c r="B59" s="573" t="s">
        <v>1217</v>
      </c>
      <c r="C59" s="573" t="s">
        <v>1107</v>
      </c>
      <c r="D59" s="573" t="s">
        <v>1306</v>
      </c>
      <c r="E59" s="573" t="s">
        <v>1307</v>
      </c>
      <c r="F59" s="590">
        <v>2</v>
      </c>
      <c r="G59" s="590">
        <v>378</v>
      </c>
      <c r="H59" s="590">
        <v>1</v>
      </c>
      <c r="I59" s="590">
        <v>189</v>
      </c>
      <c r="J59" s="590"/>
      <c r="K59" s="590"/>
      <c r="L59" s="590"/>
      <c r="M59" s="590"/>
      <c r="N59" s="590"/>
      <c r="O59" s="590"/>
      <c r="P59" s="578"/>
      <c r="Q59" s="591"/>
    </row>
    <row r="60" spans="1:17" ht="14.4" customHeight="1" x14ac:dyDescent="0.3">
      <c r="A60" s="572" t="s">
        <v>1216</v>
      </c>
      <c r="B60" s="573" t="s">
        <v>1217</v>
      </c>
      <c r="C60" s="573" t="s">
        <v>1107</v>
      </c>
      <c r="D60" s="573" t="s">
        <v>1308</v>
      </c>
      <c r="E60" s="573" t="s">
        <v>1309</v>
      </c>
      <c r="F60" s="590">
        <v>2</v>
      </c>
      <c r="G60" s="590">
        <v>410</v>
      </c>
      <c r="H60" s="590">
        <v>1</v>
      </c>
      <c r="I60" s="590">
        <v>205</v>
      </c>
      <c r="J60" s="590"/>
      <c r="K60" s="590"/>
      <c r="L60" s="590"/>
      <c r="M60" s="590"/>
      <c r="N60" s="590"/>
      <c r="O60" s="590"/>
      <c r="P60" s="578"/>
      <c r="Q60" s="591"/>
    </row>
    <row r="61" spans="1:17" ht="14.4" customHeight="1" x14ac:dyDescent="0.3">
      <c r="A61" s="572" t="s">
        <v>1216</v>
      </c>
      <c r="B61" s="573" t="s">
        <v>1217</v>
      </c>
      <c r="C61" s="573" t="s">
        <v>1107</v>
      </c>
      <c r="D61" s="573" t="s">
        <v>1310</v>
      </c>
      <c r="E61" s="573" t="s">
        <v>1311</v>
      </c>
      <c r="F61" s="590">
        <v>1</v>
      </c>
      <c r="G61" s="590">
        <v>27</v>
      </c>
      <c r="H61" s="590">
        <v>1</v>
      </c>
      <c r="I61" s="590">
        <v>27</v>
      </c>
      <c r="J61" s="590"/>
      <c r="K61" s="590"/>
      <c r="L61" s="590"/>
      <c r="M61" s="590"/>
      <c r="N61" s="590"/>
      <c r="O61" s="590"/>
      <c r="P61" s="578"/>
      <c r="Q61" s="591"/>
    </row>
    <row r="62" spans="1:17" ht="14.4" customHeight="1" x14ac:dyDescent="0.3">
      <c r="A62" s="572" t="s">
        <v>1216</v>
      </c>
      <c r="B62" s="573" t="s">
        <v>1217</v>
      </c>
      <c r="C62" s="573" t="s">
        <v>1107</v>
      </c>
      <c r="D62" s="573" t="s">
        <v>1312</v>
      </c>
      <c r="E62" s="573" t="s">
        <v>1313</v>
      </c>
      <c r="F62" s="590">
        <v>2</v>
      </c>
      <c r="G62" s="590">
        <v>86</v>
      </c>
      <c r="H62" s="590">
        <v>1</v>
      </c>
      <c r="I62" s="590">
        <v>43</v>
      </c>
      <c r="J62" s="590"/>
      <c r="K62" s="590"/>
      <c r="L62" s="590"/>
      <c r="M62" s="590"/>
      <c r="N62" s="590"/>
      <c r="O62" s="590"/>
      <c r="P62" s="578"/>
      <c r="Q62" s="591"/>
    </row>
    <row r="63" spans="1:17" ht="14.4" customHeight="1" x14ac:dyDescent="0.3">
      <c r="A63" s="572" t="s">
        <v>1314</v>
      </c>
      <c r="B63" s="573" t="s">
        <v>1315</v>
      </c>
      <c r="C63" s="573" t="s">
        <v>1083</v>
      </c>
      <c r="D63" s="573" t="s">
        <v>1316</v>
      </c>
      <c r="E63" s="573" t="s">
        <v>1317</v>
      </c>
      <c r="F63" s="590">
        <v>0.08</v>
      </c>
      <c r="G63" s="590">
        <v>866.13</v>
      </c>
      <c r="H63" s="590">
        <v>1</v>
      </c>
      <c r="I63" s="590">
        <v>10826.625</v>
      </c>
      <c r="J63" s="590"/>
      <c r="K63" s="590"/>
      <c r="L63" s="590"/>
      <c r="M63" s="590"/>
      <c r="N63" s="590"/>
      <c r="O63" s="590"/>
      <c r="P63" s="578"/>
      <c r="Q63" s="591"/>
    </row>
    <row r="64" spans="1:17" ht="14.4" customHeight="1" x14ac:dyDescent="0.3">
      <c r="A64" s="572" t="s">
        <v>1314</v>
      </c>
      <c r="B64" s="573" t="s">
        <v>1315</v>
      </c>
      <c r="C64" s="573" t="s">
        <v>1107</v>
      </c>
      <c r="D64" s="573" t="s">
        <v>1318</v>
      </c>
      <c r="E64" s="573" t="s">
        <v>1319</v>
      </c>
      <c r="F64" s="590">
        <v>4</v>
      </c>
      <c r="G64" s="590">
        <v>816</v>
      </c>
      <c r="H64" s="590">
        <v>1</v>
      </c>
      <c r="I64" s="590">
        <v>204</v>
      </c>
      <c r="J64" s="590"/>
      <c r="K64" s="590"/>
      <c r="L64" s="590"/>
      <c r="M64" s="590"/>
      <c r="N64" s="590"/>
      <c r="O64" s="590"/>
      <c r="P64" s="578"/>
      <c r="Q64" s="591"/>
    </row>
    <row r="65" spans="1:17" ht="14.4" customHeight="1" x14ac:dyDescent="0.3">
      <c r="A65" s="572" t="s">
        <v>1314</v>
      </c>
      <c r="B65" s="573" t="s">
        <v>1315</v>
      </c>
      <c r="C65" s="573" t="s">
        <v>1107</v>
      </c>
      <c r="D65" s="573" t="s">
        <v>1320</v>
      </c>
      <c r="E65" s="573" t="s">
        <v>1321</v>
      </c>
      <c r="F65" s="590">
        <v>14</v>
      </c>
      <c r="G65" s="590">
        <v>2086</v>
      </c>
      <c r="H65" s="590">
        <v>1</v>
      </c>
      <c r="I65" s="590">
        <v>149</v>
      </c>
      <c r="J65" s="590"/>
      <c r="K65" s="590"/>
      <c r="L65" s="590"/>
      <c r="M65" s="590"/>
      <c r="N65" s="590"/>
      <c r="O65" s="590"/>
      <c r="P65" s="578"/>
      <c r="Q65" s="591"/>
    </row>
    <row r="66" spans="1:17" ht="14.4" customHeight="1" x14ac:dyDescent="0.3">
      <c r="A66" s="572" t="s">
        <v>1314</v>
      </c>
      <c r="B66" s="573" t="s">
        <v>1315</v>
      </c>
      <c r="C66" s="573" t="s">
        <v>1107</v>
      </c>
      <c r="D66" s="573" t="s">
        <v>1322</v>
      </c>
      <c r="E66" s="573" t="s">
        <v>1323</v>
      </c>
      <c r="F66" s="590">
        <v>11</v>
      </c>
      <c r="G66" s="590">
        <v>1991</v>
      </c>
      <c r="H66" s="590">
        <v>1</v>
      </c>
      <c r="I66" s="590">
        <v>181</v>
      </c>
      <c r="J66" s="590"/>
      <c r="K66" s="590"/>
      <c r="L66" s="590"/>
      <c r="M66" s="590"/>
      <c r="N66" s="590"/>
      <c r="O66" s="590"/>
      <c r="P66" s="578"/>
      <c r="Q66" s="591"/>
    </row>
    <row r="67" spans="1:17" ht="14.4" customHeight="1" x14ac:dyDescent="0.3">
      <c r="A67" s="572" t="s">
        <v>1314</v>
      </c>
      <c r="B67" s="573" t="s">
        <v>1315</v>
      </c>
      <c r="C67" s="573" t="s">
        <v>1107</v>
      </c>
      <c r="D67" s="573" t="s">
        <v>1324</v>
      </c>
      <c r="E67" s="573" t="s">
        <v>1325</v>
      </c>
      <c r="F67" s="590">
        <v>5</v>
      </c>
      <c r="G67" s="590">
        <v>620</v>
      </c>
      <c r="H67" s="590">
        <v>1</v>
      </c>
      <c r="I67" s="590">
        <v>124</v>
      </c>
      <c r="J67" s="590"/>
      <c r="K67" s="590"/>
      <c r="L67" s="590"/>
      <c r="M67" s="590"/>
      <c r="N67" s="590"/>
      <c r="O67" s="590"/>
      <c r="P67" s="578"/>
      <c r="Q67" s="591"/>
    </row>
    <row r="68" spans="1:17" ht="14.4" customHeight="1" x14ac:dyDescent="0.3">
      <c r="A68" s="572" t="s">
        <v>1314</v>
      </c>
      <c r="B68" s="573" t="s">
        <v>1315</v>
      </c>
      <c r="C68" s="573" t="s">
        <v>1107</v>
      </c>
      <c r="D68" s="573" t="s">
        <v>1326</v>
      </c>
      <c r="E68" s="573" t="s">
        <v>1327</v>
      </c>
      <c r="F68" s="590">
        <v>24</v>
      </c>
      <c r="G68" s="590">
        <v>5184</v>
      </c>
      <c r="H68" s="590">
        <v>1</v>
      </c>
      <c r="I68" s="590">
        <v>216</v>
      </c>
      <c r="J68" s="590"/>
      <c r="K68" s="590"/>
      <c r="L68" s="590"/>
      <c r="M68" s="590"/>
      <c r="N68" s="590"/>
      <c r="O68" s="590"/>
      <c r="P68" s="578"/>
      <c r="Q68" s="591"/>
    </row>
    <row r="69" spans="1:17" ht="14.4" customHeight="1" x14ac:dyDescent="0.3">
      <c r="A69" s="572" t="s">
        <v>1314</v>
      </c>
      <c r="B69" s="573" t="s">
        <v>1315</v>
      </c>
      <c r="C69" s="573" t="s">
        <v>1107</v>
      </c>
      <c r="D69" s="573" t="s">
        <v>1328</v>
      </c>
      <c r="E69" s="573" t="s">
        <v>1329</v>
      </c>
      <c r="F69" s="590">
        <v>1</v>
      </c>
      <c r="G69" s="590">
        <v>218</v>
      </c>
      <c r="H69" s="590">
        <v>1</v>
      </c>
      <c r="I69" s="590">
        <v>218</v>
      </c>
      <c r="J69" s="590"/>
      <c r="K69" s="590"/>
      <c r="L69" s="590"/>
      <c r="M69" s="590"/>
      <c r="N69" s="590"/>
      <c r="O69" s="590"/>
      <c r="P69" s="578"/>
      <c r="Q69" s="591"/>
    </row>
    <row r="70" spans="1:17" ht="14.4" customHeight="1" x14ac:dyDescent="0.3">
      <c r="A70" s="572" t="s">
        <v>1314</v>
      </c>
      <c r="B70" s="573" t="s">
        <v>1315</v>
      </c>
      <c r="C70" s="573" t="s">
        <v>1107</v>
      </c>
      <c r="D70" s="573" t="s">
        <v>1330</v>
      </c>
      <c r="E70" s="573" t="s">
        <v>1331</v>
      </c>
      <c r="F70" s="590">
        <v>36</v>
      </c>
      <c r="G70" s="590">
        <v>6192</v>
      </c>
      <c r="H70" s="590">
        <v>1</v>
      </c>
      <c r="I70" s="590">
        <v>172</v>
      </c>
      <c r="J70" s="590">
        <v>0</v>
      </c>
      <c r="K70" s="590">
        <v>0</v>
      </c>
      <c r="L70" s="590">
        <v>0</v>
      </c>
      <c r="M70" s="590"/>
      <c r="N70" s="590"/>
      <c r="O70" s="590"/>
      <c r="P70" s="578"/>
      <c r="Q70" s="591"/>
    </row>
    <row r="71" spans="1:17" ht="14.4" customHeight="1" x14ac:dyDescent="0.3">
      <c r="A71" s="572" t="s">
        <v>1314</v>
      </c>
      <c r="B71" s="573" t="s">
        <v>1315</v>
      </c>
      <c r="C71" s="573" t="s">
        <v>1107</v>
      </c>
      <c r="D71" s="573" t="s">
        <v>1332</v>
      </c>
      <c r="E71" s="573" t="s">
        <v>1333</v>
      </c>
      <c r="F71" s="590">
        <v>1</v>
      </c>
      <c r="G71" s="590">
        <v>1994</v>
      </c>
      <c r="H71" s="590">
        <v>1</v>
      </c>
      <c r="I71" s="590">
        <v>1994</v>
      </c>
      <c r="J71" s="590"/>
      <c r="K71" s="590"/>
      <c r="L71" s="590"/>
      <c r="M71" s="590"/>
      <c r="N71" s="590"/>
      <c r="O71" s="590"/>
      <c r="P71" s="578"/>
      <c r="Q71" s="591"/>
    </row>
    <row r="72" spans="1:17" ht="14.4" customHeight="1" x14ac:dyDescent="0.3">
      <c r="A72" s="572" t="s">
        <v>1314</v>
      </c>
      <c r="B72" s="573" t="s">
        <v>1315</v>
      </c>
      <c r="C72" s="573" t="s">
        <v>1107</v>
      </c>
      <c r="D72" s="573" t="s">
        <v>1334</v>
      </c>
      <c r="E72" s="573" t="s">
        <v>1335</v>
      </c>
      <c r="F72" s="590">
        <v>16</v>
      </c>
      <c r="G72" s="590">
        <v>2384</v>
      </c>
      <c r="H72" s="590">
        <v>1</v>
      </c>
      <c r="I72" s="590">
        <v>149</v>
      </c>
      <c r="J72" s="590"/>
      <c r="K72" s="590"/>
      <c r="L72" s="590"/>
      <c r="M72" s="590"/>
      <c r="N72" s="590"/>
      <c r="O72" s="590"/>
      <c r="P72" s="578"/>
      <c r="Q72" s="591"/>
    </row>
    <row r="73" spans="1:17" ht="14.4" customHeight="1" x14ac:dyDescent="0.3">
      <c r="A73" s="572" t="s">
        <v>1314</v>
      </c>
      <c r="B73" s="573" t="s">
        <v>1315</v>
      </c>
      <c r="C73" s="573" t="s">
        <v>1107</v>
      </c>
      <c r="D73" s="573" t="s">
        <v>1336</v>
      </c>
      <c r="E73" s="573" t="s">
        <v>1337</v>
      </c>
      <c r="F73" s="590">
        <v>2</v>
      </c>
      <c r="G73" s="590">
        <v>384</v>
      </c>
      <c r="H73" s="590">
        <v>1</v>
      </c>
      <c r="I73" s="590">
        <v>192</v>
      </c>
      <c r="J73" s="590"/>
      <c r="K73" s="590"/>
      <c r="L73" s="590"/>
      <c r="M73" s="590"/>
      <c r="N73" s="590"/>
      <c r="O73" s="590"/>
      <c r="P73" s="578"/>
      <c r="Q73" s="591"/>
    </row>
    <row r="74" spans="1:17" ht="14.4" customHeight="1" x14ac:dyDescent="0.3">
      <c r="A74" s="572" t="s">
        <v>1314</v>
      </c>
      <c r="B74" s="573" t="s">
        <v>1315</v>
      </c>
      <c r="C74" s="573" t="s">
        <v>1107</v>
      </c>
      <c r="D74" s="573" t="s">
        <v>1338</v>
      </c>
      <c r="E74" s="573" t="s">
        <v>1339</v>
      </c>
      <c r="F74" s="590">
        <v>1</v>
      </c>
      <c r="G74" s="590">
        <v>157</v>
      </c>
      <c r="H74" s="590">
        <v>1</v>
      </c>
      <c r="I74" s="590">
        <v>157</v>
      </c>
      <c r="J74" s="590"/>
      <c r="K74" s="590"/>
      <c r="L74" s="590"/>
      <c r="M74" s="590"/>
      <c r="N74" s="590"/>
      <c r="O74" s="590"/>
      <c r="P74" s="578"/>
      <c r="Q74" s="591"/>
    </row>
    <row r="75" spans="1:17" ht="14.4" customHeight="1" x14ac:dyDescent="0.3">
      <c r="A75" s="572" t="s">
        <v>1314</v>
      </c>
      <c r="B75" s="573" t="s">
        <v>1315</v>
      </c>
      <c r="C75" s="573" t="s">
        <v>1107</v>
      </c>
      <c r="D75" s="573" t="s">
        <v>1340</v>
      </c>
      <c r="E75" s="573" t="s">
        <v>1341</v>
      </c>
      <c r="F75" s="590">
        <v>1</v>
      </c>
      <c r="G75" s="590">
        <v>2116</v>
      </c>
      <c r="H75" s="590">
        <v>1</v>
      </c>
      <c r="I75" s="590">
        <v>2116</v>
      </c>
      <c r="J75" s="590"/>
      <c r="K75" s="590"/>
      <c r="L75" s="590"/>
      <c r="M75" s="590"/>
      <c r="N75" s="590"/>
      <c r="O75" s="590"/>
      <c r="P75" s="578"/>
      <c r="Q75" s="591"/>
    </row>
    <row r="76" spans="1:17" ht="14.4" customHeight="1" x14ac:dyDescent="0.3">
      <c r="A76" s="572" t="s">
        <v>1342</v>
      </c>
      <c r="B76" s="573" t="s">
        <v>1343</v>
      </c>
      <c r="C76" s="573" t="s">
        <v>1107</v>
      </c>
      <c r="D76" s="573" t="s">
        <v>1344</v>
      </c>
      <c r="E76" s="573" t="s">
        <v>1345</v>
      </c>
      <c r="F76" s="590">
        <v>2</v>
      </c>
      <c r="G76" s="590">
        <v>348</v>
      </c>
      <c r="H76" s="590">
        <v>1</v>
      </c>
      <c r="I76" s="590">
        <v>174</v>
      </c>
      <c r="J76" s="590"/>
      <c r="K76" s="590"/>
      <c r="L76" s="590"/>
      <c r="M76" s="590"/>
      <c r="N76" s="590"/>
      <c r="O76" s="590"/>
      <c r="P76" s="578"/>
      <c r="Q76" s="591"/>
    </row>
    <row r="77" spans="1:17" ht="14.4" customHeight="1" x14ac:dyDescent="0.3">
      <c r="A77" s="572" t="s">
        <v>1342</v>
      </c>
      <c r="B77" s="573" t="s">
        <v>1343</v>
      </c>
      <c r="C77" s="573" t="s">
        <v>1107</v>
      </c>
      <c r="D77" s="573" t="s">
        <v>1346</v>
      </c>
      <c r="E77" s="573" t="s">
        <v>1347</v>
      </c>
      <c r="F77" s="590">
        <v>1</v>
      </c>
      <c r="G77" s="590">
        <v>582</v>
      </c>
      <c r="H77" s="590">
        <v>1</v>
      </c>
      <c r="I77" s="590">
        <v>582</v>
      </c>
      <c r="J77" s="590"/>
      <c r="K77" s="590"/>
      <c r="L77" s="590"/>
      <c r="M77" s="590"/>
      <c r="N77" s="590"/>
      <c r="O77" s="590"/>
      <c r="P77" s="578"/>
      <c r="Q77" s="591"/>
    </row>
    <row r="78" spans="1:17" ht="14.4" customHeight="1" x14ac:dyDescent="0.3">
      <c r="A78" s="572" t="s">
        <v>1342</v>
      </c>
      <c r="B78" s="573" t="s">
        <v>1343</v>
      </c>
      <c r="C78" s="573" t="s">
        <v>1107</v>
      </c>
      <c r="D78" s="573" t="s">
        <v>1348</v>
      </c>
      <c r="E78" s="573" t="s">
        <v>1349</v>
      </c>
      <c r="F78" s="590">
        <v>2</v>
      </c>
      <c r="G78" s="590">
        <v>430</v>
      </c>
      <c r="H78" s="590">
        <v>1</v>
      </c>
      <c r="I78" s="590">
        <v>215</v>
      </c>
      <c r="J78" s="590"/>
      <c r="K78" s="590"/>
      <c r="L78" s="590"/>
      <c r="M78" s="590"/>
      <c r="N78" s="590"/>
      <c r="O78" s="590"/>
      <c r="P78" s="578"/>
      <c r="Q78" s="591"/>
    </row>
    <row r="79" spans="1:17" ht="14.4" customHeight="1" x14ac:dyDescent="0.3">
      <c r="A79" s="572" t="s">
        <v>1342</v>
      </c>
      <c r="B79" s="573" t="s">
        <v>1343</v>
      </c>
      <c r="C79" s="573" t="s">
        <v>1107</v>
      </c>
      <c r="D79" s="573" t="s">
        <v>1350</v>
      </c>
      <c r="E79" s="573" t="s">
        <v>1351</v>
      </c>
      <c r="F79" s="590">
        <v>1</v>
      </c>
      <c r="G79" s="590">
        <v>1015</v>
      </c>
      <c r="H79" s="590">
        <v>1</v>
      </c>
      <c r="I79" s="590">
        <v>1015</v>
      </c>
      <c r="J79" s="590"/>
      <c r="K79" s="590"/>
      <c r="L79" s="590"/>
      <c r="M79" s="590"/>
      <c r="N79" s="590"/>
      <c r="O79" s="590"/>
      <c r="P79" s="578"/>
      <c r="Q79" s="591"/>
    </row>
    <row r="80" spans="1:17" ht="14.4" customHeight="1" x14ac:dyDescent="0.3">
      <c r="A80" s="572" t="s">
        <v>1352</v>
      </c>
      <c r="B80" s="573" t="s">
        <v>1353</v>
      </c>
      <c r="C80" s="573" t="s">
        <v>1107</v>
      </c>
      <c r="D80" s="573" t="s">
        <v>1354</v>
      </c>
      <c r="E80" s="573" t="s">
        <v>1355</v>
      </c>
      <c r="F80" s="590">
        <v>2</v>
      </c>
      <c r="G80" s="590">
        <v>106</v>
      </c>
      <c r="H80" s="590">
        <v>1</v>
      </c>
      <c r="I80" s="590">
        <v>53</v>
      </c>
      <c r="J80" s="590"/>
      <c r="K80" s="590"/>
      <c r="L80" s="590"/>
      <c r="M80" s="590"/>
      <c r="N80" s="590"/>
      <c r="O80" s="590"/>
      <c r="P80" s="578"/>
      <c r="Q80" s="591"/>
    </row>
    <row r="81" spans="1:17" ht="14.4" customHeight="1" x14ac:dyDescent="0.3">
      <c r="A81" s="572" t="s">
        <v>1352</v>
      </c>
      <c r="B81" s="573" t="s">
        <v>1353</v>
      </c>
      <c r="C81" s="573" t="s">
        <v>1107</v>
      </c>
      <c r="D81" s="573" t="s">
        <v>1356</v>
      </c>
      <c r="E81" s="573" t="s">
        <v>1357</v>
      </c>
      <c r="F81" s="590">
        <v>1</v>
      </c>
      <c r="G81" s="590">
        <v>453</v>
      </c>
      <c r="H81" s="590">
        <v>1</v>
      </c>
      <c r="I81" s="590">
        <v>453</v>
      </c>
      <c r="J81" s="590"/>
      <c r="K81" s="590"/>
      <c r="L81" s="590"/>
      <c r="M81" s="590"/>
      <c r="N81" s="590"/>
      <c r="O81" s="590"/>
      <c r="P81" s="578"/>
      <c r="Q81" s="591"/>
    </row>
    <row r="82" spans="1:17" ht="14.4" customHeight="1" x14ac:dyDescent="0.3">
      <c r="A82" s="572" t="s">
        <v>1352</v>
      </c>
      <c r="B82" s="573" t="s">
        <v>1353</v>
      </c>
      <c r="C82" s="573" t="s">
        <v>1107</v>
      </c>
      <c r="D82" s="573" t="s">
        <v>1358</v>
      </c>
      <c r="E82" s="573" t="s">
        <v>1359</v>
      </c>
      <c r="F82" s="590">
        <v>2</v>
      </c>
      <c r="G82" s="590">
        <v>690</v>
      </c>
      <c r="H82" s="590">
        <v>1</v>
      </c>
      <c r="I82" s="590">
        <v>345</v>
      </c>
      <c r="J82" s="590"/>
      <c r="K82" s="590"/>
      <c r="L82" s="590"/>
      <c r="M82" s="590"/>
      <c r="N82" s="590"/>
      <c r="O82" s="590"/>
      <c r="P82" s="578"/>
      <c r="Q82" s="591"/>
    </row>
    <row r="83" spans="1:17" ht="14.4" customHeight="1" x14ac:dyDescent="0.3">
      <c r="A83" s="572" t="s">
        <v>1352</v>
      </c>
      <c r="B83" s="573" t="s">
        <v>1353</v>
      </c>
      <c r="C83" s="573" t="s">
        <v>1107</v>
      </c>
      <c r="D83" s="573" t="s">
        <v>1360</v>
      </c>
      <c r="E83" s="573" t="s">
        <v>1361</v>
      </c>
      <c r="F83" s="590">
        <v>1</v>
      </c>
      <c r="G83" s="590">
        <v>115</v>
      </c>
      <c r="H83" s="590">
        <v>1</v>
      </c>
      <c r="I83" s="590">
        <v>115</v>
      </c>
      <c r="J83" s="590"/>
      <c r="K83" s="590"/>
      <c r="L83" s="590"/>
      <c r="M83" s="590"/>
      <c r="N83" s="590"/>
      <c r="O83" s="590"/>
      <c r="P83" s="578"/>
      <c r="Q83" s="591"/>
    </row>
    <row r="84" spans="1:17" ht="14.4" customHeight="1" x14ac:dyDescent="0.3">
      <c r="A84" s="572" t="s">
        <v>1352</v>
      </c>
      <c r="B84" s="573" t="s">
        <v>1353</v>
      </c>
      <c r="C84" s="573" t="s">
        <v>1107</v>
      </c>
      <c r="D84" s="573" t="s">
        <v>1362</v>
      </c>
      <c r="E84" s="573" t="s">
        <v>1363</v>
      </c>
      <c r="F84" s="590">
        <v>4</v>
      </c>
      <c r="G84" s="590">
        <v>212</v>
      </c>
      <c r="H84" s="590">
        <v>1</v>
      </c>
      <c r="I84" s="590">
        <v>53</v>
      </c>
      <c r="J84" s="590"/>
      <c r="K84" s="590"/>
      <c r="L84" s="590"/>
      <c r="M84" s="590"/>
      <c r="N84" s="590"/>
      <c r="O84" s="590"/>
      <c r="P84" s="578"/>
      <c r="Q84" s="591"/>
    </row>
    <row r="85" spans="1:17" ht="14.4" customHeight="1" x14ac:dyDescent="0.3">
      <c r="A85" s="572" t="s">
        <v>1364</v>
      </c>
      <c r="B85" s="573" t="s">
        <v>1365</v>
      </c>
      <c r="C85" s="573" t="s">
        <v>1107</v>
      </c>
      <c r="D85" s="573" t="s">
        <v>1366</v>
      </c>
      <c r="E85" s="573" t="s">
        <v>1367</v>
      </c>
      <c r="F85" s="590">
        <v>1</v>
      </c>
      <c r="G85" s="590">
        <v>158</v>
      </c>
      <c r="H85" s="590">
        <v>1</v>
      </c>
      <c r="I85" s="590">
        <v>158</v>
      </c>
      <c r="J85" s="590"/>
      <c r="K85" s="590"/>
      <c r="L85" s="590"/>
      <c r="M85" s="590"/>
      <c r="N85" s="590"/>
      <c r="O85" s="590"/>
      <c r="P85" s="578"/>
      <c r="Q85" s="591"/>
    </row>
    <row r="86" spans="1:17" ht="14.4" customHeight="1" x14ac:dyDescent="0.3">
      <c r="A86" s="572" t="s">
        <v>1364</v>
      </c>
      <c r="B86" s="573" t="s">
        <v>1365</v>
      </c>
      <c r="C86" s="573" t="s">
        <v>1107</v>
      </c>
      <c r="D86" s="573" t="s">
        <v>1368</v>
      </c>
      <c r="E86" s="573" t="s">
        <v>1369</v>
      </c>
      <c r="F86" s="590">
        <v>12</v>
      </c>
      <c r="G86" s="590">
        <v>468</v>
      </c>
      <c r="H86" s="590">
        <v>1</v>
      </c>
      <c r="I86" s="590">
        <v>39</v>
      </c>
      <c r="J86" s="590"/>
      <c r="K86" s="590"/>
      <c r="L86" s="590"/>
      <c r="M86" s="590"/>
      <c r="N86" s="590"/>
      <c r="O86" s="590"/>
      <c r="P86" s="578"/>
      <c r="Q86" s="591"/>
    </row>
    <row r="87" spans="1:17" ht="14.4" customHeight="1" x14ac:dyDescent="0.3">
      <c r="A87" s="572" t="s">
        <v>1364</v>
      </c>
      <c r="B87" s="573" t="s">
        <v>1365</v>
      </c>
      <c r="C87" s="573" t="s">
        <v>1107</v>
      </c>
      <c r="D87" s="573" t="s">
        <v>1370</v>
      </c>
      <c r="E87" s="573" t="s">
        <v>1371</v>
      </c>
      <c r="F87" s="590">
        <v>3</v>
      </c>
      <c r="G87" s="590">
        <v>108</v>
      </c>
      <c r="H87" s="590">
        <v>1</v>
      </c>
      <c r="I87" s="590">
        <v>36</v>
      </c>
      <c r="J87" s="590"/>
      <c r="K87" s="590"/>
      <c r="L87" s="590"/>
      <c r="M87" s="590"/>
      <c r="N87" s="590"/>
      <c r="O87" s="590"/>
      <c r="P87" s="578"/>
      <c r="Q87" s="591"/>
    </row>
    <row r="88" spans="1:17" ht="14.4" customHeight="1" x14ac:dyDescent="0.3">
      <c r="A88" s="572" t="s">
        <v>1364</v>
      </c>
      <c r="B88" s="573" t="s">
        <v>1365</v>
      </c>
      <c r="C88" s="573" t="s">
        <v>1107</v>
      </c>
      <c r="D88" s="573" t="s">
        <v>1372</v>
      </c>
      <c r="E88" s="573" t="s">
        <v>1373</v>
      </c>
      <c r="F88" s="590">
        <v>6</v>
      </c>
      <c r="G88" s="590">
        <v>672</v>
      </c>
      <c r="H88" s="590">
        <v>1</v>
      </c>
      <c r="I88" s="590">
        <v>112</v>
      </c>
      <c r="J88" s="590"/>
      <c r="K88" s="590"/>
      <c r="L88" s="590"/>
      <c r="M88" s="590"/>
      <c r="N88" s="590"/>
      <c r="O88" s="590"/>
      <c r="P88" s="578"/>
      <c r="Q88" s="591"/>
    </row>
    <row r="89" spans="1:17" ht="14.4" customHeight="1" x14ac:dyDescent="0.3">
      <c r="A89" s="572" t="s">
        <v>1364</v>
      </c>
      <c r="B89" s="573" t="s">
        <v>1365</v>
      </c>
      <c r="C89" s="573" t="s">
        <v>1107</v>
      </c>
      <c r="D89" s="573" t="s">
        <v>1374</v>
      </c>
      <c r="E89" s="573" t="s">
        <v>1375</v>
      </c>
      <c r="F89" s="590">
        <v>24</v>
      </c>
      <c r="G89" s="590">
        <v>11664</v>
      </c>
      <c r="H89" s="590">
        <v>1</v>
      </c>
      <c r="I89" s="590">
        <v>486</v>
      </c>
      <c r="J89" s="590"/>
      <c r="K89" s="590"/>
      <c r="L89" s="590"/>
      <c r="M89" s="590"/>
      <c r="N89" s="590"/>
      <c r="O89" s="590"/>
      <c r="P89" s="578"/>
      <c r="Q89" s="591"/>
    </row>
    <row r="90" spans="1:17" ht="14.4" customHeight="1" x14ac:dyDescent="0.3">
      <c r="A90" s="572" t="s">
        <v>1364</v>
      </c>
      <c r="B90" s="573" t="s">
        <v>1365</v>
      </c>
      <c r="C90" s="573" t="s">
        <v>1107</v>
      </c>
      <c r="D90" s="573" t="s">
        <v>1376</v>
      </c>
      <c r="E90" s="573" t="s">
        <v>1377</v>
      </c>
      <c r="F90" s="590">
        <v>1</v>
      </c>
      <c r="G90" s="590">
        <v>40</v>
      </c>
      <c r="H90" s="590">
        <v>1</v>
      </c>
      <c r="I90" s="590">
        <v>40</v>
      </c>
      <c r="J90" s="590"/>
      <c r="K90" s="590"/>
      <c r="L90" s="590"/>
      <c r="M90" s="590"/>
      <c r="N90" s="590"/>
      <c r="O90" s="590"/>
      <c r="P90" s="578"/>
      <c r="Q90" s="591"/>
    </row>
    <row r="91" spans="1:17" ht="14.4" customHeight="1" x14ac:dyDescent="0.3">
      <c r="A91" s="572" t="s">
        <v>1364</v>
      </c>
      <c r="B91" s="573" t="s">
        <v>1365</v>
      </c>
      <c r="C91" s="573" t="s">
        <v>1107</v>
      </c>
      <c r="D91" s="573" t="s">
        <v>1378</v>
      </c>
      <c r="E91" s="573" t="s">
        <v>1379</v>
      </c>
      <c r="F91" s="590">
        <v>2</v>
      </c>
      <c r="G91" s="590">
        <v>4026</v>
      </c>
      <c r="H91" s="590">
        <v>1</v>
      </c>
      <c r="I91" s="590">
        <v>2013</v>
      </c>
      <c r="J91" s="590"/>
      <c r="K91" s="590"/>
      <c r="L91" s="590"/>
      <c r="M91" s="590"/>
      <c r="N91" s="590"/>
      <c r="O91" s="590"/>
      <c r="P91" s="578"/>
      <c r="Q91" s="591"/>
    </row>
    <row r="92" spans="1:17" ht="14.4" customHeight="1" x14ac:dyDescent="0.3">
      <c r="A92" s="572" t="s">
        <v>1380</v>
      </c>
      <c r="B92" s="573" t="s">
        <v>1381</v>
      </c>
      <c r="C92" s="573" t="s">
        <v>1107</v>
      </c>
      <c r="D92" s="573" t="s">
        <v>1382</v>
      </c>
      <c r="E92" s="573" t="s">
        <v>1383</v>
      </c>
      <c r="F92" s="590">
        <v>1</v>
      </c>
      <c r="G92" s="590">
        <v>649</v>
      </c>
      <c r="H92" s="590">
        <v>1</v>
      </c>
      <c r="I92" s="590">
        <v>649</v>
      </c>
      <c r="J92" s="590"/>
      <c r="K92" s="590"/>
      <c r="L92" s="590"/>
      <c r="M92" s="590"/>
      <c r="N92" s="590"/>
      <c r="O92" s="590"/>
      <c r="P92" s="578"/>
      <c r="Q92" s="591"/>
    </row>
    <row r="93" spans="1:17" ht="14.4" customHeight="1" x14ac:dyDescent="0.3">
      <c r="A93" s="572" t="s">
        <v>1380</v>
      </c>
      <c r="B93" s="573" t="s">
        <v>1381</v>
      </c>
      <c r="C93" s="573" t="s">
        <v>1107</v>
      </c>
      <c r="D93" s="573" t="s">
        <v>1384</v>
      </c>
      <c r="E93" s="573" t="s">
        <v>1385</v>
      </c>
      <c r="F93" s="590">
        <v>1</v>
      </c>
      <c r="G93" s="590">
        <v>166</v>
      </c>
      <c r="H93" s="590">
        <v>1</v>
      </c>
      <c r="I93" s="590">
        <v>166</v>
      </c>
      <c r="J93" s="590"/>
      <c r="K93" s="590"/>
      <c r="L93" s="590"/>
      <c r="M93" s="590"/>
      <c r="N93" s="590"/>
      <c r="O93" s="590"/>
      <c r="P93" s="578"/>
      <c r="Q93" s="591"/>
    </row>
    <row r="94" spans="1:17" ht="14.4" customHeight="1" x14ac:dyDescent="0.3">
      <c r="A94" s="572" t="s">
        <v>1380</v>
      </c>
      <c r="B94" s="573" t="s">
        <v>1381</v>
      </c>
      <c r="C94" s="573" t="s">
        <v>1107</v>
      </c>
      <c r="D94" s="573" t="s">
        <v>1386</v>
      </c>
      <c r="E94" s="573" t="s">
        <v>1387</v>
      </c>
      <c r="F94" s="590">
        <v>3</v>
      </c>
      <c r="G94" s="590">
        <v>1524</v>
      </c>
      <c r="H94" s="590">
        <v>1</v>
      </c>
      <c r="I94" s="590">
        <v>508</v>
      </c>
      <c r="J94" s="590"/>
      <c r="K94" s="590"/>
      <c r="L94" s="590"/>
      <c r="M94" s="590"/>
      <c r="N94" s="590"/>
      <c r="O94" s="590"/>
      <c r="P94" s="578"/>
      <c r="Q94" s="591"/>
    </row>
    <row r="95" spans="1:17" ht="14.4" customHeight="1" x14ac:dyDescent="0.3">
      <c r="A95" s="572" t="s">
        <v>1380</v>
      </c>
      <c r="B95" s="573" t="s">
        <v>1381</v>
      </c>
      <c r="C95" s="573" t="s">
        <v>1107</v>
      </c>
      <c r="D95" s="573" t="s">
        <v>1388</v>
      </c>
      <c r="E95" s="573" t="s">
        <v>1389</v>
      </c>
      <c r="F95" s="590">
        <v>3</v>
      </c>
      <c r="G95" s="590">
        <v>1254</v>
      </c>
      <c r="H95" s="590">
        <v>1</v>
      </c>
      <c r="I95" s="590">
        <v>418</v>
      </c>
      <c r="J95" s="590"/>
      <c r="K95" s="590"/>
      <c r="L95" s="590"/>
      <c r="M95" s="590"/>
      <c r="N95" s="590"/>
      <c r="O95" s="590"/>
      <c r="P95" s="578"/>
      <c r="Q95" s="591"/>
    </row>
    <row r="96" spans="1:17" ht="14.4" customHeight="1" x14ac:dyDescent="0.3">
      <c r="A96" s="572" t="s">
        <v>1380</v>
      </c>
      <c r="B96" s="573" t="s">
        <v>1381</v>
      </c>
      <c r="C96" s="573" t="s">
        <v>1107</v>
      </c>
      <c r="D96" s="573" t="s">
        <v>1390</v>
      </c>
      <c r="E96" s="573" t="s">
        <v>1391</v>
      </c>
      <c r="F96" s="590">
        <v>4</v>
      </c>
      <c r="G96" s="590">
        <v>1372</v>
      </c>
      <c r="H96" s="590">
        <v>1</v>
      </c>
      <c r="I96" s="590">
        <v>343</v>
      </c>
      <c r="J96" s="590"/>
      <c r="K96" s="590"/>
      <c r="L96" s="590"/>
      <c r="M96" s="590"/>
      <c r="N96" s="590"/>
      <c r="O96" s="590"/>
      <c r="P96" s="578"/>
      <c r="Q96" s="591"/>
    </row>
    <row r="97" spans="1:17" ht="14.4" customHeight="1" x14ac:dyDescent="0.3">
      <c r="A97" s="572" t="s">
        <v>1380</v>
      </c>
      <c r="B97" s="573" t="s">
        <v>1381</v>
      </c>
      <c r="C97" s="573" t="s">
        <v>1107</v>
      </c>
      <c r="D97" s="573" t="s">
        <v>1392</v>
      </c>
      <c r="E97" s="573" t="s">
        <v>1393</v>
      </c>
      <c r="F97" s="590">
        <v>1</v>
      </c>
      <c r="G97" s="590">
        <v>216</v>
      </c>
      <c r="H97" s="590">
        <v>1</v>
      </c>
      <c r="I97" s="590">
        <v>216</v>
      </c>
      <c r="J97" s="590"/>
      <c r="K97" s="590"/>
      <c r="L97" s="590"/>
      <c r="M97" s="590"/>
      <c r="N97" s="590"/>
      <c r="O97" s="590"/>
      <c r="P97" s="578"/>
      <c r="Q97" s="591"/>
    </row>
    <row r="98" spans="1:17" ht="14.4" customHeight="1" x14ac:dyDescent="0.3">
      <c r="A98" s="572" t="s">
        <v>1380</v>
      </c>
      <c r="B98" s="573" t="s">
        <v>1381</v>
      </c>
      <c r="C98" s="573" t="s">
        <v>1107</v>
      </c>
      <c r="D98" s="573" t="s">
        <v>1394</v>
      </c>
      <c r="E98" s="573" t="s">
        <v>1395</v>
      </c>
      <c r="F98" s="590">
        <v>1</v>
      </c>
      <c r="G98" s="590">
        <v>110</v>
      </c>
      <c r="H98" s="590">
        <v>1</v>
      </c>
      <c r="I98" s="590">
        <v>110</v>
      </c>
      <c r="J98" s="590"/>
      <c r="K98" s="590"/>
      <c r="L98" s="590"/>
      <c r="M98" s="590"/>
      <c r="N98" s="590"/>
      <c r="O98" s="590"/>
      <c r="P98" s="578"/>
      <c r="Q98" s="591"/>
    </row>
    <row r="99" spans="1:17" ht="14.4" customHeight="1" x14ac:dyDescent="0.3">
      <c r="A99" s="572" t="s">
        <v>1380</v>
      </c>
      <c r="B99" s="573" t="s">
        <v>1381</v>
      </c>
      <c r="C99" s="573" t="s">
        <v>1107</v>
      </c>
      <c r="D99" s="573" t="s">
        <v>1266</v>
      </c>
      <c r="E99" s="573" t="s">
        <v>1267</v>
      </c>
      <c r="F99" s="590">
        <v>1</v>
      </c>
      <c r="G99" s="590">
        <v>147</v>
      </c>
      <c r="H99" s="590">
        <v>1</v>
      </c>
      <c r="I99" s="590">
        <v>147</v>
      </c>
      <c r="J99" s="590"/>
      <c r="K99" s="590"/>
      <c r="L99" s="590"/>
      <c r="M99" s="590"/>
      <c r="N99" s="590"/>
      <c r="O99" s="590"/>
      <c r="P99" s="578"/>
      <c r="Q99" s="591"/>
    </row>
    <row r="100" spans="1:17" ht="14.4" customHeight="1" x14ac:dyDescent="0.3">
      <c r="A100" s="572" t="s">
        <v>1380</v>
      </c>
      <c r="B100" s="573" t="s">
        <v>1381</v>
      </c>
      <c r="C100" s="573" t="s">
        <v>1107</v>
      </c>
      <c r="D100" s="573" t="s">
        <v>1396</v>
      </c>
      <c r="E100" s="573" t="s">
        <v>1397</v>
      </c>
      <c r="F100" s="590">
        <v>2</v>
      </c>
      <c r="G100" s="590">
        <v>76</v>
      </c>
      <c r="H100" s="590">
        <v>1</v>
      </c>
      <c r="I100" s="590">
        <v>38</v>
      </c>
      <c r="J100" s="590"/>
      <c r="K100" s="590"/>
      <c r="L100" s="590"/>
      <c r="M100" s="590"/>
      <c r="N100" s="590"/>
      <c r="O100" s="590"/>
      <c r="P100" s="578"/>
      <c r="Q100" s="591"/>
    </row>
    <row r="101" spans="1:17" ht="14.4" customHeight="1" x14ac:dyDescent="0.3">
      <c r="A101" s="572" t="s">
        <v>1380</v>
      </c>
      <c r="B101" s="573" t="s">
        <v>1381</v>
      </c>
      <c r="C101" s="573" t="s">
        <v>1107</v>
      </c>
      <c r="D101" s="573" t="s">
        <v>1398</v>
      </c>
      <c r="E101" s="573" t="s">
        <v>1399</v>
      </c>
      <c r="F101" s="590">
        <v>1</v>
      </c>
      <c r="G101" s="590">
        <v>169</v>
      </c>
      <c r="H101" s="590">
        <v>1</v>
      </c>
      <c r="I101" s="590">
        <v>169</v>
      </c>
      <c r="J101" s="590"/>
      <c r="K101" s="590"/>
      <c r="L101" s="590"/>
      <c r="M101" s="590"/>
      <c r="N101" s="590"/>
      <c r="O101" s="590"/>
      <c r="P101" s="578"/>
      <c r="Q101" s="591"/>
    </row>
    <row r="102" spans="1:17" ht="14.4" customHeight="1" x14ac:dyDescent="0.3">
      <c r="A102" s="572" t="s">
        <v>1380</v>
      </c>
      <c r="B102" s="573" t="s">
        <v>1381</v>
      </c>
      <c r="C102" s="573" t="s">
        <v>1107</v>
      </c>
      <c r="D102" s="573" t="s">
        <v>1400</v>
      </c>
      <c r="E102" s="573" t="s">
        <v>1401</v>
      </c>
      <c r="F102" s="590">
        <v>3</v>
      </c>
      <c r="G102" s="590">
        <v>1041</v>
      </c>
      <c r="H102" s="590">
        <v>1</v>
      </c>
      <c r="I102" s="590">
        <v>347</v>
      </c>
      <c r="J102" s="590"/>
      <c r="K102" s="590"/>
      <c r="L102" s="590"/>
      <c r="M102" s="590"/>
      <c r="N102" s="590"/>
      <c r="O102" s="590"/>
      <c r="P102" s="578"/>
      <c r="Q102" s="591"/>
    </row>
    <row r="103" spans="1:17" ht="14.4" customHeight="1" x14ac:dyDescent="0.3">
      <c r="A103" s="572" t="s">
        <v>1380</v>
      </c>
      <c r="B103" s="573" t="s">
        <v>1381</v>
      </c>
      <c r="C103" s="573" t="s">
        <v>1107</v>
      </c>
      <c r="D103" s="573" t="s">
        <v>1402</v>
      </c>
      <c r="E103" s="573" t="s">
        <v>1403</v>
      </c>
      <c r="F103" s="590">
        <v>1</v>
      </c>
      <c r="G103" s="590">
        <v>172</v>
      </c>
      <c r="H103" s="590">
        <v>1</v>
      </c>
      <c r="I103" s="590">
        <v>172</v>
      </c>
      <c r="J103" s="590"/>
      <c r="K103" s="590"/>
      <c r="L103" s="590"/>
      <c r="M103" s="590"/>
      <c r="N103" s="590"/>
      <c r="O103" s="590"/>
      <c r="P103" s="578"/>
      <c r="Q103" s="591"/>
    </row>
    <row r="104" spans="1:17" ht="14.4" customHeight="1" thickBot="1" x14ac:dyDescent="0.35">
      <c r="A104" s="580" t="s">
        <v>1380</v>
      </c>
      <c r="B104" s="581" t="s">
        <v>1381</v>
      </c>
      <c r="C104" s="581" t="s">
        <v>1107</v>
      </c>
      <c r="D104" s="581" t="s">
        <v>1404</v>
      </c>
      <c r="E104" s="581" t="s">
        <v>1405</v>
      </c>
      <c r="F104" s="592">
        <v>3</v>
      </c>
      <c r="G104" s="592">
        <v>858</v>
      </c>
      <c r="H104" s="592">
        <v>1</v>
      </c>
      <c r="I104" s="592">
        <v>286</v>
      </c>
      <c r="J104" s="592"/>
      <c r="K104" s="592"/>
      <c r="L104" s="592"/>
      <c r="M104" s="592"/>
      <c r="N104" s="592"/>
      <c r="O104" s="592"/>
      <c r="P104" s="586"/>
      <c r="Q104" s="593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99" bestFit="1" customWidth="1"/>
    <col min="2" max="2" width="15.6640625" style="99" bestFit="1" customWidth="1"/>
    <col min="3" max="5" width="8.33203125" style="107" customWidth="1"/>
    <col min="6" max="6" width="6.109375" style="108" customWidth="1"/>
    <col min="7" max="9" width="8.33203125" style="107" customWidth="1"/>
    <col min="10" max="10" width="6.109375" style="108" customWidth="1"/>
    <col min="11" max="14" width="8.33203125" style="107" customWidth="1"/>
    <col min="15" max="16384" width="8.88671875" style="99"/>
  </cols>
  <sheetData>
    <row r="1" spans="1:14" ht="18.600000000000001" customHeight="1" thickBot="1" x14ac:dyDescent="0.4">
      <c r="A1" s="436" t="s">
        <v>149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4" ht="14.4" customHeight="1" thickBot="1" x14ac:dyDescent="0.35">
      <c r="A2" s="250" t="s">
        <v>289</v>
      </c>
      <c r="B2" s="100"/>
      <c r="C2" s="100"/>
      <c r="D2" s="100"/>
      <c r="E2" s="100"/>
      <c r="F2" s="100"/>
      <c r="G2" s="316"/>
      <c r="H2" s="316"/>
      <c r="I2" s="316"/>
      <c r="J2" s="100"/>
      <c r="K2" s="316"/>
      <c r="L2" s="316"/>
      <c r="M2" s="316"/>
      <c r="N2" s="100"/>
    </row>
    <row r="3" spans="1:14" ht="14.4" customHeight="1" thickBot="1" x14ac:dyDescent="0.35">
      <c r="A3" s="101"/>
      <c r="B3" s="102" t="s">
        <v>136</v>
      </c>
      <c r="C3" s="103">
        <f>SUBTOTAL(9,C6:C1048576)</f>
        <v>2831</v>
      </c>
      <c r="D3" s="104">
        <f>SUBTOTAL(9,D6:D1048576)</f>
        <v>0</v>
      </c>
      <c r="E3" s="104">
        <f>SUBTOTAL(9,E6:E1048576)</f>
        <v>0</v>
      </c>
      <c r="F3" s="105" t="str">
        <f>IF(OR(E3=0,C3=0),"",E3/C3)</f>
        <v/>
      </c>
      <c r="G3" s="317">
        <f>SUBTOTAL(9,G6:G1048576)</f>
        <v>2935.8144000000002</v>
      </c>
      <c r="H3" s="318">
        <f>SUBTOTAL(9,H6:H1048576)</f>
        <v>0</v>
      </c>
      <c r="I3" s="318">
        <f>SUBTOTAL(9,I6:I1048576)</f>
        <v>0</v>
      </c>
      <c r="J3" s="105" t="str">
        <f>IF(OR(I3=0,G3=0),"",I3/G3)</f>
        <v/>
      </c>
      <c r="K3" s="317">
        <f>SUBTOTAL(9,K6:K1048576)</f>
        <v>42.465000000000003</v>
      </c>
      <c r="L3" s="318">
        <f>SUBTOTAL(9,L6:L1048576)</f>
        <v>0</v>
      </c>
      <c r="M3" s="318">
        <f>SUBTOTAL(9,M6:M1048576)</f>
        <v>0</v>
      </c>
      <c r="N3" s="106" t="str">
        <f>IF(OR(M3=0,E3=0),"",M3/E3)</f>
        <v/>
      </c>
    </row>
    <row r="4" spans="1:14" ht="14.4" customHeight="1" x14ac:dyDescent="0.3">
      <c r="A4" s="438" t="s">
        <v>71</v>
      </c>
      <c r="B4" s="439" t="s">
        <v>11</v>
      </c>
      <c r="C4" s="440" t="s">
        <v>72</v>
      </c>
      <c r="D4" s="440"/>
      <c r="E4" s="440"/>
      <c r="F4" s="441"/>
      <c r="G4" s="442" t="s">
        <v>14</v>
      </c>
      <c r="H4" s="440"/>
      <c r="I4" s="440"/>
      <c r="J4" s="441"/>
      <c r="K4" s="442" t="s">
        <v>73</v>
      </c>
      <c r="L4" s="440"/>
      <c r="M4" s="440"/>
      <c r="N4" s="443"/>
    </row>
    <row r="5" spans="1:14" ht="14.4" customHeight="1" thickBot="1" x14ac:dyDescent="0.35">
      <c r="A5" s="667"/>
      <c r="B5" s="668"/>
      <c r="C5" s="671">
        <v>2012</v>
      </c>
      <c r="D5" s="671">
        <v>2013</v>
      </c>
      <c r="E5" s="671">
        <v>2014</v>
      </c>
      <c r="F5" s="672" t="s">
        <v>2</v>
      </c>
      <c r="G5" s="676">
        <v>2012</v>
      </c>
      <c r="H5" s="671">
        <v>2013</v>
      </c>
      <c r="I5" s="671">
        <v>2014</v>
      </c>
      <c r="J5" s="672" t="s">
        <v>2</v>
      </c>
      <c r="K5" s="676">
        <v>2012</v>
      </c>
      <c r="L5" s="671">
        <v>2013</v>
      </c>
      <c r="M5" s="671">
        <v>2014</v>
      </c>
      <c r="N5" s="677" t="s">
        <v>74</v>
      </c>
    </row>
    <row r="6" spans="1:14" ht="14.4" customHeight="1" thickBot="1" x14ac:dyDescent="0.35">
      <c r="A6" s="669" t="s">
        <v>1177</v>
      </c>
      <c r="B6" s="670" t="s">
        <v>1407</v>
      </c>
      <c r="C6" s="673">
        <v>2831</v>
      </c>
      <c r="D6" s="674"/>
      <c r="E6" s="674"/>
      <c r="F6" s="675"/>
      <c r="G6" s="673">
        <v>2935.8144000000002</v>
      </c>
      <c r="H6" s="674"/>
      <c r="I6" s="674"/>
      <c r="J6" s="675"/>
      <c r="K6" s="673">
        <v>42.465000000000003</v>
      </c>
      <c r="L6" s="674"/>
      <c r="M6" s="674"/>
      <c r="N6" s="678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43" bestFit="1" customWidth="1"/>
    <col min="2" max="3" width="9.5546875" style="143" customWidth="1"/>
    <col min="4" max="4" width="2.21875" style="143" customWidth="1"/>
    <col min="5" max="8" width="9.5546875" style="143" customWidth="1"/>
    <col min="9" max="16384" width="8.88671875" style="143"/>
  </cols>
  <sheetData>
    <row r="1" spans="1:8" ht="18.600000000000001" customHeight="1" thickBot="1" x14ac:dyDescent="0.4">
      <c r="A1" s="343" t="s">
        <v>145</v>
      </c>
      <c r="B1" s="343"/>
      <c r="C1" s="343"/>
      <c r="D1" s="343"/>
      <c r="E1" s="343"/>
      <c r="F1" s="343"/>
      <c r="G1" s="344"/>
      <c r="H1" s="344"/>
    </row>
    <row r="2" spans="1:8" ht="14.4" customHeight="1" thickBot="1" x14ac:dyDescent="0.35">
      <c r="A2" s="250" t="s">
        <v>289</v>
      </c>
      <c r="B2" s="124"/>
      <c r="C2" s="124"/>
      <c r="D2" s="124"/>
      <c r="E2" s="124"/>
      <c r="F2" s="124"/>
    </row>
    <row r="3" spans="1:8" ht="14.4" customHeight="1" x14ac:dyDescent="0.3">
      <c r="A3" s="345"/>
      <c r="B3" s="120">
        <v>2012</v>
      </c>
      <c r="C3" s="40">
        <v>2013</v>
      </c>
      <c r="D3" s="7"/>
      <c r="E3" s="349">
        <v>2014</v>
      </c>
      <c r="F3" s="350"/>
      <c r="G3" s="350"/>
      <c r="H3" s="351"/>
    </row>
    <row r="4" spans="1:8" ht="14.4" customHeight="1" thickBot="1" x14ac:dyDescent="0.35">
      <c r="A4" s="346"/>
      <c r="B4" s="347" t="s">
        <v>75</v>
      </c>
      <c r="C4" s="348"/>
      <c r="D4" s="7"/>
      <c r="E4" s="141" t="s">
        <v>75</v>
      </c>
      <c r="F4" s="122" t="s">
        <v>76</v>
      </c>
      <c r="G4" s="122" t="s">
        <v>68</v>
      </c>
      <c r="H4" s="123" t="s">
        <v>77</v>
      </c>
    </row>
    <row r="5" spans="1:8" ht="14.4" customHeight="1" x14ac:dyDescent="0.3">
      <c r="A5" s="125" t="str">
        <f>HYPERLINK("#'Léky Žádanky'!A1","Léky (Kč)")</f>
        <v>Léky (Kč)</v>
      </c>
      <c r="B5" s="27">
        <v>624.60034999999993</v>
      </c>
      <c r="C5" s="29">
        <v>565.32547999999792</v>
      </c>
      <c r="D5" s="8"/>
      <c r="E5" s="130">
        <v>530.58420000000001</v>
      </c>
      <c r="F5" s="28">
        <v>732.45350701552331</v>
      </c>
      <c r="G5" s="129">
        <f>E5-F5</f>
        <v>-201.8693070155233</v>
      </c>
      <c r="H5" s="135">
        <f>IF(F5&lt;0.00000001,"",E5/F5)</f>
        <v>0.72439300913710425</v>
      </c>
    </row>
    <row r="6" spans="1:8" ht="14.4" customHeight="1" x14ac:dyDescent="0.3">
      <c r="A6" s="125" t="str">
        <f>HYPERLINK("#'Materiál Žádanky'!A1","Materiál - SZM (Kč)")</f>
        <v>Materiál - SZM (Kč)</v>
      </c>
      <c r="B6" s="10">
        <v>74.362220000000022</v>
      </c>
      <c r="C6" s="31">
        <v>58.301619999997996</v>
      </c>
      <c r="D6" s="8"/>
      <c r="E6" s="131">
        <v>57.032510000000009</v>
      </c>
      <c r="F6" s="30">
        <v>75.110865883010845</v>
      </c>
      <c r="G6" s="132">
        <f>E6-F6</f>
        <v>-18.078355883010836</v>
      </c>
      <c r="H6" s="136">
        <f>IF(F6&lt;0.00000001,"",E6/F6)</f>
        <v>0.75931104414148498</v>
      </c>
    </row>
    <row r="7" spans="1:8" ht="14.4" customHeight="1" x14ac:dyDescent="0.3">
      <c r="A7" s="125" t="str">
        <f>HYPERLINK("#'Osobní náklady'!A1","Osobní náklady (Kč) *")</f>
        <v>Osobní náklady (Kč) *</v>
      </c>
      <c r="B7" s="10">
        <v>6001.5899399999989</v>
      </c>
      <c r="C7" s="31">
        <v>6013.8526100000008</v>
      </c>
      <c r="D7" s="8"/>
      <c r="E7" s="131">
        <v>6609.1954700000042</v>
      </c>
      <c r="F7" s="30">
        <v>6206.7807487292757</v>
      </c>
      <c r="G7" s="132">
        <f>E7-F7</f>
        <v>402.41472127072848</v>
      </c>
      <c r="H7" s="136">
        <f>IF(F7&lt;0.00000001,"",E7/F7)</f>
        <v>1.0648346925019248</v>
      </c>
    </row>
    <row r="8" spans="1:8" ht="14.4" customHeight="1" thickBot="1" x14ac:dyDescent="0.35">
      <c r="A8" s="1" t="s">
        <v>78</v>
      </c>
      <c r="B8" s="11">
        <v>1788.8986400000001</v>
      </c>
      <c r="C8" s="33">
        <v>1668.0241400000007</v>
      </c>
      <c r="D8" s="8"/>
      <c r="E8" s="133">
        <v>1606.2122899999997</v>
      </c>
      <c r="F8" s="32">
        <v>1704.0790409765286</v>
      </c>
      <c r="G8" s="134">
        <f>E8-F8</f>
        <v>-97.86675097652892</v>
      </c>
      <c r="H8" s="137">
        <f>IF(F8&lt;0.00000001,"",E8/F8)</f>
        <v>0.94256912465724241</v>
      </c>
    </row>
    <row r="9" spans="1:8" ht="14.4" customHeight="1" thickBot="1" x14ac:dyDescent="0.35">
      <c r="A9" s="2" t="s">
        <v>79</v>
      </c>
      <c r="B9" s="3">
        <v>8489.451149999999</v>
      </c>
      <c r="C9" s="35">
        <v>8305.5038499999973</v>
      </c>
      <c r="D9" s="8"/>
      <c r="E9" s="3">
        <v>8803.0244700000039</v>
      </c>
      <c r="F9" s="34">
        <v>8718.4241626043386</v>
      </c>
      <c r="G9" s="34">
        <f>E9-F9</f>
        <v>84.600307395665368</v>
      </c>
      <c r="H9" s="138">
        <f>IF(F9&lt;0.00000001,"",E9/F9)</f>
        <v>1.0097036237074286</v>
      </c>
    </row>
    <row r="10" spans="1:8" ht="14.4" customHeight="1" thickBot="1" x14ac:dyDescent="0.35">
      <c r="A10" s="12"/>
      <c r="B10" s="12"/>
      <c r="C10" s="121"/>
      <c r="D10" s="8"/>
      <c r="E10" s="12"/>
      <c r="F10" s="13"/>
    </row>
    <row r="11" spans="1:8" ht="14.4" customHeight="1" x14ac:dyDescent="0.3">
      <c r="A11" s="146" t="str">
        <f>HYPERLINK("#'ZV Vykáz.-A'!A1","Ambulance *")</f>
        <v>Ambulance *</v>
      </c>
      <c r="B11" s="9">
        <f>IF(ISERROR(VLOOKUP("Celkem:",'ZV Vykáz.-A'!A:F,2,0)),0,VLOOKUP("Celkem:",'ZV Vykáz.-A'!A:F,2,0)/1000)</f>
        <v>1759.7159999999999</v>
      </c>
      <c r="C11" s="29">
        <f>IF(ISERROR(VLOOKUP("Celkem:",'ZV Vykáz.-A'!A:F,4,0)),0,VLOOKUP("Celkem:",'ZV Vykáz.-A'!A:F,4,0)/1000)</f>
        <v>1704.43</v>
      </c>
      <c r="D11" s="8"/>
      <c r="E11" s="130">
        <f>IF(ISERROR(VLOOKUP("Celkem:",'ZV Vykáz.-A'!A:F,6,0)),0,VLOOKUP("Celkem:",'ZV Vykáz.-A'!A:F,6,0)/1000)</f>
        <v>1869.1880000000001</v>
      </c>
      <c r="F11" s="28">
        <f>B11</f>
        <v>1759.7159999999999</v>
      </c>
      <c r="G11" s="129">
        <f>E11-F11</f>
        <v>109.47200000000021</v>
      </c>
      <c r="H11" s="135">
        <f>IF(F11&lt;0.00000001,"",E11/F11)</f>
        <v>1.0622100384380209</v>
      </c>
    </row>
    <row r="12" spans="1:8" ht="14.4" customHeight="1" thickBot="1" x14ac:dyDescent="0.35">
      <c r="A12" s="14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33">
        <f>IF(ISERROR(VLOOKUP("Celkem",#REF!,4,0)),0,VLOOKUP("Celkem",#REF!,4,0)*30)</f>
        <v>0</v>
      </c>
      <c r="F12" s="32">
        <f>B12</f>
        <v>0</v>
      </c>
      <c r="G12" s="134">
        <f>E12-F12</f>
        <v>0</v>
      </c>
      <c r="H12" s="137" t="str">
        <f>IF(F12&lt;0.00000001,"",E12/F12)</f>
        <v/>
      </c>
    </row>
    <row r="13" spans="1:8" ht="14.4" customHeight="1" thickBot="1" x14ac:dyDescent="0.35">
      <c r="A13" s="4" t="s">
        <v>82</v>
      </c>
      <c r="B13" s="5">
        <f>SUM(B11:B12)</f>
        <v>1759.7159999999999</v>
      </c>
      <c r="C13" s="37">
        <f>SUM(C11:C12)</f>
        <v>1704.43</v>
      </c>
      <c r="D13" s="8"/>
      <c r="E13" s="5">
        <f>SUM(E11:E12)</f>
        <v>1869.1880000000001</v>
      </c>
      <c r="F13" s="36">
        <f>SUM(F11:F12)</f>
        <v>1759.7159999999999</v>
      </c>
      <c r="G13" s="36">
        <f>E13-F13</f>
        <v>109.47200000000021</v>
      </c>
      <c r="H13" s="139">
        <f>IF(F13&lt;0.00000001,"",E13/F13)</f>
        <v>1.0622100384380209</v>
      </c>
    </row>
    <row r="14" spans="1:8" ht="14.4" customHeight="1" thickBot="1" x14ac:dyDescent="0.35">
      <c r="A14" s="12"/>
      <c r="B14" s="12"/>
      <c r="C14" s="121"/>
      <c r="D14" s="8"/>
      <c r="E14" s="12"/>
      <c r="F14" s="13"/>
    </row>
    <row r="15" spans="1:8" ht="14.4" customHeight="1" thickBot="1" x14ac:dyDescent="0.35">
      <c r="A15" s="148" t="str">
        <f>HYPERLINK("#'HI Graf'!A1","Hospodářský index (Výnosy / Náklady) *")</f>
        <v>Hospodářský index (Výnosy / Náklady) *</v>
      </c>
      <c r="B15" s="6">
        <f>IF(B9=0,"",B13/B9)</f>
        <v>0.20728265807854965</v>
      </c>
      <c r="C15" s="39">
        <f>IF(C9=0,"",C13/C9)</f>
        <v>0.20521692973509376</v>
      </c>
      <c r="D15" s="8"/>
      <c r="E15" s="6">
        <f>IF(E9=0,"",E13/E9)</f>
        <v>0.21233474999076077</v>
      </c>
      <c r="F15" s="38">
        <f>IF(F9=0,"",F13/F9)</f>
        <v>0.2018387689311899</v>
      </c>
      <c r="G15" s="38">
        <f>IF(ISERROR(F15-E15),"",E15-F15)</f>
        <v>1.0495981059570864E-2</v>
      </c>
      <c r="H15" s="140">
        <f>IF(ISERROR(F15-E15),"",IF(F15&lt;0.00000001,"",E15/F15))</f>
        <v>1.0520018087464114</v>
      </c>
    </row>
    <row r="17" spans="1:8" ht="14.4" customHeight="1" x14ac:dyDescent="0.3">
      <c r="A17" s="126" t="s">
        <v>170</v>
      </c>
    </row>
    <row r="18" spans="1:8" ht="14.4" customHeight="1" x14ac:dyDescent="0.3">
      <c r="A18" s="303" t="s">
        <v>232</v>
      </c>
      <c r="B18" s="304"/>
      <c r="C18" s="304"/>
      <c r="D18" s="304"/>
      <c r="E18" s="304"/>
      <c r="F18" s="304"/>
      <c r="G18" s="304"/>
      <c r="H18" s="304"/>
    </row>
    <row r="19" spans="1:8" x14ac:dyDescent="0.3">
      <c r="A19" s="302" t="s">
        <v>231</v>
      </c>
      <c r="B19" s="304"/>
      <c r="C19" s="304"/>
      <c r="D19" s="304"/>
      <c r="E19" s="304"/>
      <c r="F19" s="304"/>
      <c r="G19" s="304"/>
      <c r="H19" s="304"/>
    </row>
    <row r="20" spans="1:8" ht="14.4" customHeight="1" x14ac:dyDescent="0.3">
      <c r="A20" s="127" t="s">
        <v>286</v>
      </c>
    </row>
    <row r="21" spans="1:8" ht="14.4" customHeight="1" x14ac:dyDescent="0.3">
      <c r="A21" s="127" t="s">
        <v>171</v>
      </c>
    </row>
    <row r="22" spans="1:8" ht="14.4" customHeight="1" x14ac:dyDescent="0.3">
      <c r="A22" s="128" t="s">
        <v>172</v>
      </c>
    </row>
    <row r="23" spans="1:8" ht="14.4" customHeight="1" x14ac:dyDescent="0.3">
      <c r="A23" s="128" t="s">
        <v>173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3"/>
    <col min="2" max="13" width="8.88671875" style="143" customWidth="1"/>
    <col min="14" max="16384" width="8.88671875" style="143"/>
  </cols>
  <sheetData>
    <row r="1" spans="1:13" ht="18.600000000000001" customHeight="1" thickBot="1" x14ac:dyDescent="0.4">
      <c r="A1" s="343" t="s">
        <v>108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50" t="s">
        <v>289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4.4" customHeight="1" x14ac:dyDescent="0.3">
      <c r="A3" s="213"/>
      <c r="B3" s="214" t="s">
        <v>84</v>
      </c>
      <c r="C3" s="215" t="s">
        <v>85</v>
      </c>
      <c r="D3" s="215" t="s">
        <v>86</v>
      </c>
      <c r="E3" s="214" t="s">
        <v>87</v>
      </c>
      <c r="F3" s="215" t="s">
        <v>88</v>
      </c>
      <c r="G3" s="215" t="s">
        <v>89</v>
      </c>
      <c r="H3" s="215" t="s">
        <v>90</v>
      </c>
      <c r="I3" s="215" t="s">
        <v>91</v>
      </c>
      <c r="J3" s="215" t="s">
        <v>92</v>
      </c>
      <c r="K3" s="215" t="s">
        <v>93</v>
      </c>
      <c r="L3" s="215" t="s">
        <v>94</v>
      </c>
      <c r="M3" s="215" t="s">
        <v>95</v>
      </c>
    </row>
    <row r="4" spans="1:13" ht="14.4" customHeight="1" x14ac:dyDescent="0.3">
      <c r="A4" s="213" t="s">
        <v>83</v>
      </c>
      <c r="B4" s="216">
        <f>(B10+B8)/B6</f>
        <v>0.28427014009755375</v>
      </c>
      <c r="C4" s="216">
        <f t="shared" ref="C4:M4" si="0">(C10+C8)/C6</f>
        <v>0.26059552191052715</v>
      </c>
      <c r="D4" s="216">
        <f t="shared" si="0"/>
        <v>0.25859755224270647</v>
      </c>
      <c r="E4" s="216">
        <f t="shared" si="0"/>
        <v>0.2505143852963187</v>
      </c>
      <c r="F4" s="216">
        <f t="shared" si="0"/>
        <v>0.25157955516553437</v>
      </c>
      <c r="G4" s="216">
        <f t="shared" si="0"/>
        <v>0.24955277880823326</v>
      </c>
      <c r="H4" s="216">
        <f t="shared" si="0"/>
        <v>0.22231206399333259</v>
      </c>
      <c r="I4" s="216">
        <f t="shared" si="0"/>
        <v>0.21873908499219155</v>
      </c>
      <c r="J4" s="216">
        <f t="shared" si="0"/>
        <v>0.22706651419657209</v>
      </c>
      <c r="K4" s="216">
        <f t="shared" si="0"/>
        <v>0.22384201201911658</v>
      </c>
      <c r="L4" s="216">
        <f t="shared" si="0"/>
        <v>0.21233474999076077</v>
      </c>
      <c r="M4" s="216">
        <f t="shared" si="0"/>
        <v>0.21233474999076077</v>
      </c>
    </row>
    <row r="5" spans="1:13" ht="14.4" customHeight="1" x14ac:dyDescent="0.3">
      <c r="A5" s="217" t="s">
        <v>53</v>
      </c>
      <c r="B5" s="216">
        <f>IF(ISERROR(VLOOKUP($A5,'Man Tab'!$A:$Q,COLUMN()+2,0)),0,VLOOKUP($A5,'Man Tab'!$A:$Q,COLUMN()+2,0))</f>
        <v>778.05569000000401</v>
      </c>
      <c r="C5" s="216">
        <f>IF(ISERROR(VLOOKUP($A5,'Man Tab'!$A:$Q,COLUMN()+2,0)),0,VLOOKUP($A5,'Man Tab'!$A:$Q,COLUMN()+2,0))</f>
        <v>720.72677999999996</v>
      </c>
      <c r="D5" s="216">
        <f>IF(ISERROR(VLOOKUP($A5,'Man Tab'!$A:$Q,COLUMN()+2,0)),0,VLOOKUP($A5,'Man Tab'!$A:$Q,COLUMN()+2,0))</f>
        <v>716.20755999999994</v>
      </c>
      <c r="E5" s="216">
        <f>IF(ISERROR(VLOOKUP($A5,'Man Tab'!$A:$Q,COLUMN()+2,0)),0,VLOOKUP($A5,'Man Tab'!$A:$Q,COLUMN()+2,0))</f>
        <v>785.52828</v>
      </c>
      <c r="F5" s="216">
        <f>IF(ISERROR(VLOOKUP($A5,'Man Tab'!$A:$Q,COLUMN()+2,0)),0,VLOOKUP($A5,'Man Tab'!$A:$Q,COLUMN()+2,0))</f>
        <v>715.74949000000004</v>
      </c>
      <c r="G5" s="216">
        <f>IF(ISERROR(VLOOKUP($A5,'Man Tab'!$A:$Q,COLUMN()+2,0)),0,VLOOKUP($A5,'Man Tab'!$A:$Q,COLUMN()+2,0))</f>
        <v>702.59703999999999</v>
      </c>
      <c r="H5" s="216">
        <f>IF(ISERROR(VLOOKUP($A5,'Man Tab'!$A:$Q,COLUMN()+2,0)),0,VLOOKUP($A5,'Man Tab'!$A:$Q,COLUMN()+2,0))</f>
        <v>1053.99155</v>
      </c>
      <c r="I5" s="216">
        <f>IF(ISERROR(VLOOKUP($A5,'Man Tab'!$A:$Q,COLUMN()+2,0)),0,VLOOKUP($A5,'Man Tab'!$A:$Q,COLUMN()+2,0))</f>
        <v>689.87396999999999</v>
      </c>
      <c r="J5" s="216">
        <f>IF(ISERROR(VLOOKUP($A5,'Man Tab'!$A:$Q,COLUMN()+2,0)),0,VLOOKUP($A5,'Man Tab'!$A:$Q,COLUMN()+2,0))</f>
        <v>727.79246999999998</v>
      </c>
      <c r="K5" s="216">
        <f>IF(ISERROR(VLOOKUP($A5,'Man Tab'!$A:$Q,COLUMN()+2,0)),0,VLOOKUP($A5,'Man Tab'!$A:$Q,COLUMN()+2,0))</f>
        <v>808.91654000000005</v>
      </c>
      <c r="L5" s="216">
        <f>IF(ISERROR(VLOOKUP($A5,'Man Tab'!$A:$Q,COLUMN()+2,0)),0,VLOOKUP($A5,'Man Tab'!$A:$Q,COLUMN()+2,0))</f>
        <v>1103.5851</v>
      </c>
      <c r="M5" s="216">
        <f>IF(ISERROR(VLOOKUP($A5,'Man Tab'!$A:$Q,COLUMN()+2,0)),0,VLOOKUP($A5,'Man Tab'!$A:$Q,COLUMN()+2,0))</f>
        <v>4.9406564584124654E-324</v>
      </c>
    </row>
    <row r="6" spans="1:13" ht="14.4" customHeight="1" x14ac:dyDescent="0.3">
      <c r="A6" s="217" t="s">
        <v>79</v>
      </c>
      <c r="B6" s="218">
        <f>B5</f>
        <v>778.05569000000401</v>
      </c>
      <c r="C6" s="218">
        <f t="shared" ref="C6:M6" si="1">C5+B6</f>
        <v>1498.782470000004</v>
      </c>
      <c r="D6" s="218">
        <f t="shared" si="1"/>
        <v>2214.990030000004</v>
      </c>
      <c r="E6" s="218">
        <f t="shared" si="1"/>
        <v>3000.518310000004</v>
      </c>
      <c r="F6" s="218">
        <f t="shared" si="1"/>
        <v>3716.2678000000042</v>
      </c>
      <c r="G6" s="218">
        <f t="shared" si="1"/>
        <v>4418.8648400000038</v>
      </c>
      <c r="H6" s="218">
        <f t="shared" si="1"/>
        <v>5472.8563900000036</v>
      </c>
      <c r="I6" s="218">
        <f t="shared" si="1"/>
        <v>6162.7303600000032</v>
      </c>
      <c r="J6" s="218">
        <f t="shared" si="1"/>
        <v>6890.5228300000035</v>
      </c>
      <c r="K6" s="218">
        <f t="shared" si="1"/>
        <v>7699.4393700000037</v>
      </c>
      <c r="L6" s="218">
        <f t="shared" si="1"/>
        <v>8803.0244700000039</v>
      </c>
      <c r="M6" s="218">
        <f t="shared" si="1"/>
        <v>8803.0244700000039</v>
      </c>
    </row>
    <row r="7" spans="1:13" ht="14.4" customHeight="1" x14ac:dyDescent="0.3">
      <c r="A7" s="217" t="s">
        <v>106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4" customHeight="1" x14ac:dyDescent="0.3">
      <c r="A8" s="217" t="s">
        <v>80</v>
      </c>
      <c r="B8" s="218">
        <f>B7*30</f>
        <v>0</v>
      </c>
      <c r="C8" s="218">
        <f t="shared" ref="C8:M8" si="2">C7*30</f>
        <v>0</v>
      </c>
      <c r="D8" s="218">
        <f t="shared" si="2"/>
        <v>0</v>
      </c>
      <c r="E8" s="218">
        <f t="shared" si="2"/>
        <v>0</v>
      </c>
      <c r="F8" s="218">
        <f t="shared" si="2"/>
        <v>0</v>
      </c>
      <c r="G8" s="218">
        <f t="shared" si="2"/>
        <v>0</v>
      </c>
      <c r="H8" s="218">
        <f t="shared" si="2"/>
        <v>0</v>
      </c>
      <c r="I8" s="218">
        <f t="shared" si="2"/>
        <v>0</v>
      </c>
      <c r="J8" s="218">
        <f t="shared" si="2"/>
        <v>0</v>
      </c>
      <c r="K8" s="218">
        <f t="shared" si="2"/>
        <v>0</v>
      </c>
      <c r="L8" s="218">
        <f t="shared" si="2"/>
        <v>0</v>
      </c>
      <c r="M8" s="218">
        <f t="shared" si="2"/>
        <v>0</v>
      </c>
    </row>
    <row r="9" spans="1:13" ht="14.4" customHeight="1" x14ac:dyDescent="0.3">
      <c r="A9" s="217" t="s">
        <v>107</v>
      </c>
      <c r="B9" s="217">
        <v>221178</v>
      </c>
      <c r="C9" s="217">
        <v>169398</v>
      </c>
      <c r="D9" s="217">
        <v>182215</v>
      </c>
      <c r="E9" s="217">
        <v>178882</v>
      </c>
      <c r="F9" s="217">
        <v>183264</v>
      </c>
      <c r="G9" s="217">
        <v>167803</v>
      </c>
      <c r="H9" s="217">
        <v>113942</v>
      </c>
      <c r="I9" s="217">
        <v>131348</v>
      </c>
      <c r="J9" s="217">
        <v>216577</v>
      </c>
      <c r="K9" s="217">
        <v>158851</v>
      </c>
      <c r="L9" s="217">
        <v>145730</v>
      </c>
      <c r="M9" s="217">
        <v>0</v>
      </c>
    </row>
    <row r="10" spans="1:13" ht="14.4" customHeight="1" x14ac:dyDescent="0.3">
      <c r="A10" s="217" t="s">
        <v>81</v>
      </c>
      <c r="B10" s="218">
        <f>B9/1000</f>
        <v>221.178</v>
      </c>
      <c r="C10" s="218">
        <f t="shared" ref="C10:M10" si="3">C9/1000+B10</f>
        <v>390.57600000000002</v>
      </c>
      <c r="D10" s="218">
        <f t="shared" si="3"/>
        <v>572.79100000000005</v>
      </c>
      <c r="E10" s="218">
        <f t="shared" si="3"/>
        <v>751.673</v>
      </c>
      <c r="F10" s="218">
        <f t="shared" si="3"/>
        <v>934.93700000000001</v>
      </c>
      <c r="G10" s="218">
        <f t="shared" si="3"/>
        <v>1102.74</v>
      </c>
      <c r="H10" s="218">
        <f t="shared" si="3"/>
        <v>1216.682</v>
      </c>
      <c r="I10" s="218">
        <f t="shared" si="3"/>
        <v>1348.03</v>
      </c>
      <c r="J10" s="218">
        <f t="shared" si="3"/>
        <v>1564.607</v>
      </c>
      <c r="K10" s="218">
        <f t="shared" si="3"/>
        <v>1723.4580000000001</v>
      </c>
      <c r="L10" s="218">
        <f t="shared" si="3"/>
        <v>1869.1880000000001</v>
      </c>
      <c r="M10" s="218">
        <f t="shared" si="3"/>
        <v>1869.1880000000001</v>
      </c>
    </row>
    <row r="11" spans="1:13" ht="14.4" customHeight="1" x14ac:dyDescent="0.3">
      <c r="A11" s="213"/>
      <c r="B11" s="213" t="s">
        <v>96</v>
      </c>
      <c r="C11" s="213">
        <f ca="1">IF(MONTH(TODAY())=1,12,MONTH(TODAY())-1)</f>
        <v>11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14.4" customHeight="1" x14ac:dyDescent="0.3">
      <c r="A12" s="213">
        <v>0</v>
      </c>
      <c r="B12" s="216">
        <f>IF(ISERROR(HI!F15),#REF!,HI!F15)</f>
        <v>0.2018387689311899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ht="14.4" customHeight="1" x14ac:dyDescent="0.3">
      <c r="A13" s="213">
        <v>1</v>
      </c>
      <c r="B13" s="216">
        <f>IF(ISERROR(HI!F15),#REF!,HI!F15)</f>
        <v>0.2018387689311899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43" bestFit="1" customWidth="1"/>
    <col min="2" max="2" width="12.77734375" style="143" bestFit="1" customWidth="1"/>
    <col min="3" max="3" width="13.6640625" style="143" bestFit="1" customWidth="1"/>
    <col min="4" max="15" width="7.77734375" style="143" bestFit="1" customWidth="1"/>
    <col min="16" max="16" width="8.88671875" style="143" customWidth="1"/>
    <col min="17" max="17" width="6.6640625" style="143" bestFit="1" customWidth="1"/>
    <col min="18" max="16384" width="8.88671875" style="143"/>
  </cols>
  <sheetData>
    <row r="1" spans="1:17" s="219" customFormat="1" ht="18.600000000000001" customHeight="1" thickBot="1" x14ac:dyDescent="0.4">
      <c r="A1" s="352" t="s">
        <v>291</v>
      </c>
      <c r="B1" s="352"/>
      <c r="C1" s="352"/>
      <c r="D1" s="352"/>
      <c r="E1" s="352"/>
      <c r="F1" s="352"/>
      <c r="G1" s="352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19" customFormat="1" ht="14.4" customHeight="1" thickBot="1" x14ac:dyDescent="0.3">
      <c r="A2" s="250" t="s">
        <v>289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4.4" customHeight="1" x14ac:dyDescent="0.3">
      <c r="A3" s="76"/>
      <c r="B3" s="353" t="s">
        <v>29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151"/>
      <c r="Q3" s="153"/>
    </row>
    <row r="4" spans="1:17" ht="14.4" customHeight="1" x14ac:dyDescent="0.3">
      <c r="A4" s="77"/>
      <c r="B4" s="20">
        <v>2014</v>
      </c>
      <c r="C4" s="152" t="s">
        <v>30</v>
      </c>
      <c r="D4" s="142" t="s">
        <v>176</v>
      </c>
      <c r="E4" s="142" t="s">
        <v>177</v>
      </c>
      <c r="F4" s="142" t="s">
        <v>178</v>
      </c>
      <c r="G4" s="142" t="s">
        <v>179</v>
      </c>
      <c r="H4" s="142" t="s">
        <v>180</v>
      </c>
      <c r="I4" s="142" t="s">
        <v>181</v>
      </c>
      <c r="J4" s="142" t="s">
        <v>182</v>
      </c>
      <c r="K4" s="142" t="s">
        <v>183</v>
      </c>
      <c r="L4" s="142" t="s">
        <v>184</v>
      </c>
      <c r="M4" s="142" t="s">
        <v>185</v>
      </c>
      <c r="N4" s="142" t="s">
        <v>186</v>
      </c>
      <c r="O4" s="142" t="s">
        <v>187</v>
      </c>
      <c r="P4" s="355" t="s">
        <v>3</v>
      </c>
      <c r="Q4" s="356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5.434722104253712E-323</v>
      </c>
      <c r="Q6" s="95" t="s">
        <v>290</v>
      </c>
    </row>
    <row r="7" spans="1:17" ht="14.4" customHeight="1" x14ac:dyDescent="0.3">
      <c r="A7" s="15" t="s">
        <v>35</v>
      </c>
      <c r="B7" s="51">
        <v>799.04018947148097</v>
      </c>
      <c r="C7" s="52">
        <v>66.586682455955994</v>
      </c>
      <c r="D7" s="52">
        <v>53.224670000000003</v>
      </c>
      <c r="E7" s="52">
        <v>37.199019999999997</v>
      </c>
      <c r="F7" s="52">
        <v>41.342579999999998</v>
      </c>
      <c r="G7" s="52">
        <v>76.879819999999995</v>
      </c>
      <c r="H7" s="52">
        <v>38.044199999999996</v>
      </c>
      <c r="I7" s="52">
        <v>48.588769999999997</v>
      </c>
      <c r="J7" s="52">
        <v>30.835000000000001</v>
      </c>
      <c r="K7" s="52">
        <v>27.045290000000001</v>
      </c>
      <c r="L7" s="52">
        <v>66.01052</v>
      </c>
      <c r="M7" s="52">
        <v>90.89873</v>
      </c>
      <c r="N7" s="52">
        <v>20.515599999999999</v>
      </c>
      <c r="O7" s="52">
        <v>4.9406564584124654E-324</v>
      </c>
      <c r="P7" s="53">
        <v>530.58420000000001</v>
      </c>
      <c r="Q7" s="96">
        <v>0.724393009137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5.434722104253712E-323</v>
      </c>
      <c r="Q8" s="96" t="s">
        <v>290</v>
      </c>
    </row>
    <row r="9" spans="1:17" ht="14.4" customHeight="1" x14ac:dyDescent="0.3">
      <c r="A9" s="15" t="s">
        <v>37</v>
      </c>
      <c r="B9" s="51">
        <v>81.939126417829996</v>
      </c>
      <c r="C9" s="52">
        <v>6.828260534819</v>
      </c>
      <c r="D9" s="52">
        <v>1.5437000000000001</v>
      </c>
      <c r="E9" s="52">
        <v>4.7906199999999997</v>
      </c>
      <c r="F9" s="52">
        <v>4.6877700000000004</v>
      </c>
      <c r="G9" s="52">
        <v>5.43926</v>
      </c>
      <c r="H9" s="52">
        <v>5.28592</v>
      </c>
      <c r="I9" s="52">
        <v>5.4167699999999996</v>
      </c>
      <c r="J9" s="52">
        <v>4.61707</v>
      </c>
      <c r="K9" s="52">
        <v>3.7934600000000001</v>
      </c>
      <c r="L9" s="52">
        <v>7.1133600000000001</v>
      </c>
      <c r="M9" s="52">
        <v>7.29955</v>
      </c>
      <c r="N9" s="52">
        <v>7.0450299999999997</v>
      </c>
      <c r="O9" s="52">
        <v>4.9406564584124654E-324</v>
      </c>
      <c r="P9" s="53">
        <v>57.032510000000002</v>
      </c>
      <c r="Q9" s="96">
        <v>0.75931104414100004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5.434722104253712E-323</v>
      </c>
      <c r="Q10" s="96" t="s">
        <v>290</v>
      </c>
    </row>
    <row r="11" spans="1:17" ht="14.4" customHeight="1" x14ac:dyDescent="0.3">
      <c r="A11" s="15" t="s">
        <v>39</v>
      </c>
      <c r="B11" s="51">
        <v>100.800141184086</v>
      </c>
      <c r="C11" s="52">
        <v>8.4000117653400004</v>
      </c>
      <c r="D11" s="52">
        <v>5.33216</v>
      </c>
      <c r="E11" s="52">
        <v>3.0661499999999999</v>
      </c>
      <c r="F11" s="52">
        <v>11.2155</v>
      </c>
      <c r="G11" s="52">
        <v>11.90929</v>
      </c>
      <c r="H11" s="52">
        <v>3.2291500000000002</v>
      </c>
      <c r="I11" s="52">
        <v>6.6421200000000002</v>
      </c>
      <c r="J11" s="52">
        <v>2.8967100000000001</v>
      </c>
      <c r="K11" s="52">
        <v>5.7079700000000004</v>
      </c>
      <c r="L11" s="52">
        <v>4.5939100000000002</v>
      </c>
      <c r="M11" s="52">
        <v>7.2148199999999996</v>
      </c>
      <c r="N11" s="52">
        <v>3.8001900000000002</v>
      </c>
      <c r="O11" s="52">
        <v>4.9406564584124654E-324</v>
      </c>
      <c r="P11" s="53">
        <v>65.607969999999995</v>
      </c>
      <c r="Q11" s="96">
        <v>0.71004197085700005</v>
      </c>
    </row>
    <row r="12" spans="1:17" ht="14.4" customHeight="1" x14ac:dyDescent="0.3">
      <c r="A12" s="15" t="s">
        <v>40</v>
      </c>
      <c r="B12" s="51">
        <v>4.8941998601070003</v>
      </c>
      <c r="C12" s="52">
        <v>0.40784998834199998</v>
      </c>
      <c r="D12" s="52">
        <v>0.28560000000000002</v>
      </c>
      <c r="E12" s="52">
        <v>4.9406564584124654E-324</v>
      </c>
      <c r="F12" s="52">
        <v>0.23627000000000001</v>
      </c>
      <c r="G12" s="52">
        <v>4.9406564584124654E-324</v>
      </c>
      <c r="H12" s="52">
        <v>0.30009999999999998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0.1454</v>
      </c>
      <c r="O12" s="52">
        <v>4.9406564584124654E-324</v>
      </c>
      <c r="P12" s="53">
        <v>0.96736999999999995</v>
      </c>
      <c r="Q12" s="96">
        <v>0.21562518030200001</v>
      </c>
    </row>
    <row r="13" spans="1:17" ht="14.4" customHeight="1" x14ac:dyDescent="0.3">
      <c r="A13" s="15" t="s">
        <v>41</v>
      </c>
      <c r="B13" s="51">
        <v>5.4714928329830004</v>
      </c>
      <c r="C13" s="52">
        <v>0.45595773608099999</v>
      </c>
      <c r="D13" s="52">
        <v>0.90093000000000001</v>
      </c>
      <c r="E13" s="52">
        <v>0.23135</v>
      </c>
      <c r="F13" s="52">
        <v>0.89319999999999999</v>
      </c>
      <c r="G13" s="52">
        <v>0.23135</v>
      </c>
      <c r="H13" s="52">
        <v>0.23135</v>
      </c>
      <c r="I13" s="52">
        <v>0.23135</v>
      </c>
      <c r="J13" s="52">
        <v>0.23133000000000001</v>
      </c>
      <c r="K13" s="52">
        <v>0.31652999999999998</v>
      </c>
      <c r="L13" s="52">
        <v>0.94130999999999998</v>
      </c>
      <c r="M13" s="52">
        <v>0.28920000000000001</v>
      </c>
      <c r="N13" s="52">
        <v>1.0968599999999999</v>
      </c>
      <c r="O13" s="52">
        <v>4.9406564584124654E-324</v>
      </c>
      <c r="P13" s="53">
        <v>5.59476</v>
      </c>
      <c r="Q13" s="96">
        <v>1.115486162873</v>
      </c>
    </row>
    <row r="14" spans="1:17" ht="14.4" customHeight="1" x14ac:dyDescent="0.3">
      <c r="A14" s="15" t="s">
        <v>42</v>
      </c>
      <c r="B14" s="51">
        <v>1186.5711549196601</v>
      </c>
      <c r="C14" s="52">
        <v>98.880929576637996</v>
      </c>
      <c r="D14" s="52">
        <v>139.99800000000101</v>
      </c>
      <c r="E14" s="52">
        <v>117.651</v>
      </c>
      <c r="F14" s="52">
        <v>105.108</v>
      </c>
      <c r="G14" s="52">
        <v>87.174000000000007</v>
      </c>
      <c r="H14" s="52">
        <v>74.311000000000007</v>
      </c>
      <c r="I14" s="52">
        <v>65.111000000000004</v>
      </c>
      <c r="J14" s="52">
        <v>59.723999999999997</v>
      </c>
      <c r="K14" s="52">
        <v>58.667000000000002</v>
      </c>
      <c r="L14" s="52">
        <v>63.421999999999997</v>
      </c>
      <c r="M14" s="52">
        <v>93.715000000000003</v>
      </c>
      <c r="N14" s="52">
        <v>107.232</v>
      </c>
      <c r="O14" s="52">
        <v>4.9406564584124654E-324</v>
      </c>
      <c r="P14" s="53">
        <v>972.11300000000097</v>
      </c>
      <c r="Q14" s="96">
        <v>0.89374067850299999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5.434722104253712E-323</v>
      </c>
      <c r="Q15" s="96" t="s">
        <v>290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5.434722104253712E-323</v>
      </c>
      <c r="Q16" s="96" t="s">
        <v>290</v>
      </c>
    </row>
    <row r="17" spans="1:17" ht="14.4" customHeight="1" x14ac:dyDescent="0.3">
      <c r="A17" s="15" t="s">
        <v>45</v>
      </c>
      <c r="B17" s="51">
        <v>55.262643467825001</v>
      </c>
      <c r="C17" s="52">
        <v>4.6052202889849996</v>
      </c>
      <c r="D17" s="52">
        <v>0.58684999999999998</v>
      </c>
      <c r="E17" s="52">
        <v>4.1372400000000003</v>
      </c>
      <c r="F17" s="52">
        <v>3.31168</v>
      </c>
      <c r="G17" s="52">
        <v>31.98368</v>
      </c>
      <c r="H17" s="52">
        <v>2.4234200000000001</v>
      </c>
      <c r="I17" s="52">
        <v>1.4839599999999999</v>
      </c>
      <c r="J17" s="52">
        <v>0.52573999999999999</v>
      </c>
      <c r="K17" s="52">
        <v>16.839300000000001</v>
      </c>
      <c r="L17" s="52">
        <v>7.4920099999999996</v>
      </c>
      <c r="M17" s="52">
        <v>3.8913600000000002</v>
      </c>
      <c r="N17" s="52">
        <v>1.0805</v>
      </c>
      <c r="O17" s="52">
        <v>4.9406564584124654E-324</v>
      </c>
      <c r="P17" s="53">
        <v>73.755740000000003</v>
      </c>
      <c r="Q17" s="96">
        <v>1.455971018099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4.9406564584124654E-324</v>
      </c>
      <c r="E18" s="52">
        <v>1.091</v>
      </c>
      <c r="F18" s="52">
        <v>4.9406564584124654E-324</v>
      </c>
      <c r="G18" s="52">
        <v>4.9406564584124654E-324</v>
      </c>
      <c r="H18" s="52">
        <v>1.49</v>
      </c>
      <c r="I18" s="52">
        <v>0.501</v>
      </c>
      <c r="J18" s="52">
        <v>4.9406564584124654E-324</v>
      </c>
      <c r="K18" s="52">
        <v>4.9406564584124654E-324</v>
      </c>
      <c r="L18" s="52">
        <v>0.66100000000000003</v>
      </c>
      <c r="M18" s="52">
        <v>4.9406564584124654E-324</v>
      </c>
      <c r="N18" s="52">
        <v>0.16800000000000001</v>
      </c>
      <c r="O18" s="52">
        <v>4.9406564584124654E-324</v>
      </c>
      <c r="P18" s="53">
        <v>3.911</v>
      </c>
      <c r="Q18" s="96" t="s">
        <v>290</v>
      </c>
    </row>
    <row r="19" spans="1:17" ht="14.4" customHeight="1" x14ac:dyDescent="0.3">
      <c r="A19" s="15" t="s">
        <v>47</v>
      </c>
      <c r="B19" s="51">
        <v>217.001093616248</v>
      </c>
      <c r="C19" s="52">
        <v>18.083424468019999</v>
      </c>
      <c r="D19" s="52">
        <v>18.67754</v>
      </c>
      <c r="E19" s="52">
        <v>9.9350400000000008</v>
      </c>
      <c r="F19" s="52">
        <v>15.028449999999999</v>
      </c>
      <c r="G19" s="52">
        <v>8.6847899999999996</v>
      </c>
      <c r="H19" s="52">
        <v>28.256489999999999</v>
      </c>
      <c r="I19" s="52">
        <v>23.36533</v>
      </c>
      <c r="J19" s="52">
        <v>16.882539999999999</v>
      </c>
      <c r="K19" s="52">
        <v>21.46491</v>
      </c>
      <c r="L19" s="52">
        <v>16.92604</v>
      </c>
      <c r="M19" s="52">
        <v>15.54609</v>
      </c>
      <c r="N19" s="52">
        <v>24.096959999999999</v>
      </c>
      <c r="O19" s="52">
        <v>4.9406564584124654E-324</v>
      </c>
      <c r="P19" s="53">
        <v>198.86418</v>
      </c>
      <c r="Q19" s="96">
        <v>0.99973109905900004</v>
      </c>
    </row>
    <row r="20" spans="1:17" ht="14.4" customHeight="1" x14ac:dyDescent="0.3">
      <c r="A20" s="15" t="s">
        <v>48</v>
      </c>
      <c r="B20" s="51">
        <v>6771.0335440683002</v>
      </c>
      <c r="C20" s="52">
        <v>564.25279533902506</v>
      </c>
      <c r="D20" s="52">
        <v>533.415240000003</v>
      </c>
      <c r="E20" s="52">
        <v>518.53435999999999</v>
      </c>
      <c r="F20" s="52">
        <v>510.29311000000001</v>
      </c>
      <c r="G20" s="52">
        <v>539.13508999999999</v>
      </c>
      <c r="H20" s="52">
        <v>538.08686</v>
      </c>
      <c r="I20" s="52">
        <v>525.15652</v>
      </c>
      <c r="J20" s="52">
        <v>899.36521000000005</v>
      </c>
      <c r="K20" s="52">
        <v>531.94851000000006</v>
      </c>
      <c r="L20" s="52">
        <v>536.58231999999998</v>
      </c>
      <c r="M20" s="52">
        <v>562.36478999999997</v>
      </c>
      <c r="N20" s="52">
        <v>914.31345999999996</v>
      </c>
      <c r="O20" s="52">
        <v>4.9406564584124654E-324</v>
      </c>
      <c r="P20" s="53">
        <v>6609.1954699999997</v>
      </c>
      <c r="Q20" s="96">
        <v>1.0648346925009999</v>
      </c>
    </row>
    <row r="21" spans="1:17" ht="14.4" customHeight="1" x14ac:dyDescent="0.3">
      <c r="A21" s="16" t="s">
        <v>49</v>
      </c>
      <c r="B21" s="51">
        <v>288.99459154803202</v>
      </c>
      <c r="C21" s="52">
        <v>24.082882629002</v>
      </c>
      <c r="D21" s="52">
        <v>24.091000000000001</v>
      </c>
      <c r="E21" s="52">
        <v>24.091000000000001</v>
      </c>
      <c r="F21" s="52">
        <v>24.091000000000001</v>
      </c>
      <c r="G21" s="52">
        <v>24.091000000000001</v>
      </c>
      <c r="H21" s="52">
        <v>24.091000000000001</v>
      </c>
      <c r="I21" s="52">
        <v>24.091000000000001</v>
      </c>
      <c r="J21" s="52">
        <v>24.091000000000001</v>
      </c>
      <c r="K21" s="52">
        <v>24.091000000000001</v>
      </c>
      <c r="L21" s="52">
        <v>24.091000000000001</v>
      </c>
      <c r="M21" s="52">
        <v>24.091000000000001</v>
      </c>
      <c r="N21" s="52">
        <v>24.091000000000001</v>
      </c>
      <c r="O21" s="52">
        <v>1.4821969375237396E-323</v>
      </c>
      <c r="P21" s="53">
        <v>265.00099999999998</v>
      </c>
      <c r="Q21" s="96">
        <v>1.000337059774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3.6059999999999999</v>
      </c>
      <c r="N22" s="52">
        <v>4.9406564584124654E-324</v>
      </c>
      <c r="O22" s="52">
        <v>4.9406564584124654E-324</v>
      </c>
      <c r="P22" s="53">
        <v>3.6059999999999999</v>
      </c>
      <c r="Q22" s="96" t="s">
        <v>290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2.1738888417014848E-322</v>
      </c>
      <c r="Q23" s="96" t="s">
        <v>290</v>
      </c>
    </row>
    <row r="24" spans="1:17" ht="14.4" customHeight="1" x14ac:dyDescent="0.3">
      <c r="A24" s="16" t="s">
        <v>52</v>
      </c>
      <c r="B24" s="51">
        <v>1.8189894035458601E-12</v>
      </c>
      <c r="C24" s="52">
        <v>0</v>
      </c>
      <c r="D24" s="52">
        <v>0</v>
      </c>
      <c r="E24" s="52">
        <v>0</v>
      </c>
      <c r="F24" s="52">
        <v>1.13686837721616E-13</v>
      </c>
      <c r="G24" s="52">
        <v>0</v>
      </c>
      <c r="H24" s="52">
        <v>1.13686837721616E-13</v>
      </c>
      <c r="I24" s="52">
        <v>2.00922</v>
      </c>
      <c r="J24" s="52">
        <v>14.822949999999</v>
      </c>
      <c r="K24" s="52">
        <v>0</v>
      </c>
      <c r="L24" s="52">
        <v>-4.0999999999000003E-2</v>
      </c>
      <c r="M24" s="52">
        <v>1.13686837721616E-13</v>
      </c>
      <c r="N24" s="52">
        <v>1E-4</v>
      </c>
      <c r="O24" s="52">
        <v>-1.0869444208507424E-322</v>
      </c>
      <c r="P24" s="53">
        <v>16.791270000000001</v>
      </c>
      <c r="Q24" s="96"/>
    </row>
    <row r="25" spans="1:17" ht="14.4" customHeight="1" x14ac:dyDescent="0.3">
      <c r="A25" s="17" t="s">
        <v>53</v>
      </c>
      <c r="B25" s="54">
        <v>9511.0081773865604</v>
      </c>
      <c r="C25" s="55">
        <v>792.58401478221299</v>
      </c>
      <c r="D25" s="55">
        <v>778.05569000000401</v>
      </c>
      <c r="E25" s="55">
        <v>720.72677999999996</v>
      </c>
      <c r="F25" s="55">
        <v>716.20755999999994</v>
      </c>
      <c r="G25" s="55">
        <v>785.52828</v>
      </c>
      <c r="H25" s="55">
        <v>715.74949000000004</v>
      </c>
      <c r="I25" s="55">
        <v>702.59703999999999</v>
      </c>
      <c r="J25" s="55">
        <v>1053.99155</v>
      </c>
      <c r="K25" s="55">
        <v>689.87396999999999</v>
      </c>
      <c r="L25" s="55">
        <v>727.79246999999998</v>
      </c>
      <c r="M25" s="55">
        <v>808.91654000000005</v>
      </c>
      <c r="N25" s="55">
        <v>1103.5851</v>
      </c>
      <c r="O25" s="55">
        <v>4.9406564584124654E-324</v>
      </c>
      <c r="P25" s="56">
        <v>8803.0244700000003</v>
      </c>
      <c r="Q25" s="97">
        <v>1.0097036237070001</v>
      </c>
    </row>
    <row r="26" spans="1:17" ht="14.4" customHeight="1" x14ac:dyDescent="0.3">
      <c r="A26" s="15" t="s">
        <v>54</v>
      </c>
      <c r="B26" s="51">
        <v>1321.0015593989201</v>
      </c>
      <c r="C26" s="52">
        <v>110.083463283244</v>
      </c>
      <c r="D26" s="52">
        <v>98.418880000000001</v>
      </c>
      <c r="E26" s="52">
        <v>87.53931</v>
      </c>
      <c r="F26" s="52">
        <v>94.741699999999994</v>
      </c>
      <c r="G26" s="52">
        <v>97.930310000000006</v>
      </c>
      <c r="H26" s="52">
        <v>99.011399999999995</v>
      </c>
      <c r="I26" s="52">
        <v>89.436639999999997</v>
      </c>
      <c r="J26" s="52">
        <v>181.62746000000001</v>
      </c>
      <c r="K26" s="52">
        <v>88.320530000000005</v>
      </c>
      <c r="L26" s="52">
        <v>91.543549999999996</v>
      </c>
      <c r="M26" s="52">
        <v>111.93877000000001</v>
      </c>
      <c r="N26" s="52">
        <v>129.85219000000001</v>
      </c>
      <c r="O26" s="52">
        <v>4.9406564584124654E-324</v>
      </c>
      <c r="P26" s="53">
        <v>1170.3607400000001</v>
      </c>
      <c r="Q26" s="96">
        <v>0.96650693697099999</v>
      </c>
    </row>
    <row r="27" spans="1:17" ht="14.4" customHeight="1" x14ac:dyDescent="0.3">
      <c r="A27" s="18" t="s">
        <v>55</v>
      </c>
      <c r="B27" s="54">
        <v>10832.0097367855</v>
      </c>
      <c r="C27" s="55">
        <v>902.66747806545595</v>
      </c>
      <c r="D27" s="55">
        <v>876.47457000000395</v>
      </c>
      <c r="E27" s="55">
        <v>808.26608999999996</v>
      </c>
      <c r="F27" s="55">
        <v>810.94925999999998</v>
      </c>
      <c r="G27" s="55">
        <v>883.45858999999996</v>
      </c>
      <c r="H27" s="55">
        <v>814.76089000000002</v>
      </c>
      <c r="I27" s="55">
        <v>792.03368</v>
      </c>
      <c r="J27" s="55">
        <v>1235.6190099999999</v>
      </c>
      <c r="K27" s="55">
        <v>778.19449999999995</v>
      </c>
      <c r="L27" s="55">
        <v>819.33601999999996</v>
      </c>
      <c r="M27" s="55">
        <v>920.85531000000003</v>
      </c>
      <c r="N27" s="55">
        <v>1233.4372900000001</v>
      </c>
      <c r="O27" s="55">
        <v>9.8813129168249309E-324</v>
      </c>
      <c r="P27" s="56">
        <v>9973.3852100000004</v>
      </c>
      <c r="Q27" s="97">
        <v>1.0044356363319999</v>
      </c>
    </row>
    <row r="28" spans="1:17" ht="14.4" customHeight="1" x14ac:dyDescent="0.3">
      <c r="A28" s="16" t="s">
        <v>56</v>
      </c>
      <c r="B28" s="51">
        <v>3641.8615312176298</v>
      </c>
      <c r="C28" s="52">
        <v>303.48846093480199</v>
      </c>
      <c r="D28" s="52">
        <v>309.96321</v>
      </c>
      <c r="E28" s="52">
        <v>300.09784999999999</v>
      </c>
      <c r="F28" s="52">
        <v>326.46519999999998</v>
      </c>
      <c r="G28" s="52">
        <v>396.73505999999998</v>
      </c>
      <c r="H28" s="52">
        <v>296.96420000000001</v>
      </c>
      <c r="I28" s="52">
        <v>326.69074999999998</v>
      </c>
      <c r="J28" s="52">
        <v>329.95657</v>
      </c>
      <c r="K28" s="52">
        <v>263.44076000000001</v>
      </c>
      <c r="L28" s="52">
        <v>375.05993000000001</v>
      </c>
      <c r="M28" s="52">
        <v>376.03591</v>
      </c>
      <c r="N28" s="52">
        <v>384.82738000000001</v>
      </c>
      <c r="O28" s="52">
        <v>1.2351641146031164E-322</v>
      </c>
      <c r="P28" s="53">
        <v>3686.2368200000001</v>
      </c>
      <c r="Q28" s="96">
        <v>1.1042015803480001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1.0869444208507424E-322</v>
      </c>
      <c r="Q29" s="96" t="s">
        <v>290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5.434722104253712E-322</v>
      </c>
      <c r="Q30" s="96">
        <v>0</v>
      </c>
    </row>
    <row r="31" spans="1:17" ht="14.4" customHeight="1" thickBot="1" x14ac:dyDescent="0.35">
      <c r="A31" s="19" t="s">
        <v>59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2.717361052126856E-322</v>
      </c>
      <c r="Q31" s="98" t="s">
        <v>290</v>
      </c>
    </row>
    <row r="32" spans="1:17" ht="14.4" customHeight="1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ht="14.4" customHeight="1" x14ac:dyDescent="0.3">
      <c r="A33" s="126" t="s">
        <v>170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ht="14.4" customHeight="1" x14ac:dyDescent="0.3">
      <c r="A34" s="149" t="s">
        <v>196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ht="14.4" customHeight="1" x14ac:dyDescent="0.3">
      <c r="A35" s="150" t="s">
        <v>60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43" customWidth="1"/>
    <col min="2" max="11" width="10" style="143" customWidth="1"/>
    <col min="12" max="16384" width="8.88671875" style="143"/>
  </cols>
  <sheetData>
    <row r="1" spans="1:11" s="60" customFormat="1" ht="18.600000000000001" customHeight="1" thickBot="1" x14ac:dyDescent="0.4">
      <c r="A1" s="352" t="s">
        <v>61</v>
      </c>
      <c r="B1" s="352"/>
      <c r="C1" s="352"/>
      <c r="D1" s="352"/>
      <c r="E1" s="352"/>
      <c r="F1" s="352"/>
      <c r="G1" s="352"/>
      <c r="H1" s="357"/>
      <c r="I1" s="357"/>
      <c r="J1" s="357"/>
      <c r="K1" s="357"/>
    </row>
    <row r="2" spans="1:11" s="60" customFormat="1" ht="14.4" customHeight="1" thickBot="1" x14ac:dyDescent="0.35">
      <c r="A2" s="250" t="s">
        <v>289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3" t="s">
        <v>62</v>
      </c>
      <c r="C3" s="354"/>
      <c r="D3" s="354"/>
      <c r="E3" s="354"/>
      <c r="F3" s="360" t="s">
        <v>63</v>
      </c>
      <c r="G3" s="354"/>
      <c r="H3" s="354"/>
      <c r="I3" s="354"/>
      <c r="J3" s="354"/>
      <c r="K3" s="361"/>
    </row>
    <row r="4" spans="1:11" ht="14.4" customHeight="1" x14ac:dyDescent="0.3">
      <c r="A4" s="77"/>
      <c r="B4" s="358"/>
      <c r="C4" s="359"/>
      <c r="D4" s="359"/>
      <c r="E4" s="359"/>
      <c r="F4" s="362" t="s">
        <v>192</v>
      </c>
      <c r="G4" s="364" t="s">
        <v>64</v>
      </c>
      <c r="H4" s="154" t="s">
        <v>151</v>
      </c>
      <c r="I4" s="362" t="s">
        <v>65</v>
      </c>
      <c r="J4" s="364" t="s">
        <v>194</v>
      </c>
      <c r="K4" s="365" t="s">
        <v>195</v>
      </c>
    </row>
    <row r="5" spans="1:11" ht="42" thickBot="1" x14ac:dyDescent="0.35">
      <c r="A5" s="78"/>
      <c r="B5" s="24" t="s">
        <v>188</v>
      </c>
      <c r="C5" s="25" t="s">
        <v>189</v>
      </c>
      <c r="D5" s="26" t="s">
        <v>190</v>
      </c>
      <c r="E5" s="26" t="s">
        <v>191</v>
      </c>
      <c r="F5" s="363"/>
      <c r="G5" s="363"/>
      <c r="H5" s="25" t="s">
        <v>193</v>
      </c>
      <c r="I5" s="363"/>
      <c r="J5" s="363"/>
      <c r="K5" s="366"/>
    </row>
    <row r="6" spans="1:11" ht="14.4" customHeight="1" thickBot="1" x14ac:dyDescent="0.35">
      <c r="A6" s="462" t="s">
        <v>292</v>
      </c>
      <c r="B6" s="444">
        <v>9055.7816558676805</v>
      </c>
      <c r="C6" s="444">
        <v>9257.4608100000005</v>
      </c>
      <c r="D6" s="445">
        <v>201.67915413232899</v>
      </c>
      <c r="E6" s="446">
        <v>1.0222707615740001</v>
      </c>
      <c r="F6" s="444">
        <v>9511.0081773865604</v>
      </c>
      <c r="G6" s="445">
        <v>8718.4241626043404</v>
      </c>
      <c r="H6" s="447">
        <v>1103.5851</v>
      </c>
      <c r="I6" s="444">
        <v>8803.0244700000003</v>
      </c>
      <c r="J6" s="445">
        <v>84.600307395661005</v>
      </c>
      <c r="K6" s="448">
        <v>0.92556165506499999</v>
      </c>
    </row>
    <row r="7" spans="1:11" ht="14.4" customHeight="1" thickBot="1" x14ac:dyDescent="0.35">
      <c r="A7" s="463" t="s">
        <v>293</v>
      </c>
      <c r="B7" s="444">
        <v>2451.11857005409</v>
      </c>
      <c r="C7" s="444">
        <v>1994.7084400000001</v>
      </c>
      <c r="D7" s="445">
        <v>-456.410130054089</v>
      </c>
      <c r="E7" s="446">
        <v>0.81379516453</v>
      </c>
      <c r="F7" s="444">
        <v>2178.7163046861501</v>
      </c>
      <c r="G7" s="445">
        <v>1997.1566126289699</v>
      </c>
      <c r="H7" s="447">
        <v>139.83518000000001</v>
      </c>
      <c r="I7" s="444">
        <v>1631.89986</v>
      </c>
      <c r="J7" s="445">
        <v>-365.25675262896601</v>
      </c>
      <c r="K7" s="448">
        <v>0.74901897805100004</v>
      </c>
    </row>
    <row r="8" spans="1:11" ht="14.4" customHeight="1" thickBot="1" x14ac:dyDescent="0.35">
      <c r="A8" s="464" t="s">
        <v>294</v>
      </c>
      <c r="B8" s="444">
        <v>1167.7569883005101</v>
      </c>
      <c r="C8" s="444">
        <v>767.04643999999996</v>
      </c>
      <c r="D8" s="445">
        <v>-400.710548300509</v>
      </c>
      <c r="E8" s="446">
        <v>0.65685450627499997</v>
      </c>
      <c r="F8" s="444">
        <v>992.14514976648695</v>
      </c>
      <c r="G8" s="445">
        <v>909.46638728594701</v>
      </c>
      <c r="H8" s="447">
        <v>32.603180000000002</v>
      </c>
      <c r="I8" s="444">
        <v>659.78686000000005</v>
      </c>
      <c r="J8" s="445">
        <v>-249.67952728594699</v>
      </c>
      <c r="K8" s="448">
        <v>0.66501041723099996</v>
      </c>
    </row>
    <row r="9" spans="1:11" ht="14.4" customHeight="1" thickBot="1" x14ac:dyDescent="0.35">
      <c r="A9" s="465" t="s">
        <v>295</v>
      </c>
      <c r="B9" s="449">
        <v>4.9406564584124654E-324</v>
      </c>
      <c r="C9" s="449">
        <v>4.9406564584124654E-324</v>
      </c>
      <c r="D9" s="450">
        <v>0</v>
      </c>
      <c r="E9" s="451">
        <v>1</v>
      </c>
      <c r="F9" s="449">
        <v>4.9406564584124654E-324</v>
      </c>
      <c r="G9" s="450">
        <v>0</v>
      </c>
      <c r="H9" s="452">
        <v>1E-4</v>
      </c>
      <c r="I9" s="449">
        <v>5.0000000000000002E-5</v>
      </c>
      <c r="J9" s="450">
        <v>5.0000000000000002E-5</v>
      </c>
      <c r="K9" s="453" t="s">
        <v>296</v>
      </c>
    </row>
    <row r="10" spans="1:11" ht="14.4" customHeight="1" thickBot="1" x14ac:dyDescent="0.35">
      <c r="A10" s="466" t="s">
        <v>297</v>
      </c>
      <c r="B10" s="444">
        <v>4.9406564584124654E-324</v>
      </c>
      <c r="C10" s="444">
        <v>4.9406564584124654E-324</v>
      </c>
      <c r="D10" s="445">
        <v>0</v>
      </c>
      <c r="E10" s="446">
        <v>1</v>
      </c>
      <c r="F10" s="444">
        <v>4.9406564584124654E-324</v>
      </c>
      <c r="G10" s="445">
        <v>0</v>
      </c>
      <c r="H10" s="447">
        <v>1E-4</v>
      </c>
      <c r="I10" s="444">
        <v>5.0000000000000002E-5</v>
      </c>
      <c r="J10" s="445">
        <v>5.0000000000000002E-5</v>
      </c>
      <c r="K10" s="454" t="s">
        <v>296</v>
      </c>
    </row>
    <row r="11" spans="1:11" ht="14.4" customHeight="1" thickBot="1" x14ac:dyDescent="0.35">
      <c r="A11" s="465" t="s">
        <v>298</v>
      </c>
      <c r="B11" s="449">
        <v>1004.85308138937</v>
      </c>
      <c r="C11" s="449">
        <v>582.44007999999997</v>
      </c>
      <c r="D11" s="450">
        <v>-422.41300138937402</v>
      </c>
      <c r="E11" s="451">
        <v>0.57962710249600002</v>
      </c>
      <c r="F11" s="449">
        <v>799.04018947148097</v>
      </c>
      <c r="G11" s="450">
        <v>732.453507015524</v>
      </c>
      <c r="H11" s="452">
        <v>20.515599999999999</v>
      </c>
      <c r="I11" s="449">
        <v>530.58420000000001</v>
      </c>
      <c r="J11" s="450">
        <v>-201.86930701552399</v>
      </c>
      <c r="K11" s="455">
        <v>0.664026925042</v>
      </c>
    </row>
    <row r="12" spans="1:11" ht="14.4" customHeight="1" thickBot="1" x14ac:dyDescent="0.35">
      <c r="A12" s="466" t="s">
        <v>299</v>
      </c>
      <c r="B12" s="444">
        <v>1002.86531696445</v>
      </c>
      <c r="C12" s="444">
        <v>582.40260999999998</v>
      </c>
      <c r="D12" s="445">
        <v>-420.46270696445202</v>
      </c>
      <c r="E12" s="446">
        <v>0.58073860980900005</v>
      </c>
      <c r="F12" s="444">
        <v>799.00226389420004</v>
      </c>
      <c r="G12" s="445">
        <v>732.41874190301598</v>
      </c>
      <c r="H12" s="447">
        <v>20.515599999999999</v>
      </c>
      <c r="I12" s="444">
        <v>530.58420000000001</v>
      </c>
      <c r="J12" s="445">
        <v>-201.834541903016</v>
      </c>
      <c r="K12" s="448">
        <v>0.66405844385699997</v>
      </c>
    </row>
    <row r="13" spans="1:11" ht="14.4" customHeight="1" thickBot="1" x14ac:dyDescent="0.35">
      <c r="A13" s="466" t="s">
        <v>300</v>
      </c>
      <c r="B13" s="444">
        <v>1.000010671733</v>
      </c>
      <c r="C13" s="444">
        <v>3.7470000000000003E-2</v>
      </c>
      <c r="D13" s="445">
        <v>-0.96254067173299995</v>
      </c>
      <c r="E13" s="446">
        <v>3.7469600133999997E-2</v>
      </c>
      <c r="F13" s="444">
        <v>3.7925577279999997E-2</v>
      </c>
      <c r="G13" s="445">
        <v>3.4765112506999998E-2</v>
      </c>
      <c r="H13" s="447">
        <v>4.9406564584124654E-324</v>
      </c>
      <c r="I13" s="444">
        <v>5.434722104253712E-323</v>
      </c>
      <c r="J13" s="445">
        <v>-3.4765112506999998E-2</v>
      </c>
      <c r="K13" s="448">
        <v>1.432790372939615E-321</v>
      </c>
    </row>
    <row r="14" spans="1:11" ht="14.4" customHeight="1" thickBot="1" x14ac:dyDescent="0.35">
      <c r="A14" s="465" t="s">
        <v>301</v>
      </c>
      <c r="B14" s="449">
        <v>86.581388003870998</v>
      </c>
      <c r="C14" s="449">
        <v>81.502390000000005</v>
      </c>
      <c r="D14" s="450">
        <v>-5.0789980038709999</v>
      </c>
      <c r="E14" s="451">
        <v>0.94133845482300005</v>
      </c>
      <c r="F14" s="449">
        <v>81.939126417829996</v>
      </c>
      <c r="G14" s="450">
        <v>75.110865883011002</v>
      </c>
      <c r="H14" s="452">
        <v>7.0450299999999997</v>
      </c>
      <c r="I14" s="449">
        <v>57.032510000000002</v>
      </c>
      <c r="J14" s="450">
        <v>-18.078355883011</v>
      </c>
      <c r="K14" s="455">
        <v>0.69603512379599997</v>
      </c>
    </row>
    <row r="15" spans="1:11" ht="14.4" customHeight="1" thickBot="1" x14ac:dyDescent="0.35">
      <c r="A15" s="466" t="s">
        <v>302</v>
      </c>
      <c r="B15" s="444">
        <v>7</v>
      </c>
      <c r="C15" s="444">
        <v>11.908609999999999</v>
      </c>
      <c r="D15" s="445">
        <v>4.9086100000000004</v>
      </c>
      <c r="E15" s="446">
        <v>1.70123</v>
      </c>
      <c r="F15" s="444">
        <v>12.908599045861999</v>
      </c>
      <c r="G15" s="445">
        <v>11.832882458706001</v>
      </c>
      <c r="H15" s="447">
        <v>0.96194999999999997</v>
      </c>
      <c r="I15" s="444">
        <v>14.63251</v>
      </c>
      <c r="J15" s="445">
        <v>2.7996275412929998</v>
      </c>
      <c r="K15" s="448">
        <v>1.1335474862920001</v>
      </c>
    </row>
    <row r="16" spans="1:11" ht="14.4" customHeight="1" thickBot="1" x14ac:dyDescent="0.35">
      <c r="A16" s="466" t="s">
        <v>303</v>
      </c>
      <c r="B16" s="444">
        <v>3.0494912279399999</v>
      </c>
      <c r="C16" s="444">
        <v>2.3810899999999999</v>
      </c>
      <c r="D16" s="445">
        <v>-0.66840122794000001</v>
      </c>
      <c r="E16" s="446">
        <v>0.780815494133</v>
      </c>
      <c r="F16" s="444">
        <v>2.3865047211979999</v>
      </c>
      <c r="G16" s="445">
        <v>2.1876293277649999</v>
      </c>
      <c r="H16" s="447">
        <v>0.25625999999999999</v>
      </c>
      <c r="I16" s="444">
        <v>1.43811</v>
      </c>
      <c r="J16" s="445">
        <v>-0.74951932776499997</v>
      </c>
      <c r="K16" s="448">
        <v>0.60260094489799998</v>
      </c>
    </row>
    <row r="17" spans="1:11" ht="14.4" customHeight="1" thickBot="1" x14ac:dyDescent="0.35">
      <c r="A17" s="466" t="s">
        <v>304</v>
      </c>
      <c r="B17" s="444">
        <v>32.914959169917999</v>
      </c>
      <c r="C17" s="444">
        <v>31.546330000000001</v>
      </c>
      <c r="D17" s="445">
        <v>-1.368629169918</v>
      </c>
      <c r="E17" s="446">
        <v>0.95841923537399998</v>
      </c>
      <c r="F17" s="444">
        <v>31.546092350763999</v>
      </c>
      <c r="G17" s="445">
        <v>28.917251321533001</v>
      </c>
      <c r="H17" s="447">
        <v>1.8328199999999999</v>
      </c>
      <c r="I17" s="444">
        <v>18.18289</v>
      </c>
      <c r="J17" s="445">
        <v>-10.734361321532999</v>
      </c>
      <c r="K17" s="448">
        <v>0.57639119919500004</v>
      </c>
    </row>
    <row r="18" spans="1:11" ht="14.4" customHeight="1" thickBot="1" x14ac:dyDescent="0.35">
      <c r="A18" s="466" t="s">
        <v>305</v>
      </c>
      <c r="B18" s="444">
        <v>38.666712446882002</v>
      </c>
      <c r="C18" s="444">
        <v>31.576000000000001</v>
      </c>
      <c r="D18" s="445">
        <v>-7.0907124468819998</v>
      </c>
      <c r="E18" s="446">
        <v>0.81661972280100004</v>
      </c>
      <c r="F18" s="444">
        <v>30.932619226945999</v>
      </c>
      <c r="G18" s="445">
        <v>28.354900958034001</v>
      </c>
      <c r="H18" s="447">
        <v>3.2679999999999998</v>
      </c>
      <c r="I18" s="444">
        <v>17.966000000000001</v>
      </c>
      <c r="J18" s="445">
        <v>-10.388900958034</v>
      </c>
      <c r="K18" s="448">
        <v>0.580810822005</v>
      </c>
    </row>
    <row r="19" spans="1:11" ht="14.4" customHeight="1" thickBot="1" x14ac:dyDescent="0.35">
      <c r="A19" s="466" t="s">
        <v>306</v>
      </c>
      <c r="B19" s="444">
        <v>3</v>
      </c>
      <c r="C19" s="444">
        <v>1.46336</v>
      </c>
      <c r="D19" s="445">
        <v>-1.53664</v>
      </c>
      <c r="E19" s="446">
        <v>0.48778666666600001</v>
      </c>
      <c r="F19" s="444">
        <v>1.501137758447</v>
      </c>
      <c r="G19" s="445">
        <v>1.3760429452430001</v>
      </c>
      <c r="H19" s="447">
        <v>0.442</v>
      </c>
      <c r="I19" s="444">
        <v>3.3559999999999999</v>
      </c>
      <c r="J19" s="445">
        <v>1.9799570547559999</v>
      </c>
      <c r="K19" s="448">
        <v>2.2356375896310001</v>
      </c>
    </row>
    <row r="20" spans="1:11" ht="14.4" customHeight="1" thickBot="1" x14ac:dyDescent="0.35">
      <c r="A20" s="466" t="s">
        <v>307</v>
      </c>
      <c r="B20" s="444">
        <v>1.9502251591299999</v>
      </c>
      <c r="C20" s="444">
        <v>2.6269999999999998</v>
      </c>
      <c r="D20" s="445">
        <v>0.67677484086899997</v>
      </c>
      <c r="E20" s="446">
        <v>1.3470239514140001</v>
      </c>
      <c r="F20" s="444">
        <v>2.6641733146109998</v>
      </c>
      <c r="G20" s="445">
        <v>2.442158871727</v>
      </c>
      <c r="H20" s="447">
        <v>0.28399999999999997</v>
      </c>
      <c r="I20" s="444">
        <v>1.4570000000000001</v>
      </c>
      <c r="J20" s="445">
        <v>-0.98515887172700001</v>
      </c>
      <c r="K20" s="448">
        <v>0.54688634256900004</v>
      </c>
    </row>
    <row r="21" spans="1:11" ht="14.4" customHeight="1" thickBot="1" x14ac:dyDescent="0.35">
      <c r="A21" s="465" t="s">
        <v>308</v>
      </c>
      <c r="B21" s="449">
        <v>69.682502571588003</v>
      </c>
      <c r="C21" s="449">
        <v>93.896010000000004</v>
      </c>
      <c r="D21" s="450">
        <v>24.213507428412001</v>
      </c>
      <c r="E21" s="451">
        <v>1.347483321276</v>
      </c>
      <c r="F21" s="449">
        <v>100.800141184086</v>
      </c>
      <c r="G21" s="450">
        <v>92.400129418744996</v>
      </c>
      <c r="H21" s="452">
        <v>3.8001900000000002</v>
      </c>
      <c r="I21" s="449">
        <v>65.607969999999995</v>
      </c>
      <c r="J21" s="450">
        <v>-26.792159418745001</v>
      </c>
      <c r="K21" s="455">
        <v>0.65087180661900002</v>
      </c>
    </row>
    <row r="22" spans="1:11" ht="14.4" customHeight="1" thickBot="1" x14ac:dyDescent="0.35">
      <c r="A22" s="466" t="s">
        <v>309</v>
      </c>
      <c r="B22" s="444">
        <v>4.5875915536500003</v>
      </c>
      <c r="C22" s="444">
        <v>20.984760000000001</v>
      </c>
      <c r="D22" s="445">
        <v>16.397168446348999</v>
      </c>
      <c r="E22" s="446">
        <v>4.5742433158200004</v>
      </c>
      <c r="F22" s="444">
        <v>24.218620319271</v>
      </c>
      <c r="G22" s="445">
        <v>22.200401959332002</v>
      </c>
      <c r="H22" s="447">
        <v>4.9406564584124654E-324</v>
      </c>
      <c r="I22" s="444">
        <v>4.9406564584124654E-323</v>
      </c>
      <c r="J22" s="445">
        <v>-22.200401959332002</v>
      </c>
      <c r="K22" s="448">
        <v>0</v>
      </c>
    </row>
    <row r="23" spans="1:11" ht="14.4" customHeight="1" thickBot="1" x14ac:dyDescent="0.35">
      <c r="A23" s="466" t="s">
        <v>310</v>
      </c>
      <c r="B23" s="444">
        <v>0</v>
      </c>
      <c r="C23" s="444">
        <v>0.22943</v>
      </c>
      <c r="D23" s="445">
        <v>0.22943</v>
      </c>
      <c r="E23" s="456" t="s">
        <v>290</v>
      </c>
      <c r="F23" s="444">
        <v>0.23093460057000001</v>
      </c>
      <c r="G23" s="445">
        <v>0.211690050523</v>
      </c>
      <c r="H23" s="447">
        <v>4.9406564584124654E-324</v>
      </c>
      <c r="I23" s="444">
        <v>0.22882</v>
      </c>
      <c r="J23" s="445">
        <v>1.7129949475999998E-2</v>
      </c>
      <c r="K23" s="448">
        <v>0</v>
      </c>
    </row>
    <row r="24" spans="1:11" ht="14.4" customHeight="1" thickBot="1" x14ac:dyDescent="0.35">
      <c r="A24" s="466" t="s">
        <v>311</v>
      </c>
      <c r="B24" s="444">
        <v>8.9995435723420005</v>
      </c>
      <c r="C24" s="444">
        <v>12.348269999999999</v>
      </c>
      <c r="D24" s="445">
        <v>3.3487264276570001</v>
      </c>
      <c r="E24" s="446">
        <v>1.372099584911</v>
      </c>
      <c r="F24" s="444">
        <v>12.702025100788999</v>
      </c>
      <c r="G24" s="445">
        <v>11.643523009057001</v>
      </c>
      <c r="H24" s="447">
        <v>0.44829999999999998</v>
      </c>
      <c r="I24" s="444">
        <v>9.7637</v>
      </c>
      <c r="J24" s="445">
        <v>-1.8798230090570001</v>
      </c>
      <c r="K24" s="448">
        <v>0.768672705535</v>
      </c>
    </row>
    <row r="25" spans="1:11" ht="14.4" customHeight="1" thickBot="1" x14ac:dyDescent="0.35">
      <c r="A25" s="466" t="s">
        <v>312</v>
      </c>
      <c r="B25" s="444">
        <v>28.85466852291</v>
      </c>
      <c r="C25" s="444">
        <v>27.780080000000002</v>
      </c>
      <c r="D25" s="445">
        <v>-1.0745885229100001</v>
      </c>
      <c r="E25" s="446">
        <v>0.96275859062199998</v>
      </c>
      <c r="F25" s="444">
        <v>26.031246613278999</v>
      </c>
      <c r="G25" s="445">
        <v>23.861976062172001</v>
      </c>
      <c r="H25" s="447">
        <v>1.8196699999999999</v>
      </c>
      <c r="I25" s="444">
        <v>20.703440000000001</v>
      </c>
      <c r="J25" s="445">
        <v>-3.1585360621719998</v>
      </c>
      <c r="K25" s="448">
        <v>0.79533033156499999</v>
      </c>
    </row>
    <row r="26" spans="1:11" ht="14.4" customHeight="1" thickBot="1" x14ac:dyDescent="0.35">
      <c r="A26" s="466" t="s">
        <v>313</v>
      </c>
      <c r="B26" s="444">
        <v>1.7337157986730001</v>
      </c>
      <c r="C26" s="444">
        <v>2.3786200000000002</v>
      </c>
      <c r="D26" s="445">
        <v>0.64490420132600002</v>
      </c>
      <c r="E26" s="446">
        <v>1.3719780380490001</v>
      </c>
      <c r="F26" s="444">
        <v>4.9995948694530004</v>
      </c>
      <c r="G26" s="445">
        <v>4.5829619636650003</v>
      </c>
      <c r="H26" s="447">
        <v>4.9406564584124654E-324</v>
      </c>
      <c r="I26" s="444">
        <v>5.6805199999999996</v>
      </c>
      <c r="J26" s="445">
        <v>1.0975580363340001</v>
      </c>
      <c r="K26" s="448">
        <v>1.1361960615460001</v>
      </c>
    </row>
    <row r="27" spans="1:11" ht="14.4" customHeight="1" thickBot="1" x14ac:dyDescent="0.35">
      <c r="A27" s="466" t="s">
        <v>314</v>
      </c>
      <c r="B27" s="444">
        <v>25.506983124009999</v>
      </c>
      <c r="C27" s="444">
        <v>26.090890000000002</v>
      </c>
      <c r="D27" s="445">
        <v>0.58390687598900004</v>
      </c>
      <c r="E27" s="446">
        <v>1.0228920399220001</v>
      </c>
      <c r="F27" s="444">
        <v>29.171985844207999</v>
      </c>
      <c r="G27" s="445">
        <v>26.740987023858001</v>
      </c>
      <c r="H27" s="447">
        <v>1.1894</v>
      </c>
      <c r="I27" s="444">
        <v>25.933420000000002</v>
      </c>
      <c r="J27" s="445">
        <v>-0.80756702385699997</v>
      </c>
      <c r="K27" s="448">
        <v>0.88898370301200003</v>
      </c>
    </row>
    <row r="28" spans="1:11" ht="14.4" customHeight="1" thickBot="1" x14ac:dyDescent="0.35">
      <c r="A28" s="466" t="s">
        <v>315</v>
      </c>
      <c r="B28" s="444">
        <v>4.9406564584124654E-324</v>
      </c>
      <c r="C28" s="444">
        <v>4.0839600000000003</v>
      </c>
      <c r="D28" s="445">
        <v>4.0839600000000003</v>
      </c>
      <c r="E28" s="456" t="s">
        <v>296</v>
      </c>
      <c r="F28" s="444">
        <v>3.4457338365119998</v>
      </c>
      <c r="G28" s="445">
        <v>3.1585893501359998</v>
      </c>
      <c r="H28" s="447">
        <v>0.34282000000000001</v>
      </c>
      <c r="I28" s="444">
        <v>3.2980700000000001</v>
      </c>
      <c r="J28" s="445">
        <v>0.13948064986299999</v>
      </c>
      <c r="K28" s="448">
        <v>0.95714589590499999</v>
      </c>
    </row>
    <row r="29" spans="1:11" ht="14.4" customHeight="1" thickBot="1" x14ac:dyDescent="0.35">
      <c r="A29" s="465" t="s">
        <v>316</v>
      </c>
      <c r="B29" s="449">
        <v>1.283560915734</v>
      </c>
      <c r="C29" s="449">
        <v>5.0661300000000002</v>
      </c>
      <c r="D29" s="450">
        <v>3.7825690842649999</v>
      </c>
      <c r="E29" s="451">
        <v>3.9469338290809999</v>
      </c>
      <c r="F29" s="449">
        <v>4.8941998601070003</v>
      </c>
      <c r="G29" s="450">
        <v>4.4863498717640002</v>
      </c>
      <c r="H29" s="452">
        <v>0.1454</v>
      </c>
      <c r="I29" s="449">
        <v>0.96736999999999995</v>
      </c>
      <c r="J29" s="450">
        <v>-3.518979871764</v>
      </c>
      <c r="K29" s="455">
        <v>0.19765641527700001</v>
      </c>
    </row>
    <row r="30" spans="1:11" ht="14.4" customHeight="1" thickBot="1" x14ac:dyDescent="0.35">
      <c r="A30" s="466" t="s">
        <v>317</v>
      </c>
      <c r="B30" s="444">
        <v>4.9406564584124654E-324</v>
      </c>
      <c r="C30" s="444">
        <v>2.0884</v>
      </c>
      <c r="D30" s="445">
        <v>2.0884</v>
      </c>
      <c r="E30" s="456" t="s">
        <v>296</v>
      </c>
      <c r="F30" s="444">
        <v>1.6917125969519999</v>
      </c>
      <c r="G30" s="445">
        <v>1.550736547206</v>
      </c>
      <c r="H30" s="447">
        <v>4.9406564584124654E-324</v>
      </c>
      <c r="I30" s="444">
        <v>5.434722104253712E-323</v>
      </c>
      <c r="J30" s="445">
        <v>-1.550736547206</v>
      </c>
      <c r="K30" s="448">
        <v>3.4584595208887258E-323</v>
      </c>
    </row>
    <row r="31" spans="1:11" ht="14.4" customHeight="1" thickBot="1" x14ac:dyDescent="0.35">
      <c r="A31" s="466" t="s">
        <v>318</v>
      </c>
      <c r="B31" s="444">
        <v>1.062565018266</v>
      </c>
      <c r="C31" s="444">
        <v>4.9406564584124654E-324</v>
      </c>
      <c r="D31" s="445">
        <v>-1.062565018266</v>
      </c>
      <c r="E31" s="446">
        <v>4.9406564584124654E-324</v>
      </c>
      <c r="F31" s="444">
        <v>4.9406564584124654E-324</v>
      </c>
      <c r="G31" s="445">
        <v>0</v>
      </c>
      <c r="H31" s="447">
        <v>4.9406564584124654E-324</v>
      </c>
      <c r="I31" s="444">
        <v>0.30009999999999998</v>
      </c>
      <c r="J31" s="445">
        <v>0.30009999999999998</v>
      </c>
      <c r="K31" s="454" t="s">
        <v>296</v>
      </c>
    </row>
    <row r="32" spans="1:11" ht="14.4" customHeight="1" thickBot="1" x14ac:dyDescent="0.35">
      <c r="A32" s="466" t="s">
        <v>319</v>
      </c>
      <c r="B32" s="444">
        <v>0.220995897468</v>
      </c>
      <c r="C32" s="444">
        <v>2.9777300000000002</v>
      </c>
      <c r="D32" s="445">
        <v>2.7567341025309999</v>
      </c>
      <c r="E32" s="446">
        <v>13.474141529821001</v>
      </c>
      <c r="F32" s="444">
        <v>3.202487263154</v>
      </c>
      <c r="G32" s="445">
        <v>2.9356133245580001</v>
      </c>
      <c r="H32" s="447">
        <v>0.1454</v>
      </c>
      <c r="I32" s="444">
        <v>0.66727000000000003</v>
      </c>
      <c r="J32" s="445">
        <v>-2.2683433245579998</v>
      </c>
      <c r="K32" s="448">
        <v>0.208359923137</v>
      </c>
    </row>
    <row r="33" spans="1:11" ht="14.4" customHeight="1" thickBot="1" x14ac:dyDescent="0.35">
      <c r="A33" s="465" t="s">
        <v>320</v>
      </c>
      <c r="B33" s="449">
        <v>5.3564554199399996</v>
      </c>
      <c r="C33" s="449">
        <v>4.1418299999999997</v>
      </c>
      <c r="D33" s="450">
        <v>-1.21462541994</v>
      </c>
      <c r="E33" s="451">
        <v>0.77324082350800005</v>
      </c>
      <c r="F33" s="449">
        <v>5.4714928329830004</v>
      </c>
      <c r="G33" s="450">
        <v>5.015535096901</v>
      </c>
      <c r="H33" s="452">
        <v>1.0968599999999999</v>
      </c>
      <c r="I33" s="449">
        <v>5.59476</v>
      </c>
      <c r="J33" s="450">
        <v>0.57922490309800001</v>
      </c>
      <c r="K33" s="455">
        <v>1.022528982634</v>
      </c>
    </row>
    <row r="34" spans="1:11" ht="14.4" customHeight="1" thickBot="1" x14ac:dyDescent="0.35">
      <c r="A34" s="466" t="s">
        <v>321</v>
      </c>
      <c r="B34" s="444">
        <v>2.8052947837329998</v>
      </c>
      <c r="C34" s="444">
        <v>1.6533500000000001</v>
      </c>
      <c r="D34" s="445">
        <v>-1.1519447837329999</v>
      </c>
      <c r="E34" s="446">
        <v>0.58936765204999997</v>
      </c>
      <c r="F34" s="444">
        <v>2.4719005640009999</v>
      </c>
      <c r="G34" s="445">
        <v>2.2659088503340001</v>
      </c>
      <c r="H34" s="447">
        <v>0.86550000000000005</v>
      </c>
      <c r="I34" s="444">
        <v>2.8795500000000001</v>
      </c>
      <c r="J34" s="445">
        <v>0.61364114966500005</v>
      </c>
      <c r="K34" s="448">
        <v>1.1649133633990001</v>
      </c>
    </row>
    <row r="35" spans="1:11" ht="14.4" customHeight="1" thickBot="1" x14ac:dyDescent="0.35">
      <c r="A35" s="466" t="s">
        <v>322</v>
      </c>
      <c r="B35" s="444">
        <v>0</v>
      </c>
      <c r="C35" s="444">
        <v>4.9406564584124654E-324</v>
      </c>
      <c r="D35" s="445">
        <v>4.9406564584124654E-324</v>
      </c>
      <c r="E35" s="456" t="s">
        <v>290</v>
      </c>
      <c r="F35" s="444">
        <v>4.9406564584124654E-324</v>
      </c>
      <c r="G35" s="445">
        <v>0</v>
      </c>
      <c r="H35" s="447">
        <v>4.9406564584124654E-324</v>
      </c>
      <c r="I35" s="444">
        <v>0.17036000000000001</v>
      </c>
      <c r="J35" s="445">
        <v>0.17036000000000001</v>
      </c>
      <c r="K35" s="454" t="s">
        <v>296</v>
      </c>
    </row>
    <row r="36" spans="1:11" ht="14.4" customHeight="1" thickBot="1" x14ac:dyDescent="0.35">
      <c r="A36" s="466" t="s">
        <v>323</v>
      </c>
      <c r="B36" s="444">
        <v>2.5511606362060002</v>
      </c>
      <c r="C36" s="444">
        <v>2.48848</v>
      </c>
      <c r="D36" s="445">
        <v>-6.2680636206000007E-2</v>
      </c>
      <c r="E36" s="446">
        <v>0.97543054117500005</v>
      </c>
      <c r="F36" s="444">
        <v>0</v>
      </c>
      <c r="G36" s="445">
        <v>0</v>
      </c>
      <c r="H36" s="447">
        <v>4.9406564584124654E-324</v>
      </c>
      <c r="I36" s="444">
        <v>5.434722104253712E-323</v>
      </c>
      <c r="J36" s="445">
        <v>5.434722104253712E-323</v>
      </c>
      <c r="K36" s="454" t="s">
        <v>290</v>
      </c>
    </row>
    <row r="37" spans="1:11" ht="14.4" customHeight="1" thickBot="1" x14ac:dyDescent="0.35">
      <c r="A37" s="466" t="s">
        <v>324</v>
      </c>
      <c r="B37" s="444">
        <v>4.9406564584124654E-324</v>
      </c>
      <c r="C37" s="444">
        <v>4.9406564584124654E-324</v>
      </c>
      <c r="D37" s="445">
        <v>0</v>
      </c>
      <c r="E37" s="446">
        <v>1</v>
      </c>
      <c r="F37" s="444">
        <v>2.999592268981</v>
      </c>
      <c r="G37" s="445">
        <v>2.7496262465660002</v>
      </c>
      <c r="H37" s="447">
        <v>0.23136000000000001</v>
      </c>
      <c r="I37" s="444">
        <v>2.5448499999999998</v>
      </c>
      <c r="J37" s="445">
        <v>-0.20477624656599999</v>
      </c>
      <c r="K37" s="448">
        <v>0.84839863948000005</v>
      </c>
    </row>
    <row r="38" spans="1:11" ht="14.4" customHeight="1" thickBot="1" x14ac:dyDescent="0.35">
      <c r="A38" s="464" t="s">
        <v>42</v>
      </c>
      <c r="B38" s="444">
        <v>1283.3615817535799</v>
      </c>
      <c r="C38" s="444">
        <v>1227.662</v>
      </c>
      <c r="D38" s="445">
        <v>-55.699581753578997</v>
      </c>
      <c r="E38" s="446">
        <v>0.95659868384199997</v>
      </c>
      <c r="F38" s="444">
        <v>1186.5711549196601</v>
      </c>
      <c r="G38" s="445">
        <v>1087.6902253430201</v>
      </c>
      <c r="H38" s="447">
        <v>107.232</v>
      </c>
      <c r="I38" s="444">
        <v>972.11300000000097</v>
      </c>
      <c r="J38" s="445">
        <v>-115.57722534302</v>
      </c>
      <c r="K38" s="448">
        <v>0.81926228862799999</v>
      </c>
    </row>
    <row r="39" spans="1:11" ht="14.4" customHeight="1" thickBot="1" x14ac:dyDescent="0.35">
      <c r="A39" s="465" t="s">
        <v>325</v>
      </c>
      <c r="B39" s="449">
        <v>1283.3615817535799</v>
      </c>
      <c r="C39" s="449">
        <v>1227.662</v>
      </c>
      <c r="D39" s="450">
        <v>-55.699581753578997</v>
      </c>
      <c r="E39" s="451">
        <v>0.95659868384199997</v>
      </c>
      <c r="F39" s="449">
        <v>1186.5711549196601</v>
      </c>
      <c r="G39" s="450">
        <v>1087.6902253430201</v>
      </c>
      <c r="H39" s="452">
        <v>107.232</v>
      </c>
      <c r="I39" s="449">
        <v>972.11300000000097</v>
      </c>
      <c r="J39" s="450">
        <v>-115.57722534302</v>
      </c>
      <c r="K39" s="455">
        <v>0.81926228862799999</v>
      </c>
    </row>
    <row r="40" spans="1:11" ht="14.4" customHeight="1" thickBot="1" x14ac:dyDescent="0.35">
      <c r="A40" s="466" t="s">
        <v>326</v>
      </c>
      <c r="B40" s="444">
        <v>407.91152092024498</v>
      </c>
      <c r="C40" s="444">
        <v>420.291</v>
      </c>
      <c r="D40" s="445">
        <v>12.379479079755001</v>
      </c>
      <c r="E40" s="446">
        <v>1.0303484418669999</v>
      </c>
      <c r="F40" s="444">
        <v>417.14983394043298</v>
      </c>
      <c r="G40" s="445">
        <v>382.38734777872997</v>
      </c>
      <c r="H40" s="447">
        <v>28.321999999999999</v>
      </c>
      <c r="I40" s="444">
        <v>320.29700000000003</v>
      </c>
      <c r="J40" s="445">
        <v>-62.090347778729999</v>
      </c>
      <c r="K40" s="448">
        <v>0.76782243198900002</v>
      </c>
    </row>
    <row r="41" spans="1:11" ht="14.4" customHeight="1" thickBot="1" x14ac:dyDescent="0.35">
      <c r="A41" s="466" t="s">
        <v>327</v>
      </c>
      <c r="B41" s="444">
        <v>107.39108339259001</v>
      </c>
      <c r="C41" s="444">
        <v>102.801</v>
      </c>
      <c r="D41" s="445">
        <v>-4.5900833925890003</v>
      </c>
      <c r="E41" s="446">
        <v>0.95725824484099997</v>
      </c>
      <c r="F41" s="444">
        <v>55.000372564808998</v>
      </c>
      <c r="G41" s="445">
        <v>50.417008184408999</v>
      </c>
      <c r="H41" s="447">
        <v>7.2519999999999998</v>
      </c>
      <c r="I41" s="444">
        <v>89.600999999999999</v>
      </c>
      <c r="J41" s="445">
        <v>39.183991815591</v>
      </c>
      <c r="K41" s="448">
        <v>1.629098055552</v>
      </c>
    </row>
    <row r="42" spans="1:11" ht="14.4" customHeight="1" thickBot="1" x14ac:dyDescent="0.35">
      <c r="A42" s="466" t="s">
        <v>328</v>
      </c>
      <c r="B42" s="444">
        <v>768.05897744074502</v>
      </c>
      <c r="C42" s="444">
        <v>704.57</v>
      </c>
      <c r="D42" s="445">
        <v>-63.488977440744002</v>
      </c>
      <c r="E42" s="446">
        <v>0.91733840850000004</v>
      </c>
      <c r="F42" s="444">
        <v>714.42094841441599</v>
      </c>
      <c r="G42" s="445">
        <v>654.885869379881</v>
      </c>
      <c r="H42" s="447">
        <v>71.658000000000001</v>
      </c>
      <c r="I42" s="444">
        <v>562.21500000000003</v>
      </c>
      <c r="J42" s="445">
        <v>-92.670869379880997</v>
      </c>
      <c r="K42" s="448">
        <v>0.78695200812300004</v>
      </c>
    </row>
    <row r="43" spans="1:11" ht="14.4" customHeight="1" thickBot="1" x14ac:dyDescent="0.35">
      <c r="A43" s="467" t="s">
        <v>329</v>
      </c>
      <c r="B43" s="449">
        <v>288.662826965622</v>
      </c>
      <c r="C43" s="449">
        <v>259.08382</v>
      </c>
      <c r="D43" s="450">
        <v>-29.579006965621002</v>
      </c>
      <c r="E43" s="451">
        <v>0.89753094544000001</v>
      </c>
      <c r="F43" s="449">
        <v>272.263737084073</v>
      </c>
      <c r="G43" s="450">
        <v>249.57509232706701</v>
      </c>
      <c r="H43" s="452">
        <v>25.345459999999999</v>
      </c>
      <c r="I43" s="449">
        <v>276.53091999999998</v>
      </c>
      <c r="J43" s="450">
        <v>26.955827672933001</v>
      </c>
      <c r="K43" s="455">
        <v>1.0156729756280001</v>
      </c>
    </row>
    <row r="44" spans="1:11" ht="14.4" customHeight="1" thickBot="1" x14ac:dyDescent="0.35">
      <c r="A44" s="464" t="s">
        <v>45</v>
      </c>
      <c r="B44" s="444">
        <v>69.995210412437999</v>
      </c>
      <c r="C44" s="444">
        <v>39.302120000000002</v>
      </c>
      <c r="D44" s="445">
        <v>-30.693090412438</v>
      </c>
      <c r="E44" s="446">
        <v>0.56149727629099999</v>
      </c>
      <c r="F44" s="444">
        <v>55.262643467825001</v>
      </c>
      <c r="G44" s="445">
        <v>50.657423178838997</v>
      </c>
      <c r="H44" s="447">
        <v>1.0805</v>
      </c>
      <c r="I44" s="444">
        <v>73.755740000000003</v>
      </c>
      <c r="J44" s="445">
        <v>23.098316821160001</v>
      </c>
      <c r="K44" s="448">
        <v>1.334640099924</v>
      </c>
    </row>
    <row r="45" spans="1:11" ht="14.4" customHeight="1" thickBot="1" x14ac:dyDescent="0.35">
      <c r="A45" s="468" t="s">
        <v>330</v>
      </c>
      <c r="B45" s="444">
        <v>69.995210412437999</v>
      </c>
      <c r="C45" s="444">
        <v>39.302120000000002</v>
      </c>
      <c r="D45" s="445">
        <v>-30.693090412438</v>
      </c>
      <c r="E45" s="446">
        <v>0.56149727629099999</v>
      </c>
      <c r="F45" s="444">
        <v>55.262643467825001</v>
      </c>
      <c r="G45" s="445">
        <v>50.657423178838997</v>
      </c>
      <c r="H45" s="447">
        <v>1.0805</v>
      </c>
      <c r="I45" s="444">
        <v>73.755740000000003</v>
      </c>
      <c r="J45" s="445">
        <v>23.098316821160001</v>
      </c>
      <c r="K45" s="448">
        <v>1.334640099924</v>
      </c>
    </row>
    <row r="46" spans="1:11" ht="14.4" customHeight="1" thickBot="1" x14ac:dyDescent="0.35">
      <c r="A46" s="466" t="s">
        <v>331</v>
      </c>
      <c r="B46" s="444">
        <v>4.0002024093240003</v>
      </c>
      <c r="C46" s="444">
        <v>1.27776</v>
      </c>
      <c r="D46" s="445">
        <v>-2.7224424093240001</v>
      </c>
      <c r="E46" s="446">
        <v>0.31942383640900002</v>
      </c>
      <c r="F46" s="444">
        <v>1.178273429766</v>
      </c>
      <c r="G46" s="445">
        <v>1.080083977286</v>
      </c>
      <c r="H46" s="447">
        <v>4.9406564584124654E-324</v>
      </c>
      <c r="I46" s="444">
        <v>5.434722104253712E-323</v>
      </c>
      <c r="J46" s="445">
        <v>-1.080083977286</v>
      </c>
      <c r="K46" s="448">
        <v>4.4465908125712189E-323</v>
      </c>
    </row>
    <row r="47" spans="1:11" ht="14.4" customHeight="1" thickBot="1" x14ac:dyDescent="0.35">
      <c r="A47" s="466" t="s">
        <v>332</v>
      </c>
      <c r="B47" s="444">
        <v>4.9406564584124654E-324</v>
      </c>
      <c r="C47" s="444">
        <v>4.9406564584124654E-324</v>
      </c>
      <c r="D47" s="445">
        <v>0</v>
      </c>
      <c r="E47" s="446">
        <v>1</v>
      </c>
      <c r="F47" s="444">
        <v>4.9406564584124654E-324</v>
      </c>
      <c r="G47" s="445">
        <v>0</v>
      </c>
      <c r="H47" s="447">
        <v>4.9406564584124654E-324</v>
      </c>
      <c r="I47" s="444">
        <v>1.1499999999999999</v>
      </c>
      <c r="J47" s="445">
        <v>1.1499999999999999</v>
      </c>
      <c r="K47" s="454" t="s">
        <v>296</v>
      </c>
    </row>
    <row r="48" spans="1:11" ht="14.4" customHeight="1" thickBot="1" x14ac:dyDescent="0.35">
      <c r="A48" s="466" t="s">
        <v>333</v>
      </c>
      <c r="B48" s="444">
        <v>0</v>
      </c>
      <c r="C48" s="444">
        <v>2.399</v>
      </c>
      <c r="D48" s="445">
        <v>2.399</v>
      </c>
      <c r="E48" s="456" t="s">
        <v>290</v>
      </c>
      <c r="F48" s="444">
        <v>3.1194073684950001</v>
      </c>
      <c r="G48" s="445">
        <v>2.8594567544539999</v>
      </c>
      <c r="H48" s="447">
        <v>4.9406564584124654E-324</v>
      </c>
      <c r="I48" s="444">
        <v>0.76719999999999999</v>
      </c>
      <c r="J48" s="445">
        <v>-2.0922567544540001</v>
      </c>
      <c r="K48" s="448">
        <v>0.24594415200399999</v>
      </c>
    </row>
    <row r="49" spans="1:11" ht="14.4" customHeight="1" thickBot="1" x14ac:dyDescent="0.35">
      <c r="A49" s="466" t="s">
        <v>334</v>
      </c>
      <c r="B49" s="444">
        <v>17.998548463239999</v>
      </c>
      <c r="C49" s="444">
        <v>23.3169</v>
      </c>
      <c r="D49" s="445">
        <v>5.3183515367589997</v>
      </c>
      <c r="E49" s="446">
        <v>1.2954878026750001</v>
      </c>
      <c r="F49" s="444">
        <v>38.999934156165999</v>
      </c>
      <c r="G49" s="445">
        <v>35.749939643151997</v>
      </c>
      <c r="H49" s="447">
        <v>4.9406564584124654E-324</v>
      </c>
      <c r="I49" s="444">
        <v>52.270269999999996</v>
      </c>
      <c r="J49" s="445">
        <v>16.520330356847001</v>
      </c>
      <c r="K49" s="448">
        <v>1.3402655961079999</v>
      </c>
    </row>
    <row r="50" spans="1:11" ht="14.4" customHeight="1" thickBot="1" x14ac:dyDescent="0.35">
      <c r="A50" s="466" t="s">
        <v>335</v>
      </c>
      <c r="B50" s="444">
        <v>47.996459539873001</v>
      </c>
      <c r="C50" s="444">
        <v>12.30846</v>
      </c>
      <c r="D50" s="445">
        <v>-35.687999539872997</v>
      </c>
      <c r="E50" s="446">
        <v>0.25644516528900002</v>
      </c>
      <c r="F50" s="444">
        <v>11.965028513396</v>
      </c>
      <c r="G50" s="445">
        <v>10.967942803947</v>
      </c>
      <c r="H50" s="447">
        <v>1.0805</v>
      </c>
      <c r="I50" s="444">
        <v>19.568269999999998</v>
      </c>
      <c r="J50" s="445">
        <v>8.6003271960529997</v>
      </c>
      <c r="K50" s="448">
        <v>1.6354553587639999</v>
      </c>
    </row>
    <row r="51" spans="1:11" ht="14.4" customHeight="1" thickBot="1" x14ac:dyDescent="0.35">
      <c r="A51" s="469" t="s">
        <v>46</v>
      </c>
      <c r="B51" s="449">
        <v>0</v>
      </c>
      <c r="C51" s="449">
        <v>4.282</v>
      </c>
      <c r="D51" s="450">
        <v>4.282</v>
      </c>
      <c r="E51" s="457" t="s">
        <v>290</v>
      </c>
      <c r="F51" s="449">
        <v>0</v>
      </c>
      <c r="G51" s="450">
        <v>0</v>
      </c>
      <c r="H51" s="452">
        <v>0.16800000000000001</v>
      </c>
      <c r="I51" s="449">
        <v>3.911</v>
      </c>
      <c r="J51" s="450">
        <v>3.911</v>
      </c>
      <c r="K51" s="453" t="s">
        <v>290</v>
      </c>
    </row>
    <row r="52" spans="1:11" ht="14.4" customHeight="1" thickBot="1" x14ac:dyDescent="0.35">
      <c r="A52" s="465" t="s">
        <v>336</v>
      </c>
      <c r="B52" s="449">
        <v>0</v>
      </c>
      <c r="C52" s="449">
        <v>4.282</v>
      </c>
      <c r="D52" s="450">
        <v>4.282</v>
      </c>
      <c r="E52" s="457" t="s">
        <v>290</v>
      </c>
      <c r="F52" s="449">
        <v>0</v>
      </c>
      <c r="G52" s="450">
        <v>0</v>
      </c>
      <c r="H52" s="452">
        <v>0.16800000000000001</v>
      </c>
      <c r="I52" s="449">
        <v>3.911</v>
      </c>
      <c r="J52" s="450">
        <v>3.911</v>
      </c>
      <c r="K52" s="453" t="s">
        <v>290</v>
      </c>
    </row>
    <row r="53" spans="1:11" ht="14.4" customHeight="1" thickBot="1" x14ac:dyDescent="0.35">
      <c r="A53" s="466" t="s">
        <v>337</v>
      </c>
      <c r="B53" s="444">
        <v>0</v>
      </c>
      <c r="C53" s="444">
        <v>4.282</v>
      </c>
      <c r="D53" s="445">
        <v>4.282</v>
      </c>
      <c r="E53" s="456" t="s">
        <v>290</v>
      </c>
      <c r="F53" s="444">
        <v>0</v>
      </c>
      <c r="G53" s="445">
        <v>0</v>
      </c>
      <c r="H53" s="447">
        <v>0.16800000000000001</v>
      </c>
      <c r="I53" s="444">
        <v>3.911</v>
      </c>
      <c r="J53" s="445">
        <v>3.911</v>
      </c>
      <c r="K53" s="454" t="s">
        <v>290</v>
      </c>
    </row>
    <row r="54" spans="1:11" ht="14.4" customHeight="1" thickBot="1" x14ac:dyDescent="0.35">
      <c r="A54" s="464" t="s">
        <v>47</v>
      </c>
      <c r="B54" s="444">
        <v>218.667616553183</v>
      </c>
      <c r="C54" s="444">
        <v>215.49969999999999</v>
      </c>
      <c r="D54" s="445">
        <v>-3.1679165531829998</v>
      </c>
      <c r="E54" s="446">
        <v>0.985512639671</v>
      </c>
      <c r="F54" s="444">
        <v>217.001093616248</v>
      </c>
      <c r="G54" s="445">
        <v>198.91766914822699</v>
      </c>
      <c r="H54" s="447">
        <v>24.096959999999999</v>
      </c>
      <c r="I54" s="444">
        <v>198.86418</v>
      </c>
      <c r="J54" s="445">
        <v>-5.3489148227000002E-2</v>
      </c>
      <c r="K54" s="448">
        <v>0.91642017413800003</v>
      </c>
    </row>
    <row r="55" spans="1:11" ht="14.4" customHeight="1" thickBot="1" x14ac:dyDescent="0.35">
      <c r="A55" s="465" t="s">
        <v>338</v>
      </c>
      <c r="B55" s="449">
        <v>4.5208658522859997</v>
      </c>
      <c r="C55" s="449">
        <v>0.10299999999999999</v>
      </c>
      <c r="D55" s="450">
        <v>-4.4178658522859999</v>
      </c>
      <c r="E55" s="451">
        <v>2.2783246255E-2</v>
      </c>
      <c r="F55" s="449">
        <v>4.1168974895000002E-2</v>
      </c>
      <c r="G55" s="450">
        <v>3.7738226987000002E-2</v>
      </c>
      <c r="H55" s="452">
        <v>4.9406564584124654E-324</v>
      </c>
      <c r="I55" s="449">
        <v>0.105</v>
      </c>
      <c r="J55" s="450">
        <v>6.7261773011999995E-2</v>
      </c>
      <c r="K55" s="455">
        <v>2.5504642820379999</v>
      </c>
    </row>
    <row r="56" spans="1:11" ht="14.4" customHeight="1" thickBot="1" x14ac:dyDescent="0.35">
      <c r="A56" s="466" t="s">
        <v>339</v>
      </c>
      <c r="B56" s="444">
        <v>4.5208658522859997</v>
      </c>
      <c r="C56" s="444">
        <v>0.10299999999999999</v>
      </c>
      <c r="D56" s="445">
        <v>-4.4178658522859999</v>
      </c>
      <c r="E56" s="446">
        <v>2.2783246255E-2</v>
      </c>
      <c r="F56" s="444">
        <v>4.1168974895000002E-2</v>
      </c>
      <c r="G56" s="445">
        <v>3.7738226987000002E-2</v>
      </c>
      <c r="H56" s="447">
        <v>4.9406564584124654E-324</v>
      </c>
      <c r="I56" s="444">
        <v>0.105</v>
      </c>
      <c r="J56" s="445">
        <v>6.7261773011999995E-2</v>
      </c>
      <c r="K56" s="448">
        <v>2.5504642820379999</v>
      </c>
    </row>
    <row r="57" spans="1:11" ht="14.4" customHeight="1" thickBot="1" x14ac:dyDescent="0.35">
      <c r="A57" s="465" t="s">
        <v>340</v>
      </c>
      <c r="B57" s="449">
        <v>65.325583165267005</v>
      </c>
      <c r="C57" s="449">
        <v>68.804469999999995</v>
      </c>
      <c r="D57" s="450">
        <v>3.4788868347320001</v>
      </c>
      <c r="E57" s="451">
        <v>1.0532545852040001</v>
      </c>
      <c r="F57" s="449">
        <v>69.733645747104006</v>
      </c>
      <c r="G57" s="450">
        <v>63.922508601512</v>
      </c>
      <c r="H57" s="452">
        <v>5.67699</v>
      </c>
      <c r="I57" s="449">
        <v>63.762210000000003</v>
      </c>
      <c r="J57" s="450">
        <v>-0.16029860151200001</v>
      </c>
      <c r="K57" s="455">
        <v>0.914367939849</v>
      </c>
    </row>
    <row r="58" spans="1:11" ht="14.4" customHeight="1" thickBot="1" x14ac:dyDescent="0.35">
      <c r="A58" s="466" t="s">
        <v>341</v>
      </c>
      <c r="B58" s="444">
        <v>58.245680862937</v>
      </c>
      <c r="C58" s="444">
        <v>61.018999999999998</v>
      </c>
      <c r="D58" s="445">
        <v>2.7733191370629999</v>
      </c>
      <c r="E58" s="446">
        <v>1.0476141594699999</v>
      </c>
      <c r="F58" s="444">
        <v>62.421596630528001</v>
      </c>
      <c r="G58" s="445">
        <v>57.219796911317999</v>
      </c>
      <c r="H58" s="447">
        <v>4.8909000000000002</v>
      </c>
      <c r="I58" s="444">
        <v>56.350499999999997</v>
      </c>
      <c r="J58" s="445">
        <v>-0.86929691131800002</v>
      </c>
      <c r="K58" s="448">
        <v>0.90274044628299999</v>
      </c>
    </row>
    <row r="59" spans="1:11" ht="14.4" customHeight="1" thickBot="1" x14ac:dyDescent="0.35">
      <c r="A59" s="466" t="s">
        <v>342</v>
      </c>
      <c r="B59" s="444">
        <v>7.0799023023299998</v>
      </c>
      <c r="C59" s="444">
        <v>7.7854700000000001</v>
      </c>
      <c r="D59" s="445">
        <v>0.70556769766899996</v>
      </c>
      <c r="E59" s="446">
        <v>1.0996578296620001</v>
      </c>
      <c r="F59" s="444">
        <v>7.3120491165750003</v>
      </c>
      <c r="G59" s="445">
        <v>6.7027116901939996</v>
      </c>
      <c r="H59" s="447">
        <v>0.78608999999999996</v>
      </c>
      <c r="I59" s="444">
        <v>7.4117100000000002</v>
      </c>
      <c r="J59" s="445">
        <v>0.708998309805</v>
      </c>
      <c r="K59" s="448">
        <v>1.013629679154</v>
      </c>
    </row>
    <row r="60" spans="1:11" ht="14.4" customHeight="1" thickBot="1" x14ac:dyDescent="0.35">
      <c r="A60" s="465" t="s">
        <v>343</v>
      </c>
      <c r="B60" s="449">
        <v>5.4220475850909997</v>
      </c>
      <c r="C60" s="449">
        <v>5.1539200000000003</v>
      </c>
      <c r="D60" s="450">
        <v>-0.26812758509099999</v>
      </c>
      <c r="E60" s="451">
        <v>0.95054864774100001</v>
      </c>
      <c r="F60" s="449">
        <v>4.9129653563779998</v>
      </c>
      <c r="G60" s="450">
        <v>4.5035515766790004</v>
      </c>
      <c r="H60" s="452">
        <v>0.70340999999999998</v>
      </c>
      <c r="I60" s="449">
        <v>5.2661300000000004</v>
      </c>
      <c r="J60" s="450">
        <v>0.76257842332000003</v>
      </c>
      <c r="K60" s="455">
        <v>1.0718842120800001</v>
      </c>
    </row>
    <row r="61" spans="1:11" ht="14.4" customHeight="1" thickBot="1" x14ac:dyDescent="0.35">
      <c r="A61" s="466" t="s">
        <v>344</v>
      </c>
      <c r="B61" s="444">
        <v>1.9993583020329999</v>
      </c>
      <c r="C61" s="444">
        <v>1.62</v>
      </c>
      <c r="D61" s="445">
        <v>-0.37935830203300003</v>
      </c>
      <c r="E61" s="446">
        <v>0.81025997108699999</v>
      </c>
      <c r="F61" s="444">
        <v>1.6780130766300001</v>
      </c>
      <c r="G61" s="445">
        <v>1.538178653578</v>
      </c>
      <c r="H61" s="447">
        <v>4.9406564584124654E-324</v>
      </c>
      <c r="I61" s="444">
        <v>1.62</v>
      </c>
      <c r="J61" s="445">
        <v>8.1821346421000002E-2</v>
      </c>
      <c r="K61" s="448">
        <v>0.96542751815299999</v>
      </c>
    </row>
    <row r="62" spans="1:11" ht="14.4" customHeight="1" thickBot="1" x14ac:dyDescent="0.35">
      <c r="A62" s="466" t="s">
        <v>345</v>
      </c>
      <c r="B62" s="444">
        <v>3.4226892830579998</v>
      </c>
      <c r="C62" s="444">
        <v>3.5339200000000002</v>
      </c>
      <c r="D62" s="445">
        <v>0.11123071694099999</v>
      </c>
      <c r="E62" s="446">
        <v>1.0324980469280001</v>
      </c>
      <c r="F62" s="444">
        <v>3.2349522797470001</v>
      </c>
      <c r="G62" s="445">
        <v>2.965372923101</v>
      </c>
      <c r="H62" s="447">
        <v>0.70340999999999998</v>
      </c>
      <c r="I62" s="444">
        <v>3.6461299999999999</v>
      </c>
      <c r="J62" s="445">
        <v>0.68075707689800002</v>
      </c>
      <c r="K62" s="448">
        <v>1.1271047251070001</v>
      </c>
    </row>
    <row r="63" spans="1:11" ht="14.4" customHeight="1" thickBot="1" x14ac:dyDescent="0.35">
      <c r="A63" s="465" t="s">
        <v>346</v>
      </c>
      <c r="B63" s="449">
        <v>130.00122597221699</v>
      </c>
      <c r="C63" s="449">
        <v>118.49056</v>
      </c>
      <c r="D63" s="450">
        <v>-11.510665972216</v>
      </c>
      <c r="E63" s="451">
        <v>0.91145725060500005</v>
      </c>
      <c r="F63" s="449">
        <v>118.238523080756</v>
      </c>
      <c r="G63" s="450">
        <v>108.385312824026</v>
      </c>
      <c r="H63" s="452">
        <v>9.9346999999999994</v>
      </c>
      <c r="I63" s="449">
        <v>111.04187</v>
      </c>
      <c r="J63" s="450">
        <v>2.6565571759740001</v>
      </c>
      <c r="K63" s="455">
        <v>0.93913444710500005</v>
      </c>
    </row>
    <row r="64" spans="1:11" ht="14.4" customHeight="1" thickBot="1" x14ac:dyDescent="0.35">
      <c r="A64" s="466" t="s">
        <v>347</v>
      </c>
      <c r="B64" s="444">
        <v>110.000111696177</v>
      </c>
      <c r="C64" s="444">
        <v>102.00841</v>
      </c>
      <c r="D64" s="445">
        <v>-7.9917016961770004</v>
      </c>
      <c r="E64" s="446">
        <v>0.92734824016999995</v>
      </c>
      <c r="F64" s="444">
        <v>102.58485358582899</v>
      </c>
      <c r="G64" s="445">
        <v>94.036115787008995</v>
      </c>
      <c r="H64" s="447">
        <v>8.5449400000000004</v>
      </c>
      <c r="I64" s="444">
        <v>94.16292</v>
      </c>
      <c r="J64" s="445">
        <v>0.12680421299</v>
      </c>
      <c r="K64" s="448">
        <v>0.91790275765399998</v>
      </c>
    </row>
    <row r="65" spans="1:11" ht="14.4" customHeight="1" thickBot="1" x14ac:dyDescent="0.35">
      <c r="A65" s="466" t="s">
        <v>348</v>
      </c>
      <c r="B65" s="444">
        <v>20.001114276039001</v>
      </c>
      <c r="C65" s="444">
        <v>16.482150000000001</v>
      </c>
      <c r="D65" s="445">
        <v>-3.5189642760390001</v>
      </c>
      <c r="E65" s="446">
        <v>0.82406158839499999</v>
      </c>
      <c r="F65" s="444">
        <v>15.653669494927</v>
      </c>
      <c r="G65" s="445">
        <v>14.349197037015999</v>
      </c>
      <c r="H65" s="447">
        <v>1.3897600000000001</v>
      </c>
      <c r="I65" s="444">
        <v>16.87895</v>
      </c>
      <c r="J65" s="445">
        <v>2.5297529629829998</v>
      </c>
      <c r="K65" s="448">
        <v>1.07827433085</v>
      </c>
    </row>
    <row r="66" spans="1:11" ht="14.4" customHeight="1" thickBot="1" x14ac:dyDescent="0.35">
      <c r="A66" s="465" t="s">
        <v>349</v>
      </c>
      <c r="B66" s="449">
        <v>13.305152539610001</v>
      </c>
      <c r="C66" s="449">
        <v>22.947749999999999</v>
      </c>
      <c r="D66" s="450">
        <v>9.6425974603890001</v>
      </c>
      <c r="E66" s="451">
        <v>1.7247265622600001</v>
      </c>
      <c r="F66" s="449">
        <v>24.074790457113</v>
      </c>
      <c r="G66" s="450">
        <v>22.068557919021</v>
      </c>
      <c r="H66" s="452">
        <v>7.78186</v>
      </c>
      <c r="I66" s="449">
        <v>17.882770000000001</v>
      </c>
      <c r="J66" s="450">
        <v>-4.18578791902</v>
      </c>
      <c r="K66" s="455">
        <v>0.742800649993</v>
      </c>
    </row>
    <row r="67" spans="1:11" ht="14.4" customHeight="1" thickBot="1" x14ac:dyDescent="0.35">
      <c r="A67" s="466" t="s">
        <v>350</v>
      </c>
      <c r="B67" s="444">
        <v>12.154568198553999</v>
      </c>
      <c r="C67" s="444">
        <v>15.940149999999999</v>
      </c>
      <c r="D67" s="445">
        <v>3.7855818014459999</v>
      </c>
      <c r="E67" s="446">
        <v>1.311453417316</v>
      </c>
      <c r="F67" s="444">
        <v>15.759445382161999</v>
      </c>
      <c r="G67" s="445">
        <v>14.446158266981</v>
      </c>
      <c r="H67" s="447">
        <v>7.78186</v>
      </c>
      <c r="I67" s="444">
        <v>11.997310000000001</v>
      </c>
      <c r="J67" s="445">
        <v>-2.4488482669809999</v>
      </c>
      <c r="K67" s="448">
        <v>0.76127742500200002</v>
      </c>
    </row>
    <row r="68" spans="1:11" ht="14.4" customHeight="1" thickBot="1" x14ac:dyDescent="0.35">
      <c r="A68" s="466" t="s">
        <v>351</v>
      </c>
      <c r="B68" s="444">
        <v>0</v>
      </c>
      <c r="C68" s="444">
        <v>0.45100000000000001</v>
      </c>
      <c r="D68" s="445">
        <v>0.45100000000000001</v>
      </c>
      <c r="E68" s="456" t="s">
        <v>290</v>
      </c>
      <c r="F68" s="444">
        <v>1.0003644167400001</v>
      </c>
      <c r="G68" s="445">
        <v>0.91700071534500005</v>
      </c>
      <c r="H68" s="447">
        <v>4.9406564584124654E-324</v>
      </c>
      <c r="I68" s="444">
        <v>0.92600000000000005</v>
      </c>
      <c r="J68" s="445">
        <v>8.9992846539999997E-3</v>
      </c>
      <c r="K68" s="448">
        <v>0.92566267302500005</v>
      </c>
    </row>
    <row r="69" spans="1:11" ht="14.4" customHeight="1" thickBot="1" x14ac:dyDescent="0.35">
      <c r="A69" s="466" t="s">
        <v>352</v>
      </c>
      <c r="B69" s="444">
        <v>4.9406564584124654E-324</v>
      </c>
      <c r="C69" s="444">
        <v>1.7826</v>
      </c>
      <c r="D69" s="445">
        <v>1.7826</v>
      </c>
      <c r="E69" s="456" t="s">
        <v>296</v>
      </c>
      <c r="F69" s="444">
        <v>1.684148307494</v>
      </c>
      <c r="G69" s="445">
        <v>1.543802615203</v>
      </c>
      <c r="H69" s="447">
        <v>4.9406564584124654E-324</v>
      </c>
      <c r="I69" s="444">
        <v>1.3546</v>
      </c>
      <c r="J69" s="445">
        <v>-0.189202615203</v>
      </c>
      <c r="K69" s="448">
        <v>0.80432346365899998</v>
      </c>
    </row>
    <row r="70" spans="1:11" ht="14.4" customHeight="1" thickBot="1" x14ac:dyDescent="0.35">
      <c r="A70" s="466" t="s">
        <v>353</v>
      </c>
      <c r="B70" s="444">
        <v>1.1505843410559999</v>
      </c>
      <c r="C70" s="444">
        <v>4.774</v>
      </c>
      <c r="D70" s="445">
        <v>3.6234156589430002</v>
      </c>
      <c r="E70" s="446">
        <v>4.1491960473029996</v>
      </c>
      <c r="F70" s="444">
        <v>5.6308323507160001</v>
      </c>
      <c r="G70" s="445">
        <v>5.1615963214900002</v>
      </c>
      <c r="H70" s="447">
        <v>4.9406564584124654E-324</v>
      </c>
      <c r="I70" s="444">
        <v>3.60486</v>
      </c>
      <c r="J70" s="445">
        <v>-1.5567363214900001</v>
      </c>
      <c r="K70" s="448">
        <v>0.64020020051500004</v>
      </c>
    </row>
    <row r="71" spans="1:11" ht="14.4" customHeight="1" thickBot="1" x14ac:dyDescent="0.35">
      <c r="A71" s="465" t="s">
        <v>354</v>
      </c>
      <c r="B71" s="449">
        <v>9.2741438711000004E-2</v>
      </c>
      <c r="C71" s="449">
        <v>4.9406564584124654E-324</v>
      </c>
      <c r="D71" s="450">
        <v>-9.2741438711000004E-2</v>
      </c>
      <c r="E71" s="451">
        <v>5.434722104253712E-323</v>
      </c>
      <c r="F71" s="449">
        <v>0</v>
      </c>
      <c r="G71" s="450">
        <v>0</v>
      </c>
      <c r="H71" s="452">
        <v>4.9406564584124654E-324</v>
      </c>
      <c r="I71" s="449">
        <v>0.80620000000000003</v>
      </c>
      <c r="J71" s="450">
        <v>0.80620000000000003</v>
      </c>
      <c r="K71" s="453" t="s">
        <v>290</v>
      </c>
    </row>
    <row r="72" spans="1:11" ht="14.4" customHeight="1" thickBot="1" x14ac:dyDescent="0.35">
      <c r="A72" s="466" t="s">
        <v>355</v>
      </c>
      <c r="B72" s="444">
        <v>9.2741438711000004E-2</v>
      </c>
      <c r="C72" s="444">
        <v>4.9406564584124654E-324</v>
      </c>
      <c r="D72" s="445">
        <v>-9.2741438711000004E-2</v>
      </c>
      <c r="E72" s="446">
        <v>5.434722104253712E-323</v>
      </c>
      <c r="F72" s="444">
        <v>0</v>
      </c>
      <c r="G72" s="445">
        <v>0</v>
      </c>
      <c r="H72" s="447">
        <v>4.9406564584124654E-324</v>
      </c>
      <c r="I72" s="444">
        <v>0.80620000000000003</v>
      </c>
      <c r="J72" s="445">
        <v>0.80620000000000003</v>
      </c>
      <c r="K72" s="454" t="s">
        <v>290</v>
      </c>
    </row>
    <row r="73" spans="1:11" ht="14.4" customHeight="1" thickBot="1" x14ac:dyDescent="0.35">
      <c r="A73" s="463" t="s">
        <v>48</v>
      </c>
      <c r="B73" s="444">
        <v>6065.0002588479701</v>
      </c>
      <c r="C73" s="444">
        <v>6703.6416200000003</v>
      </c>
      <c r="D73" s="445">
        <v>638.64136115202905</v>
      </c>
      <c r="E73" s="446">
        <v>1.1052994779709999</v>
      </c>
      <c r="F73" s="444">
        <v>6771.0335440683002</v>
      </c>
      <c r="G73" s="445">
        <v>6206.7807487292803</v>
      </c>
      <c r="H73" s="447">
        <v>914.31345999999996</v>
      </c>
      <c r="I73" s="444">
        <v>6609.1954699999997</v>
      </c>
      <c r="J73" s="445">
        <v>402.41472127072501</v>
      </c>
      <c r="K73" s="448">
        <v>0.97609846812599999</v>
      </c>
    </row>
    <row r="74" spans="1:11" ht="14.4" customHeight="1" thickBot="1" x14ac:dyDescent="0.35">
      <c r="A74" s="469" t="s">
        <v>356</v>
      </c>
      <c r="B74" s="449">
        <v>4491.9999999997499</v>
      </c>
      <c r="C74" s="449">
        <v>4978.2849999999999</v>
      </c>
      <c r="D74" s="450">
        <v>486.28500000024701</v>
      </c>
      <c r="E74" s="451">
        <v>1.1082557880670001</v>
      </c>
      <c r="F74" s="449">
        <v>5017.99999999991</v>
      </c>
      <c r="G74" s="450">
        <v>4599.8333333332503</v>
      </c>
      <c r="H74" s="452">
        <v>677.27</v>
      </c>
      <c r="I74" s="449">
        <v>4899.5309999999999</v>
      </c>
      <c r="J74" s="450">
        <v>299.69766666675002</v>
      </c>
      <c r="K74" s="455">
        <v>0.97639119170900002</v>
      </c>
    </row>
    <row r="75" spans="1:11" ht="14.4" customHeight="1" thickBot="1" x14ac:dyDescent="0.35">
      <c r="A75" s="465" t="s">
        <v>357</v>
      </c>
      <c r="B75" s="449">
        <v>4491.9999999997499</v>
      </c>
      <c r="C75" s="449">
        <v>4917.4840000000004</v>
      </c>
      <c r="D75" s="450">
        <v>425.48400000024901</v>
      </c>
      <c r="E75" s="451">
        <v>1.0947203918070001</v>
      </c>
      <c r="F75" s="449">
        <v>5001.99999999991</v>
      </c>
      <c r="G75" s="450">
        <v>4585.1666666665797</v>
      </c>
      <c r="H75" s="452">
        <v>677.27</v>
      </c>
      <c r="I75" s="449">
        <v>4884.25</v>
      </c>
      <c r="J75" s="450">
        <v>299.08333333341801</v>
      </c>
      <c r="K75" s="455">
        <v>0.97645941623300003</v>
      </c>
    </row>
    <row r="76" spans="1:11" ht="14.4" customHeight="1" thickBot="1" x14ac:dyDescent="0.35">
      <c r="A76" s="466" t="s">
        <v>358</v>
      </c>
      <c r="B76" s="444">
        <v>4491.9999999997499</v>
      </c>
      <c r="C76" s="444">
        <v>4917.4840000000004</v>
      </c>
      <c r="D76" s="445">
        <v>425.48400000024901</v>
      </c>
      <c r="E76" s="446">
        <v>1.0947203918070001</v>
      </c>
      <c r="F76" s="444">
        <v>5001.99999999991</v>
      </c>
      <c r="G76" s="445">
        <v>4585.1666666665797</v>
      </c>
      <c r="H76" s="447">
        <v>677.27</v>
      </c>
      <c r="I76" s="444">
        <v>4884.25</v>
      </c>
      <c r="J76" s="445">
        <v>299.08333333341801</v>
      </c>
      <c r="K76" s="448">
        <v>0.97645941623300003</v>
      </c>
    </row>
    <row r="77" spans="1:11" ht="14.4" customHeight="1" thickBot="1" x14ac:dyDescent="0.35">
      <c r="A77" s="465" t="s">
        <v>359</v>
      </c>
      <c r="B77" s="449">
        <v>4.9406564584124654E-324</v>
      </c>
      <c r="C77" s="449">
        <v>12.124000000000001</v>
      </c>
      <c r="D77" s="450">
        <v>12.124000000000001</v>
      </c>
      <c r="E77" s="457" t="s">
        <v>296</v>
      </c>
      <c r="F77" s="449">
        <v>0</v>
      </c>
      <c r="G77" s="450">
        <v>0</v>
      </c>
      <c r="H77" s="452">
        <v>4.9406564584124654E-324</v>
      </c>
      <c r="I77" s="449">
        <v>5.434722104253712E-323</v>
      </c>
      <c r="J77" s="450">
        <v>5.434722104253712E-323</v>
      </c>
      <c r="K77" s="453" t="s">
        <v>290</v>
      </c>
    </row>
    <row r="78" spans="1:11" ht="14.4" customHeight="1" thickBot="1" x14ac:dyDescent="0.35">
      <c r="A78" s="466" t="s">
        <v>360</v>
      </c>
      <c r="B78" s="444">
        <v>4.9406564584124654E-324</v>
      </c>
      <c r="C78" s="444">
        <v>12.124000000000001</v>
      </c>
      <c r="D78" s="445">
        <v>12.124000000000001</v>
      </c>
      <c r="E78" s="456" t="s">
        <v>296</v>
      </c>
      <c r="F78" s="444">
        <v>0</v>
      </c>
      <c r="G78" s="445">
        <v>0</v>
      </c>
      <c r="H78" s="447">
        <v>4.9406564584124654E-324</v>
      </c>
      <c r="I78" s="444">
        <v>5.434722104253712E-323</v>
      </c>
      <c r="J78" s="445">
        <v>5.434722104253712E-323</v>
      </c>
      <c r="K78" s="454" t="s">
        <v>290</v>
      </c>
    </row>
    <row r="79" spans="1:11" ht="14.4" customHeight="1" thickBot="1" x14ac:dyDescent="0.35">
      <c r="A79" s="465" t="s">
        <v>361</v>
      </c>
      <c r="B79" s="449">
        <v>4.9406564584124654E-324</v>
      </c>
      <c r="C79" s="449">
        <v>37.235999999999997</v>
      </c>
      <c r="D79" s="450">
        <v>37.235999999999997</v>
      </c>
      <c r="E79" s="457" t="s">
        <v>296</v>
      </c>
      <c r="F79" s="449">
        <v>0</v>
      </c>
      <c r="G79" s="450">
        <v>0</v>
      </c>
      <c r="H79" s="452">
        <v>4.9406564584124654E-324</v>
      </c>
      <c r="I79" s="449">
        <v>5.434722104253712E-323</v>
      </c>
      <c r="J79" s="450">
        <v>5.434722104253712E-323</v>
      </c>
      <c r="K79" s="453" t="s">
        <v>290</v>
      </c>
    </row>
    <row r="80" spans="1:11" ht="14.4" customHeight="1" thickBot="1" x14ac:dyDescent="0.35">
      <c r="A80" s="466" t="s">
        <v>362</v>
      </c>
      <c r="B80" s="444">
        <v>4.9406564584124654E-324</v>
      </c>
      <c r="C80" s="444">
        <v>37.235999999999997</v>
      </c>
      <c r="D80" s="445">
        <v>37.235999999999997</v>
      </c>
      <c r="E80" s="456" t="s">
        <v>296</v>
      </c>
      <c r="F80" s="444">
        <v>0</v>
      </c>
      <c r="G80" s="445">
        <v>0</v>
      </c>
      <c r="H80" s="447">
        <v>4.9406564584124654E-324</v>
      </c>
      <c r="I80" s="444">
        <v>5.434722104253712E-323</v>
      </c>
      <c r="J80" s="445">
        <v>5.434722104253712E-323</v>
      </c>
      <c r="K80" s="454" t="s">
        <v>290</v>
      </c>
    </row>
    <row r="81" spans="1:11" ht="14.4" customHeight="1" thickBot="1" x14ac:dyDescent="0.35">
      <c r="A81" s="465" t="s">
        <v>363</v>
      </c>
      <c r="B81" s="449">
        <v>0</v>
      </c>
      <c r="C81" s="449">
        <v>11.441000000000001</v>
      </c>
      <c r="D81" s="450">
        <v>11.441000000000001</v>
      </c>
      <c r="E81" s="457" t="s">
        <v>290</v>
      </c>
      <c r="F81" s="449">
        <v>15.999999999999</v>
      </c>
      <c r="G81" s="450">
        <v>14.666666666666</v>
      </c>
      <c r="H81" s="452">
        <v>4.9406564584124654E-324</v>
      </c>
      <c r="I81" s="449">
        <v>15.281000000000001</v>
      </c>
      <c r="J81" s="450">
        <v>0.614333333333</v>
      </c>
      <c r="K81" s="455">
        <v>0.95506250000000004</v>
      </c>
    </row>
    <row r="82" spans="1:11" ht="14.4" customHeight="1" thickBot="1" x14ac:dyDescent="0.35">
      <c r="A82" s="466" t="s">
        <v>364</v>
      </c>
      <c r="B82" s="444">
        <v>0</v>
      </c>
      <c r="C82" s="444">
        <v>11.441000000000001</v>
      </c>
      <c r="D82" s="445">
        <v>11.441000000000001</v>
      </c>
      <c r="E82" s="456" t="s">
        <v>290</v>
      </c>
      <c r="F82" s="444">
        <v>15.999999999999</v>
      </c>
      <c r="G82" s="445">
        <v>14.666666666666</v>
      </c>
      <c r="H82" s="447">
        <v>4.9406564584124654E-324</v>
      </c>
      <c r="I82" s="444">
        <v>15.281000000000001</v>
      </c>
      <c r="J82" s="445">
        <v>0.614333333333</v>
      </c>
      <c r="K82" s="448">
        <v>0.95506250000000004</v>
      </c>
    </row>
    <row r="83" spans="1:11" ht="14.4" customHeight="1" thickBot="1" x14ac:dyDescent="0.35">
      <c r="A83" s="464" t="s">
        <v>365</v>
      </c>
      <c r="B83" s="444">
        <v>1528.00025884822</v>
      </c>
      <c r="C83" s="444">
        <v>1676.06267</v>
      </c>
      <c r="D83" s="445">
        <v>148.062411151779</v>
      </c>
      <c r="E83" s="446">
        <v>1.0968994673220001</v>
      </c>
      <c r="F83" s="444">
        <v>1702.03354406839</v>
      </c>
      <c r="G83" s="445">
        <v>1560.19741539603</v>
      </c>
      <c r="H83" s="447">
        <v>230.27237</v>
      </c>
      <c r="I83" s="444">
        <v>1660.6416999999999</v>
      </c>
      <c r="J83" s="445">
        <v>100.444284603973</v>
      </c>
      <c r="K83" s="448">
        <v>0.97568094693899998</v>
      </c>
    </row>
    <row r="84" spans="1:11" ht="14.4" customHeight="1" thickBot="1" x14ac:dyDescent="0.35">
      <c r="A84" s="465" t="s">
        <v>366</v>
      </c>
      <c r="B84" s="449">
        <v>405.00094796440499</v>
      </c>
      <c r="C84" s="449">
        <v>443.66066000000001</v>
      </c>
      <c r="D84" s="450">
        <v>38.659712035595</v>
      </c>
      <c r="E84" s="451">
        <v>1.0954558556709999</v>
      </c>
      <c r="F84" s="449">
        <v>451.03354406841999</v>
      </c>
      <c r="G84" s="450">
        <v>413.44741539605099</v>
      </c>
      <c r="H84" s="452">
        <v>60.95487</v>
      </c>
      <c r="I84" s="449">
        <v>439.57918999999998</v>
      </c>
      <c r="J84" s="450">
        <v>26.131774603947999</v>
      </c>
      <c r="K84" s="455">
        <v>0.97460420800299996</v>
      </c>
    </row>
    <row r="85" spans="1:11" ht="14.4" customHeight="1" thickBot="1" x14ac:dyDescent="0.35">
      <c r="A85" s="466" t="s">
        <v>367</v>
      </c>
      <c r="B85" s="444">
        <v>405.00094796440499</v>
      </c>
      <c r="C85" s="444">
        <v>443.66066000000001</v>
      </c>
      <c r="D85" s="445">
        <v>38.659712035595</v>
      </c>
      <c r="E85" s="446">
        <v>1.0954558556709999</v>
      </c>
      <c r="F85" s="444">
        <v>451.03354406841999</v>
      </c>
      <c r="G85" s="445">
        <v>413.44741539605099</v>
      </c>
      <c r="H85" s="447">
        <v>60.95487</v>
      </c>
      <c r="I85" s="444">
        <v>439.57918999999998</v>
      </c>
      <c r="J85" s="445">
        <v>26.131774603947999</v>
      </c>
      <c r="K85" s="448">
        <v>0.97460420800299996</v>
      </c>
    </row>
    <row r="86" spans="1:11" ht="14.4" customHeight="1" thickBot="1" x14ac:dyDescent="0.35">
      <c r="A86" s="465" t="s">
        <v>368</v>
      </c>
      <c r="B86" s="449">
        <v>1122.99931088382</v>
      </c>
      <c r="C86" s="449">
        <v>1232.40201</v>
      </c>
      <c r="D86" s="450">
        <v>109.402699116184</v>
      </c>
      <c r="E86" s="451">
        <v>1.0974200946120001</v>
      </c>
      <c r="F86" s="449">
        <v>1250.99999999997</v>
      </c>
      <c r="G86" s="450">
        <v>1146.74999999998</v>
      </c>
      <c r="H86" s="452">
        <v>169.3175</v>
      </c>
      <c r="I86" s="449">
        <v>1221.06251</v>
      </c>
      <c r="J86" s="450">
        <v>74.312510000022996</v>
      </c>
      <c r="K86" s="455">
        <v>0.97606915267700001</v>
      </c>
    </row>
    <row r="87" spans="1:11" ht="14.4" customHeight="1" thickBot="1" x14ac:dyDescent="0.35">
      <c r="A87" s="466" t="s">
        <v>369</v>
      </c>
      <c r="B87" s="444">
        <v>1122.99931088382</v>
      </c>
      <c r="C87" s="444">
        <v>1232.40201</v>
      </c>
      <c r="D87" s="445">
        <v>109.402699116184</v>
      </c>
      <c r="E87" s="446">
        <v>1.0974200946120001</v>
      </c>
      <c r="F87" s="444">
        <v>1250.99999999997</v>
      </c>
      <c r="G87" s="445">
        <v>1146.74999999998</v>
      </c>
      <c r="H87" s="447">
        <v>169.3175</v>
      </c>
      <c r="I87" s="444">
        <v>1221.06251</v>
      </c>
      <c r="J87" s="445">
        <v>74.312510000022996</v>
      </c>
      <c r="K87" s="448">
        <v>0.97606915267700001</v>
      </c>
    </row>
    <row r="88" spans="1:11" ht="14.4" customHeight="1" thickBot="1" x14ac:dyDescent="0.35">
      <c r="A88" s="464" t="s">
        <v>370</v>
      </c>
      <c r="B88" s="444">
        <v>44.999999999997002</v>
      </c>
      <c r="C88" s="444">
        <v>49.293950000000002</v>
      </c>
      <c r="D88" s="445">
        <v>4.2939500000019999</v>
      </c>
      <c r="E88" s="446">
        <v>1.0954211111109999</v>
      </c>
      <c r="F88" s="444">
        <v>50.999999999998998</v>
      </c>
      <c r="G88" s="445">
        <v>46.749999999998998</v>
      </c>
      <c r="H88" s="447">
        <v>6.7710900000000001</v>
      </c>
      <c r="I88" s="444">
        <v>49.022770000000001</v>
      </c>
      <c r="J88" s="445">
        <v>2.27277</v>
      </c>
      <c r="K88" s="448">
        <v>0.96123078431300002</v>
      </c>
    </row>
    <row r="89" spans="1:11" ht="14.4" customHeight="1" thickBot="1" x14ac:dyDescent="0.35">
      <c r="A89" s="465" t="s">
        <v>371</v>
      </c>
      <c r="B89" s="449">
        <v>44.999999999997002</v>
      </c>
      <c r="C89" s="449">
        <v>49.293950000000002</v>
      </c>
      <c r="D89" s="450">
        <v>4.2939500000019999</v>
      </c>
      <c r="E89" s="451">
        <v>1.0954211111109999</v>
      </c>
      <c r="F89" s="449">
        <v>50.999999999998998</v>
      </c>
      <c r="G89" s="450">
        <v>46.749999999998998</v>
      </c>
      <c r="H89" s="452">
        <v>6.7710900000000001</v>
      </c>
      <c r="I89" s="449">
        <v>49.022770000000001</v>
      </c>
      <c r="J89" s="450">
        <v>2.27277</v>
      </c>
      <c r="K89" s="455">
        <v>0.96123078431300002</v>
      </c>
    </row>
    <row r="90" spans="1:11" ht="14.4" customHeight="1" thickBot="1" x14ac:dyDescent="0.35">
      <c r="A90" s="466" t="s">
        <v>372</v>
      </c>
      <c r="B90" s="444">
        <v>44.999999999997002</v>
      </c>
      <c r="C90" s="444">
        <v>49.293950000000002</v>
      </c>
      <c r="D90" s="445">
        <v>4.2939500000019999</v>
      </c>
      <c r="E90" s="446">
        <v>1.0954211111109999</v>
      </c>
      <c r="F90" s="444">
        <v>50.999999999998998</v>
      </c>
      <c r="G90" s="445">
        <v>46.749999999998998</v>
      </c>
      <c r="H90" s="447">
        <v>6.7710900000000001</v>
      </c>
      <c r="I90" s="444">
        <v>49.022770000000001</v>
      </c>
      <c r="J90" s="445">
        <v>2.27277</v>
      </c>
      <c r="K90" s="448">
        <v>0.96123078431300002</v>
      </c>
    </row>
    <row r="91" spans="1:11" ht="14.4" customHeight="1" thickBot="1" x14ac:dyDescent="0.35">
      <c r="A91" s="463" t="s">
        <v>373</v>
      </c>
      <c r="B91" s="444">
        <v>0</v>
      </c>
      <c r="C91" s="444">
        <v>4.5142499999989996</v>
      </c>
      <c r="D91" s="445">
        <v>4.5142499999989996</v>
      </c>
      <c r="E91" s="456" t="s">
        <v>290</v>
      </c>
      <c r="F91" s="444">
        <v>0</v>
      </c>
      <c r="G91" s="445">
        <v>0</v>
      </c>
      <c r="H91" s="447">
        <v>4.9406564584124654E-324</v>
      </c>
      <c r="I91" s="444">
        <v>16.791219999999999</v>
      </c>
      <c r="J91" s="445">
        <v>16.791219999999999</v>
      </c>
      <c r="K91" s="454" t="s">
        <v>290</v>
      </c>
    </row>
    <row r="92" spans="1:11" ht="14.4" customHeight="1" thickBot="1" x14ac:dyDescent="0.35">
      <c r="A92" s="464" t="s">
        <v>374</v>
      </c>
      <c r="B92" s="444">
        <v>0</v>
      </c>
      <c r="C92" s="444">
        <v>2.4069999999989999</v>
      </c>
      <c r="D92" s="445">
        <v>2.4069999999989999</v>
      </c>
      <c r="E92" s="456" t="s">
        <v>290</v>
      </c>
      <c r="F92" s="444">
        <v>0</v>
      </c>
      <c r="G92" s="445">
        <v>0</v>
      </c>
      <c r="H92" s="447">
        <v>4.9406564584124654E-324</v>
      </c>
      <c r="I92" s="444">
        <v>14.782</v>
      </c>
      <c r="J92" s="445">
        <v>14.782</v>
      </c>
      <c r="K92" s="454" t="s">
        <v>290</v>
      </c>
    </row>
    <row r="93" spans="1:11" ht="14.4" customHeight="1" thickBot="1" x14ac:dyDescent="0.35">
      <c r="A93" s="465" t="s">
        <v>375</v>
      </c>
      <c r="B93" s="449">
        <v>0</v>
      </c>
      <c r="C93" s="449">
        <v>2.4069999999989999</v>
      </c>
      <c r="D93" s="450">
        <v>2.4069999999989999</v>
      </c>
      <c r="E93" s="457" t="s">
        <v>290</v>
      </c>
      <c r="F93" s="449">
        <v>0</v>
      </c>
      <c r="G93" s="450">
        <v>0</v>
      </c>
      <c r="H93" s="452">
        <v>4.9406564584124654E-324</v>
      </c>
      <c r="I93" s="449">
        <v>14.782</v>
      </c>
      <c r="J93" s="450">
        <v>14.782</v>
      </c>
      <c r="K93" s="453" t="s">
        <v>290</v>
      </c>
    </row>
    <row r="94" spans="1:11" ht="14.4" customHeight="1" thickBot="1" x14ac:dyDescent="0.35">
      <c r="A94" s="466" t="s">
        <v>376</v>
      </c>
      <c r="B94" s="444">
        <v>0</v>
      </c>
      <c r="C94" s="444">
        <v>2.4069999999989999</v>
      </c>
      <c r="D94" s="445">
        <v>2.4069999999989999</v>
      </c>
      <c r="E94" s="456" t="s">
        <v>290</v>
      </c>
      <c r="F94" s="444">
        <v>0</v>
      </c>
      <c r="G94" s="445">
        <v>0</v>
      </c>
      <c r="H94" s="447">
        <v>4.9406564584124654E-324</v>
      </c>
      <c r="I94" s="444">
        <v>14.782</v>
      </c>
      <c r="J94" s="445">
        <v>14.782</v>
      </c>
      <c r="K94" s="454" t="s">
        <v>290</v>
      </c>
    </row>
    <row r="95" spans="1:11" ht="14.4" customHeight="1" thickBot="1" x14ac:dyDescent="0.35">
      <c r="A95" s="464" t="s">
        <v>377</v>
      </c>
      <c r="B95" s="444">
        <v>0</v>
      </c>
      <c r="C95" s="444">
        <v>2.1072500000000001</v>
      </c>
      <c r="D95" s="445">
        <v>2.1072500000000001</v>
      </c>
      <c r="E95" s="456" t="s">
        <v>290</v>
      </c>
      <c r="F95" s="444">
        <v>0</v>
      </c>
      <c r="G95" s="445">
        <v>0</v>
      </c>
      <c r="H95" s="447">
        <v>4.9406564584124654E-324</v>
      </c>
      <c r="I95" s="444">
        <v>2.00922</v>
      </c>
      <c r="J95" s="445">
        <v>2.00922</v>
      </c>
      <c r="K95" s="454" t="s">
        <v>290</v>
      </c>
    </row>
    <row r="96" spans="1:11" ht="14.4" customHeight="1" thickBot="1" x14ac:dyDescent="0.35">
      <c r="A96" s="465" t="s">
        <v>378</v>
      </c>
      <c r="B96" s="449">
        <v>0</v>
      </c>
      <c r="C96" s="449">
        <v>2.1072500000000001</v>
      </c>
      <c r="D96" s="450">
        <v>2.1072500000000001</v>
      </c>
      <c r="E96" s="457" t="s">
        <v>290</v>
      </c>
      <c r="F96" s="449">
        <v>0</v>
      </c>
      <c r="G96" s="450">
        <v>0</v>
      </c>
      <c r="H96" s="452">
        <v>4.9406564584124654E-324</v>
      </c>
      <c r="I96" s="449">
        <v>5.434722104253712E-323</v>
      </c>
      <c r="J96" s="450">
        <v>5.434722104253712E-323</v>
      </c>
      <c r="K96" s="453" t="s">
        <v>290</v>
      </c>
    </row>
    <row r="97" spans="1:11" ht="14.4" customHeight="1" thickBot="1" x14ac:dyDescent="0.35">
      <c r="A97" s="466" t="s">
        <v>379</v>
      </c>
      <c r="B97" s="444">
        <v>0</v>
      </c>
      <c r="C97" s="444">
        <v>2.1072500000000001</v>
      </c>
      <c r="D97" s="445">
        <v>2.1072500000000001</v>
      </c>
      <c r="E97" s="456" t="s">
        <v>290</v>
      </c>
      <c r="F97" s="444">
        <v>0</v>
      </c>
      <c r="G97" s="445">
        <v>0</v>
      </c>
      <c r="H97" s="447">
        <v>4.9406564584124654E-324</v>
      </c>
      <c r="I97" s="444">
        <v>5.434722104253712E-323</v>
      </c>
      <c r="J97" s="445">
        <v>5.434722104253712E-323</v>
      </c>
      <c r="K97" s="454" t="s">
        <v>290</v>
      </c>
    </row>
    <row r="98" spans="1:11" ht="14.4" customHeight="1" thickBot="1" x14ac:dyDescent="0.35">
      <c r="A98" s="465" t="s">
        <v>380</v>
      </c>
      <c r="B98" s="449">
        <v>4.9406564584124654E-324</v>
      </c>
      <c r="C98" s="449">
        <v>4.9406564584124654E-324</v>
      </c>
      <c r="D98" s="450">
        <v>0</v>
      </c>
      <c r="E98" s="451">
        <v>1</v>
      </c>
      <c r="F98" s="449">
        <v>4.9406564584124654E-324</v>
      </c>
      <c r="G98" s="450">
        <v>0</v>
      </c>
      <c r="H98" s="452">
        <v>4.9406564584124654E-324</v>
      </c>
      <c r="I98" s="449">
        <v>2.00922</v>
      </c>
      <c r="J98" s="450">
        <v>2.00922</v>
      </c>
      <c r="K98" s="453" t="s">
        <v>296</v>
      </c>
    </row>
    <row r="99" spans="1:11" ht="14.4" customHeight="1" thickBot="1" x14ac:dyDescent="0.35">
      <c r="A99" s="466" t="s">
        <v>381</v>
      </c>
      <c r="B99" s="444">
        <v>4.9406564584124654E-324</v>
      </c>
      <c r="C99" s="444">
        <v>4.9406564584124654E-324</v>
      </c>
      <c r="D99" s="445">
        <v>0</v>
      </c>
      <c r="E99" s="446">
        <v>1</v>
      </c>
      <c r="F99" s="444">
        <v>4.9406564584124654E-324</v>
      </c>
      <c r="G99" s="445">
        <v>0</v>
      </c>
      <c r="H99" s="447">
        <v>4.9406564584124654E-324</v>
      </c>
      <c r="I99" s="444">
        <v>2.00922</v>
      </c>
      <c r="J99" s="445">
        <v>2.00922</v>
      </c>
      <c r="K99" s="454" t="s">
        <v>296</v>
      </c>
    </row>
    <row r="100" spans="1:11" ht="14.4" customHeight="1" thickBot="1" x14ac:dyDescent="0.35">
      <c r="A100" s="463" t="s">
        <v>382</v>
      </c>
      <c r="B100" s="444">
        <v>250.99999999998599</v>
      </c>
      <c r="C100" s="444">
        <v>295.51267999999999</v>
      </c>
      <c r="D100" s="445">
        <v>44.512680000012999</v>
      </c>
      <c r="E100" s="446">
        <v>1.1773413545810001</v>
      </c>
      <c r="F100" s="444">
        <v>288.99459154803202</v>
      </c>
      <c r="G100" s="445">
        <v>264.91170891902902</v>
      </c>
      <c r="H100" s="447">
        <v>24.091000000000001</v>
      </c>
      <c r="I100" s="444">
        <v>268.60700000000003</v>
      </c>
      <c r="J100" s="445">
        <v>3.6952910809700001</v>
      </c>
      <c r="K100" s="448">
        <v>0.92945338029000002</v>
      </c>
    </row>
    <row r="101" spans="1:11" ht="14.4" customHeight="1" thickBot="1" x14ac:dyDescent="0.35">
      <c r="A101" s="464" t="s">
        <v>383</v>
      </c>
      <c r="B101" s="444">
        <v>250.99999999998599</v>
      </c>
      <c r="C101" s="444">
        <v>268.42599999999999</v>
      </c>
      <c r="D101" s="445">
        <v>17.426000000013001</v>
      </c>
      <c r="E101" s="446">
        <v>1.06942629482</v>
      </c>
      <c r="F101" s="444">
        <v>288.99459154803202</v>
      </c>
      <c r="G101" s="445">
        <v>264.91170891902902</v>
      </c>
      <c r="H101" s="447">
        <v>24.091000000000001</v>
      </c>
      <c r="I101" s="444">
        <v>265.00099999999998</v>
      </c>
      <c r="J101" s="445">
        <v>8.9291080970000006E-2</v>
      </c>
      <c r="K101" s="448">
        <v>0.91697563812600003</v>
      </c>
    </row>
    <row r="102" spans="1:11" ht="14.4" customHeight="1" thickBot="1" x14ac:dyDescent="0.35">
      <c r="A102" s="465" t="s">
        <v>384</v>
      </c>
      <c r="B102" s="449">
        <v>250.99999999998599</v>
      </c>
      <c r="C102" s="449">
        <v>268.42599999999999</v>
      </c>
      <c r="D102" s="450">
        <v>17.426000000013001</v>
      </c>
      <c r="E102" s="451">
        <v>1.06942629482</v>
      </c>
      <c r="F102" s="449">
        <v>288.99459154803202</v>
      </c>
      <c r="G102" s="450">
        <v>264.91170891902902</v>
      </c>
      <c r="H102" s="452">
        <v>24.091000000000001</v>
      </c>
      <c r="I102" s="449">
        <v>265.00099999999998</v>
      </c>
      <c r="J102" s="450">
        <v>8.9291080970000006E-2</v>
      </c>
      <c r="K102" s="455">
        <v>0.91697563812600003</v>
      </c>
    </row>
    <row r="103" spans="1:11" ht="14.4" customHeight="1" thickBot="1" x14ac:dyDescent="0.35">
      <c r="A103" s="466" t="s">
        <v>385</v>
      </c>
      <c r="B103" s="444">
        <v>106.999999999994</v>
      </c>
      <c r="C103" s="444">
        <v>118.72499999999999</v>
      </c>
      <c r="D103" s="445">
        <v>11.725000000005</v>
      </c>
      <c r="E103" s="446">
        <v>1.109579439252</v>
      </c>
      <c r="F103" s="444">
        <v>128.99487485858299</v>
      </c>
      <c r="G103" s="445">
        <v>118.245301953701</v>
      </c>
      <c r="H103" s="447">
        <v>10.757</v>
      </c>
      <c r="I103" s="444">
        <v>118.327</v>
      </c>
      <c r="J103" s="445">
        <v>8.1698046299000002E-2</v>
      </c>
      <c r="K103" s="448">
        <v>0.91730001001700001</v>
      </c>
    </row>
    <row r="104" spans="1:11" ht="14.4" customHeight="1" thickBot="1" x14ac:dyDescent="0.35">
      <c r="A104" s="466" t="s">
        <v>386</v>
      </c>
      <c r="B104" s="444">
        <v>122.99999999999299</v>
      </c>
      <c r="C104" s="444">
        <v>127.33499999999999</v>
      </c>
      <c r="D104" s="445">
        <v>4.3350000000059996</v>
      </c>
      <c r="E104" s="446">
        <v>1.0352439024390001</v>
      </c>
      <c r="F104" s="444">
        <v>136.99999999999801</v>
      </c>
      <c r="G104" s="445">
        <v>125.583333333331</v>
      </c>
      <c r="H104" s="447">
        <v>11.401</v>
      </c>
      <c r="I104" s="444">
        <v>125.411</v>
      </c>
      <c r="J104" s="445">
        <v>-0.17233333333100001</v>
      </c>
      <c r="K104" s="448">
        <v>0.91540875912399999</v>
      </c>
    </row>
    <row r="105" spans="1:11" ht="14.4" customHeight="1" thickBot="1" x14ac:dyDescent="0.35">
      <c r="A105" s="466" t="s">
        <v>387</v>
      </c>
      <c r="B105" s="444">
        <v>20.999999999998</v>
      </c>
      <c r="C105" s="444">
        <v>22.366</v>
      </c>
      <c r="D105" s="445">
        <v>1.366000000001</v>
      </c>
      <c r="E105" s="446">
        <v>1.065047619047</v>
      </c>
      <c r="F105" s="444">
        <v>22.999716689450999</v>
      </c>
      <c r="G105" s="445">
        <v>21.083073631996999</v>
      </c>
      <c r="H105" s="447">
        <v>1.9330000000000001</v>
      </c>
      <c r="I105" s="444">
        <v>21.263000000000002</v>
      </c>
      <c r="J105" s="445">
        <v>0.17992636800199999</v>
      </c>
      <c r="K105" s="448">
        <v>0.92448964859399996</v>
      </c>
    </row>
    <row r="106" spans="1:11" ht="14.4" customHeight="1" thickBot="1" x14ac:dyDescent="0.35">
      <c r="A106" s="464" t="s">
        <v>388</v>
      </c>
      <c r="B106" s="444">
        <v>0</v>
      </c>
      <c r="C106" s="444">
        <v>27.086680000000001</v>
      </c>
      <c r="D106" s="445">
        <v>27.086680000000001</v>
      </c>
      <c r="E106" s="456" t="s">
        <v>290</v>
      </c>
      <c r="F106" s="444">
        <v>0</v>
      </c>
      <c r="G106" s="445">
        <v>0</v>
      </c>
      <c r="H106" s="447">
        <v>4.9406564584124654E-324</v>
      </c>
      <c r="I106" s="444">
        <v>3.6059999999999999</v>
      </c>
      <c r="J106" s="445">
        <v>3.6059999999999999</v>
      </c>
      <c r="K106" s="454" t="s">
        <v>290</v>
      </c>
    </row>
    <row r="107" spans="1:11" ht="14.4" customHeight="1" thickBot="1" x14ac:dyDescent="0.35">
      <c r="A107" s="465" t="s">
        <v>389</v>
      </c>
      <c r="B107" s="449">
        <v>4.9406564584124654E-324</v>
      </c>
      <c r="C107" s="449">
        <v>7.2889999999999997</v>
      </c>
      <c r="D107" s="450">
        <v>7.2889999999999997</v>
      </c>
      <c r="E107" s="457" t="s">
        <v>296</v>
      </c>
      <c r="F107" s="449">
        <v>0</v>
      </c>
      <c r="G107" s="450">
        <v>0</v>
      </c>
      <c r="H107" s="452">
        <v>4.9406564584124654E-324</v>
      </c>
      <c r="I107" s="449">
        <v>5.434722104253712E-323</v>
      </c>
      <c r="J107" s="450">
        <v>5.434722104253712E-323</v>
      </c>
      <c r="K107" s="453" t="s">
        <v>290</v>
      </c>
    </row>
    <row r="108" spans="1:11" ht="14.4" customHeight="1" thickBot="1" x14ac:dyDescent="0.35">
      <c r="A108" s="466" t="s">
        <v>390</v>
      </c>
      <c r="B108" s="444">
        <v>4.9406564584124654E-324</v>
      </c>
      <c r="C108" s="444">
        <v>7.2889999999999997</v>
      </c>
      <c r="D108" s="445">
        <v>7.2889999999999997</v>
      </c>
      <c r="E108" s="456" t="s">
        <v>296</v>
      </c>
      <c r="F108" s="444">
        <v>0</v>
      </c>
      <c r="G108" s="445">
        <v>0</v>
      </c>
      <c r="H108" s="447">
        <v>4.9406564584124654E-324</v>
      </c>
      <c r="I108" s="444">
        <v>5.434722104253712E-323</v>
      </c>
      <c r="J108" s="445">
        <v>5.434722104253712E-323</v>
      </c>
      <c r="K108" s="454" t="s">
        <v>290</v>
      </c>
    </row>
    <row r="109" spans="1:11" ht="14.4" customHeight="1" thickBot="1" x14ac:dyDescent="0.35">
      <c r="A109" s="465" t="s">
        <v>391</v>
      </c>
      <c r="B109" s="449">
        <v>4.9406564584124654E-324</v>
      </c>
      <c r="C109" s="449">
        <v>19.79768</v>
      </c>
      <c r="D109" s="450">
        <v>19.79768</v>
      </c>
      <c r="E109" s="457" t="s">
        <v>296</v>
      </c>
      <c r="F109" s="449">
        <v>0</v>
      </c>
      <c r="G109" s="450">
        <v>0</v>
      </c>
      <c r="H109" s="452">
        <v>4.9406564584124654E-324</v>
      </c>
      <c r="I109" s="449">
        <v>3.6059999999999999</v>
      </c>
      <c r="J109" s="450">
        <v>3.6059999999999999</v>
      </c>
      <c r="K109" s="453" t="s">
        <v>290</v>
      </c>
    </row>
    <row r="110" spans="1:11" ht="14.4" customHeight="1" thickBot="1" x14ac:dyDescent="0.35">
      <c r="A110" s="466" t="s">
        <v>392</v>
      </c>
      <c r="B110" s="444">
        <v>4.9406564584124654E-324</v>
      </c>
      <c r="C110" s="444">
        <v>19.79768</v>
      </c>
      <c r="D110" s="445">
        <v>19.79768</v>
      </c>
      <c r="E110" s="456" t="s">
        <v>296</v>
      </c>
      <c r="F110" s="444">
        <v>0</v>
      </c>
      <c r="G110" s="445">
        <v>0</v>
      </c>
      <c r="H110" s="447">
        <v>4.9406564584124654E-324</v>
      </c>
      <c r="I110" s="444">
        <v>3.6059999999999999</v>
      </c>
      <c r="J110" s="445">
        <v>3.6059999999999999</v>
      </c>
      <c r="K110" s="454" t="s">
        <v>290</v>
      </c>
    </row>
    <row r="111" spans="1:11" ht="14.4" customHeight="1" thickBot="1" x14ac:dyDescent="0.35">
      <c r="A111" s="462" t="s">
        <v>393</v>
      </c>
      <c r="B111" s="444">
        <v>7356.8417250791799</v>
      </c>
      <c r="C111" s="444">
        <v>5558.2487600000004</v>
      </c>
      <c r="D111" s="445">
        <v>-1798.59296507918</v>
      </c>
      <c r="E111" s="446">
        <v>0.75552104662599995</v>
      </c>
      <c r="F111" s="444">
        <v>5654.87228960634</v>
      </c>
      <c r="G111" s="445">
        <v>5183.6329321391404</v>
      </c>
      <c r="H111" s="447">
        <v>620.66881999999998</v>
      </c>
      <c r="I111" s="444">
        <v>5678.6039700000001</v>
      </c>
      <c r="J111" s="445">
        <v>494.97103786085501</v>
      </c>
      <c r="K111" s="448">
        <v>1.0041966784</v>
      </c>
    </row>
    <row r="112" spans="1:11" ht="14.4" customHeight="1" thickBot="1" x14ac:dyDescent="0.35">
      <c r="A112" s="463" t="s">
        <v>394</v>
      </c>
      <c r="B112" s="444">
        <v>7245.9679655951804</v>
      </c>
      <c r="C112" s="444">
        <v>5433.2995600000004</v>
      </c>
      <c r="D112" s="445">
        <v>-1812.66840559518</v>
      </c>
      <c r="E112" s="446">
        <v>0.74983764568</v>
      </c>
      <c r="F112" s="444">
        <v>5604.8615312176298</v>
      </c>
      <c r="G112" s="445">
        <v>5137.7897369494904</v>
      </c>
      <c r="H112" s="447">
        <v>620.61527000000001</v>
      </c>
      <c r="I112" s="444">
        <v>5651.60689</v>
      </c>
      <c r="J112" s="445">
        <v>513.81715305050705</v>
      </c>
      <c r="K112" s="448">
        <v>1.0083401451609999</v>
      </c>
    </row>
    <row r="113" spans="1:11" ht="14.4" customHeight="1" thickBot="1" x14ac:dyDescent="0.35">
      <c r="A113" s="464" t="s">
        <v>395</v>
      </c>
      <c r="B113" s="444">
        <v>7245.9679655951804</v>
      </c>
      <c r="C113" s="444">
        <v>5433.2995600000004</v>
      </c>
      <c r="D113" s="445">
        <v>-1812.66840559518</v>
      </c>
      <c r="E113" s="446">
        <v>0.74983764568</v>
      </c>
      <c r="F113" s="444">
        <v>5604.8615312176298</v>
      </c>
      <c r="G113" s="445">
        <v>5137.7897369494904</v>
      </c>
      <c r="H113" s="447">
        <v>620.61527000000001</v>
      </c>
      <c r="I113" s="444">
        <v>5651.60689</v>
      </c>
      <c r="J113" s="445">
        <v>513.81715305050705</v>
      </c>
      <c r="K113" s="448">
        <v>1.0083401451609999</v>
      </c>
    </row>
    <row r="114" spans="1:11" ht="14.4" customHeight="1" thickBot="1" x14ac:dyDescent="0.35">
      <c r="A114" s="465" t="s">
        <v>396</v>
      </c>
      <c r="B114" s="449">
        <v>3687.9670473985202</v>
      </c>
      <c r="C114" s="449">
        <v>3544.61213</v>
      </c>
      <c r="D114" s="450">
        <v>-143.35491739852301</v>
      </c>
      <c r="E114" s="451">
        <v>0.96112901347599999</v>
      </c>
      <c r="F114" s="449">
        <v>3641.8615312176298</v>
      </c>
      <c r="G114" s="450">
        <v>3338.3730702828302</v>
      </c>
      <c r="H114" s="452">
        <v>384.82738000000001</v>
      </c>
      <c r="I114" s="449">
        <v>3686.2368200000001</v>
      </c>
      <c r="J114" s="450">
        <v>347.86374971717402</v>
      </c>
      <c r="K114" s="455">
        <v>1.0121847819859999</v>
      </c>
    </row>
    <row r="115" spans="1:11" ht="14.4" customHeight="1" thickBot="1" x14ac:dyDescent="0.35">
      <c r="A115" s="466" t="s">
        <v>397</v>
      </c>
      <c r="B115" s="444">
        <v>1755.30697353904</v>
      </c>
      <c r="C115" s="444">
        <v>2452.4914899999999</v>
      </c>
      <c r="D115" s="445">
        <v>697.18451646096298</v>
      </c>
      <c r="E115" s="446">
        <v>1.397186661348</v>
      </c>
      <c r="F115" s="444">
        <v>2534.8075453193401</v>
      </c>
      <c r="G115" s="445">
        <v>2323.5735832094001</v>
      </c>
      <c r="H115" s="447">
        <v>268.15467999999998</v>
      </c>
      <c r="I115" s="444">
        <v>2739.38069</v>
      </c>
      <c r="J115" s="445">
        <v>415.80710679060201</v>
      </c>
      <c r="K115" s="448">
        <v>1.080705592445</v>
      </c>
    </row>
    <row r="116" spans="1:11" ht="14.4" customHeight="1" thickBot="1" x14ac:dyDescent="0.35">
      <c r="A116" s="466" t="s">
        <v>398</v>
      </c>
      <c r="B116" s="444">
        <v>19.204886330409</v>
      </c>
      <c r="C116" s="444">
        <v>58.596699999999998</v>
      </c>
      <c r="D116" s="445">
        <v>39.39181366959</v>
      </c>
      <c r="E116" s="446">
        <v>3.0511349555449998</v>
      </c>
      <c r="F116" s="444">
        <v>60.619384169268002</v>
      </c>
      <c r="G116" s="445">
        <v>55.567768821828999</v>
      </c>
      <c r="H116" s="447">
        <v>3.7547999999999999</v>
      </c>
      <c r="I116" s="444">
        <v>34.485999999999997</v>
      </c>
      <c r="J116" s="445">
        <v>-21.081768821829002</v>
      </c>
      <c r="K116" s="448">
        <v>0.56889393504399999</v>
      </c>
    </row>
    <row r="117" spans="1:11" ht="14.4" customHeight="1" thickBot="1" x14ac:dyDescent="0.35">
      <c r="A117" s="466" t="s">
        <v>399</v>
      </c>
      <c r="B117" s="444">
        <v>4.9406564584124654E-324</v>
      </c>
      <c r="C117" s="444">
        <v>2.976</v>
      </c>
      <c r="D117" s="445">
        <v>2.976</v>
      </c>
      <c r="E117" s="456" t="s">
        <v>296</v>
      </c>
      <c r="F117" s="444">
        <v>4.9406564584124654E-324</v>
      </c>
      <c r="G117" s="445">
        <v>0</v>
      </c>
      <c r="H117" s="447">
        <v>4.9406564584124654E-324</v>
      </c>
      <c r="I117" s="444">
        <v>5.434722104253712E-323</v>
      </c>
      <c r="J117" s="445">
        <v>5.434722104253712E-323</v>
      </c>
      <c r="K117" s="448">
        <v>0</v>
      </c>
    </row>
    <row r="118" spans="1:11" ht="14.4" customHeight="1" thickBot="1" x14ac:dyDescent="0.35">
      <c r="A118" s="466" t="s">
        <v>400</v>
      </c>
      <c r="B118" s="444">
        <v>72.302862832398006</v>
      </c>
      <c r="C118" s="444">
        <v>119.6964</v>
      </c>
      <c r="D118" s="445">
        <v>47.393537167601004</v>
      </c>
      <c r="E118" s="446">
        <v>1.655486315631</v>
      </c>
      <c r="F118" s="444">
        <v>131.09853262869299</v>
      </c>
      <c r="G118" s="445">
        <v>120.173654909636</v>
      </c>
      <c r="H118" s="447">
        <v>24.014399999999998</v>
      </c>
      <c r="I118" s="444">
        <v>63.576799999999999</v>
      </c>
      <c r="J118" s="445">
        <v>-56.596854909634999</v>
      </c>
      <c r="K118" s="448">
        <v>0.48495432195299998</v>
      </c>
    </row>
    <row r="119" spans="1:11" ht="14.4" customHeight="1" thickBot="1" x14ac:dyDescent="0.35">
      <c r="A119" s="466" t="s">
        <v>401</v>
      </c>
      <c r="B119" s="444">
        <v>1839.20236491234</v>
      </c>
      <c r="C119" s="444">
        <v>910.85154</v>
      </c>
      <c r="D119" s="445">
        <v>-928.350824912343</v>
      </c>
      <c r="E119" s="446">
        <v>0.49524269725600001</v>
      </c>
      <c r="F119" s="444">
        <v>915.33606910032199</v>
      </c>
      <c r="G119" s="445">
        <v>839.058063341962</v>
      </c>
      <c r="H119" s="447">
        <v>88.903499999999994</v>
      </c>
      <c r="I119" s="444">
        <v>848.79332999999997</v>
      </c>
      <c r="J119" s="445">
        <v>9.7352666580370002</v>
      </c>
      <c r="K119" s="448">
        <v>0.92730239597599995</v>
      </c>
    </row>
    <row r="120" spans="1:11" ht="14.4" customHeight="1" thickBot="1" x14ac:dyDescent="0.35">
      <c r="A120" s="465" t="s">
        <v>402</v>
      </c>
      <c r="B120" s="449">
        <v>4.9406564584124654E-324</v>
      </c>
      <c r="C120" s="449">
        <v>4.9406564584124654E-324</v>
      </c>
      <c r="D120" s="450">
        <v>0</v>
      </c>
      <c r="E120" s="451">
        <v>1</v>
      </c>
      <c r="F120" s="449">
        <v>4.9406564584124654E-324</v>
      </c>
      <c r="G120" s="450">
        <v>0</v>
      </c>
      <c r="H120" s="452">
        <v>4.9406564584124654E-324</v>
      </c>
      <c r="I120" s="449">
        <v>3.3508399999999998</v>
      </c>
      <c r="J120" s="450">
        <v>3.3508399999999998</v>
      </c>
      <c r="K120" s="453" t="s">
        <v>296</v>
      </c>
    </row>
    <row r="121" spans="1:11" ht="14.4" customHeight="1" thickBot="1" x14ac:dyDescent="0.35">
      <c r="A121" s="466" t="s">
        <v>403</v>
      </c>
      <c r="B121" s="444">
        <v>4.9406564584124654E-324</v>
      </c>
      <c r="C121" s="444">
        <v>4.9406564584124654E-324</v>
      </c>
      <c r="D121" s="445">
        <v>0</v>
      </c>
      <c r="E121" s="446">
        <v>1</v>
      </c>
      <c r="F121" s="444">
        <v>4.9406564584124654E-324</v>
      </c>
      <c r="G121" s="445">
        <v>0</v>
      </c>
      <c r="H121" s="447">
        <v>4.9406564584124654E-324</v>
      </c>
      <c r="I121" s="444">
        <v>3.3508399999999998</v>
      </c>
      <c r="J121" s="445">
        <v>3.3508399999999998</v>
      </c>
      <c r="K121" s="454" t="s">
        <v>296</v>
      </c>
    </row>
    <row r="122" spans="1:11" ht="14.4" customHeight="1" thickBot="1" x14ac:dyDescent="0.35">
      <c r="A122" s="465" t="s">
        <v>404</v>
      </c>
      <c r="B122" s="449">
        <v>0</v>
      </c>
      <c r="C122" s="449">
        <v>4.9406564584124654E-324</v>
      </c>
      <c r="D122" s="450">
        <v>4.9406564584124654E-324</v>
      </c>
      <c r="E122" s="457" t="s">
        <v>290</v>
      </c>
      <c r="F122" s="449">
        <v>4.9406564584124654E-324</v>
      </c>
      <c r="G122" s="450">
        <v>0</v>
      </c>
      <c r="H122" s="452">
        <v>4.9406564584124654E-324</v>
      </c>
      <c r="I122" s="449">
        <v>0.58899999999999997</v>
      </c>
      <c r="J122" s="450">
        <v>0.58899999999999997</v>
      </c>
      <c r="K122" s="453" t="s">
        <v>296</v>
      </c>
    </row>
    <row r="123" spans="1:11" ht="14.4" customHeight="1" thickBot="1" x14ac:dyDescent="0.35">
      <c r="A123" s="466" t="s">
        <v>405</v>
      </c>
      <c r="B123" s="444">
        <v>0</v>
      </c>
      <c r="C123" s="444">
        <v>4.9406564584124654E-324</v>
      </c>
      <c r="D123" s="445">
        <v>4.9406564584124654E-324</v>
      </c>
      <c r="E123" s="456" t="s">
        <v>290</v>
      </c>
      <c r="F123" s="444">
        <v>4.9406564584124654E-324</v>
      </c>
      <c r="G123" s="445">
        <v>0</v>
      </c>
      <c r="H123" s="447">
        <v>4.9406564584124654E-324</v>
      </c>
      <c r="I123" s="444">
        <v>0.58899999999999997</v>
      </c>
      <c r="J123" s="445">
        <v>0.58899999999999997</v>
      </c>
      <c r="K123" s="454" t="s">
        <v>296</v>
      </c>
    </row>
    <row r="124" spans="1:11" ht="14.4" customHeight="1" thickBot="1" x14ac:dyDescent="0.35">
      <c r="A124" s="465" t="s">
        <v>406</v>
      </c>
      <c r="B124" s="449">
        <v>4.9406564584124654E-324</v>
      </c>
      <c r="C124" s="449">
        <v>-0.11545999999999999</v>
      </c>
      <c r="D124" s="450">
        <v>-0.11545999999999999</v>
      </c>
      <c r="E124" s="457" t="s">
        <v>296</v>
      </c>
      <c r="F124" s="449">
        <v>0</v>
      </c>
      <c r="G124" s="450">
        <v>0</v>
      </c>
      <c r="H124" s="452">
        <v>4.9406564584124654E-324</v>
      </c>
      <c r="I124" s="449">
        <v>5.434722104253712E-323</v>
      </c>
      <c r="J124" s="450">
        <v>5.434722104253712E-323</v>
      </c>
      <c r="K124" s="453" t="s">
        <v>290</v>
      </c>
    </row>
    <row r="125" spans="1:11" ht="14.4" customHeight="1" thickBot="1" x14ac:dyDescent="0.35">
      <c r="A125" s="466" t="s">
        <v>407</v>
      </c>
      <c r="B125" s="444">
        <v>4.9406564584124654E-324</v>
      </c>
      <c r="C125" s="444">
        <v>-0.11545999999999999</v>
      </c>
      <c r="D125" s="445">
        <v>-0.11545999999999999</v>
      </c>
      <c r="E125" s="456" t="s">
        <v>296</v>
      </c>
      <c r="F125" s="444">
        <v>0</v>
      </c>
      <c r="G125" s="445">
        <v>0</v>
      </c>
      <c r="H125" s="447">
        <v>4.9406564584124654E-324</v>
      </c>
      <c r="I125" s="444">
        <v>5.434722104253712E-323</v>
      </c>
      <c r="J125" s="445">
        <v>5.434722104253712E-323</v>
      </c>
      <c r="K125" s="454" t="s">
        <v>290</v>
      </c>
    </row>
    <row r="126" spans="1:11" ht="14.4" customHeight="1" thickBot="1" x14ac:dyDescent="0.35">
      <c r="A126" s="465" t="s">
        <v>408</v>
      </c>
      <c r="B126" s="449">
        <v>3558.0009181966602</v>
      </c>
      <c r="C126" s="449">
        <v>1609.6329900000001</v>
      </c>
      <c r="D126" s="450">
        <v>-1948.3679281966599</v>
      </c>
      <c r="E126" s="451">
        <v>0.45239813788900002</v>
      </c>
      <c r="F126" s="449">
        <v>1963</v>
      </c>
      <c r="G126" s="450">
        <v>1799.4166666666699</v>
      </c>
      <c r="H126" s="452">
        <v>175.03343000000001</v>
      </c>
      <c r="I126" s="449">
        <v>1772.1263200000001</v>
      </c>
      <c r="J126" s="450">
        <v>-27.290346666666998</v>
      </c>
      <c r="K126" s="455">
        <v>0.90276429954100001</v>
      </c>
    </row>
    <row r="127" spans="1:11" ht="14.4" customHeight="1" thickBot="1" x14ac:dyDescent="0.35">
      <c r="A127" s="466" t="s">
        <v>409</v>
      </c>
      <c r="B127" s="444">
        <v>1104.00029721393</v>
      </c>
      <c r="C127" s="444">
        <v>550.78216999999995</v>
      </c>
      <c r="D127" s="445">
        <v>-553.21812721393405</v>
      </c>
      <c r="E127" s="446">
        <v>0.49889675880500001</v>
      </c>
      <c r="F127" s="444">
        <v>718</v>
      </c>
      <c r="G127" s="445">
        <v>658.16666666666697</v>
      </c>
      <c r="H127" s="447">
        <v>48.366</v>
      </c>
      <c r="I127" s="444">
        <v>662.51378999999997</v>
      </c>
      <c r="J127" s="445">
        <v>4.3471233333330002</v>
      </c>
      <c r="K127" s="448">
        <v>0.92272115598799997</v>
      </c>
    </row>
    <row r="128" spans="1:11" ht="14.4" customHeight="1" thickBot="1" x14ac:dyDescent="0.35">
      <c r="A128" s="466" t="s">
        <v>410</v>
      </c>
      <c r="B128" s="444">
        <v>2454.0006209827302</v>
      </c>
      <c r="C128" s="444">
        <v>1058.8508200000001</v>
      </c>
      <c r="D128" s="445">
        <v>-1395.1498009827301</v>
      </c>
      <c r="E128" s="446">
        <v>0.43147944256600002</v>
      </c>
      <c r="F128" s="444">
        <v>1245</v>
      </c>
      <c r="G128" s="445">
        <v>1141.25</v>
      </c>
      <c r="H128" s="447">
        <v>126.66743</v>
      </c>
      <c r="I128" s="444">
        <v>1109.6125300000001</v>
      </c>
      <c r="J128" s="445">
        <v>-31.63747</v>
      </c>
      <c r="K128" s="448">
        <v>0.89125504417599999</v>
      </c>
    </row>
    <row r="129" spans="1:11" ht="14.4" customHeight="1" thickBot="1" x14ac:dyDescent="0.35">
      <c r="A129" s="465" t="s">
        <v>411</v>
      </c>
      <c r="B129" s="449">
        <v>0</v>
      </c>
      <c r="C129" s="449">
        <v>279.16989999999998</v>
      </c>
      <c r="D129" s="450">
        <v>279.16989999999998</v>
      </c>
      <c r="E129" s="457" t="s">
        <v>290</v>
      </c>
      <c r="F129" s="449">
        <v>0</v>
      </c>
      <c r="G129" s="450">
        <v>0</v>
      </c>
      <c r="H129" s="452">
        <v>60.754460000000002</v>
      </c>
      <c r="I129" s="449">
        <v>189.30391</v>
      </c>
      <c r="J129" s="450">
        <v>189.30391</v>
      </c>
      <c r="K129" s="453" t="s">
        <v>290</v>
      </c>
    </row>
    <row r="130" spans="1:11" ht="14.4" customHeight="1" thickBot="1" x14ac:dyDescent="0.35">
      <c r="A130" s="466" t="s">
        <v>412</v>
      </c>
      <c r="B130" s="444">
        <v>4.9406564584124654E-324</v>
      </c>
      <c r="C130" s="444">
        <v>162.93956</v>
      </c>
      <c r="D130" s="445">
        <v>162.93956</v>
      </c>
      <c r="E130" s="456" t="s">
        <v>296</v>
      </c>
      <c r="F130" s="444">
        <v>0</v>
      </c>
      <c r="G130" s="445">
        <v>0</v>
      </c>
      <c r="H130" s="447">
        <v>4.9406564584124654E-324</v>
      </c>
      <c r="I130" s="444">
        <v>14.09624</v>
      </c>
      <c r="J130" s="445">
        <v>14.09624</v>
      </c>
      <c r="K130" s="454" t="s">
        <v>290</v>
      </c>
    </row>
    <row r="131" spans="1:11" ht="14.4" customHeight="1" thickBot="1" x14ac:dyDescent="0.35">
      <c r="A131" s="466" t="s">
        <v>413</v>
      </c>
      <c r="B131" s="444">
        <v>0</v>
      </c>
      <c r="C131" s="444">
        <v>116.23034</v>
      </c>
      <c r="D131" s="445">
        <v>116.23034</v>
      </c>
      <c r="E131" s="456" t="s">
        <v>290</v>
      </c>
      <c r="F131" s="444">
        <v>0</v>
      </c>
      <c r="G131" s="445">
        <v>0</v>
      </c>
      <c r="H131" s="447">
        <v>60.754460000000002</v>
      </c>
      <c r="I131" s="444">
        <v>175.20767000000001</v>
      </c>
      <c r="J131" s="445">
        <v>175.20767000000001</v>
      </c>
      <c r="K131" s="454" t="s">
        <v>290</v>
      </c>
    </row>
    <row r="132" spans="1:11" ht="14.4" customHeight="1" thickBot="1" x14ac:dyDescent="0.35">
      <c r="A132" s="463" t="s">
        <v>414</v>
      </c>
      <c r="B132" s="444">
        <v>110.873759483993</v>
      </c>
      <c r="C132" s="444">
        <v>124.9492</v>
      </c>
      <c r="D132" s="445">
        <v>14.075440516006999</v>
      </c>
      <c r="E132" s="446">
        <v>1.126950151068</v>
      </c>
      <c r="F132" s="444">
        <v>50.010758388710002</v>
      </c>
      <c r="G132" s="445">
        <v>45.843195189650999</v>
      </c>
      <c r="H132" s="447">
        <v>5.355E-2</v>
      </c>
      <c r="I132" s="444">
        <v>26.99708</v>
      </c>
      <c r="J132" s="445">
        <v>-18.846115189651002</v>
      </c>
      <c r="K132" s="448">
        <v>0.53982544696000001</v>
      </c>
    </row>
    <row r="133" spans="1:11" ht="14.4" customHeight="1" thickBot="1" x14ac:dyDescent="0.35">
      <c r="A133" s="464" t="s">
        <v>415</v>
      </c>
      <c r="B133" s="444">
        <v>68.999590497309001</v>
      </c>
      <c r="C133" s="444">
        <v>34.09892</v>
      </c>
      <c r="D133" s="445">
        <v>-34.900670497309001</v>
      </c>
      <c r="E133" s="446">
        <v>0.49419017930699999</v>
      </c>
      <c r="F133" s="444">
        <v>0</v>
      </c>
      <c r="G133" s="445">
        <v>0</v>
      </c>
      <c r="H133" s="447">
        <v>4.9406564584124654E-324</v>
      </c>
      <c r="I133" s="444">
        <v>5.434722104253712E-323</v>
      </c>
      <c r="J133" s="445">
        <v>5.434722104253712E-323</v>
      </c>
      <c r="K133" s="454" t="s">
        <v>290</v>
      </c>
    </row>
    <row r="134" spans="1:11" ht="14.4" customHeight="1" thickBot="1" x14ac:dyDescent="0.35">
      <c r="A134" s="465" t="s">
        <v>416</v>
      </c>
      <c r="B134" s="449">
        <v>68.999590497309001</v>
      </c>
      <c r="C134" s="449">
        <v>34.09892</v>
      </c>
      <c r="D134" s="450">
        <v>-34.900670497309001</v>
      </c>
      <c r="E134" s="451">
        <v>0.49419017930699999</v>
      </c>
      <c r="F134" s="449">
        <v>0</v>
      </c>
      <c r="G134" s="450">
        <v>0</v>
      </c>
      <c r="H134" s="452">
        <v>4.9406564584124654E-324</v>
      </c>
      <c r="I134" s="449">
        <v>5.434722104253712E-323</v>
      </c>
      <c r="J134" s="450">
        <v>5.434722104253712E-323</v>
      </c>
      <c r="K134" s="453" t="s">
        <v>290</v>
      </c>
    </row>
    <row r="135" spans="1:11" ht="14.4" customHeight="1" thickBot="1" x14ac:dyDescent="0.35">
      <c r="A135" s="466" t="s">
        <v>417</v>
      </c>
      <c r="B135" s="444">
        <v>0</v>
      </c>
      <c r="C135" s="444">
        <v>1.27776</v>
      </c>
      <c r="D135" s="445">
        <v>1.27776</v>
      </c>
      <c r="E135" s="456" t="s">
        <v>290</v>
      </c>
      <c r="F135" s="444">
        <v>0</v>
      </c>
      <c r="G135" s="445">
        <v>0</v>
      </c>
      <c r="H135" s="447">
        <v>4.9406564584124654E-324</v>
      </c>
      <c r="I135" s="444">
        <v>5.434722104253712E-323</v>
      </c>
      <c r="J135" s="445">
        <v>5.434722104253712E-323</v>
      </c>
      <c r="K135" s="454" t="s">
        <v>290</v>
      </c>
    </row>
    <row r="136" spans="1:11" ht="14.4" customHeight="1" thickBot="1" x14ac:dyDescent="0.35">
      <c r="A136" s="466" t="s">
        <v>418</v>
      </c>
      <c r="B136" s="444">
        <v>0</v>
      </c>
      <c r="C136" s="444">
        <v>2.399</v>
      </c>
      <c r="D136" s="445">
        <v>2.399</v>
      </c>
      <c r="E136" s="456" t="s">
        <v>290</v>
      </c>
      <c r="F136" s="444">
        <v>0</v>
      </c>
      <c r="G136" s="445">
        <v>0</v>
      </c>
      <c r="H136" s="447">
        <v>4.9406564584124654E-324</v>
      </c>
      <c r="I136" s="444">
        <v>5.434722104253712E-323</v>
      </c>
      <c r="J136" s="445">
        <v>5.434722104253712E-323</v>
      </c>
      <c r="K136" s="454" t="s">
        <v>290</v>
      </c>
    </row>
    <row r="137" spans="1:11" ht="14.4" customHeight="1" thickBot="1" x14ac:dyDescent="0.35">
      <c r="A137" s="466" t="s">
        <v>419</v>
      </c>
      <c r="B137" s="444">
        <v>0</v>
      </c>
      <c r="C137" s="444">
        <v>19.46593</v>
      </c>
      <c r="D137" s="445">
        <v>19.46593</v>
      </c>
      <c r="E137" s="456" t="s">
        <v>290</v>
      </c>
      <c r="F137" s="444">
        <v>0</v>
      </c>
      <c r="G137" s="445">
        <v>0</v>
      </c>
      <c r="H137" s="447">
        <v>4.9406564584124654E-324</v>
      </c>
      <c r="I137" s="444">
        <v>5.434722104253712E-323</v>
      </c>
      <c r="J137" s="445">
        <v>5.434722104253712E-323</v>
      </c>
      <c r="K137" s="454" t="s">
        <v>290</v>
      </c>
    </row>
    <row r="138" spans="1:11" ht="14.4" customHeight="1" thickBot="1" x14ac:dyDescent="0.35">
      <c r="A138" s="466" t="s">
        <v>420</v>
      </c>
      <c r="B138" s="444">
        <v>0</v>
      </c>
      <c r="C138" s="444">
        <v>10.95623</v>
      </c>
      <c r="D138" s="445">
        <v>10.95623</v>
      </c>
      <c r="E138" s="456" t="s">
        <v>290</v>
      </c>
      <c r="F138" s="444">
        <v>0</v>
      </c>
      <c r="G138" s="445">
        <v>0</v>
      </c>
      <c r="H138" s="447">
        <v>4.9406564584124654E-324</v>
      </c>
      <c r="I138" s="444">
        <v>5.434722104253712E-323</v>
      </c>
      <c r="J138" s="445">
        <v>5.434722104253712E-323</v>
      </c>
      <c r="K138" s="454" t="s">
        <v>290</v>
      </c>
    </row>
    <row r="139" spans="1:11" ht="14.4" customHeight="1" thickBot="1" x14ac:dyDescent="0.35">
      <c r="A139" s="469" t="s">
        <v>421</v>
      </c>
      <c r="B139" s="449">
        <v>41.874168986683003</v>
      </c>
      <c r="C139" s="449">
        <v>90.850279999999998</v>
      </c>
      <c r="D139" s="450">
        <v>48.976111013316</v>
      </c>
      <c r="E139" s="451">
        <v>2.1696019813279999</v>
      </c>
      <c r="F139" s="449">
        <v>50.010758388710002</v>
      </c>
      <c r="G139" s="450">
        <v>45.843195189650999</v>
      </c>
      <c r="H139" s="452">
        <v>5.355E-2</v>
      </c>
      <c r="I139" s="449">
        <v>26.99708</v>
      </c>
      <c r="J139" s="450">
        <v>-18.846115189651002</v>
      </c>
      <c r="K139" s="455">
        <v>0.53982544696000001</v>
      </c>
    </row>
    <row r="140" spans="1:11" ht="14.4" customHeight="1" thickBot="1" x14ac:dyDescent="0.35">
      <c r="A140" s="465" t="s">
        <v>422</v>
      </c>
      <c r="B140" s="449">
        <v>0</v>
      </c>
      <c r="C140" s="449">
        <v>-3.3020000000000001E-2</v>
      </c>
      <c r="D140" s="450">
        <v>-3.3020000000000001E-2</v>
      </c>
      <c r="E140" s="457" t="s">
        <v>290</v>
      </c>
      <c r="F140" s="449">
        <v>0</v>
      </c>
      <c r="G140" s="450">
        <v>0</v>
      </c>
      <c r="H140" s="452">
        <v>-1.4499999999999999E-3</v>
      </c>
      <c r="I140" s="449">
        <v>-3.603E-2</v>
      </c>
      <c r="J140" s="450">
        <v>-3.603E-2</v>
      </c>
      <c r="K140" s="453" t="s">
        <v>290</v>
      </c>
    </row>
    <row r="141" spans="1:11" ht="14.4" customHeight="1" thickBot="1" x14ac:dyDescent="0.35">
      <c r="A141" s="466" t="s">
        <v>423</v>
      </c>
      <c r="B141" s="444">
        <v>0</v>
      </c>
      <c r="C141" s="444">
        <v>-3.3020000000000001E-2</v>
      </c>
      <c r="D141" s="445">
        <v>-3.3020000000000001E-2</v>
      </c>
      <c r="E141" s="456" t="s">
        <v>290</v>
      </c>
      <c r="F141" s="444">
        <v>0</v>
      </c>
      <c r="G141" s="445">
        <v>0</v>
      </c>
      <c r="H141" s="447">
        <v>-1.4499999999999999E-3</v>
      </c>
      <c r="I141" s="444">
        <v>-3.603E-2</v>
      </c>
      <c r="J141" s="445">
        <v>-3.603E-2</v>
      </c>
      <c r="K141" s="454" t="s">
        <v>290</v>
      </c>
    </row>
    <row r="142" spans="1:11" ht="14.4" customHeight="1" thickBot="1" x14ac:dyDescent="0.35">
      <c r="A142" s="465" t="s">
        <v>424</v>
      </c>
      <c r="B142" s="449">
        <v>41.874168986683003</v>
      </c>
      <c r="C142" s="449">
        <v>90.883300000000006</v>
      </c>
      <c r="D142" s="450">
        <v>49.009131013316001</v>
      </c>
      <c r="E142" s="451">
        <v>2.1703905342910002</v>
      </c>
      <c r="F142" s="449">
        <v>50.010758388710002</v>
      </c>
      <c r="G142" s="450">
        <v>45.843195189650999</v>
      </c>
      <c r="H142" s="452">
        <v>5.5E-2</v>
      </c>
      <c r="I142" s="449">
        <v>27.033110000000001</v>
      </c>
      <c r="J142" s="450">
        <v>-18.810085189651002</v>
      </c>
      <c r="K142" s="455">
        <v>0.54054589194299996</v>
      </c>
    </row>
    <row r="143" spans="1:11" ht="14.4" customHeight="1" thickBot="1" x14ac:dyDescent="0.35">
      <c r="A143" s="466" t="s">
        <v>425</v>
      </c>
      <c r="B143" s="444">
        <v>0</v>
      </c>
      <c r="C143" s="444">
        <v>0.13700000000000001</v>
      </c>
      <c r="D143" s="445">
        <v>0.13700000000000001</v>
      </c>
      <c r="E143" s="456" t="s">
        <v>290</v>
      </c>
      <c r="F143" s="444">
        <v>0</v>
      </c>
      <c r="G143" s="445">
        <v>0</v>
      </c>
      <c r="H143" s="447">
        <v>5.5E-2</v>
      </c>
      <c r="I143" s="444">
        <v>0.129</v>
      </c>
      <c r="J143" s="445">
        <v>0.129</v>
      </c>
      <c r="K143" s="454" t="s">
        <v>290</v>
      </c>
    </row>
    <row r="144" spans="1:11" ht="14.4" customHeight="1" thickBot="1" x14ac:dyDescent="0.35">
      <c r="A144" s="466" t="s">
        <v>426</v>
      </c>
      <c r="B144" s="444">
        <v>40.682947010132999</v>
      </c>
      <c r="C144" s="444">
        <v>89.3</v>
      </c>
      <c r="D144" s="445">
        <v>48.617052989866004</v>
      </c>
      <c r="E144" s="446">
        <v>2.1950228919680002</v>
      </c>
      <c r="F144" s="444">
        <v>48.819536412159998</v>
      </c>
      <c r="G144" s="445">
        <v>44.751241711147003</v>
      </c>
      <c r="H144" s="447">
        <v>4.9406564584124654E-324</v>
      </c>
      <c r="I144" s="444">
        <v>26.9</v>
      </c>
      <c r="J144" s="445">
        <v>-17.851241711147001</v>
      </c>
      <c r="K144" s="448">
        <v>0.55100891931600005</v>
      </c>
    </row>
    <row r="145" spans="1:11" ht="14.4" customHeight="1" thickBot="1" x14ac:dyDescent="0.35">
      <c r="A145" s="466" t="s">
        <v>427</v>
      </c>
      <c r="B145" s="444">
        <v>4.9406564584124654E-324</v>
      </c>
      <c r="C145" s="444">
        <v>4.9406564584124654E-324</v>
      </c>
      <c r="D145" s="445">
        <v>0</v>
      </c>
      <c r="E145" s="446">
        <v>1</v>
      </c>
      <c r="F145" s="444">
        <v>4.9406564584124654E-324</v>
      </c>
      <c r="G145" s="445">
        <v>0</v>
      </c>
      <c r="H145" s="447">
        <v>4.9406564584124654E-324</v>
      </c>
      <c r="I145" s="444">
        <v>4.1099999999999999E-3</v>
      </c>
      <c r="J145" s="445">
        <v>4.1099999999999999E-3</v>
      </c>
      <c r="K145" s="454" t="s">
        <v>296</v>
      </c>
    </row>
    <row r="146" spans="1:11" ht="14.4" customHeight="1" thickBot="1" x14ac:dyDescent="0.35">
      <c r="A146" s="466" t="s">
        <v>428</v>
      </c>
      <c r="B146" s="444">
        <v>1.1912219765500001</v>
      </c>
      <c r="C146" s="444">
        <v>1.4462999999999999</v>
      </c>
      <c r="D146" s="445">
        <v>0.25507802344899999</v>
      </c>
      <c r="E146" s="446">
        <v>1.214131394879</v>
      </c>
      <c r="F146" s="444">
        <v>1.1912219765500001</v>
      </c>
      <c r="G146" s="445">
        <v>1.0919534785039999</v>
      </c>
      <c r="H146" s="447">
        <v>4.9406564584124654E-324</v>
      </c>
      <c r="I146" s="444">
        <v>5.434722104253712E-323</v>
      </c>
      <c r="J146" s="445">
        <v>-1.0919534785039999</v>
      </c>
      <c r="K146" s="448">
        <v>4.4465908125712189E-323</v>
      </c>
    </row>
    <row r="147" spans="1:11" ht="14.4" customHeight="1" thickBot="1" x14ac:dyDescent="0.35">
      <c r="A147" s="462" t="s">
        <v>429</v>
      </c>
      <c r="B147" s="444">
        <v>1252.2140167810501</v>
      </c>
      <c r="C147" s="444">
        <v>1128.3203599999999</v>
      </c>
      <c r="D147" s="445">
        <v>-123.89365678105401</v>
      </c>
      <c r="E147" s="446">
        <v>0.901060317868</v>
      </c>
      <c r="F147" s="444">
        <v>1321.0015593989201</v>
      </c>
      <c r="G147" s="445">
        <v>1210.9180961156801</v>
      </c>
      <c r="H147" s="447">
        <v>129.85219000000001</v>
      </c>
      <c r="I147" s="444">
        <v>1170.3607400000001</v>
      </c>
      <c r="J147" s="445">
        <v>-40.557356115677997</v>
      </c>
      <c r="K147" s="448">
        <v>0.88596469222300001</v>
      </c>
    </row>
    <row r="148" spans="1:11" ht="14.4" customHeight="1" thickBot="1" x14ac:dyDescent="0.35">
      <c r="A148" s="467" t="s">
        <v>430</v>
      </c>
      <c r="B148" s="449">
        <v>1252.2140167810501</v>
      </c>
      <c r="C148" s="449">
        <v>1128.3203599999999</v>
      </c>
      <c r="D148" s="450">
        <v>-123.89365678105401</v>
      </c>
      <c r="E148" s="451">
        <v>0.901060317868</v>
      </c>
      <c r="F148" s="449">
        <v>1321.0015593989201</v>
      </c>
      <c r="G148" s="450">
        <v>1210.9180961156801</v>
      </c>
      <c r="H148" s="452">
        <v>129.85219000000001</v>
      </c>
      <c r="I148" s="449">
        <v>1170.3607400000001</v>
      </c>
      <c r="J148" s="450">
        <v>-40.557356115677997</v>
      </c>
      <c r="K148" s="455">
        <v>0.88596469222300001</v>
      </c>
    </row>
    <row r="149" spans="1:11" ht="14.4" customHeight="1" thickBot="1" x14ac:dyDescent="0.35">
      <c r="A149" s="469" t="s">
        <v>54</v>
      </c>
      <c r="B149" s="449">
        <v>1252.2140167810501</v>
      </c>
      <c r="C149" s="449">
        <v>1128.3203599999999</v>
      </c>
      <c r="D149" s="450">
        <v>-123.89365678105401</v>
      </c>
      <c r="E149" s="451">
        <v>0.901060317868</v>
      </c>
      <c r="F149" s="449">
        <v>1321.0015593989201</v>
      </c>
      <c r="G149" s="450">
        <v>1210.9180961156801</v>
      </c>
      <c r="H149" s="452">
        <v>129.85219000000001</v>
      </c>
      <c r="I149" s="449">
        <v>1170.3607400000001</v>
      </c>
      <c r="J149" s="450">
        <v>-40.557356115677997</v>
      </c>
      <c r="K149" s="455">
        <v>0.88596469222300001</v>
      </c>
    </row>
    <row r="150" spans="1:11" ht="14.4" customHeight="1" thickBot="1" x14ac:dyDescent="0.35">
      <c r="A150" s="465" t="s">
        <v>431</v>
      </c>
      <c r="B150" s="449">
        <v>17.999999999999002</v>
      </c>
      <c r="C150" s="449">
        <v>26.977499999999999</v>
      </c>
      <c r="D150" s="450">
        <v>8.9774999999999991</v>
      </c>
      <c r="E150" s="451">
        <v>1.49875</v>
      </c>
      <c r="F150" s="449">
        <v>17</v>
      </c>
      <c r="G150" s="450">
        <v>15.583333333333</v>
      </c>
      <c r="H150" s="452">
        <v>2.145</v>
      </c>
      <c r="I150" s="449">
        <v>23.594999999999999</v>
      </c>
      <c r="J150" s="450">
        <v>8.0116666666660006</v>
      </c>
      <c r="K150" s="455">
        <v>1.38794117647</v>
      </c>
    </row>
    <row r="151" spans="1:11" ht="14.4" customHeight="1" thickBot="1" x14ac:dyDescent="0.35">
      <c r="A151" s="466" t="s">
        <v>432</v>
      </c>
      <c r="B151" s="444">
        <v>17.999999999999002</v>
      </c>
      <c r="C151" s="444">
        <v>26.977499999999999</v>
      </c>
      <c r="D151" s="445">
        <v>8.9774999999999991</v>
      </c>
      <c r="E151" s="446">
        <v>1.49875</v>
      </c>
      <c r="F151" s="444">
        <v>17</v>
      </c>
      <c r="G151" s="445">
        <v>15.583333333333</v>
      </c>
      <c r="H151" s="447">
        <v>2.145</v>
      </c>
      <c r="I151" s="444">
        <v>23.594999999999999</v>
      </c>
      <c r="J151" s="445">
        <v>8.0116666666660006</v>
      </c>
      <c r="K151" s="448">
        <v>1.38794117647</v>
      </c>
    </row>
    <row r="152" spans="1:11" ht="14.4" customHeight="1" thickBot="1" x14ac:dyDescent="0.35">
      <c r="A152" s="465" t="s">
        <v>433</v>
      </c>
      <c r="B152" s="449">
        <v>7.6872032858579997</v>
      </c>
      <c r="C152" s="449">
        <v>9.15</v>
      </c>
      <c r="D152" s="450">
        <v>1.4627967141410001</v>
      </c>
      <c r="E152" s="451">
        <v>1.19028984401</v>
      </c>
      <c r="F152" s="449">
        <v>11.001559398922</v>
      </c>
      <c r="G152" s="450">
        <v>10.084762782345001</v>
      </c>
      <c r="H152" s="452">
        <v>0.441</v>
      </c>
      <c r="I152" s="449">
        <v>7.8148999999999997</v>
      </c>
      <c r="J152" s="450">
        <v>-2.2698627823450002</v>
      </c>
      <c r="K152" s="455">
        <v>0.71034475355899995</v>
      </c>
    </row>
    <row r="153" spans="1:11" ht="14.4" customHeight="1" thickBot="1" x14ac:dyDescent="0.35">
      <c r="A153" s="466" t="s">
        <v>434</v>
      </c>
      <c r="B153" s="444">
        <v>7.6872032858579997</v>
      </c>
      <c r="C153" s="444">
        <v>9.15</v>
      </c>
      <c r="D153" s="445">
        <v>1.4627967141410001</v>
      </c>
      <c r="E153" s="446">
        <v>1.19028984401</v>
      </c>
      <c r="F153" s="444">
        <v>11.001559398922</v>
      </c>
      <c r="G153" s="445">
        <v>10.084762782345001</v>
      </c>
      <c r="H153" s="447">
        <v>0.441</v>
      </c>
      <c r="I153" s="444">
        <v>7.8148999999999997</v>
      </c>
      <c r="J153" s="445">
        <v>-2.2698627823450002</v>
      </c>
      <c r="K153" s="448">
        <v>0.71034475355899995</v>
      </c>
    </row>
    <row r="154" spans="1:11" ht="14.4" customHeight="1" thickBot="1" x14ac:dyDescent="0.35">
      <c r="A154" s="465" t="s">
        <v>435</v>
      </c>
      <c r="B154" s="449">
        <v>34.52681349521</v>
      </c>
      <c r="C154" s="449">
        <v>35.698300000000003</v>
      </c>
      <c r="D154" s="450">
        <v>1.171486504789</v>
      </c>
      <c r="E154" s="451">
        <v>1.0339297602699999</v>
      </c>
      <c r="F154" s="449">
        <v>39</v>
      </c>
      <c r="G154" s="450">
        <v>35.75</v>
      </c>
      <c r="H154" s="452">
        <v>2.4754700000000001</v>
      </c>
      <c r="I154" s="449">
        <v>27.286249999999999</v>
      </c>
      <c r="J154" s="450">
        <v>-8.4637499999989991</v>
      </c>
      <c r="K154" s="455">
        <v>0.69964743589699996</v>
      </c>
    </row>
    <row r="155" spans="1:11" ht="14.4" customHeight="1" thickBot="1" x14ac:dyDescent="0.35">
      <c r="A155" s="466" t="s">
        <v>436</v>
      </c>
      <c r="B155" s="444">
        <v>34.52681349521</v>
      </c>
      <c r="C155" s="444">
        <v>35.698300000000003</v>
      </c>
      <c r="D155" s="445">
        <v>1.171486504789</v>
      </c>
      <c r="E155" s="446">
        <v>1.0339297602699999</v>
      </c>
      <c r="F155" s="444">
        <v>39</v>
      </c>
      <c r="G155" s="445">
        <v>35.75</v>
      </c>
      <c r="H155" s="447">
        <v>2.4754700000000001</v>
      </c>
      <c r="I155" s="444">
        <v>27.286249999999999</v>
      </c>
      <c r="J155" s="445">
        <v>-8.4637499999989991</v>
      </c>
      <c r="K155" s="448">
        <v>0.69964743589699996</v>
      </c>
    </row>
    <row r="156" spans="1:11" ht="14.4" customHeight="1" thickBot="1" x14ac:dyDescent="0.35">
      <c r="A156" s="465" t="s">
        <v>437</v>
      </c>
      <c r="B156" s="449">
        <v>0</v>
      </c>
      <c r="C156" s="449">
        <v>2.4780000000000002</v>
      </c>
      <c r="D156" s="450">
        <v>2.4780000000000002</v>
      </c>
      <c r="E156" s="457" t="s">
        <v>290</v>
      </c>
      <c r="F156" s="449">
        <v>4.9406564584124654E-324</v>
      </c>
      <c r="G156" s="450">
        <v>0</v>
      </c>
      <c r="H156" s="452">
        <v>5.6000000000000001E-2</v>
      </c>
      <c r="I156" s="449">
        <v>0.95599999999999996</v>
      </c>
      <c r="J156" s="450">
        <v>0.95599999999999996</v>
      </c>
      <c r="K156" s="453" t="s">
        <v>296</v>
      </c>
    </row>
    <row r="157" spans="1:11" ht="14.4" customHeight="1" thickBot="1" x14ac:dyDescent="0.35">
      <c r="A157" s="466" t="s">
        <v>438</v>
      </c>
      <c r="B157" s="444">
        <v>0</v>
      </c>
      <c r="C157" s="444">
        <v>2.4780000000000002</v>
      </c>
      <c r="D157" s="445">
        <v>2.4780000000000002</v>
      </c>
      <c r="E157" s="456" t="s">
        <v>290</v>
      </c>
      <c r="F157" s="444">
        <v>4.9406564584124654E-324</v>
      </c>
      <c r="G157" s="445">
        <v>0</v>
      </c>
      <c r="H157" s="447">
        <v>5.6000000000000001E-2</v>
      </c>
      <c r="I157" s="444">
        <v>0.95599999999999996</v>
      </c>
      <c r="J157" s="445">
        <v>0.95599999999999996</v>
      </c>
      <c r="K157" s="454" t="s">
        <v>296</v>
      </c>
    </row>
    <row r="158" spans="1:11" ht="14.4" customHeight="1" thickBot="1" x14ac:dyDescent="0.35">
      <c r="A158" s="465" t="s">
        <v>439</v>
      </c>
      <c r="B158" s="449">
        <v>366.999999999995</v>
      </c>
      <c r="C158" s="449">
        <v>348.14350999999999</v>
      </c>
      <c r="D158" s="450">
        <v>-18.856489999994999</v>
      </c>
      <c r="E158" s="451">
        <v>0.94861991825600001</v>
      </c>
      <c r="F158" s="449">
        <v>489</v>
      </c>
      <c r="G158" s="450">
        <v>448.25</v>
      </c>
      <c r="H158" s="452">
        <v>34.98227</v>
      </c>
      <c r="I158" s="449">
        <v>378.83152000000001</v>
      </c>
      <c r="J158" s="450">
        <v>-69.418480000000002</v>
      </c>
      <c r="K158" s="455">
        <v>0.77470658486699995</v>
      </c>
    </row>
    <row r="159" spans="1:11" ht="14.4" customHeight="1" thickBot="1" x14ac:dyDescent="0.35">
      <c r="A159" s="466" t="s">
        <v>440</v>
      </c>
      <c r="B159" s="444">
        <v>366.999999999995</v>
      </c>
      <c r="C159" s="444">
        <v>348.03755000000001</v>
      </c>
      <c r="D159" s="445">
        <v>-18.962449999994998</v>
      </c>
      <c r="E159" s="446">
        <v>0.94833119890999995</v>
      </c>
      <c r="F159" s="444">
        <v>483</v>
      </c>
      <c r="G159" s="445">
        <v>442.75</v>
      </c>
      <c r="H159" s="447">
        <v>34.206670000000003</v>
      </c>
      <c r="I159" s="444">
        <v>372.93077</v>
      </c>
      <c r="J159" s="445">
        <v>-69.819230000000005</v>
      </c>
      <c r="K159" s="448">
        <v>0.77211339544500002</v>
      </c>
    </row>
    <row r="160" spans="1:11" ht="14.4" customHeight="1" thickBot="1" x14ac:dyDescent="0.35">
      <c r="A160" s="466" t="s">
        <v>441</v>
      </c>
      <c r="B160" s="444">
        <v>0</v>
      </c>
      <c r="C160" s="444">
        <v>0.10596</v>
      </c>
      <c r="D160" s="445">
        <v>0.10596</v>
      </c>
      <c r="E160" s="456" t="s">
        <v>290</v>
      </c>
      <c r="F160" s="444">
        <v>6</v>
      </c>
      <c r="G160" s="445">
        <v>5.5</v>
      </c>
      <c r="H160" s="447">
        <v>0.77559999999999996</v>
      </c>
      <c r="I160" s="444">
        <v>5.9007500000000004</v>
      </c>
      <c r="J160" s="445">
        <v>0.40075</v>
      </c>
      <c r="K160" s="448">
        <v>0.98345833333300003</v>
      </c>
    </row>
    <row r="161" spans="1:11" ht="14.4" customHeight="1" thickBot="1" x14ac:dyDescent="0.35">
      <c r="A161" s="465" t="s">
        <v>442</v>
      </c>
      <c r="B161" s="449">
        <v>0</v>
      </c>
      <c r="C161" s="449">
        <v>4.9406564584124654E-324</v>
      </c>
      <c r="D161" s="450">
        <v>4.9406564584124654E-324</v>
      </c>
      <c r="E161" s="457" t="s">
        <v>290</v>
      </c>
      <c r="F161" s="449">
        <v>4.9406564584124654E-324</v>
      </c>
      <c r="G161" s="450">
        <v>0</v>
      </c>
      <c r="H161" s="452">
        <v>4.9406564584124654E-324</v>
      </c>
      <c r="I161" s="449">
        <v>2.5289999999999999</v>
      </c>
      <c r="J161" s="450">
        <v>2.5289999999999999</v>
      </c>
      <c r="K161" s="453" t="s">
        <v>296</v>
      </c>
    </row>
    <row r="162" spans="1:11" ht="14.4" customHeight="1" thickBot="1" x14ac:dyDescent="0.35">
      <c r="A162" s="466" t="s">
        <v>443</v>
      </c>
      <c r="B162" s="444">
        <v>4.9406564584124654E-324</v>
      </c>
      <c r="C162" s="444">
        <v>4.9406564584124654E-324</v>
      </c>
      <c r="D162" s="445">
        <v>0</v>
      </c>
      <c r="E162" s="446">
        <v>1</v>
      </c>
      <c r="F162" s="444">
        <v>4.9406564584124654E-324</v>
      </c>
      <c r="G162" s="445">
        <v>0</v>
      </c>
      <c r="H162" s="447">
        <v>4.9406564584124654E-324</v>
      </c>
      <c r="I162" s="444">
        <v>2.5289999999999999</v>
      </c>
      <c r="J162" s="445">
        <v>2.5289999999999999</v>
      </c>
      <c r="K162" s="454" t="s">
        <v>296</v>
      </c>
    </row>
    <row r="163" spans="1:11" ht="14.4" customHeight="1" thickBot="1" x14ac:dyDescent="0.35">
      <c r="A163" s="465" t="s">
        <v>444</v>
      </c>
      <c r="B163" s="449">
        <v>824.99999999998897</v>
      </c>
      <c r="C163" s="449">
        <v>705.87305000000003</v>
      </c>
      <c r="D163" s="450">
        <v>-119.12694999998899</v>
      </c>
      <c r="E163" s="451">
        <v>0.85560369696899996</v>
      </c>
      <c r="F163" s="449">
        <v>765</v>
      </c>
      <c r="G163" s="450">
        <v>701.25</v>
      </c>
      <c r="H163" s="452">
        <v>89.752449999999996</v>
      </c>
      <c r="I163" s="449">
        <v>729.34807000000001</v>
      </c>
      <c r="J163" s="450">
        <v>28.09807</v>
      </c>
      <c r="K163" s="455">
        <v>0.953396169934</v>
      </c>
    </row>
    <row r="164" spans="1:11" ht="14.4" customHeight="1" thickBot="1" x14ac:dyDescent="0.35">
      <c r="A164" s="466" t="s">
        <v>445</v>
      </c>
      <c r="B164" s="444">
        <v>824.99999999998897</v>
      </c>
      <c r="C164" s="444">
        <v>705.87305000000003</v>
      </c>
      <c r="D164" s="445">
        <v>-119.12694999998899</v>
      </c>
      <c r="E164" s="446">
        <v>0.85560369696899996</v>
      </c>
      <c r="F164" s="444">
        <v>765</v>
      </c>
      <c r="G164" s="445">
        <v>701.25</v>
      </c>
      <c r="H164" s="447">
        <v>89.752449999999996</v>
      </c>
      <c r="I164" s="444">
        <v>729.34807000000001</v>
      </c>
      <c r="J164" s="445">
        <v>28.09807</v>
      </c>
      <c r="K164" s="448">
        <v>0.953396169934</v>
      </c>
    </row>
    <row r="165" spans="1:11" ht="14.4" customHeight="1" thickBot="1" x14ac:dyDescent="0.35">
      <c r="A165" s="470" t="s">
        <v>446</v>
      </c>
      <c r="B165" s="449">
        <v>0</v>
      </c>
      <c r="C165" s="449">
        <v>6.1399999999999996E-3</v>
      </c>
      <c r="D165" s="450">
        <v>6.1399999999999996E-3</v>
      </c>
      <c r="E165" s="457" t="s">
        <v>290</v>
      </c>
      <c r="F165" s="449">
        <v>4.9406564584124654E-324</v>
      </c>
      <c r="G165" s="450">
        <v>0</v>
      </c>
      <c r="H165" s="452">
        <v>4.9406564584124654E-324</v>
      </c>
      <c r="I165" s="449">
        <v>0.46333000000000002</v>
      </c>
      <c r="J165" s="450">
        <v>0.46333000000000002</v>
      </c>
      <c r="K165" s="453" t="s">
        <v>296</v>
      </c>
    </row>
    <row r="166" spans="1:11" ht="14.4" customHeight="1" thickBot="1" x14ac:dyDescent="0.35">
      <c r="A166" s="467" t="s">
        <v>447</v>
      </c>
      <c r="B166" s="449">
        <v>0</v>
      </c>
      <c r="C166" s="449">
        <v>6.1399999999999996E-3</v>
      </c>
      <c r="D166" s="450">
        <v>6.1399999999999996E-3</v>
      </c>
      <c r="E166" s="457" t="s">
        <v>290</v>
      </c>
      <c r="F166" s="449">
        <v>4.9406564584124654E-324</v>
      </c>
      <c r="G166" s="450">
        <v>0</v>
      </c>
      <c r="H166" s="452">
        <v>4.9406564584124654E-324</v>
      </c>
      <c r="I166" s="449">
        <v>0.46333000000000002</v>
      </c>
      <c r="J166" s="450">
        <v>0.46333000000000002</v>
      </c>
      <c r="K166" s="453" t="s">
        <v>296</v>
      </c>
    </row>
    <row r="167" spans="1:11" ht="14.4" customHeight="1" thickBot="1" x14ac:dyDescent="0.35">
      <c r="A167" s="469" t="s">
        <v>448</v>
      </c>
      <c r="B167" s="449">
        <v>0</v>
      </c>
      <c r="C167" s="449">
        <v>6.1399999999999996E-3</v>
      </c>
      <c r="D167" s="450">
        <v>6.1399999999999996E-3</v>
      </c>
      <c r="E167" s="457" t="s">
        <v>290</v>
      </c>
      <c r="F167" s="449">
        <v>4.9406564584124654E-324</v>
      </c>
      <c r="G167" s="450">
        <v>0</v>
      </c>
      <c r="H167" s="452">
        <v>4.9406564584124654E-324</v>
      </c>
      <c r="I167" s="449">
        <v>0.46333000000000002</v>
      </c>
      <c r="J167" s="450">
        <v>0.46333000000000002</v>
      </c>
      <c r="K167" s="453" t="s">
        <v>296</v>
      </c>
    </row>
    <row r="168" spans="1:11" ht="14.4" customHeight="1" thickBot="1" x14ac:dyDescent="0.35">
      <c r="A168" s="465" t="s">
        <v>449</v>
      </c>
      <c r="B168" s="449">
        <v>4.9406564584124654E-324</v>
      </c>
      <c r="C168" s="449">
        <v>6.1399999999999996E-3</v>
      </c>
      <c r="D168" s="450">
        <v>6.1399999999999996E-3</v>
      </c>
      <c r="E168" s="457" t="s">
        <v>296</v>
      </c>
      <c r="F168" s="449">
        <v>4.9406564584124654E-324</v>
      </c>
      <c r="G168" s="450">
        <v>0</v>
      </c>
      <c r="H168" s="452">
        <v>4.9406564584124654E-324</v>
      </c>
      <c r="I168" s="449">
        <v>0.46333000000000002</v>
      </c>
      <c r="J168" s="450">
        <v>0.46333000000000002</v>
      </c>
      <c r="K168" s="453" t="s">
        <v>296</v>
      </c>
    </row>
    <row r="169" spans="1:11" ht="14.4" customHeight="1" thickBot="1" x14ac:dyDescent="0.35">
      <c r="A169" s="466" t="s">
        <v>450</v>
      </c>
      <c r="B169" s="444">
        <v>4.9406564584124654E-324</v>
      </c>
      <c r="C169" s="444">
        <v>4.9406564584124654E-324</v>
      </c>
      <c r="D169" s="445">
        <v>0</v>
      </c>
      <c r="E169" s="446">
        <v>1</v>
      </c>
      <c r="F169" s="444">
        <v>4.9406564584124654E-324</v>
      </c>
      <c r="G169" s="445">
        <v>0</v>
      </c>
      <c r="H169" s="447">
        <v>4.9406564584124654E-324</v>
      </c>
      <c r="I169" s="444">
        <v>0.40200000000000002</v>
      </c>
      <c r="J169" s="445">
        <v>0.40200000000000002</v>
      </c>
      <c r="K169" s="454" t="s">
        <v>296</v>
      </c>
    </row>
    <row r="170" spans="1:11" ht="14.4" customHeight="1" thickBot="1" x14ac:dyDescent="0.35">
      <c r="A170" s="466" t="s">
        <v>451</v>
      </c>
      <c r="B170" s="444">
        <v>4.9406564584124654E-324</v>
      </c>
      <c r="C170" s="444">
        <v>6.1399999999999996E-3</v>
      </c>
      <c r="D170" s="445">
        <v>6.1399999999999996E-3</v>
      </c>
      <c r="E170" s="456" t="s">
        <v>296</v>
      </c>
      <c r="F170" s="444">
        <v>4.9406564584124654E-324</v>
      </c>
      <c r="G170" s="445">
        <v>0</v>
      </c>
      <c r="H170" s="447">
        <v>4.9406564584124654E-324</v>
      </c>
      <c r="I170" s="444">
        <v>6.1330000000000003E-2</v>
      </c>
      <c r="J170" s="445">
        <v>6.1330000000000003E-2</v>
      </c>
      <c r="K170" s="454" t="s">
        <v>296</v>
      </c>
    </row>
    <row r="171" spans="1:11" ht="14.4" customHeight="1" thickBot="1" x14ac:dyDescent="0.35">
      <c r="A171" s="471"/>
      <c r="B171" s="444">
        <v>-2951.1539475695499</v>
      </c>
      <c r="C171" s="444">
        <v>-4827.5262700000003</v>
      </c>
      <c r="D171" s="445">
        <v>-1876.3723224304499</v>
      </c>
      <c r="E171" s="446">
        <v>1.635809705547</v>
      </c>
      <c r="F171" s="444">
        <v>-5177.1374471791396</v>
      </c>
      <c r="G171" s="445">
        <v>-4745.7093265808799</v>
      </c>
      <c r="H171" s="447">
        <v>-612.76846999999998</v>
      </c>
      <c r="I171" s="444">
        <v>-4294.3179099999998</v>
      </c>
      <c r="J171" s="445">
        <v>451.391416580873</v>
      </c>
      <c r="K171" s="448">
        <v>0.82947728427400003</v>
      </c>
    </row>
    <row r="172" spans="1:11" ht="14.4" customHeight="1" thickBot="1" x14ac:dyDescent="0.35">
      <c r="A172" s="472" t="s">
        <v>66</v>
      </c>
      <c r="B172" s="458">
        <v>-2951.1539475695499</v>
      </c>
      <c r="C172" s="458">
        <v>-4827.5262700000003</v>
      </c>
      <c r="D172" s="459">
        <v>-1876.3723224304499</v>
      </c>
      <c r="E172" s="460" t="s">
        <v>290</v>
      </c>
      <c r="F172" s="458">
        <v>-5177.1374471791396</v>
      </c>
      <c r="G172" s="459">
        <v>-4745.7093265808799</v>
      </c>
      <c r="H172" s="458">
        <v>-612.76846999999998</v>
      </c>
      <c r="I172" s="458">
        <v>-4294.3179100000098</v>
      </c>
      <c r="J172" s="459">
        <v>451.39141658087198</v>
      </c>
      <c r="K172" s="461">
        <v>0.82947728427400003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146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452</v>
      </c>
      <c r="B5" s="474" t="s">
        <v>453</v>
      </c>
      <c r="C5" s="475" t="s">
        <v>454</v>
      </c>
      <c r="D5" s="475" t="s">
        <v>454</v>
      </c>
      <c r="E5" s="475"/>
      <c r="F5" s="475" t="s">
        <v>454</v>
      </c>
      <c r="G5" s="475" t="s">
        <v>454</v>
      </c>
      <c r="H5" s="475" t="s">
        <v>454</v>
      </c>
      <c r="I5" s="476" t="s">
        <v>454</v>
      </c>
      <c r="J5" s="477" t="s">
        <v>69</v>
      </c>
    </row>
    <row r="6" spans="1:10" ht="14.4" customHeight="1" x14ac:dyDescent="0.3">
      <c r="A6" s="473" t="s">
        <v>452</v>
      </c>
      <c r="B6" s="474" t="s">
        <v>299</v>
      </c>
      <c r="C6" s="475">
        <v>622.30366000000004</v>
      </c>
      <c r="D6" s="475">
        <v>565.28800999999794</v>
      </c>
      <c r="E6" s="475"/>
      <c r="F6" s="475">
        <v>530.58420000000001</v>
      </c>
      <c r="G6" s="475">
        <v>732.41874190301667</v>
      </c>
      <c r="H6" s="475">
        <v>-201.83454190301666</v>
      </c>
      <c r="I6" s="476">
        <v>0.72442739329881511</v>
      </c>
      <c r="J6" s="477" t="s">
        <v>1</v>
      </c>
    </row>
    <row r="7" spans="1:10" ht="14.4" customHeight="1" x14ac:dyDescent="0.3">
      <c r="A7" s="473" t="s">
        <v>452</v>
      </c>
      <c r="B7" s="474" t="s">
        <v>300</v>
      </c>
      <c r="C7" s="475">
        <v>1.3482099999999999</v>
      </c>
      <c r="D7" s="475">
        <v>3.7470000000000003E-2</v>
      </c>
      <c r="E7" s="475"/>
      <c r="F7" s="475">
        <v>0</v>
      </c>
      <c r="G7" s="475">
        <v>3.4765112506666668E-2</v>
      </c>
      <c r="H7" s="475">
        <v>-3.4765112506666668E-2</v>
      </c>
      <c r="I7" s="476">
        <v>0</v>
      </c>
      <c r="J7" s="477" t="s">
        <v>1</v>
      </c>
    </row>
    <row r="8" spans="1:10" ht="14.4" customHeight="1" x14ac:dyDescent="0.3">
      <c r="A8" s="473" t="s">
        <v>452</v>
      </c>
      <c r="B8" s="474" t="s">
        <v>455</v>
      </c>
      <c r="C8" s="475">
        <v>0.94847999999999999</v>
      </c>
      <c r="D8" s="475">
        <v>0</v>
      </c>
      <c r="E8" s="475"/>
      <c r="F8" s="475" t="s">
        <v>454</v>
      </c>
      <c r="G8" s="475" t="s">
        <v>454</v>
      </c>
      <c r="H8" s="475" t="s">
        <v>454</v>
      </c>
      <c r="I8" s="476" t="s">
        <v>454</v>
      </c>
      <c r="J8" s="477" t="s">
        <v>1</v>
      </c>
    </row>
    <row r="9" spans="1:10" ht="14.4" customHeight="1" x14ac:dyDescent="0.3">
      <c r="A9" s="473" t="s">
        <v>452</v>
      </c>
      <c r="B9" s="474" t="s">
        <v>456</v>
      </c>
      <c r="C9" s="475">
        <v>624.60035000000005</v>
      </c>
      <c r="D9" s="475">
        <v>565.32547999999792</v>
      </c>
      <c r="E9" s="475"/>
      <c r="F9" s="475">
        <v>530.58420000000001</v>
      </c>
      <c r="G9" s="475">
        <v>732.45350701552331</v>
      </c>
      <c r="H9" s="475">
        <v>-201.8693070155233</v>
      </c>
      <c r="I9" s="476">
        <v>0.72439300913710425</v>
      </c>
      <c r="J9" s="477" t="s">
        <v>457</v>
      </c>
    </row>
    <row r="11" spans="1:10" ht="14.4" customHeight="1" x14ac:dyDescent="0.3">
      <c r="A11" s="473" t="s">
        <v>452</v>
      </c>
      <c r="B11" s="474" t="s">
        <v>453</v>
      </c>
      <c r="C11" s="475" t="s">
        <v>454</v>
      </c>
      <c r="D11" s="475" t="s">
        <v>454</v>
      </c>
      <c r="E11" s="475"/>
      <c r="F11" s="475" t="s">
        <v>454</v>
      </c>
      <c r="G11" s="475" t="s">
        <v>454</v>
      </c>
      <c r="H11" s="475" t="s">
        <v>454</v>
      </c>
      <c r="I11" s="476" t="s">
        <v>454</v>
      </c>
      <c r="J11" s="477" t="s">
        <v>69</v>
      </c>
    </row>
    <row r="12" spans="1:10" ht="14.4" customHeight="1" x14ac:dyDescent="0.3">
      <c r="A12" s="473" t="s">
        <v>458</v>
      </c>
      <c r="B12" s="474" t="s">
        <v>459</v>
      </c>
      <c r="C12" s="475" t="s">
        <v>454</v>
      </c>
      <c r="D12" s="475" t="s">
        <v>454</v>
      </c>
      <c r="E12" s="475"/>
      <c r="F12" s="475" t="s">
        <v>454</v>
      </c>
      <c r="G12" s="475" t="s">
        <v>454</v>
      </c>
      <c r="H12" s="475" t="s">
        <v>454</v>
      </c>
      <c r="I12" s="476" t="s">
        <v>454</v>
      </c>
      <c r="J12" s="477" t="s">
        <v>0</v>
      </c>
    </row>
    <row r="13" spans="1:10" ht="14.4" customHeight="1" x14ac:dyDescent="0.3">
      <c r="A13" s="473" t="s">
        <v>458</v>
      </c>
      <c r="B13" s="474" t="s">
        <v>299</v>
      </c>
      <c r="C13" s="475">
        <v>174.09085000000002</v>
      </c>
      <c r="D13" s="475" t="s">
        <v>454</v>
      </c>
      <c r="E13" s="475"/>
      <c r="F13" s="475" t="s">
        <v>454</v>
      </c>
      <c r="G13" s="475" t="s">
        <v>454</v>
      </c>
      <c r="H13" s="475" t="s">
        <v>454</v>
      </c>
      <c r="I13" s="476" t="s">
        <v>454</v>
      </c>
      <c r="J13" s="477" t="s">
        <v>1</v>
      </c>
    </row>
    <row r="14" spans="1:10" ht="14.4" customHeight="1" x14ac:dyDescent="0.3">
      <c r="A14" s="473" t="s">
        <v>458</v>
      </c>
      <c r="B14" s="474" t="s">
        <v>300</v>
      </c>
      <c r="C14" s="475">
        <v>1.32134</v>
      </c>
      <c r="D14" s="475" t="s">
        <v>454</v>
      </c>
      <c r="E14" s="475"/>
      <c r="F14" s="475" t="s">
        <v>454</v>
      </c>
      <c r="G14" s="475" t="s">
        <v>454</v>
      </c>
      <c r="H14" s="475" t="s">
        <v>454</v>
      </c>
      <c r="I14" s="476" t="s">
        <v>454</v>
      </c>
      <c r="J14" s="477" t="s">
        <v>1</v>
      </c>
    </row>
    <row r="15" spans="1:10" ht="14.4" customHeight="1" x14ac:dyDescent="0.3">
      <c r="A15" s="473" t="s">
        <v>458</v>
      </c>
      <c r="B15" s="474" t="s">
        <v>455</v>
      </c>
      <c r="C15" s="475">
        <v>0</v>
      </c>
      <c r="D15" s="475" t="s">
        <v>454</v>
      </c>
      <c r="E15" s="475"/>
      <c r="F15" s="475" t="s">
        <v>454</v>
      </c>
      <c r="G15" s="475" t="s">
        <v>454</v>
      </c>
      <c r="H15" s="475" t="s">
        <v>454</v>
      </c>
      <c r="I15" s="476" t="s">
        <v>454</v>
      </c>
      <c r="J15" s="477" t="s">
        <v>1</v>
      </c>
    </row>
    <row r="16" spans="1:10" ht="14.4" customHeight="1" x14ac:dyDescent="0.3">
      <c r="A16" s="473" t="s">
        <v>458</v>
      </c>
      <c r="B16" s="474" t="s">
        <v>460</v>
      </c>
      <c r="C16" s="475">
        <v>175.41219000000001</v>
      </c>
      <c r="D16" s="475" t="s">
        <v>454</v>
      </c>
      <c r="E16" s="475"/>
      <c r="F16" s="475" t="s">
        <v>454</v>
      </c>
      <c r="G16" s="475" t="s">
        <v>454</v>
      </c>
      <c r="H16" s="475" t="s">
        <v>454</v>
      </c>
      <c r="I16" s="476" t="s">
        <v>454</v>
      </c>
      <c r="J16" s="477" t="s">
        <v>461</v>
      </c>
    </row>
    <row r="17" spans="1:10" ht="14.4" customHeight="1" x14ac:dyDescent="0.3">
      <c r="A17" s="473" t="s">
        <v>454</v>
      </c>
      <c r="B17" s="474" t="s">
        <v>454</v>
      </c>
      <c r="C17" s="475" t="s">
        <v>454</v>
      </c>
      <c r="D17" s="475" t="s">
        <v>454</v>
      </c>
      <c r="E17" s="475"/>
      <c r="F17" s="475" t="s">
        <v>454</v>
      </c>
      <c r="G17" s="475" t="s">
        <v>454</v>
      </c>
      <c r="H17" s="475" t="s">
        <v>454</v>
      </c>
      <c r="I17" s="476" t="s">
        <v>454</v>
      </c>
      <c r="J17" s="477" t="s">
        <v>462</v>
      </c>
    </row>
    <row r="18" spans="1:10" ht="14.4" customHeight="1" x14ac:dyDescent="0.3">
      <c r="A18" s="473" t="s">
        <v>463</v>
      </c>
      <c r="B18" s="474" t="s">
        <v>464</v>
      </c>
      <c r="C18" s="475" t="s">
        <v>454</v>
      </c>
      <c r="D18" s="475" t="s">
        <v>454</v>
      </c>
      <c r="E18" s="475"/>
      <c r="F18" s="475" t="s">
        <v>454</v>
      </c>
      <c r="G18" s="475" t="s">
        <v>454</v>
      </c>
      <c r="H18" s="475" t="s">
        <v>454</v>
      </c>
      <c r="I18" s="476" t="s">
        <v>454</v>
      </c>
      <c r="J18" s="477" t="s">
        <v>0</v>
      </c>
    </row>
    <row r="19" spans="1:10" ht="14.4" customHeight="1" x14ac:dyDescent="0.3">
      <c r="A19" s="473" t="s">
        <v>463</v>
      </c>
      <c r="B19" s="474" t="s">
        <v>299</v>
      </c>
      <c r="C19" s="475">
        <v>125.08535999999999</v>
      </c>
      <c r="D19" s="475">
        <v>130.77354999999901</v>
      </c>
      <c r="E19" s="475"/>
      <c r="F19" s="475">
        <v>101.45677999999998</v>
      </c>
      <c r="G19" s="475">
        <v>136.58371437158982</v>
      </c>
      <c r="H19" s="475">
        <v>-35.12693437158984</v>
      </c>
      <c r="I19" s="476">
        <v>0.74281754941864109</v>
      </c>
      <c r="J19" s="477" t="s">
        <v>1</v>
      </c>
    </row>
    <row r="20" spans="1:10" ht="14.4" customHeight="1" x14ac:dyDescent="0.3">
      <c r="A20" s="473" t="s">
        <v>463</v>
      </c>
      <c r="B20" s="474" t="s">
        <v>300</v>
      </c>
      <c r="C20" s="475">
        <v>2.6870000000000002E-2</v>
      </c>
      <c r="D20" s="475">
        <v>3.7470000000000003E-2</v>
      </c>
      <c r="E20" s="475"/>
      <c r="F20" s="475">
        <v>0</v>
      </c>
      <c r="G20" s="475">
        <v>3.4765112506666668E-2</v>
      </c>
      <c r="H20" s="475">
        <v>-3.4765112506666668E-2</v>
      </c>
      <c r="I20" s="476">
        <v>0</v>
      </c>
      <c r="J20" s="477" t="s">
        <v>1</v>
      </c>
    </row>
    <row r="21" spans="1:10" ht="14.4" customHeight="1" x14ac:dyDescent="0.3">
      <c r="A21" s="473" t="s">
        <v>463</v>
      </c>
      <c r="B21" s="474" t="s">
        <v>455</v>
      </c>
      <c r="C21" s="475">
        <v>0.94847999999999999</v>
      </c>
      <c r="D21" s="475">
        <v>0</v>
      </c>
      <c r="E21" s="475"/>
      <c r="F21" s="475" t="s">
        <v>454</v>
      </c>
      <c r="G21" s="475" t="s">
        <v>454</v>
      </c>
      <c r="H21" s="475" t="s">
        <v>454</v>
      </c>
      <c r="I21" s="476" t="s">
        <v>454</v>
      </c>
      <c r="J21" s="477" t="s">
        <v>1</v>
      </c>
    </row>
    <row r="22" spans="1:10" ht="14.4" customHeight="1" x14ac:dyDescent="0.3">
      <c r="A22" s="473" t="s">
        <v>463</v>
      </c>
      <c r="B22" s="474" t="s">
        <v>465</v>
      </c>
      <c r="C22" s="475">
        <v>126.06071</v>
      </c>
      <c r="D22" s="475">
        <v>130.81101999999902</v>
      </c>
      <c r="E22" s="475"/>
      <c r="F22" s="475">
        <v>101.45677999999998</v>
      </c>
      <c r="G22" s="475">
        <v>136.6184794840965</v>
      </c>
      <c r="H22" s="475">
        <v>-35.161699484096516</v>
      </c>
      <c r="I22" s="476">
        <v>0.74262852568060078</v>
      </c>
      <c r="J22" s="477" t="s">
        <v>461</v>
      </c>
    </row>
    <row r="23" spans="1:10" ht="14.4" customHeight="1" x14ac:dyDescent="0.3">
      <c r="A23" s="473" t="s">
        <v>454</v>
      </c>
      <c r="B23" s="474" t="s">
        <v>454</v>
      </c>
      <c r="C23" s="475" t="s">
        <v>454</v>
      </c>
      <c r="D23" s="475" t="s">
        <v>454</v>
      </c>
      <c r="E23" s="475"/>
      <c r="F23" s="475" t="s">
        <v>454</v>
      </c>
      <c r="G23" s="475" t="s">
        <v>454</v>
      </c>
      <c r="H23" s="475" t="s">
        <v>454</v>
      </c>
      <c r="I23" s="476" t="s">
        <v>454</v>
      </c>
      <c r="J23" s="477" t="s">
        <v>462</v>
      </c>
    </row>
    <row r="24" spans="1:10" ht="14.4" customHeight="1" x14ac:dyDescent="0.3">
      <c r="A24" s="473" t="s">
        <v>466</v>
      </c>
      <c r="B24" s="474" t="s">
        <v>467</v>
      </c>
      <c r="C24" s="475" t="s">
        <v>454</v>
      </c>
      <c r="D24" s="475" t="s">
        <v>454</v>
      </c>
      <c r="E24" s="475"/>
      <c r="F24" s="475" t="s">
        <v>454</v>
      </c>
      <c r="G24" s="475" t="s">
        <v>454</v>
      </c>
      <c r="H24" s="475" t="s">
        <v>454</v>
      </c>
      <c r="I24" s="476" t="s">
        <v>454</v>
      </c>
      <c r="J24" s="477" t="s">
        <v>0</v>
      </c>
    </row>
    <row r="25" spans="1:10" ht="14.4" customHeight="1" x14ac:dyDescent="0.3">
      <c r="A25" s="473" t="s">
        <v>466</v>
      </c>
      <c r="B25" s="474" t="s">
        <v>299</v>
      </c>
      <c r="C25" s="475">
        <v>323.12745000000001</v>
      </c>
      <c r="D25" s="475">
        <v>434.51445999999896</v>
      </c>
      <c r="E25" s="475"/>
      <c r="F25" s="475">
        <v>429.12741999999997</v>
      </c>
      <c r="G25" s="475">
        <v>595.83502753142682</v>
      </c>
      <c r="H25" s="475">
        <v>-166.70760753142685</v>
      </c>
      <c r="I25" s="476">
        <v>0.72021180389124739</v>
      </c>
      <c r="J25" s="477" t="s">
        <v>1</v>
      </c>
    </row>
    <row r="26" spans="1:10" ht="14.4" customHeight="1" x14ac:dyDescent="0.3">
      <c r="A26" s="473" t="s">
        <v>466</v>
      </c>
      <c r="B26" s="474" t="s">
        <v>468</v>
      </c>
      <c r="C26" s="475">
        <v>323.12745000000001</v>
      </c>
      <c r="D26" s="475">
        <v>434.51445999999896</v>
      </c>
      <c r="E26" s="475"/>
      <c r="F26" s="475">
        <v>429.12741999999997</v>
      </c>
      <c r="G26" s="475">
        <v>595.83502753142682</v>
      </c>
      <c r="H26" s="475">
        <v>-166.70760753142685</v>
      </c>
      <c r="I26" s="476">
        <v>0.72021180389124739</v>
      </c>
      <c r="J26" s="477" t="s">
        <v>461</v>
      </c>
    </row>
    <row r="27" spans="1:10" ht="14.4" customHeight="1" x14ac:dyDescent="0.3">
      <c r="A27" s="473" t="s">
        <v>454</v>
      </c>
      <c r="B27" s="474" t="s">
        <v>454</v>
      </c>
      <c r="C27" s="475" t="s">
        <v>454</v>
      </c>
      <c r="D27" s="475" t="s">
        <v>454</v>
      </c>
      <c r="E27" s="475"/>
      <c r="F27" s="475" t="s">
        <v>454</v>
      </c>
      <c r="G27" s="475" t="s">
        <v>454</v>
      </c>
      <c r="H27" s="475" t="s">
        <v>454</v>
      </c>
      <c r="I27" s="476" t="s">
        <v>454</v>
      </c>
      <c r="J27" s="477" t="s">
        <v>462</v>
      </c>
    </row>
    <row r="28" spans="1:10" ht="14.4" customHeight="1" x14ac:dyDescent="0.3">
      <c r="A28" s="473" t="s">
        <v>452</v>
      </c>
      <c r="B28" s="474" t="s">
        <v>456</v>
      </c>
      <c r="C28" s="475">
        <v>624.60034999999993</v>
      </c>
      <c r="D28" s="475">
        <v>565.32547999999792</v>
      </c>
      <c r="E28" s="475"/>
      <c r="F28" s="475">
        <v>530.58420000000001</v>
      </c>
      <c r="G28" s="475">
        <v>732.45350701552331</v>
      </c>
      <c r="H28" s="475">
        <v>-201.8693070155233</v>
      </c>
      <c r="I28" s="476">
        <v>0.72439300913710425</v>
      </c>
      <c r="J28" s="477" t="s">
        <v>457</v>
      </c>
    </row>
  </sheetData>
  <mergeCells count="3">
    <mergeCell ref="F3:I3"/>
    <mergeCell ref="C4:D4"/>
    <mergeCell ref="A1:I1"/>
  </mergeCells>
  <conditionalFormatting sqref="F10 F29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8">
    <cfRule type="expression" dxfId="49" priority="5">
      <formula>$H11&gt;0</formula>
    </cfRule>
  </conditionalFormatting>
  <conditionalFormatting sqref="A11:A28">
    <cfRule type="expression" dxfId="48" priority="2">
      <formula>AND($J11&lt;&gt;"mezeraKL",$J11&lt;&gt;"")</formula>
    </cfRule>
  </conditionalFormatting>
  <conditionalFormatting sqref="I11:I28">
    <cfRule type="expression" dxfId="47" priority="6">
      <formula>$I11&gt;1</formula>
    </cfRule>
  </conditionalFormatting>
  <conditionalFormatting sqref="B11:B28">
    <cfRule type="expression" dxfId="46" priority="1">
      <formula>OR($J11="NS",$J11="SumaNS",$J11="Účet")</formula>
    </cfRule>
  </conditionalFormatting>
  <conditionalFormatting sqref="A11:D28 F11:I28">
    <cfRule type="expression" dxfId="45" priority="8">
      <formula>AND($J11&lt;&gt;"",$J11&lt;&gt;"mezeraKL")</formula>
    </cfRule>
  </conditionalFormatting>
  <conditionalFormatting sqref="B11:D28 F11:I28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5" style="224" customWidth="1"/>
    <col min="8" max="8" width="12.44140625" style="224" hidden="1" customWidth="1" outlineLevel="1"/>
    <col min="9" max="9" width="8.5546875" style="224" hidden="1" customWidth="1" outlineLevel="1"/>
    <col min="10" max="10" width="25.77734375" style="224" customWidth="1" collapsed="1"/>
    <col min="11" max="11" width="8.77734375" style="224" customWidth="1"/>
    <col min="12" max="13" width="7.77734375" style="222" customWidth="1"/>
    <col min="14" max="14" width="11.109375" style="222" customWidth="1"/>
    <col min="15" max="16384" width="8.88671875" style="143"/>
  </cols>
  <sheetData>
    <row r="1" spans="1:14" ht="18.600000000000001" customHeight="1" thickBot="1" x14ac:dyDescent="0.4">
      <c r="A1" s="379" t="s">
        <v>174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</row>
    <row r="3" spans="1:14" ht="14.4" customHeight="1" thickBot="1" x14ac:dyDescent="0.35">
      <c r="A3" s="62"/>
      <c r="B3" s="62"/>
      <c r="C3" s="375"/>
      <c r="D3" s="376"/>
      <c r="E3" s="376"/>
      <c r="F3" s="376"/>
      <c r="G3" s="376"/>
      <c r="H3" s="376"/>
      <c r="I3" s="376"/>
      <c r="J3" s="377" t="s">
        <v>136</v>
      </c>
      <c r="K3" s="378"/>
      <c r="L3" s="109">
        <f>IF(M3&lt;&gt;0,N3/M3,0)</f>
        <v>273.62402638768032</v>
      </c>
      <c r="M3" s="109">
        <f>SUBTOTAL(9,M5:M1048576)</f>
        <v>1939</v>
      </c>
      <c r="N3" s="110">
        <f>SUBTOTAL(9,N5:N1048576)</f>
        <v>530556.98716571217</v>
      </c>
    </row>
    <row r="4" spans="1:14" s="223" customFormat="1" ht="14.4" customHeight="1" thickBot="1" x14ac:dyDescent="0.35">
      <c r="A4" s="478" t="s">
        <v>4</v>
      </c>
      <c r="B4" s="479" t="s">
        <v>5</v>
      </c>
      <c r="C4" s="479" t="s">
        <v>0</v>
      </c>
      <c r="D4" s="479" t="s">
        <v>6</v>
      </c>
      <c r="E4" s="479" t="s">
        <v>7</v>
      </c>
      <c r="F4" s="479" t="s">
        <v>1</v>
      </c>
      <c r="G4" s="479" t="s">
        <v>8</v>
      </c>
      <c r="H4" s="479" t="s">
        <v>9</v>
      </c>
      <c r="I4" s="479" t="s">
        <v>10</v>
      </c>
      <c r="J4" s="480" t="s">
        <v>11</v>
      </c>
      <c r="K4" s="480" t="s">
        <v>12</v>
      </c>
      <c r="L4" s="481" t="s">
        <v>152</v>
      </c>
      <c r="M4" s="481" t="s">
        <v>13</v>
      </c>
      <c r="N4" s="482" t="s">
        <v>169</v>
      </c>
    </row>
    <row r="5" spans="1:14" ht="14.4" customHeight="1" x14ac:dyDescent="0.3">
      <c r="A5" s="485" t="s">
        <v>452</v>
      </c>
      <c r="B5" s="486" t="s">
        <v>453</v>
      </c>
      <c r="C5" s="487" t="s">
        <v>463</v>
      </c>
      <c r="D5" s="488" t="s">
        <v>605</v>
      </c>
      <c r="E5" s="487" t="s">
        <v>469</v>
      </c>
      <c r="F5" s="488" t="s">
        <v>607</v>
      </c>
      <c r="G5" s="487" t="s">
        <v>470</v>
      </c>
      <c r="H5" s="487" t="s">
        <v>471</v>
      </c>
      <c r="I5" s="487" t="s">
        <v>471</v>
      </c>
      <c r="J5" s="487" t="s">
        <v>472</v>
      </c>
      <c r="K5" s="487" t="s">
        <v>473</v>
      </c>
      <c r="L5" s="489">
        <v>183.08945035470393</v>
      </c>
      <c r="M5" s="489">
        <v>96</v>
      </c>
      <c r="N5" s="490">
        <v>17576.587234051578</v>
      </c>
    </row>
    <row r="6" spans="1:14" ht="14.4" customHeight="1" x14ac:dyDescent="0.3">
      <c r="A6" s="491" t="s">
        <v>452</v>
      </c>
      <c r="B6" s="492" t="s">
        <v>453</v>
      </c>
      <c r="C6" s="493" t="s">
        <v>463</v>
      </c>
      <c r="D6" s="494" t="s">
        <v>605</v>
      </c>
      <c r="E6" s="493" t="s">
        <v>469</v>
      </c>
      <c r="F6" s="494" t="s">
        <v>607</v>
      </c>
      <c r="G6" s="493" t="s">
        <v>470</v>
      </c>
      <c r="H6" s="493" t="s">
        <v>474</v>
      </c>
      <c r="I6" s="493" t="s">
        <v>474</v>
      </c>
      <c r="J6" s="493" t="s">
        <v>472</v>
      </c>
      <c r="K6" s="493" t="s">
        <v>475</v>
      </c>
      <c r="L6" s="495">
        <v>97.18</v>
      </c>
      <c r="M6" s="495">
        <v>3</v>
      </c>
      <c r="N6" s="496">
        <v>291.54000000000002</v>
      </c>
    </row>
    <row r="7" spans="1:14" ht="14.4" customHeight="1" x14ac:dyDescent="0.3">
      <c r="A7" s="491" t="s">
        <v>452</v>
      </c>
      <c r="B7" s="492" t="s">
        <v>453</v>
      </c>
      <c r="C7" s="493" t="s">
        <v>463</v>
      </c>
      <c r="D7" s="494" t="s">
        <v>605</v>
      </c>
      <c r="E7" s="493" t="s">
        <v>469</v>
      </c>
      <c r="F7" s="494" t="s">
        <v>607</v>
      </c>
      <c r="G7" s="493" t="s">
        <v>470</v>
      </c>
      <c r="H7" s="493" t="s">
        <v>476</v>
      </c>
      <c r="I7" s="493" t="s">
        <v>477</v>
      </c>
      <c r="J7" s="493" t="s">
        <v>478</v>
      </c>
      <c r="K7" s="493" t="s">
        <v>479</v>
      </c>
      <c r="L7" s="495">
        <v>89.38492389064821</v>
      </c>
      <c r="M7" s="495">
        <v>4</v>
      </c>
      <c r="N7" s="496">
        <v>357.53969556259284</v>
      </c>
    </row>
    <row r="8" spans="1:14" ht="14.4" customHeight="1" x14ac:dyDescent="0.3">
      <c r="A8" s="491" t="s">
        <v>452</v>
      </c>
      <c r="B8" s="492" t="s">
        <v>453</v>
      </c>
      <c r="C8" s="493" t="s">
        <v>463</v>
      </c>
      <c r="D8" s="494" t="s">
        <v>605</v>
      </c>
      <c r="E8" s="493" t="s">
        <v>469</v>
      </c>
      <c r="F8" s="494" t="s">
        <v>607</v>
      </c>
      <c r="G8" s="493" t="s">
        <v>470</v>
      </c>
      <c r="H8" s="493" t="s">
        <v>480</v>
      </c>
      <c r="I8" s="493" t="s">
        <v>481</v>
      </c>
      <c r="J8" s="493" t="s">
        <v>482</v>
      </c>
      <c r="K8" s="493" t="s">
        <v>483</v>
      </c>
      <c r="L8" s="495">
        <v>100.32589731863692</v>
      </c>
      <c r="M8" s="495">
        <v>500</v>
      </c>
      <c r="N8" s="496">
        <v>50162.948659318463</v>
      </c>
    </row>
    <row r="9" spans="1:14" ht="14.4" customHeight="1" x14ac:dyDescent="0.3">
      <c r="A9" s="491" t="s">
        <v>452</v>
      </c>
      <c r="B9" s="492" t="s">
        <v>453</v>
      </c>
      <c r="C9" s="493" t="s">
        <v>463</v>
      </c>
      <c r="D9" s="494" t="s">
        <v>605</v>
      </c>
      <c r="E9" s="493" t="s">
        <v>469</v>
      </c>
      <c r="F9" s="494" t="s">
        <v>607</v>
      </c>
      <c r="G9" s="493" t="s">
        <v>470</v>
      </c>
      <c r="H9" s="493" t="s">
        <v>484</v>
      </c>
      <c r="I9" s="493" t="s">
        <v>485</v>
      </c>
      <c r="J9" s="493" t="s">
        <v>486</v>
      </c>
      <c r="K9" s="493" t="s">
        <v>487</v>
      </c>
      <c r="L9" s="495">
        <v>119.38</v>
      </c>
      <c r="M9" s="495">
        <v>6</v>
      </c>
      <c r="N9" s="496">
        <v>716.28</v>
      </c>
    </row>
    <row r="10" spans="1:14" ht="14.4" customHeight="1" x14ac:dyDescent="0.3">
      <c r="A10" s="491" t="s">
        <v>452</v>
      </c>
      <c r="B10" s="492" t="s">
        <v>453</v>
      </c>
      <c r="C10" s="493" t="s">
        <v>463</v>
      </c>
      <c r="D10" s="494" t="s">
        <v>605</v>
      </c>
      <c r="E10" s="493" t="s">
        <v>469</v>
      </c>
      <c r="F10" s="494" t="s">
        <v>607</v>
      </c>
      <c r="G10" s="493" t="s">
        <v>470</v>
      </c>
      <c r="H10" s="493" t="s">
        <v>488</v>
      </c>
      <c r="I10" s="493" t="s">
        <v>489</v>
      </c>
      <c r="J10" s="493" t="s">
        <v>490</v>
      </c>
      <c r="K10" s="493" t="s">
        <v>491</v>
      </c>
      <c r="L10" s="495">
        <v>60.350080728869742</v>
      </c>
      <c r="M10" s="495">
        <v>39</v>
      </c>
      <c r="N10" s="496">
        <v>2353.6531484259199</v>
      </c>
    </row>
    <row r="11" spans="1:14" ht="14.4" customHeight="1" x14ac:dyDescent="0.3">
      <c r="A11" s="491" t="s">
        <v>452</v>
      </c>
      <c r="B11" s="492" t="s">
        <v>453</v>
      </c>
      <c r="C11" s="493" t="s">
        <v>463</v>
      </c>
      <c r="D11" s="494" t="s">
        <v>605</v>
      </c>
      <c r="E11" s="493" t="s">
        <v>469</v>
      </c>
      <c r="F11" s="494" t="s">
        <v>607</v>
      </c>
      <c r="G11" s="493" t="s">
        <v>470</v>
      </c>
      <c r="H11" s="493" t="s">
        <v>492</v>
      </c>
      <c r="I11" s="493" t="s">
        <v>492</v>
      </c>
      <c r="J11" s="493" t="s">
        <v>493</v>
      </c>
      <c r="K11" s="493" t="s">
        <v>494</v>
      </c>
      <c r="L11" s="495">
        <v>38.18999921615795</v>
      </c>
      <c r="M11" s="495">
        <v>4</v>
      </c>
      <c r="N11" s="496">
        <v>152.7599968646318</v>
      </c>
    </row>
    <row r="12" spans="1:14" ht="14.4" customHeight="1" x14ac:dyDescent="0.3">
      <c r="A12" s="491" t="s">
        <v>452</v>
      </c>
      <c r="B12" s="492" t="s">
        <v>453</v>
      </c>
      <c r="C12" s="493" t="s">
        <v>463</v>
      </c>
      <c r="D12" s="494" t="s">
        <v>605</v>
      </c>
      <c r="E12" s="493" t="s">
        <v>469</v>
      </c>
      <c r="F12" s="494" t="s">
        <v>607</v>
      </c>
      <c r="G12" s="493" t="s">
        <v>470</v>
      </c>
      <c r="H12" s="493" t="s">
        <v>495</v>
      </c>
      <c r="I12" s="493" t="s">
        <v>496</v>
      </c>
      <c r="J12" s="493" t="s">
        <v>497</v>
      </c>
      <c r="K12" s="493"/>
      <c r="L12" s="495">
        <v>103.49818826309574</v>
      </c>
      <c r="M12" s="495">
        <v>1</v>
      </c>
      <c r="N12" s="496">
        <v>103.49818826309574</v>
      </c>
    </row>
    <row r="13" spans="1:14" ht="14.4" customHeight="1" x14ac:dyDescent="0.3">
      <c r="A13" s="491" t="s">
        <v>452</v>
      </c>
      <c r="B13" s="492" t="s">
        <v>453</v>
      </c>
      <c r="C13" s="493" t="s">
        <v>463</v>
      </c>
      <c r="D13" s="494" t="s">
        <v>605</v>
      </c>
      <c r="E13" s="493" t="s">
        <v>469</v>
      </c>
      <c r="F13" s="494" t="s">
        <v>607</v>
      </c>
      <c r="G13" s="493" t="s">
        <v>470</v>
      </c>
      <c r="H13" s="493" t="s">
        <v>498</v>
      </c>
      <c r="I13" s="493" t="s">
        <v>499</v>
      </c>
      <c r="J13" s="493" t="s">
        <v>500</v>
      </c>
      <c r="K13" s="493"/>
      <c r="L13" s="495">
        <v>207.13368039876107</v>
      </c>
      <c r="M13" s="495">
        <v>27</v>
      </c>
      <c r="N13" s="496">
        <v>5592.6093707665486</v>
      </c>
    </row>
    <row r="14" spans="1:14" ht="14.4" customHeight="1" x14ac:dyDescent="0.3">
      <c r="A14" s="491" t="s">
        <v>452</v>
      </c>
      <c r="B14" s="492" t="s">
        <v>453</v>
      </c>
      <c r="C14" s="493" t="s">
        <v>463</v>
      </c>
      <c r="D14" s="494" t="s">
        <v>605</v>
      </c>
      <c r="E14" s="493" t="s">
        <v>469</v>
      </c>
      <c r="F14" s="494" t="s">
        <v>607</v>
      </c>
      <c r="G14" s="493" t="s">
        <v>470</v>
      </c>
      <c r="H14" s="493" t="s">
        <v>501</v>
      </c>
      <c r="I14" s="493" t="s">
        <v>502</v>
      </c>
      <c r="J14" s="493" t="s">
        <v>503</v>
      </c>
      <c r="K14" s="493" t="s">
        <v>504</v>
      </c>
      <c r="L14" s="495">
        <v>50.871764388180502</v>
      </c>
      <c r="M14" s="495">
        <v>300</v>
      </c>
      <c r="N14" s="496">
        <v>15261.529316454151</v>
      </c>
    </row>
    <row r="15" spans="1:14" ht="14.4" customHeight="1" x14ac:dyDescent="0.3">
      <c r="A15" s="491" t="s">
        <v>452</v>
      </c>
      <c r="B15" s="492" t="s">
        <v>453</v>
      </c>
      <c r="C15" s="493" t="s">
        <v>463</v>
      </c>
      <c r="D15" s="494" t="s">
        <v>605</v>
      </c>
      <c r="E15" s="493" t="s">
        <v>469</v>
      </c>
      <c r="F15" s="494" t="s">
        <v>607</v>
      </c>
      <c r="G15" s="493" t="s">
        <v>470</v>
      </c>
      <c r="H15" s="493" t="s">
        <v>505</v>
      </c>
      <c r="I15" s="493" t="s">
        <v>199</v>
      </c>
      <c r="J15" s="493" t="s">
        <v>506</v>
      </c>
      <c r="K15" s="493"/>
      <c r="L15" s="495">
        <v>97.320302371670053</v>
      </c>
      <c r="M15" s="495">
        <v>12</v>
      </c>
      <c r="N15" s="496">
        <v>1167.8436284600407</v>
      </c>
    </row>
    <row r="16" spans="1:14" ht="14.4" customHeight="1" x14ac:dyDescent="0.3">
      <c r="A16" s="491" t="s">
        <v>452</v>
      </c>
      <c r="B16" s="492" t="s">
        <v>453</v>
      </c>
      <c r="C16" s="493" t="s">
        <v>463</v>
      </c>
      <c r="D16" s="494" t="s">
        <v>605</v>
      </c>
      <c r="E16" s="493" t="s">
        <v>469</v>
      </c>
      <c r="F16" s="494" t="s">
        <v>607</v>
      </c>
      <c r="G16" s="493" t="s">
        <v>470</v>
      </c>
      <c r="H16" s="493" t="s">
        <v>507</v>
      </c>
      <c r="I16" s="493" t="s">
        <v>508</v>
      </c>
      <c r="J16" s="493" t="s">
        <v>509</v>
      </c>
      <c r="K16" s="493" t="s">
        <v>510</v>
      </c>
      <c r="L16" s="495">
        <v>37.56</v>
      </c>
      <c r="M16" s="495">
        <v>1</v>
      </c>
      <c r="N16" s="496">
        <v>37.56</v>
      </c>
    </row>
    <row r="17" spans="1:14" ht="14.4" customHeight="1" x14ac:dyDescent="0.3">
      <c r="A17" s="491" t="s">
        <v>452</v>
      </c>
      <c r="B17" s="492" t="s">
        <v>453</v>
      </c>
      <c r="C17" s="493" t="s">
        <v>463</v>
      </c>
      <c r="D17" s="494" t="s">
        <v>605</v>
      </c>
      <c r="E17" s="493" t="s">
        <v>469</v>
      </c>
      <c r="F17" s="494" t="s">
        <v>607</v>
      </c>
      <c r="G17" s="493" t="s">
        <v>470</v>
      </c>
      <c r="H17" s="493" t="s">
        <v>511</v>
      </c>
      <c r="I17" s="493" t="s">
        <v>512</v>
      </c>
      <c r="J17" s="493" t="s">
        <v>513</v>
      </c>
      <c r="K17" s="493" t="s">
        <v>514</v>
      </c>
      <c r="L17" s="495">
        <v>74.232500000000002</v>
      </c>
      <c r="M17" s="495">
        <v>1</v>
      </c>
      <c r="N17" s="496">
        <v>74.232500000000002</v>
      </c>
    </row>
    <row r="18" spans="1:14" ht="14.4" customHeight="1" x14ac:dyDescent="0.3">
      <c r="A18" s="491" t="s">
        <v>452</v>
      </c>
      <c r="B18" s="492" t="s">
        <v>453</v>
      </c>
      <c r="C18" s="493" t="s">
        <v>463</v>
      </c>
      <c r="D18" s="494" t="s">
        <v>605</v>
      </c>
      <c r="E18" s="493" t="s">
        <v>469</v>
      </c>
      <c r="F18" s="494" t="s">
        <v>607</v>
      </c>
      <c r="G18" s="493" t="s">
        <v>470</v>
      </c>
      <c r="H18" s="493" t="s">
        <v>515</v>
      </c>
      <c r="I18" s="493" t="s">
        <v>199</v>
      </c>
      <c r="J18" s="493" t="s">
        <v>516</v>
      </c>
      <c r="K18" s="493"/>
      <c r="L18" s="495">
        <v>221.82786663398406</v>
      </c>
      <c r="M18" s="495">
        <v>5</v>
      </c>
      <c r="N18" s="496">
        <v>1109.1393331699203</v>
      </c>
    </row>
    <row r="19" spans="1:14" ht="14.4" customHeight="1" x14ac:dyDescent="0.3">
      <c r="A19" s="491" t="s">
        <v>452</v>
      </c>
      <c r="B19" s="492" t="s">
        <v>453</v>
      </c>
      <c r="C19" s="493" t="s">
        <v>463</v>
      </c>
      <c r="D19" s="494" t="s">
        <v>605</v>
      </c>
      <c r="E19" s="493" t="s">
        <v>469</v>
      </c>
      <c r="F19" s="494" t="s">
        <v>607</v>
      </c>
      <c r="G19" s="493" t="s">
        <v>470</v>
      </c>
      <c r="H19" s="493" t="s">
        <v>517</v>
      </c>
      <c r="I19" s="493" t="s">
        <v>518</v>
      </c>
      <c r="J19" s="493" t="s">
        <v>519</v>
      </c>
      <c r="K19" s="493" t="s">
        <v>520</v>
      </c>
      <c r="L19" s="495">
        <v>34.629982645294348</v>
      </c>
      <c r="M19" s="495">
        <v>2</v>
      </c>
      <c r="N19" s="496">
        <v>69.259965290588696</v>
      </c>
    </row>
    <row r="20" spans="1:14" ht="14.4" customHeight="1" x14ac:dyDescent="0.3">
      <c r="A20" s="491" t="s">
        <v>452</v>
      </c>
      <c r="B20" s="492" t="s">
        <v>453</v>
      </c>
      <c r="C20" s="493" t="s">
        <v>463</v>
      </c>
      <c r="D20" s="494" t="s">
        <v>605</v>
      </c>
      <c r="E20" s="493" t="s">
        <v>469</v>
      </c>
      <c r="F20" s="494" t="s">
        <v>607</v>
      </c>
      <c r="G20" s="493" t="s">
        <v>470</v>
      </c>
      <c r="H20" s="493" t="s">
        <v>521</v>
      </c>
      <c r="I20" s="493" t="s">
        <v>522</v>
      </c>
      <c r="J20" s="493" t="s">
        <v>523</v>
      </c>
      <c r="K20" s="493" t="s">
        <v>524</v>
      </c>
      <c r="L20" s="495">
        <v>51.640000000000015</v>
      </c>
      <c r="M20" s="495">
        <v>1</v>
      </c>
      <c r="N20" s="496">
        <v>51.640000000000015</v>
      </c>
    </row>
    <row r="21" spans="1:14" ht="14.4" customHeight="1" x14ac:dyDescent="0.3">
      <c r="A21" s="491" t="s">
        <v>452</v>
      </c>
      <c r="B21" s="492" t="s">
        <v>453</v>
      </c>
      <c r="C21" s="493" t="s">
        <v>463</v>
      </c>
      <c r="D21" s="494" t="s">
        <v>605</v>
      </c>
      <c r="E21" s="493" t="s">
        <v>469</v>
      </c>
      <c r="F21" s="494" t="s">
        <v>607</v>
      </c>
      <c r="G21" s="493" t="s">
        <v>470</v>
      </c>
      <c r="H21" s="493" t="s">
        <v>525</v>
      </c>
      <c r="I21" s="493" t="s">
        <v>199</v>
      </c>
      <c r="J21" s="493" t="s">
        <v>526</v>
      </c>
      <c r="K21" s="493"/>
      <c r="L21" s="495">
        <v>53.085648449515475</v>
      </c>
      <c r="M21" s="495">
        <v>19</v>
      </c>
      <c r="N21" s="496">
        <v>1008.627320540794</v>
      </c>
    </row>
    <row r="22" spans="1:14" ht="14.4" customHeight="1" x14ac:dyDescent="0.3">
      <c r="A22" s="491" t="s">
        <v>452</v>
      </c>
      <c r="B22" s="492" t="s">
        <v>453</v>
      </c>
      <c r="C22" s="493" t="s">
        <v>463</v>
      </c>
      <c r="D22" s="494" t="s">
        <v>605</v>
      </c>
      <c r="E22" s="493" t="s">
        <v>469</v>
      </c>
      <c r="F22" s="494" t="s">
        <v>607</v>
      </c>
      <c r="G22" s="493" t="s">
        <v>470</v>
      </c>
      <c r="H22" s="493" t="s">
        <v>527</v>
      </c>
      <c r="I22" s="493" t="s">
        <v>199</v>
      </c>
      <c r="J22" s="493" t="s">
        <v>528</v>
      </c>
      <c r="K22" s="493"/>
      <c r="L22" s="495">
        <v>47.33</v>
      </c>
      <c r="M22" s="495">
        <v>1</v>
      </c>
      <c r="N22" s="496">
        <v>47.33</v>
      </c>
    </row>
    <row r="23" spans="1:14" ht="14.4" customHeight="1" x14ac:dyDescent="0.3">
      <c r="A23" s="491" t="s">
        <v>452</v>
      </c>
      <c r="B23" s="492" t="s">
        <v>453</v>
      </c>
      <c r="C23" s="493" t="s">
        <v>463</v>
      </c>
      <c r="D23" s="494" t="s">
        <v>605</v>
      </c>
      <c r="E23" s="493" t="s">
        <v>469</v>
      </c>
      <c r="F23" s="494" t="s">
        <v>607</v>
      </c>
      <c r="G23" s="493" t="s">
        <v>470</v>
      </c>
      <c r="H23" s="493" t="s">
        <v>529</v>
      </c>
      <c r="I23" s="493" t="s">
        <v>199</v>
      </c>
      <c r="J23" s="493" t="s">
        <v>530</v>
      </c>
      <c r="K23" s="493"/>
      <c r="L23" s="495">
        <v>210.45484696541379</v>
      </c>
      <c r="M23" s="495">
        <v>10</v>
      </c>
      <c r="N23" s="496">
        <v>2104.548469654138</v>
      </c>
    </row>
    <row r="24" spans="1:14" ht="14.4" customHeight="1" x14ac:dyDescent="0.3">
      <c r="A24" s="491" t="s">
        <v>452</v>
      </c>
      <c r="B24" s="492" t="s">
        <v>453</v>
      </c>
      <c r="C24" s="493" t="s">
        <v>463</v>
      </c>
      <c r="D24" s="494" t="s">
        <v>605</v>
      </c>
      <c r="E24" s="493" t="s">
        <v>469</v>
      </c>
      <c r="F24" s="494" t="s">
        <v>607</v>
      </c>
      <c r="G24" s="493" t="s">
        <v>470</v>
      </c>
      <c r="H24" s="493" t="s">
        <v>531</v>
      </c>
      <c r="I24" s="493" t="s">
        <v>532</v>
      </c>
      <c r="J24" s="493" t="s">
        <v>533</v>
      </c>
      <c r="K24" s="493" t="s">
        <v>534</v>
      </c>
      <c r="L24" s="495">
        <v>38.94</v>
      </c>
      <c r="M24" s="495">
        <v>1</v>
      </c>
      <c r="N24" s="496">
        <v>38.94</v>
      </c>
    </row>
    <row r="25" spans="1:14" ht="14.4" customHeight="1" x14ac:dyDescent="0.3">
      <c r="A25" s="491" t="s">
        <v>452</v>
      </c>
      <c r="B25" s="492" t="s">
        <v>453</v>
      </c>
      <c r="C25" s="493" t="s">
        <v>463</v>
      </c>
      <c r="D25" s="494" t="s">
        <v>605</v>
      </c>
      <c r="E25" s="493" t="s">
        <v>469</v>
      </c>
      <c r="F25" s="494" t="s">
        <v>607</v>
      </c>
      <c r="G25" s="493" t="s">
        <v>470</v>
      </c>
      <c r="H25" s="493" t="s">
        <v>535</v>
      </c>
      <c r="I25" s="493" t="s">
        <v>536</v>
      </c>
      <c r="J25" s="493" t="s">
        <v>537</v>
      </c>
      <c r="K25" s="493" t="s">
        <v>538</v>
      </c>
      <c r="L25" s="495">
        <v>8.9700000000000006</v>
      </c>
      <c r="M25" s="495">
        <v>320</v>
      </c>
      <c r="N25" s="496">
        <v>2870.4</v>
      </c>
    </row>
    <row r="26" spans="1:14" ht="14.4" customHeight="1" x14ac:dyDescent="0.3">
      <c r="A26" s="491" t="s">
        <v>452</v>
      </c>
      <c r="B26" s="492" t="s">
        <v>453</v>
      </c>
      <c r="C26" s="493" t="s">
        <v>463</v>
      </c>
      <c r="D26" s="494" t="s">
        <v>605</v>
      </c>
      <c r="E26" s="493" t="s">
        <v>469</v>
      </c>
      <c r="F26" s="494" t="s">
        <v>607</v>
      </c>
      <c r="G26" s="493" t="s">
        <v>539</v>
      </c>
      <c r="H26" s="493" t="s">
        <v>540</v>
      </c>
      <c r="I26" s="493" t="s">
        <v>541</v>
      </c>
      <c r="J26" s="493" t="s">
        <v>542</v>
      </c>
      <c r="K26" s="493" t="s">
        <v>543</v>
      </c>
      <c r="L26" s="495">
        <v>61.340000000000018</v>
      </c>
      <c r="M26" s="495">
        <v>2</v>
      </c>
      <c r="N26" s="496">
        <v>122.68000000000004</v>
      </c>
    </row>
    <row r="27" spans="1:14" ht="14.4" customHeight="1" x14ac:dyDescent="0.3">
      <c r="A27" s="491" t="s">
        <v>452</v>
      </c>
      <c r="B27" s="492" t="s">
        <v>453</v>
      </c>
      <c r="C27" s="493" t="s">
        <v>463</v>
      </c>
      <c r="D27" s="494" t="s">
        <v>605</v>
      </c>
      <c r="E27" s="493" t="s">
        <v>469</v>
      </c>
      <c r="F27" s="494" t="s">
        <v>607</v>
      </c>
      <c r="G27" s="493" t="s">
        <v>539</v>
      </c>
      <c r="H27" s="493" t="s">
        <v>544</v>
      </c>
      <c r="I27" s="493" t="s">
        <v>545</v>
      </c>
      <c r="J27" s="493" t="s">
        <v>546</v>
      </c>
      <c r="K27" s="493" t="s">
        <v>547</v>
      </c>
      <c r="L27" s="495">
        <v>52.809999999999995</v>
      </c>
      <c r="M27" s="495">
        <v>3</v>
      </c>
      <c r="N27" s="496">
        <v>158.42999999999998</v>
      </c>
    </row>
    <row r="28" spans="1:14" ht="14.4" customHeight="1" x14ac:dyDescent="0.3">
      <c r="A28" s="491" t="s">
        <v>452</v>
      </c>
      <c r="B28" s="492" t="s">
        <v>453</v>
      </c>
      <c r="C28" s="493" t="s">
        <v>466</v>
      </c>
      <c r="D28" s="494" t="s">
        <v>606</v>
      </c>
      <c r="E28" s="493" t="s">
        <v>469</v>
      </c>
      <c r="F28" s="494" t="s">
        <v>607</v>
      </c>
      <c r="G28" s="493" t="s">
        <v>470</v>
      </c>
      <c r="H28" s="493" t="s">
        <v>548</v>
      </c>
      <c r="I28" s="493" t="s">
        <v>548</v>
      </c>
      <c r="J28" s="493" t="s">
        <v>549</v>
      </c>
      <c r="K28" s="493" t="s">
        <v>550</v>
      </c>
      <c r="L28" s="495">
        <v>1376.8500000000001</v>
      </c>
      <c r="M28" s="495">
        <v>7</v>
      </c>
      <c r="N28" s="496">
        <v>9637.9500000000007</v>
      </c>
    </row>
    <row r="29" spans="1:14" ht="14.4" customHeight="1" x14ac:dyDescent="0.3">
      <c r="A29" s="491" t="s">
        <v>452</v>
      </c>
      <c r="B29" s="492" t="s">
        <v>453</v>
      </c>
      <c r="C29" s="493" t="s">
        <v>466</v>
      </c>
      <c r="D29" s="494" t="s">
        <v>606</v>
      </c>
      <c r="E29" s="493" t="s">
        <v>469</v>
      </c>
      <c r="F29" s="494" t="s">
        <v>607</v>
      </c>
      <c r="G29" s="493" t="s">
        <v>470</v>
      </c>
      <c r="H29" s="493" t="s">
        <v>551</v>
      </c>
      <c r="I29" s="493" t="s">
        <v>551</v>
      </c>
      <c r="J29" s="493" t="s">
        <v>552</v>
      </c>
      <c r="K29" s="493" t="s">
        <v>553</v>
      </c>
      <c r="L29" s="495">
        <v>2414.0299999999997</v>
      </c>
      <c r="M29" s="495">
        <v>1</v>
      </c>
      <c r="N29" s="496">
        <v>2414.0299999999997</v>
      </c>
    </row>
    <row r="30" spans="1:14" ht="14.4" customHeight="1" x14ac:dyDescent="0.3">
      <c r="A30" s="491" t="s">
        <v>452</v>
      </c>
      <c r="B30" s="492" t="s">
        <v>453</v>
      </c>
      <c r="C30" s="493" t="s">
        <v>466</v>
      </c>
      <c r="D30" s="494" t="s">
        <v>606</v>
      </c>
      <c r="E30" s="493" t="s">
        <v>469</v>
      </c>
      <c r="F30" s="494" t="s">
        <v>607</v>
      </c>
      <c r="G30" s="493" t="s">
        <v>470</v>
      </c>
      <c r="H30" s="493" t="s">
        <v>554</v>
      </c>
      <c r="I30" s="493" t="s">
        <v>554</v>
      </c>
      <c r="J30" s="493" t="s">
        <v>555</v>
      </c>
      <c r="K30" s="493" t="s">
        <v>556</v>
      </c>
      <c r="L30" s="495">
        <v>299.57954430488155</v>
      </c>
      <c r="M30" s="495">
        <v>2</v>
      </c>
      <c r="N30" s="496">
        <v>599.1590886097631</v>
      </c>
    </row>
    <row r="31" spans="1:14" ht="14.4" customHeight="1" x14ac:dyDescent="0.3">
      <c r="A31" s="491" t="s">
        <v>452</v>
      </c>
      <c r="B31" s="492" t="s">
        <v>453</v>
      </c>
      <c r="C31" s="493" t="s">
        <v>466</v>
      </c>
      <c r="D31" s="494" t="s">
        <v>606</v>
      </c>
      <c r="E31" s="493" t="s">
        <v>469</v>
      </c>
      <c r="F31" s="494" t="s">
        <v>607</v>
      </c>
      <c r="G31" s="493" t="s">
        <v>470</v>
      </c>
      <c r="H31" s="493" t="s">
        <v>557</v>
      </c>
      <c r="I31" s="493" t="s">
        <v>558</v>
      </c>
      <c r="J31" s="493" t="s">
        <v>559</v>
      </c>
      <c r="K31" s="493" t="s">
        <v>560</v>
      </c>
      <c r="L31" s="495">
        <v>1289.9465040296379</v>
      </c>
      <c r="M31" s="495">
        <v>91</v>
      </c>
      <c r="N31" s="496">
        <v>117385.13186669705</v>
      </c>
    </row>
    <row r="32" spans="1:14" ht="14.4" customHeight="1" x14ac:dyDescent="0.3">
      <c r="A32" s="491" t="s">
        <v>452</v>
      </c>
      <c r="B32" s="492" t="s">
        <v>453</v>
      </c>
      <c r="C32" s="493" t="s">
        <v>466</v>
      </c>
      <c r="D32" s="494" t="s">
        <v>606</v>
      </c>
      <c r="E32" s="493" t="s">
        <v>469</v>
      </c>
      <c r="F32" s="494" t="s">
        <v>607</v>
      </c>
      <c r="G32" s="493" t="s">
        <v>470</v>
      </c>
      <c r="H32" s="493" t="s">
        <v>561</v>
      </c>
      <c r="I32" s="493" t="s">
        <v>562</v>
      </c>
      <c r="J32" s="493" t="s">
        <v>563</v>
      </c>
      <c r="K32" s="493" t="s">
        <v>564</v>
      </c>
      <c r="L32" s="495">
        <v>727.08638716870132</v>
      </c>
      <c r="M32" s="495">
        <v>28</v>
      </c>
      <c r="N32" s="496">
        <v>20358.418840723636</v>
      </c>
    </row>
    <row r="33" spans="1:14" ht="14.4" customHeight="1" x14ac:dyDescent="0.3">
      <c r="A33" s="491" t="s">
        <v>452</v>
      </c>
      <c r="B33" s="492" t="s">
        <v>453</v>
      </c>
      <c r="C33" s="493" t="s">
        <v>466</v>
      </c>
      <c r="D33" s="494" t="s">
        <v>606</v>
      </c>
      <c r="E33" s="493" t="s">
        <v>469</v>
      </c>
      <c r="F33" s="494" t="s">
        <v>607</v>
      </c>
      <c r="G33" s="493" t="s">
        <v>470</v>
      </c>
      <c r="H33" s="493" t="s">
        <v>565</v>
      </c>
      <c r="I33" s="493" t="s">
        <v>566</v>
      </c>
      <c r="J33" s="493" t="s">
        <v>567</v>
      </c>
      <c r="K33" s="493" t="s">
        <v>568</v>
      </c>
      <c r="L33" s="495">
        <v>651.99111097545563</v>
      </c>
      <c r="M33" s="495">
        <v>116</v>
      </c>
      <c r="N33" s="496">
        <v>75630.968873152859</v>
      </c>
    </row>
    <row r="34" spans="1:14" ht="14.4" customHeight="1" x14ac:dyDescent="0.3">
      <c r="A34" s="491" t="s">
        <v>452</v>
      </c>
      <c r="B34" s="492" t="s">
        <v>453</v>
      </c>
      <c r="C34" s="493" t="s">
        <v>466</v>
      </c>
      <c r="D34" s="494" t="s">
        <v>606</v>
      </c>
      <c r="E34" s="493" t="s">
        <v>469</v>
      </c>
      <c r="F34" s="494" t="s">
        <v>607</v>
      </c>
      <c r="G34" s="493" t="s">
        <v>470</v>
      </c>
      <c r="H34" s="493" t="s">
        <v>569</v>
      </c>
      <c r="I34" s="493" t="s">
        <v>570</v>
      </c>
      <c r="J34" s="493" t="s">
        <v>571</v>
      </c>
      <c r="K34" s="493" t="s">
        <v>572</v>
      </c>
      <c r="L34" s="495">
        <v>950.53694745769428</v>
      </c>
      <c r="M34" s="495">
        <v>86</v>
      </c>
      <c r="N34" s="496">
        <v>81746.177481361708</v>
      </c>
    </row>
    <row r="35" spans="1:14" ht="14.4" customHeight="1" x14ac:dyDescent="0.3">
      <c r="A35" s="491" t="s">
        <v>452</v>
      </c>
      <c r="B35" s="492" t="s">
        <v>453</v>
      </c>
      <c r="C35" s="493" t="s">
        <v>466</v>
      </c>
      <c r="D35" s="494" t="s">
        <v>606</v>
      </c>
      <c r="E35" s="493" t="s">
        <v>469</v>
      </c>
      <c r="F35" s="494" t="s">
        <v>607</v>
      </c>
      <c r="G35" s="493" t="s">
        <v>470</v>
      </c>
      <c r="H35" s="493" t="s">
        <v>573</v>
      </c>
      <c r="I35" s="493" t="s">
        <v>574</v>
      </c>
      <c r="J35" s="493" t="s">
        <v>575</v>
      </c>
      <c r="K35" s="493" t="s">
        <v>576</v>
      </c>
      <c r="L35" s="495">
        <v>466.81494132061459</v>
      </c>
      <c r="M35" s="495">
        <v>109</v>
      </c>
      <c r="N35" s="496">
        <v>50882.828603946989</v>
      </c>
    </row>
    <row r="36" spans="1:14" ht="14.4" customHeight="1" x14ac:dyDescent="0.3">
      <c r="A36" s="491" t="s">
        <v>452</v>
      </c>
      <c r="B36" s="492" t="s">
        <v>453</v>
      </c>
      <c r="C36" s="493" t="s">
        <v>466</v>
      </c>
      <c r="D36" s="494" t="s">
        <v>606</v>
      </c>
      <c r="E36" s="493" t="s">
        <v>469</v>
      </c>
      <c r="F36" s="494" t="s">
        <v>607</v>
      </c>
      <c r="G36" s="493" t="s">
        <v>470</v>
      </c>
      <c r="H36" s="493" t="s">
        <v>577</v>
      </c>
      <c r="I36" s="493" t="s">
        <v>578</v>
      </c>
      <c r="J36" s="493" t="s">
        <v>552</v>
      </c>
      <c r="K36" s="493" t="s">
        <v>556</v>
      </c>
      <c r="L36" s="495">
        <v>130.91470295518263</v>
      </c>
      <c r="M36" s="495">
        <v>26</v>
      </c>
      <c r="N36" s="496">
        <v>3403.7822768347487</v>
      </c>
    </row>
    <row r="37" spans="1:14" ht="14.4" customHeight="1" x14ac:dyDescent="0.3">
      <c r="A37" s="491" t="s">
        <v>452</v>
      </c>
      <c r="B37" s="492" t="s">
        <v>453</v>
      </c>
      <c r="C37" s="493" t="s">
        <v>466</v>
      </c>
      <c r="D37" s="494" t="s">
        <v>606</v>
      </c>
      <c r="E37" s="493" t="s">
        <v>469</v>
      </c>
      <c r="F37" s="494" t="s">
        <v>607</v>
      </c>
      <c r="G37" s="493" t="s">
        <v>470</v>
      </c>
      <c r="H37" s="493" t="s">
        <v>579</v>
      </c>
      <c r="I37" s="493" t="s">
        <v>580</v>
      </c>
      <c r="J37" s="493" t="s">
        <v>581</v>
      </c>
      <c r="K37" s="493" t="s">
        <v>582</v>
      </c>
      <c r="L37" s="495">
        <v>287.82237574124122</v>
      </c>
      <c r="M37" s="495">
        <v>55</v>
      </c>
      <c r="N37" s="496">
        <v>15830.230665768266</v>
      </c>
    </row>
    <row r="38" spans="1:14" ht="14.4" customHeight="1" x14ac:dyDescent="0.3">
      <c r="A38" s="491" t="s">
        <v>452</v>
      </c>
      <c r="B38" s="492" t="s">
        <v>453</v>
      </c>
      <c r="C38" s="493" t="s">
        <v>466</v>
      </c>
      <c r="D38" s="494" t="s">
        <v>606</v>
      </c>
      <c r="E38" s="493" t="s">
        <v>469</v>
      </c>
      <c r="F38" s="494" t="s">
        <v>607</v>
      </c>
      <c r="G38" s="493" t="s">
        <v>470</v>
      </c>
      <c r="H38" s="493" t="s">
        <v>583</v>
      </c>
      <c r="I38" s="493" t="s">
        <v>584</v>
      </c>
      <c r="J38" s="493" t="s">
        <v>585</v>
      </c>
      <c r="K38" s="493" t="s">
        <v>586</v>
      </c>
      <c r="L38" s="495">
        <v>1191.1114977612676</v>
      </c>
      <c r="M38" s="495">
        <v>9</v>
      </c>
      <c r="N38" s="496">
        <v>10720.003479851408</v>
      </c>
    </row>
    <row r="39" spans="1:14" ht="14.4" customHeight="1" x14ac:dyDescent="0.3">
      <c r="A39" s="491" t="s">
        <v>452</v>
      </c>
      <c r="B39" s="492" t="s">
        <v>453</v>
      </c>
      <c r="C39" s="493" t="s">
        <v>466</v>
      </c>
      <c r="D39" s="494" t="s">
        <v>606</v>
      </c>
      <c r="E39" s="493" t="s">
        <v>469</v>
      </c>
      <c r="F39" s="494" t="s">
        <v>607</v>
      </c>
      <c r="G39" s="493" t="s">
        <v>470</v>
      </c>
      <c r="H39" s="493" t="s">
        <v>587</v>
      </c>
      <c r="I39" s="493" t="s">
        <v>588</v>
      </c>
      <c r="J39" s="493" t="s">
        <v>589</v>
      </c>
      <c r="K39" s="493" t="s">
        <v>590</v>
      </c>
      <c r="L39" s="495">
        <v>771.71</v>
      </c>
      <c r="M39" s="495">
        <v>1</v>
      </c>
      <c r="N39" s="496">
        <v>771.71</v>
      </c>
    </row>
    <row r="40" spans="1:14" ht="14.4" customHeight="1" x14ac:dyDescent="0.3">
      <c r="A40" s="491" t="s">
        <v>452</v>
      </c>
      <c r="B40" s="492" t="s">
        <v>453</v>
      </c>
      <c r="C40" s="493" t="s">
        <v>466</v>
      </c>
      <c r="D40" s="494" t="s">
        <v>606</v>
      </c>
      <c r="E40" s="493" t="s">
        <v>469</v>
      </c>
      <c r="F40" s="494" t="s">
        <v>607</v>
      </c>
      <c r="G40" s="493" t="s">
        <v>470</v>
      </c>
      <c r="H40" s="493" t="s">
        <v>591</v>
      </c>
      <c r="I40" s="493" t="s">
        <v>592</v>
      </c>
      <c r="J40" s="493" t="s">
        <v>593</v>
      </c>
      <c r="K40" s="493" t="s">
        <v>594</v>
      </c>
      <c r="L40" s="495">
        <v>593.82701744699136</v>
      </c>
      <c r="M40" s="495">
        <v>27</v>
      </c>
      <c r="N40" s="496">
        <v>16033.329471068768</v>
      </c>
    </row>
    <row r="41" spans="1:14" ht="14.4" customHeight="1" x14ac:dyDescent="0.3">
      <c r="A41" s="491" t="s">
        <v>452</v>
      </c>
      <c r="B41" s="492" t="s">
        <v>453</v>
      </c>
      <c r="C41" s="493" t="s">
        <v>466</v>
      </c>
      <c r="D41" s="494" t="s">
        <v>606</v>
      </c>
      <c r="E41" s="493" t="s">
        <v>469</v>
      </c>
      <c r="F41" s="494" t="s">
        <v>607</v>
      </c>
      <c r="G41" s="493" t="s">
        <v>470</v>
      </c>
      <c r="H41" s="493" t="s">
        <v>595</v>
      </c>
      <c r="I41" s="493" t="s">
        <v>596</v>
      </c>
      <c r="J41" s="493" t="s">
        <v>597</v>
      </c>
      <c r="K41" s="493" t="s">
        <v>598</v>
      </c>
      <c r="L41" s="495">
        <v>585.97049371520939</v>
      </c>
      <c r="M41" s="495">
        <v>7</v>
      </c>
      <c r="N41" s="496">
        <v>4101.7934560064659</v>
      </c>
    </row>
    <row r="42" spans="1:14" ht="14.4" customHeight="1" x14ac:dyDescent="0.3">
      <c r="A42" s="491" t="s">
        <v>452</v>
      </c>
      <c r="B42" s="492" t="s">
        <v>453</v>
      </c>
      <c r="C42" s="493" t="s">
        <v>466</v>
      </c>
      <c r="D42" s="494" t="s">
        <v>606</v>
      </c>
      <c r="E42" s="493" t="s">
        <v>469</v>
      </c>
      <c r="F42" s="494" t="s">
        <v>607</v>
      </c>
      <c r="G42" s="493" t="s">
        <v>470</v>
      </c>
      <c r="H42" s="493" t="s">
        <v>599</v>
      </c>
      <c r="I42" s="493" t="s">
        <v>599</v>
      </c>
      <c r="J42" s="493" t="s">
        <v>600</v>
      </c>
      <c r="K42" s="493" t="s">
        <v>601</v>
      </c>
      <c r="L42" s="495">
        <v>1320.5200000000002</v>
      </c>
      <c r="M42" s="495">
        <v>3</v>
      </c>
      <c r="N42" s="496">
        <v>3961.5600000000004</v>
      </c>
    </row>
    <row r="43" spans="1:14" ht="14.4" customHeight="1" thickBot="1" x14ac:dyDescent="0.35">
      <c r="A43" s="497" t="s">
        <v>452</v>
      </c>
      <c r="B43" s="498" t="s">
        <v>453</v>
      </c>
      <c r="C43" s="499" t="s">
        <v>466</v>
      </c>
      <c r="D43" s="500" t="s">
        <v>606</v>
      </c>
      <c r="E43" s="499" t="s">
        <v>469</v>
      </c>
      <c r="F43" s="500" t="s">
        <v>607</v>
      </c>
      <c r="G43" s="499" t="s">
        <v>470</v>
      </c>
      <c r="H43" s="499" t="s">
        <v>602</v>
      </c>
      <c r="I43" s="499" t="s">
        <v>602</v>
      </c>
      <c r="J43" s="499" t="s">
        <v>603</v>
      </c>
      <c r="K43" s="499" t="s">
        <v>604</v>
      </c>
      <c r="L43" s="501">
        <v>1203.8720180667699</v>
      </c>
      <c r="M43" s="501">
        <v>13</v>
      </c>
      <c r="N43" s="502">
        <v>15650.336234868009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16384" width="8.88671875" style="143"/>
  </cols>
  <sheetData>
    <row r="1" spans="1:6" ht="37.200000000000003" customHeight="1" thickBot="1" x14ac:dyDescent="0.4">
      <c r="A1" s="380" t="s">
        <v>175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03" t="s">
        <v>153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thickBot="1" x14ac:dyDescent="0.35">
      <c r="A5" s="514" t="s">
        <v>608</v>
      </c>
      <c r="B5" s="483"/>
      <c r="C5" s="507">
        <v>0</v>
      </c>
      <c r="D5" s="483">
        <v>281.11</v>
      </c>
      <c r="E5" s="507">
        <v>1</v>
      </c>
      <c r="F5" s="484">
        <v>281.11</v>
      </c>
    </row>
    <row r="6" spans="1:6" ht="14.4" customHeight="1" thickBot="1" x14ac:dyDescent="0.35">
      <c r="A6" s="510" t="s">
        <v>3</v>
      </c>
      <c r="B6" s="511"/>
      <c r="C6" s="512">
        <v>0</v>
      </c>
      <c r="D6" s="511">
        <v>281.11</v>
      </c>
      <c r="E6" s="512">
        <v>1</v>
      </c>
      <c r="F6" s="513">
        <v>281.11</v>
      </c>
    </row>
    <row r="7" spans="1:6" ht="14.4" customHeight="1" thickBot="1" x14ac:dyDescent="0.35"/>
    <row r="8" spans="1:6" ht="14.4" customHeight="1" x14ac:dyDescent="0.3">
      <c r="A8" s="520" t="s">
        <v>609</v>
      </c>
      <c r="B8" s="489"/>
      <c r="C8" s="508">
        <v>0</v>
      </c>
      <c r="D8" s="489">
        <v>158.42999999999998</v>
      </c>
      <c r="E8" s="508">
        <v>1</v>
      </c>
      <c r="F8" s="490">
        <v>158.42999999999998</v>
      </c>
    </row>
    <row r="9" spans="1:6" ht="14.4" customHeight="1" thickBot="1" x14ac:dyDescent="0.35">
      <c r="A9" s="521" t="s">
        <v>610</v>
      </c>
      <c r="B9" s="517"/>
      <c r="C9" s="518">
        <v>0</v>
      </c>
      <c r="D9" s="517">
        <v>122.68000000000004</v>
      </c>
      <c r="E9" s="518">
        <v>1</v>
      </c>
      <c r="F9" s="519">
        <v>122.68000000000004</v>
      </c>
    </row>
    <row r="10" spans="1:6" ht="14.4" customHeight="1" thickBot="1" x14ac:dyDescent="0.35">
      <c r="A10" s="510" t="s">
        <v>3</v>
      </c>
      <c r="B10" s="511"/>
      <c r="C10" s="512">
        <v>0</v>
      </c>
      <c r="D10" s="511">
        <v>281.11</v>
      </c>
      <c r="E10" s="512">
        <v>1</v>
      </c>
      <c r="F10" s="513">
        <v>281.11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1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OD TISS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2014-12-18T09:21:53Z</dcterms:modified>
</cp:coreProperties>
</file>