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3996" yWindow="252" windowWidth="11364" windowHeight="7056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éky Recepty" sheetId="346" r:id="rId9"/>
    <sheet name="LRp Lékaři" sheetId="415" r:id="rId10"/>
    <sheet name="LRp Detail" sheetId="347" r:id="rId11"/>
    <sheet name="LRp PL" sheetId="388" r:id="rId12"/>
    <sheet name="LRp PL Detail" sheetId="390" r:id="rId13"/>
    <sheet name="Materiál Žádanky" sheetId="402" r:id="rId14"/>
    <sheet name="MŽ Detail" sheetId="403" r:id="rId15"/>
    <sheet name="ZV Vykáz.-A" sheetId="344" r:id="rId16"/>
    <sheet name="ZV Vykáz.-A Detail" sheetId="345" r:id="rId17"/>
    <sheet name="ZV Vykáz.-H" sheetId="410" r:id="rId18"/>
    <sheet name="ZV Vykáz.-H Detail" sheetId="377" r:id="rId19"/>
    <sheet name="ZV Vyžád." sheetId="342" r:id="rId20"/>
    <sheet name="ZV Vyžád. Detail" sheetId="343" r:id="rId21"/>
  </sheets>
  <definedNames>
    <definedName name="_xlnm._FilterDatabase" localSheetId="5" hidden="1">HV!$A$5:$A$5</definedName>
    <definedName name="_xlnm._FilterDatabase" localSheetId="8" hidden="1">'Léky Recepty'!$A$4:$M$4</definedName>
    <definedName name="_xlnm._FilterDatabase" localSheetId="6" hidden="1">'Léky Žádanky'!$A$3:$G$3</definedName>
    <definedName name="_xlnm._FilterDatabase" localSheetId="10" hidden="1">'LRp Detail'!$A$6:$U$6</definedName>
    <definedName name="_xlnm._FilterDatabase" localSheetId="9" hidden="1">'LRp Lékaři'!$A$4:$N$4</definedName>
    <definedName name="_xlnm._FilterDatabase" localSheetId="11" hidden="1">'LRp PL'!$A$3:$F$50</definedName>
    <definedName name="_xlnm._FilterDatabase" localSheetId="12" hidden="1">'LRp PL Detail'!$A$5:$M$1005</definedName>
    <definedName name="_xlnm._FilterDatabase" localSheetId="7" hidden="1">'LŽ Detail'!$A$4:$N$4</definedName>
    <definedName name="_xlnm._FilterDatabase" localSheetId="4" hidden="1">'Man Tab'!$A$5:$A$31</definedName>
    <definedName name="_xlnm._FilterDatabase" localSheetId="13" hidden="1">'Materiál Žádanky'!$A$3:$G$3</definedName>
    <definedName name="_xlnm._FilterDatabase" localSheetId="14" hidden="1">'MŽ Detail'!$A$4:$K$4</definedName>
    <definedName name="_xlnm._FilterDatabase" localSheetId="16" hidden="1">'ZV Vykáz.-A Detail'!$A$5:$P$5</definedName>
    <definedName name="_xlnm._FilterDatabase" localSheetId="18" hidden="1">'ZV Vykáz.-H Detail'!$A$5:$Q$5</definedName>
    <definedName name="_xlnm._FilterDatabase" localSheetId="19" hidden="1">'ZV Vyžád.'!$A$5:$M$5</definedName>
    <definedName name="_xlnm._FilterDatabase" localSheetId="20" hidden="1">'ZV Vyžád. Detail'!$A$5:$Q$5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1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9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D11" i="339" s="1"/>
  <c r="E3" i="344"/>
  <c r="D3" i="344"/>
  <c r="C11" i="339" s="1"/>
  <c r="C3" i="344"/>
  <c r="B3" i="344"/>
  <c r="B11" i="339" l="1"/>
  <c r="G3" i="344"/>
  <c r="D18" i="414" s="1"/>
  <c r="A21" i="414"/>
  <c r="A19" i="414"/>
  <c r="A18" i="414"/>
  <c r="A13" i="414"/>
  <c r="A10" i="414"/>
  <c r="A9" i="414"/>
  <c r="A7" i="414"/>
  <c r="A20" i="414"/>
  <c r="A17" i="414"/>
  <c r="A14" i="414"/>
  <c r="A16" i="414"/>
  <c r="A4" i="414"/>
  <c r="C14" i="414"/>
  <c r="D14" i="414"/>
  <c r="E14" i="414" l="1"/>
  <c r="A15" i="339" l="1"/>
  <c r="A12" i="339"/>
  <c r="A11" i="339"/>
  <c r="A7" i="339"/>
  <c r="A6" i="339"/>
  <c r="A5" i="339"/>
  <c r="D10" i="414" l="1"/>
  <c r="D13" i="414" l="1"/>
  <c r="C13" i="414"/>
  <c r="D7" i="414"/>
  <c r="C7" i="414"/>
  <c r="D9" i="414" l="1"/>
  <c r="E9" i="414" s="1"/>
  <c r="E19" i="414"/>
  <c r="E18" i="414"/>
  <c r="E13" i="414"/>
  <c r="E7" i="414"/>
  <c r="E10" i="414"/>
  <c r="D4" i="414"/>
  <c r="C4" i="414"/>
  <c r="C21" i="414" l="1"/>
  <c r="E21" i="414" s="1"/>
  <c r="E4" i="414"/>
  <c r="A14" i="383"/>
  <c r="A17" i="383" l="1"/>
  <c r="D17" i="414"/>
  <c r="C11" i="340" l="1"/>
  <c r="B10" i="340" l="1"/>
  <c r="B8" i="340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D12" i="339" l="1"/>
  <c r="C12" i="339"/>
  <c r="B12" i="339"/>
  <c r="D20" i="414"/>
  <c r="K3" i="403" l="1"/>
  <c r="J3" i="403"/>
  <c r="I3" i="403" s="1"/>
  <c r="M3" i="220" l="1"/>
  <c r="O3" i="343" l="1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N3" i="220"/>
  <c r="L3" i="220" s="1"/>
  <c r="H3" i="390" l="1"/>
  <c r="Q3" i="347"/>
  <c r="S3" i="347"/>
  <c r="U3" i="347"/>
  <c r="K3" i="390"/>
  <c r="G5" i="339"/>
  <c r="G6" i="339"/>
  <c r="G7" i="339"/>
  <c r="G8" i="339"/>
  <c r="G9" i="339"/>
  <c r="A11" i="383"/>
  <c r="A4" i="383"/>
  <c r="A27" i="383"/>
  <c r="A26" i="383"/>
  <c r="A25" i="383"/>
  <c r="A24" i="383"/>
  <c r="A23" i="383"/>
  <c r="A22" i="383"/>
  <c r="A19" i="383"/>
  <c r="A18" i="383"/>
  <c r="A16" i="383"/>
  <c r="A15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M8" i="340"/>
  <c r="L8" i="340"/>
  <c r="K8" i="340"/>
  <c r="J8" i="340"/>
  <c r="I8" i="340"/>
  <c r="H8" i="340"/>
  <c r="G8" i="340"/>
  <c r="F8" i="340"/>
  <c r="E8" i="340"/>
  <c r="D8" i="340"/>
  <c r="C8" i="340"/>
  <c r="F11" i="339"/>
  <c r="F12" i="339"/>
  <c r="Q3" i="343"/>
  <c r="P3" i="343"/>
  <c r="D13" i="339"/>
  <c r="D15" i="339" s="1"/>
  <c r="C13" i="339"/>
  <c r="C15" i="339" s="1"/>
  <c r="B13" i="339"/>
  <c r="B15" i="339" s="1"/>
  <c r="C20" i="414"/>
  <c r="C17" i="414"/>
  <c r="D16" i="414"/>
  <c r="E20" i="414" l="1"/>
  <c r="E17" i="414"/>
  <c r="G11" i="339"/>
  <c r="C6" i="340"/>
  <c r="C4" i="340" s="1"/>
  <c r="B4" i="340"/>
  <c r="F13" i="339"/>
  <c r="F15" i="339" s="1"/>
  <c r="G12" i="339"/>
  <c r="C16" i="414"/>
  <c r="B13" i="340" l="1"/>
  <c r="B12" i="340"/>
  <c r="D6" i="340"/>
  <c r="E16" i="414"/>
  <c r="G13" i="339"/>
  <c r="D4" i="340"/>
  <c r="E6" i="340"/>
  <c r="G15" i="339"/>
  <c r="E4" i="340" l="1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sharedStrings.xml><?xml version="1.0" encoding="utf-8"?>
<sst xmlns="http://schemas.openxmlformats.org/spreadsheetml/2006/main" count="4470" uniqueCount="1385">
  <si>
    <t>NS</t>
  </si>
  <si>
    <t>Č. účtu</t>
  </si>
  <si>
    <t>Účet</t>
  </si>
  <si>
    <t>Limit Kč</t>
  </si>
  <si>
    <t>Spotř. Kč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</si>
  <si>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</si>
  <si>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</si>
  <si>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</si>
  <si>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</si>
  <si>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</si>
  <si>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</si>
  <si>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</si>
  <si>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</si>
  <si>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</si>
  <si>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</si>
  <si>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</si>
  <si>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</si>
  <si>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</si>
  <si>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</si>
  <si>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</si>
  <si>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</si>
  <si>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</si>
  <si>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</si>
  <si>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</si>
  <si>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</si>
  <si>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</si>
  <si>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</si>
  <si>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</si>
  <si>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</si>
  <si>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</si>
  <si>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</si>
  <si>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</si>
  <si>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</si>
  <si>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2013</t>
  </si>
  <si>
    <t>Rozp. měs. 1/12</t>
  </si>
  <si>
    <t>01/2013</t>
  </si>
  <si>
    <t>02/2013</t>
  </si>
  <si>
    <t>03/2013</t>
  </si>
  <si>
    <t>04/2013</t>
  </si>
  <si>
    <t>05/2013</t>
  </si>
  <si>
    <t>06/2013</t>
  </si>
  <si>
    <t>07/2013</t>
  </si>
  <si>
    <t>08/2013</t>
  </si>
  <si>
    <t>09/2013</t>
  </si>
  <si>
    <t>10/2013</t>
  </si>
  <si>
    <t>11/2013</t>
  </si>
  <si>
    <t>12/2013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</si>
  <si>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</si>
  <si>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</si>
  <si>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</si>
  <si>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</si>
  <si>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</si>
  <si>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</si>
  <si>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</si>
  <si>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</si>
  <si>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</si>
  <si>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</si>
  <si>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</si>
  <si>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</si>
  <si>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</si>
  <si>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</si>
  <si>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</si>
  <si>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</si>
  <si>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</si>
  <si>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</si>
  <si>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</si>
  <si>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</si>
  <si>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</si>
  <si>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</si>
  <si>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</si>
  <si>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</si>
  <si>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</si>
  <si>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</si>
  <si>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</si>
  <si>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</si>
  <si>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</si>
  <si>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LEGENDA:  POMĚROVÉ  PLNĚNÍ = Rozpočet na rok 2012 celkem a 1/12  ročního rozpočtu, skutečnost daných měsíců a % plnění načítané skutečnosti do data k poměrné části rozpočtu do data.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</si>
  <si>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</si>
  <si>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</si>
  <si>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</si>
  <si>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</si>
  <si>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</si>
  <si>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</si>
  <si>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ROZDÍL (Sk.do data - Rozp.do data 2013)</t>
  </si>
  <si>
    <t>% plnění (Skut.do data/Rozp.rok 2013)</t>
  </si>
  <si>
    <t>Skut. 2012 CELKEM</t>
  </si>
  <si>
    <t>ROZDÍL  Skut. - Rozp. 2012</t>
  </si>
  <si>
    <t>% plnění rozp.2012</t>
  </si>
  <si>
    <t>Sk.v tis 2013</t>
  </si>
  <si>
    <t>HV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</si>
  <si>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</si>
  <si>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</si>
  <si>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</si>
  <si>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</si>
  <si>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</si>
  <si>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</si>
  <si>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</si>
  <si>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</si>
  <si>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</si>
  <si>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</si>
  <si>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</si>
  <si>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</si>
  <si>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</si>
  <si>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</si>
  <si>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</si>
  <si>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</si>
  <si>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</si>
  <si>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</si>
  <si>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</si>
  <si>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</si>
  <si>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</si>
  <si>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</si>
  <si>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</si>
  <si>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</si>
  <si>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</si>
  <si>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</si>
  <si>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Zdravotnické pracoviště poskytující zdravotní výkon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</si>
  <si>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</si>
  <si>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</si>
  <si>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</si>
  <si>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</si>
  <si>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</si>
  <si>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</si>
  <si>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</si>
  <si>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</si>
  <si>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Rozp.rok 2013</t>
  </si>
  <si>
    <t>Rozp. 2012            CELKEM</t>
  </si>
  <si>
    <t>casemix 2012</t>
  </si>
  <si>
    <t>Ambulance</t>
  </si>
  <si>
    <t>Hospodářský index (Výnosy / Náklady) - vývoj</t>
  </si>
  <si>
    <t>Zdravotnické pracoviště vyžadující zdravotní výkon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</si>
  <si>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</si>
  <si>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</si>
  <si>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</si>
  <si>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</si>
  <si>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</si>
  <si>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</si>
  <si>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</si>
  <si>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</si>
  <si>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</si>
  <si>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</si>
  <si>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</si>
  <si>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</si>
  <si>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</si>
  <si>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</si>
  <si>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</si>
  <si>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</si>
  <si>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</si>
  <si>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</si>
  <si>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</si>
  <si>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</si>
  <si>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</si>
  <si>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ambulantní pacienty</t>
  </si>
  <si>
    <t>Zdravotní výkony vykázané na pracovišti pro ambulantní pacienty - detail</t>
  </si>
  <si>
    <t>Zdravotní výkony vykázané na pracovišti pro pacienty hospitalizované ve FNOL</t>
  </si>
  <si>
    <t>Zdravotní výkony vykázané na pracovišti pro pacienty hospitalizované ve FNOL - detail</t>
  </si>
  <si>
    <t>Zdravotní výkony (vybraných odborností) vyžádané pro pacienty hospitalizované na vlastním pracovišti</t>
  </si>
  <si>
    <t>Zdravotní výkony (vybraných odborností) vyžádané pro pacienty hospitalizované na vlastním pracovišti - detail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</si>
  <si>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</si>
  <si>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</si>
  <si>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</si>
  <si>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</si>
  <si>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</si>
  <si>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</si>
  <si>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</si>
  <si>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</si>
  <si>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Přehled plnění PL - Preskripce léčivých přípravků - detail</t>
  </si>
  <si>
    <t>Hospodaření zdravotnického pracoviště (v tisících)</t>
  </si>
  <si>
    <t>Spotřeba léčivých přípravků - detail</t>
  </si>
  <si>
    <t>Spotřeba léčivých přípravků</t>
  </si>
  <si>
    <t>Preskripce a záchyt receptů a poukazů</t>
  </si>
  <si>
    <t>Preskripce a záchyt receptů a poukazů - detail</t>
  </si>
  <si>
    <t>Spotřeba zdravotnického materiálu</t>
  </si>
  <si>
    <t>Spotřeba zdravotnického materiálu - detail</t>
  </si>
  <si>
    <t>Přehledové sestavy</t>
  </si>
  <si>
    <t>Akt. měsíc</t>
  </si>
  <si>
    <t>Přečerpáno</t>
  </si>
  <si>
    <t>Kč/ks</t>
  </si>
  <si>
    <t>NS / ATC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</si>
  <si>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</si>
  <si>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</si>
  <si>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</si>
  <si>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</si>
  <si>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</si>
  <si>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</si>
  <si>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</si>
  <si>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</si>
  <si>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</si>
  <si>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</si>
  <si>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</si>
  <si>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</si>
  <si>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</si>
  <si>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</si>
  <si>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Klinika pracovního lékařství</t>
    </r>
  </si>
  <si>
    <t>/0</t>
  </si>
  <si>
    <t>Plnění rozpočtu v roce 2013 po měsících</t>
  </si>
  <si>
    <t>5     Účtová třída 5 - Náklady</t>
  </si>
  <si>
    <t>50     Spotřebované nákupy</t>
  </si>
  <si>
    <t>501     Spotřeba materiálu</t>
  </si>
  <si>
    <t>50113     Léky a léčiva</t>
  </si>
  <si>
    <t>50113001     léky - paušál+TISS (LEK)</t>
  </si>
  <si>
    <t>50113013     léky (paušál) - antibiotika (LEK)</t>
  </si>
  <si>
    <t>--</t>
  </si>
  <si>
    <t>50113190     medicinální plyny</t>
  </si>
  <si>
    <t>50115     Zdravotnické prostředky</t>
  </si>
  <si>
    <t>50115020     diagnostika laboratorní-LEK (sk.Z_501)</t>
  </si>
  <si>
    <t>50115050     obvazový materiál (sk.Z_502)</t>
  </si>
  <si>
    <t>50115060     ostatní ZPr - mimo níže uvedené (sk.Z_503)</t>
  </si>
  <si>
    <t>50115063     ostatní ZPr - vaky, sety (sk.Z_528)</t>
  </si>
  <si>
    <t>50115065     ostatní ZPr - vpichovací materiál (sk.Z_530)</t>
  </si>
  <si>
    <t>50115067     ostatní ZPr - rukavice (sk.Z_532)</t>
  </si>
  <si>
    <t>50116     Potraviny</t>
  </si>
  <si>
    <t>50116001     lůžk. pacienti</t>
  </si>
  <si>
    <t>50116002     lůžk. pacienti nad normu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</si>
  <si>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</si>
  <si>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</si>
  <si>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</si>
  <si>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</si>
  <si>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</si>
  <si>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</si>
  <si>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</si>
  <si>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50117015     IT - spotřební materiál (sk. P37, 48)</t>
  </si>
  <si>
    <t>50117024     všeob.mat. - ostatní-vyjímky (V44) od 0,01 do 999,99</t>
  </si>
  <si>
    <t>50118     Náhradní díly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</si>
  <si>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</si>
  <si>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</si>
  <si>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</si>
  <si>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</si>
  <si>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</si>
  <si>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50119099     netkaný textil (sk.T18)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</si>
  <si>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</si>
  <si>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</si>
  <si>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</si>
  <si>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</si>
  <si>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</si>
  <si>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</t>
  </si>
  <si>
    <t>51102021     opravy zdrav.techniky</t>
  </si>
  <si>
    <t>51102023     opravy ostatní techniky</t>
  </si>
  <si>
    <t>51102024     běžná údržba - správa budov</t>
  </si>
  <si>
    <t>51102025     běžná údržba - hl.energetik</t>
  </si>
  <si>
    <t>51201     Cestovné zaměstnanců-tuzemské</t>
  </si>
  <si>
    <t>51201000     cestovné z mezd</t>
  </si>
  <si>
    <t>51203     Cestovné zaměstnanců-zahraniční</t>
  </si>
  <si>
    <t>51203000     cestovné zahr. - mzdy</t>
  </si>
  <si>
    <t>513     Náklady na reprezentaci</t>
  </si>
  <si>
    <t>51399     Náklady na reprezentaci (daň.neúč.)</t>
  </si>
  <si>
    <t>51399002     ve vlastní režii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</si>
  <si>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</si>
  <si>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</si>
  <si>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</si>
  <si>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</si>
  <si>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</si>
  <si>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</si>
  <si>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</si>
  <si>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</si>
  <si>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</si>
  <si>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(MW DIAS)</t>
  </si>
  <si>
    <t>51806005     odpad (SITA - spalovna)</t>
  </si>
  <si>
    <t>51808     Revize a smluvní servisy majetku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</si>
  <si>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</si>
  <si>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</si>
  <si>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</si>
  <si>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</si>
  <si>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521     Mzdové náklady</t>
  </si>
  <si>
    <t>52111     Hrubé mzdy</t>
  </si>
  <si>
    <t>52111000     hrubé mzdy</t>
  </si>
  <si>
    <t>52112     Placené služby</t>
  </si>
  <si>
    <t>52112000     placené služby</t>
  </si>
  <si>
    <t>52125     Odstupné</t>
  </si>
  <si>
    <t>52125000     odstupné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</si>
  <si>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</si>
  <si>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</si>
  <si>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</si>
  <si>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</si>
  <si>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</si>
  <si>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</si>
  <si>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</si>
  <si>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</si>
  <si>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</si>
  <si>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</si>
  <si>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</si>
  <si>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</si>
  <si>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</si>
  <si>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</si>
  <si>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</si>
  <si>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</si>
  <si>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</si>
  <si>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54910005     refundace věcných nákladů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</si>
  <si>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</si>
  <si>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</si>
  <si>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</si>
  <si>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</si>
  <si>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</si>
  <si>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</si>
  <si>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</si>
  <si>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</si>
  <si>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</si>
  <si>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</si>
  <si>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</si>
  <si>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</si>
  <si>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</si>
  <si>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</si>
  <si>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</si>
  <si>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</si>
  <si>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</si>
  <si>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</si>
  <si>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</si>
  <si>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60210350     zdr.služby - nadstandart</t>
  </si>
  <si>
    <t>60210351     zdr.služby - doprovod (otec u porodu)</t>
  </si>
  <si>
    <t>60210354     zdr.služby - cizinci</t>
  </si>
  <si>
    <t>60210359     zdr.služby - tuzemci (plastika atd. ...)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</si>
  <si>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</si>
  <si>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</si>
  <si>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</si>
  <si>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</si>
  <si>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</si>
  <si>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</si>
  <si>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</si>
  <si>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</si>
  <si>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</si>
  <si>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641     Smluvní pokuty a úroky z prodlení</t>
  </si>
  <si>
    <t>64100     Smluvní pokuty a úroky z prodlení</t>
  </si>
  <si>
    <t>64100043     penále z prodl. - ostatní</t>
  </si>
  <si>
    <t>648     Čerpání fondů</t>
  </si>
  <si>
    <t>64804     Čerpání FRM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</si>
  <si>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</si>
  <si>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</si>
  <si>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</si>
  <si>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</si>
  <si>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</si>
  <si>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</si>
  <si>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</si>
  <si>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</si>
  <si>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</si>
  <si>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64924443     znalecké posudky - Znaleký ústav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</si>
  <si>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</si>
  <si>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</si>
  <si>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</si>
  <si>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</si>
  <si>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</si>
  <si>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</si>
  <si>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</si>
  <si>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</si>
  <si>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</si>
  <si>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</si>
  <si>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</si>
  <si>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</si>
  <si>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</si>
  <si>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</si>
  <si>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</si>
  <si>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</si>
  <si>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</si>
  <si>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</si>
  <si>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</si>
  <si>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</si>
  <si>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</si>
  <si>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</si>
  <si>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</si>
  <si>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19</t>
  </si>
  <si>
    <t/>
  </si>
  <si>
    <t>Klinika pracovního lékařství</t>
  </si>
  <si>
    <t>50113001</t>
  </si>
  <si>
    <t>Lékárna - léčiva</t>
  </si>
  <si>
    <t>50113013</t>
  </si>
  <si>
    <t>Lékárna - antibiotika</t>
  </si>
  <si>
    <t>SumaKL</t>
  </si>
  <si>
    <t>1921</t>
  </si>
  <si>
    <t>Klinika pracovního lékařství, ambulance</t>
  </si>
  <si>
    <t>SumaNS</t>
  </si>
  <si>
    <t>mezeraNS</t>
  </si>
  <si>
    <t>1923</t>
  </si>
  <si>
    <t>PRAC, ambulance - Centrum očkování</t>
  </si>
  <si>
    <t>O</t>
  </si>
  <si>
    <t>51366</t>
  </si>
  <si>
    <t>CHLORID SODNÝ 0,9% BRAUN</t>
  </si>
  <si>
    <t>INF SOL 20X100MLPELAH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</si>
  <si>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</si>
  <si>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</si>
  <si>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</si>
  <si>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</si>
  <si>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</si>
  <si>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</si>
  <si>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</si>
  <si>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</si>
  <si>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100643</t>
  </si>
  <si>
    <t>643</t>
  </si>
  <si>
    <t>VITAMIN B12 LECIVA 1000RG</t>
  </si>
  <si>
    <t>INJ 5X1ML/1000RG</t>
  </si>
  <si>
    <t>107981</t>
  </si>
  <si>
    <t>7981</t>
  </si>
  <si>
    <t>NOVALGIN</t>
  </si>
  <si>
    <t>INJ 10X2ML/1000MG</t>
  </si>
  <si>
    <t>158249</t>
  </si>
  <si>
    <t>58249</t>
  </si>
  <si>
    <t>GUAJACURAN « 5 % INJ</t>
  </si>
  <si>
    <t>189212</t>
  </si>
  <si>
    <t>89212</t>
  </si>
  <si>
    <t>INJECTIO PROCAIN.CHLOR.0.2% ARD</t>
  </si>
  <si>
    <t>INJ 1X200ML 0.2%</t>
  </si>
  <si>
    <t>395997</t>
  </si>
  <si>
    <t>0</t>
  </si>
  <si>
    <t>DZ SOFTASEPT N BEZBARVÝ 250 ml</t>
  </si>
  <si>
    <t>920304</t>
  </si>
  <si>
    <t>KL EKG GEL 100G</t>
  </si>
  <si>
    <t>100394</t>
  </si>
  <si>
    <t>394</t>
  </si>
  <si>
    <t>ATROPIN BIOTIKA 1MG</t>
  </si>
  <si>
    <t>INJ 10X1ML/1MG</t>
  </si>
  <si>
    <t>196610</t>
  </si>
  <si>
    <t>96610</t>
  </si>
  <si>
    <t>APAURIN</t>
  </si>
  <si>
    <t>INJ 10X2ML/10MG</t>
  </si>
  <si>
    <t>100231</t>
  </si>
  <si>
    <t>231</t>
  </si>
  <si>
    <t>NITROGLYCERIN SLOVAKOFARMA</t>
  </si>
  <si>
    <t>TBL 20X0.5MG</t>
  </si>
  <si>
    <t>102684</t>
  </si>
  <si>
    <t>2684</t>
  </si>
  <si>
    <t>MESOCAIN</t>
  </si>
  <si>
    <t>GEL 1X20GM</t>
  </si>
  <si>
    <t>930035</t>
  </si>
  <si>
    <t>KL GLUCOSUM 75g</t>
  </si>
  <si>
    <t>900321</t>
  </si>
  <si>
    <t>KL PRIPRAVEK</t>
  </si>
  <si>
    <t>169755</t>
  </si>
  <si>
    <t>69755</t>
  </si>
  <si>
    <t>ARDEANUTRISOL G 40</t>
  </si>
  <si>
    <t>INF 1X80ML</t>
  </si>
  <si>
    <t>156171</t>
  </si>
  <si>
    <t>56171</t>
  </si>
  <si>
    <t>ENGERIX-B 20RG(VE STRIKACCE)</t>
  </si>
  <si>
    <t>INJ 1X1ML/20RG</t>
  </si>
  <si>
    <t>849437</t>
  </si>
  <si>
    <t>167572</t>
  </si>
  <si>
    <t>MENVEO  INJ PSL SOL 1 + 1</t>
  </si>
  <si>
    <t xml:space="preserve">INJ PSL SOL 1+1ISP </t>
  </si>
  <si>
    <t>101066</t>
  </si>
  <si>
    <t>1066</t>
  </si>
  <si>
    <t>FRAMYKOIN</t>
  </si>
  <si>
    <t>UNG 1X10GM</t>
  </si>
  <si>
    <t>28144</t>
  </si>
  <si>
    <t>DUKORAL</t>
  </si>
  <si>
    <t>POR SUS 3ML+2SAC</t>
  </si>
  <si>
    <t>100084</t>
  </si>
  <si>
    <t>VAXIGRIP</t>
  </si>
  <si>
    <t>INJ SUS 20X0.5ML/DÁV+J</t>
  </si>
  <si>
    <t>100224</t>
  </si>
  <si>
    <t>IMOVAX POLIO</t>
  </si>
  <si>
    <t>INJ SUS 1X0.5ML/DÁV</t>
  </si>
  <si>
    <t>126816</t>
  </si>
  <si>
    <t>26816</t>
  </si>
  <si>
    <t>TWINRIX ADULT</t>
  </si>
  <si>
    <t>INJSUS 1X1ML+STŘ+SJ</t>
  </si>
  <si>
    <t>127876</t>
  </si>
  <si>
    <t>27876</t>
  </si>
  <si>
    <t>SILGARD 0.5 ML</t>
  </si>
  <si>
    <t>IMS INJ SUS 1X0.5ML PSB+2J</t>
  </si>
  <si>
    <t>142469</t>
  </si>
  <si>
    <t>42469</t>
  </si>
  <si>
    <t>ENCEPUR PRO DĚTI</t>
  </si>
  <si>
    <t>INJ SUS1X0.25ML+JEH</t>
  </si>
  <si>
    <t>147208</t>
  </si>
  <si>
    <t>STAMARIL PASTEUR</t>
  </si>
  <si>
    <t>INJ PSULQF1X1DÁV+ST</t>
  </si>
  <si>
    <t>149080</t>
  </si>
  <si>
    <t>IXIARO 6 MCG</t>
  </si>
  <si>
    <t>155111</t>
  </si>
  <si>
    <t>55111</t>
  </si>
  <si>
    <t>FSME-IMMUN 0.5ML BAXTER</t>
  </si>
  <si>
    <t>INJ SUS1X0.5ML/DÁV</t>
  </si>
  <si>
    <t>156573</t>
  </si>
  <si>
    <t>56573</t>
  </si>
  <si>
    <t>HAVRIX 1440</t>
  </si>
  <si>
    <t>INJ SUS 1X1ML STŘ</t>
  </si>
  <si>
    <t>186403</t>
  </si>
  <si>
    <t>85170</t>
  </si>
  <si>
    <t>TYPHIM VI(TYPHOIDE POLYS.VACC.)</t>
  </si>
  <si>
    <t>INJ 1X0.5ML/DAV+STR</t>
  </si>
  <si>
    <t>193236</t>
  </si>
  <si>
    <t>NIMENRIX 5 MCG</t>
  </si>
  <si>
    <t>INJ PSO LQF 1+1X1.25ML</t>
  </si>
  <si>
    <t>843655</t>
  </si>
  <si>
    <t>100085</t>
  </si>
  <si>
    <t>847178</t>
  </si>
  <si>
    <t>107496</t>
  </si>
  <si>
    <t>VERORAB</t>
  </si>
  <si>
    <t>INJ PSU LQF 1DAV.+0.5ML ST</t>
  </si>
  <si>
    <t>185172</t>
  </si>
  <si>
    <t>85172</t>
  </si>
  <si>
    <t>PNEUMO 23</t>
  </si>
  <si>
    <t>INJ SOL1X0.5ML</t>
  </si>
  <si>
    <t>120102</t>
  </si>
  <si>
    <t>BOOSTRIX INJ. STŘÍKAČKA</t>
  </si>
  <si>
    <t>INJ SUS 1X1DÁV</t>
  </si>
  <si>
    <t>HVLP</t>
  </si>
  <si>
    <t>89301192</t>
  </si>
  <si>
    <t>Všeobecná ambulance Celkem</t>
  </si>
  <si>
    <t>Klinika pracovního lékařství Celkem</t>
  </si>
  <si>
    <t>Boriková Alena</t>
  </si>
  <si>
    <t>Fialová Jarmila</t>
  </si>
  <si>
    <t>Holá Jaroslava</t>
  </si>
  <si>
    <t>Nakládalová Marie</t>
  </si>
  <si>
    <t>Radiměřská Dagmar</t>
  </si>
  <si>
    <t>Smolková Petra</t>
  </si>
  <si>
    <t>Vildová Helena</t>
  </si>
  <si>
    <t>Vlčková Jana</t>
  </si>
  <si>
    <t>Aciklovir</t>
  </si>
  <si>
    <t>84128</t>
  </si>
  <si>
    <t>HERPESIN 400</t>
  </si>
  <si>
    <t>POR TBL NOB 25X400MG</t>
  </si>
  <si>
    <t>Antiagregancia kromě heparinu, kombinace</t>
  </si>
  <si>
    <t>57364</t>
  </si>
  <si>
    <t>AGGRENOX</t>
  </si>
  <si>
    <t>POR CPS RDR 60</t>
  </si>
  <si>
    <t>Erdostein</t>
  </si>
  <si>
    <t>87076</t>
  </si>
  <si>
    <t>ERDOMED</t>
  </si>
  <si>
    <t>POR CPS DUR 20X300MG</t>
  </si>
  <si>
    <t>Jiná antihistaminika pro systémovou aplikaci</t>
  </si>
  <si>
    <t>2479</t>
  </si>
  <si>
    <t>DITHIADEN</t>
  </si>
  <si>
    <t>POR TBL NOB 20X2MG</t>
  </si>
  <si>
    <t>Klarithromycin</t>
  </si>
  <si>
    <t>53853</t>
  </si>
  <si>
    <t>KLACID 500</t>
  </si>
  <si>
    <t>POR TBL FLM 14X500MG</t>
  </si>
  <si>
    <t>Kyanokobalamin</t>
  </si>
  <si>
    <t>VITAMIN B12 LECIVA 1000 MCG</t>
  </si>
  <si>
    <t>INJ SOL 5X1ML/1000RG</t>
  </si>
  <si>
    <t>VITAMIN B12 LÉČIVA 1000 MCG</t>
  </si>
  <si>
    <t>Nystatin</t>
  </si>
  <si>
    <t>1069</t>
  </si>
  <si>
    <t>FUNGICIDIN LÉČIVA</t>
  </si>
  <si>
    <t>DRM UNG 1X10GM</t>
  </si>
  <si>
    <t>Ofloxacin</t>
  </si>
  <si>
    <t>56675</t>
  </si>
  <si>
    <t>FLOXAL</t>
  </si>
  <si>
    <t>OPH GTT SOL 1X5ML</t>
  </si>
  <si>
    <t>Pentoxifylin</t>
  </si>
  <si>
    <t>155875</t>
  </si>
  <si>
    <t>TRENTAL</t>
  </si>
  <si>
    <t>INF SOL 5X5ML/100MG</t>
  </si>
  <si>
    <t>45008</t>
  </si>
  <si>
    <t>Pitofenon a analgetika</t>
  </si>
  <si>
    <t>50335</t>
  </si>
  <si>
    <t>ALGIFEN NEO</t>
  </si>
  <si>
    <t>POR GTT SOL 1X25ML</t>
  </si>
  <si>
    <t>Progvanil, kombinace</t>
  </si>
  <si>
    <t>30690</t>
  </si>
  <si>
    <t>MALARONE</t>
  </si>
  <si>
    <t>POR TBL FLM 12</t>
  </si>
  <si>
    <t>Různé jiné kombinace železa</t>
  </si>
  <si>
    <t>97402</t>
  </si>
  <si>
    <t>SORBIFER DURULES</t>
  </si>
  <si>
    <t>POR TBL FLM 50X100MG</t>
  </si>
  <si>
    <t>Triamcinolon a antiseptika</t>
  </si>
  <si>
    <t>4178</t>
  </si>
  <si>
    <t>TRIAMCINOLON E LÉČIVA</t>
  </si>
  <si>
    <t>DRM UNG 1X20GM</t>
  </si>
  <si>
    <t>Ramipril</t>
  </si>
  <si>
    <t>56978</t>
  </si>
  <si>
    <t>TRITACE 2,5 MG</t>
  </si>
  <si>
    <t>POR TBL NOB 50X2.5MG</t>
  </si>
  <si>
    <t>Rosuvastatin</t>
  </si>
  <si>
    <t>148070</t>
  </si>
  <si>
    <t>ROSUCARD 10 MG POTAHOVANÉ TABLETY</t>
  </si>
  <si>
    <t>POR TBL FLM 90X10MG</t>
  </si>
  <si>
    <t>Alprazolam</t>
  </si>
  <si>
    <t>96977</t>
  </si>
  <si>
    <t>XANAX 1 MG</t>
  </si>
  <si>
    <t>POR TBL NOB 30X1MG</t>
  </si>
  <si>
    <t>Amlodipin</t>
  </si>
  <si>
    <t>125045</t>
  </si>
  <si>
    <t>APO-AMLO 10</t>
  </si>
  <si>
    <t>POR TBL NOB 30X10MG</t>
  </si>
  <si>
    <t>125053</t>
  </si>
  <si>
    <t>POR TBL NOB 100X10MG</t>
  </si>
  <si>
    <t>Amoxicilin a enzymový inhibitor</t>
  </si>
  <si>
    <t>12494</t>
  </si>
  <si>
    <t>AUGMENTIN 1 G</t>
  </si>
  <si>
    <t>POR TBL FLM 14X1GM</t>
  </si>
  <si>
    <t>5951</t>
  </si>
  <si>
    <t>AMOKSIKLAV 1 G</t>
  </si>
  <si>
    <t>Analgetika a anestetika, kombinace</t>
  </si>
  <si>
    <t>107143</t>
  </si>
  <si>
    <t>OTIPAX</t>
  </si>
  <si>
    <t>AUR GTT SOL 1X16GM</t>
  </si>
  <si>
    <t>Bromazepam</t>
  </si>
  <si>
    <t>132600</t>
  </si>
  <si>
    <t>LEXAURIN 1,5</t>
  </si>
  <si>
    <t>POR TBL NOB 30X1.5MG</t>
  </si>
  <si>
    <t>Cetirizin</t>
  </si>
  <si>
    <t>99600</t>
  </si>
  <si>
    <t>ZODAC</t>
  </si>
  <si>
    <t>Diklofenak</t>
  </si>
  <si>
    <t>119672</t>
  </si>
  <si>
    <t>DICLOFENAC DUO PHARMASWISS 75 MG</t>
  </si>
  <si>
    <t>POR CPS RDR 30X75MG</t>
  </si>
  <si>
    <t>75631</t>
  </si>
  <si>
    <t>DICLOFENAC AL RETARD</t>
  </si>
  <si>
    <t>POR TBL RET 20X100MG</t>
  </si>
  <si>
    <t>Doxycyklin</t>
  </si>
  <si>
    <t>4013</t>
  </si>
  <si>
    <t>DOXYBENE 200 MG TABLETY</t>
  </si>
  <si>
    <t>POR TBL NOB 10X200MG</t>
  </si>
  <si>
    <t>Fentermin</t>
  </si>
  <si>
    <t>97374</t>
  </si>
  <si>
    <t>ADIPEX RETARD</t>
  </si>
  <si>
    <t>POR CPS RML 100X15MG</t>
  </si>
  <si>
    <t>Hydroxyzin</t>
  </si>
  <si>
    <t>85060</t>
  </si>
  <si>
    <t>ATARAX</t>
  </si>
  <si>
    <t>POR TBL FLM 25X25MG</t>
  </si>
  <si>
    <t>Ibuprofen</t>
  </si>
  <si>
    <t>32082</t>
  </si>
  <si>
    <t>IBALGIN 400</t>
  </si>
  <si>
    <t>POR TBL FLM 100X400MG</t>
  </si>
  <si>
    <t>Indapamid</t>
  </si>
  <si>
    <t>151949</t>
  </si>
  <si>
    <t>INDAP</t>
  </si>
  <si>
    <t>POR CPS DUR 100X2.5MG</t>
  </si>
  <si>
    <t>Jiná antibiotika pro lokální aplikaci</t>
  </si>
  <si>
    <t>55759</t>
  </si>
  <si>
    <t>PAMYCON NA PRIPRAVU KAPEK</t>
  </si>
  <si>
    <t>DRM PLV SOL 1X1LAH</t>
  </si>
  <si>
    <t>92503</t>
  </si>
  <si>
    <t>NEUROBENE</t>
  </si>
  <si>
    <t>INJ SOL 6X1ML/1000RG</t>
  </si>
  <si>
    <t>Losartan</t>
  </si>
  <si>
    <t>114067</t>
  </si>
  <si>
    <t>LOZAP 50 ZENTIVA</t>
  </si>
  <si>
    <t>POR TBL FLM 90X50MG</t>
  </si>
  <si>
    <t>13892</t>
  </si>
  <si>
    <t>POR TBL FLM 30X50MG</t>
  </si>
  <si>
    <t>Makrogol</t>
  </si>
  <si>
    <t>58827</t>
  </si>
  <si>
    <t>FORTRANS</t>
  </si>
  <si>
    <t>POR PLV SOL 1X4(SÁČKY)</t>
  </si>
  <si>
    <t>Metoprolol</t>
  </si>
  <si>
    <t>32673</t>
  </si>
  <si>
    <t>METOPROLOL AL 200 RETARD</t>
  </si>
  <si>
    <t>POR TBL PRO 50X200MG</t>
  </si>
  <si>
    <t>49941</t>
  </si>
  <si>
    <t>BETALOC ZOK 100 MG</t>
  </si>
  <si>
    <t>POR TBL PRO 100X100MG</t>
  </si>
  <si>
    <t>58042</t>
  </si>
  <si>
    <t>BETALOC ZOK 200 MG</t>
  </si>
  <si>
    <t>POR TBL PRO 100X200MG</t>
  </si>
  <si>
    <t>Nitrofurantoin</t>
  </si>
  <si>
    <t>154748</t>
  </si>
  <si>
    <t>NITROFURANTOIN - RATIOPHARM 100 MG</t>
  </si>
  <si>
    <t>POR CPS PRO 50X100MG</t>
  </si>
  <si>
    <t>176954</t>
  </si>
  <si>
    <t>POR GTT SOL 1X50ML</t>
  </si>
  <si>
    <t>15864</t>
  </si>
  <si>
    <t>TRITACE 10 MG</t>
  </si>
  <si>
    <t>Sumatriptan</t>
  </si>
  <si>
    <t>146273</t>
  </si>
  <si>
    <t>SUMATRIPTAN MYLAN 100 MG</t>
  </si>
  <si>
    <t>POR TBL FLM 6X100MG</t>
  </si>
  <si>
    <t>14786</t>
  </si>
  <si>
    <t>ROSEMIG 100 MG</t>
  </si>
  <si>
    <t>POR TBL FLM 2X100MG</t>
  </si>
  <si>
    <t>Tramadol, kombinace</t>
  </si>
  <si>
    <t>138842</t>
  </si>
  <si>
    <t>DORETA 37,5 MG/325 MG</t>
  </si>
  <si>
    <t>POR TBL FLM 40</t>
  </si>
  <si>
    <t>160817</t>
  </si>
  <si>
    <t>ZALDIAR RETARD 75 MG/650 MG TABLETY S PRODLOUŽENÝM UVOLŇOVÁNÍM</t>
  </si>
  <si>
    <t>POR TBL PRO 100</t>
  </si>
  <si>
    <t>Zolpidem</t>
  </si>
  <si>
    <t>94744</t>
  </si>
  <si>
    <t>ZOLPINOX</t>
  </si>
  <si>
    <t>POR TBL FLM 20X10MG</t>
  </si>
  <si>
    <t>Betaxolol</t>
  </si>
  <si>
    <t>49909</t>
  </si>
  <si>
    <t>LOKREN 20 MG</t>
  </si>
  <si>
    <t>POR TBL FLM 28X20MG</t>
  </si>
  <si>
    <t>49910</t>
  </si>
  <si>
    <t>POR TBL FLM 98X20MG</t>
  </si>
  <si>
    <t>88217</t>
  </si>
  <si>
    <t>Cefuroxim</t>
  </si>
  <si>
    <t>47728</t>
  </si>
  <si>
    <t>ZINNAT 500 MG</t>
  </si>
  <si>
    <t>Klopidogrel</t>
  </si>
  <si>
    <t>141036</t>
  </si>
  <si>
    <t>TROMBEX 75 MG POTAHOVANÉ TABLETY</t>
  </si>
  <si>
    <t>POR TBL FLM 90X75MG</t>
  </si>
  <si>
    <t>169252</t>
  </si>
  <si>
    <t>TROMBEX 75 MG POTAHOVANE TABLETY</t>
  </si>
  <si>
    <t>Kombinace různých antibiotik</t>
  </si>
  <si>
    <t>1076</t>
  </si>
  <si>
    <t>OPHTHALMO-FRAMYKOIN</t>
  </si>
  <si>
    <t>OPH UNG 1X5GM</t>
  </si>
  <si>
    <t>Levothyroxin, sodná sůl</t>
  </si>
  <si>
    <t>47141</t>
  </si>
  <si>
    <t>LETROX 50</t>
  </si>
  <si>
    <t>POR TBL NOB 100X50RG I</t>
  </si>
  <si>
    <t>Nimesulid</t>
  </si>
  <si>
    <t>17185</t>
  </si>
  <si>
    <t>NIMESIL</t>
  </si>
  <si>
    <t>POR GRA SUS 9X100MG</t>
  </si>
  <si>
    <t>17187</t>
  </si>
  <si>
    <t>POR GRA SUS 30X100MG</t>
  </si>
  <si>
    <t>Ramipril a diuretika</t>
  </si>
  <si>
    <t>125099</t>
  </si>
  <si>
    <t>TRITAZIDE 5 MG/25 MG</t>
  </si>
  <si>
    <t>POR TBL NOB 28</t>
  </si>
  <si>
    <t>Telmisartan</t>
  </si>
  <si>
    <t>500127</t>
  </si>
  <si>
    <t>MICARDIS 40 MG</t>
  </si>
  <si>
    <t>POR TBL NOB 90X40MG</t>
  </si>
  <si>
    <t>16286</t>
  </si>
  <si>
    <t>STILNOX</t>
  </si>
  <si>
    <t>163149</t>
  </si>
  <si>
    <t>HYPNOGEN</t>
  </si>
  <si>
    <t>POR TBL FLM 100X10MG</t>
  </si>
  <si>
    <t>2146</t>
  </si>
  <si>
    <t>POR TBL RET 30X100MG</t>
  </si>
  <si>
    <t>75632</t>
  </si>
  <si>
    <t>POR TBL RET 50X100MG</t>
  </si>
  <si>
    <t>75633</t>
  </si>
  <si>
    <t>POR TBL RET 100X100MG</t>
  </si>
  <si>
    <t>Methylprednisolon</t>
  </si>
  <si>
    <t>40368</t>
  </si>
  <si>
    <t>MEDROL 4 MG</t>
  </si>
  <si>
    <t>POR TBL NOB 30X4MG</t>
  </si>
  <si>
    <t>46980</t>
  </si>
  <si>
    <t>BETALOC SR 200 MG</t>
  </si>
  <si>
    <t>46981</t>
  </si>
  <si>
    <t>POR TBL PRO 30X200MG</t>
  </si>
  <si>
    <t>Nifuroxazid</t>
  </si>
  <si>
    <t>155871</t>
  </si>
  <si>
    <t>ERCEFURYL 200 MG CPS.</t>
  </si>
  <si>
    <t>POR CPS DUR 14X200MG</t>
  </si>
  <si>
    <t>Telmisartan a diuretika</t>
  </si>
  <si>
    <t>26578</t>
  </si>
  <si>
    <t>MICARDISPLUS 80/12,5 MG</t>
  </si>
  <si>
    <t>Tetrazepam</t>
  </si>
  <si>
    <t>57780</t>
  </si>
  <si>
    <t>MYOLASTAN</t>
  </si>
  <si>
    <t>POR TBL FLM 20X50MG</t>
  </si>
  <si>
    <t>Drotaverin</t>
  </si>
  <si>
    <t>107807</t>
  </si>
  <si>
    <t>NO-SPA</t>
  </si>
  <si>
    <t>POR TBL NOB 20X40MG</t>
  </si>
  <si>
    <t>Flutikason-furoát</t>
  </si>
  <si>
    <t>29816</t>
  </si>
  <si>
    <t>AVAMYS</t>
  </si>
  <si>
    <t>NAS SPR SUS 120X27.5RG</t>
  </si>
  <si>
    <t>Gabapentin</t>
  </si>
  <si>
    <t>84400</t>
  </si>
  <si>
    <t>NEURONTIN 300 MG</t>
  </si>
  <si>
    <t>POR CPS DUR 100X300MG</t>
  </si>
  <si>
    <t>Hořčík (různé sole v kombinaci)</t>
  </si>
  <si>
    <t>66555</t>
  </si>
  <si>
    <t>MAGNOSOLV</t>
  </si>
  <si>
    <t>POR GRA SOL 30</t>
  </si>
  <si>
    <t>Levocetirizin</t>
  </si>
  <si>
    <t>85142</t>
  </si>
  <si>
    <t>XYZAL</t>
  </si>
  <si>
    <t>POR TBL FLM 90X5MG</t>
  </si>
  <si>
    <t>Diosmin, kombinace</t>
  </si>
  <si>
    <t>14075</t>
  </si>
  <si>
    <t>DETRALEX</t>
  </si>
  <si>
    <t>POR TBL FLM 60X500MG</t>
  </si>
  <si>
    <t>Erythromycin</t>
  </si>
  <si>
    <t>75285</t>
  </si>
  <si>
    <t>ERYFLUID</t>
  </si>
  <si>
    <t>DRM SOL 1X100ML</t>
  </si>
  <si>
    <t>Estradiol</t>
  </si>
  <si>
    <t>53797</t>
  </si>
  <si>
    <t>ESTROFEM 1 MG</t>
  </si>
  <si>
    <t>POR TBL FLM 28X1MG</t>
  </si>
  <si>
    <t>53798</t>
  </si>
  <si>
    <t>POR TBL FLM (3X28)X1MG</t>
  </si>
  <si>
    <t>Jiná</t>
  </si>
  <si>
    <t>999999</t>
  </si>
  <si>
    <t>Jiný</t>
  </si>
  <si>
    <t>Kyselina acetylsalicylová</t>
  </si>
  <si>
    <t>1286</t>
  </si>
  <si>
    <t>GODASAL 100</t>
  </si>
  <si>
    <t>POR TBL NOB 20</t>
  </si>
  <si>
    <t>17968</t>
  </si>
  <si>
    <t>POR TBL NOB 100</t>
  </si>
  <si>
    <t>Mebendazol</t>
  </si>
  <si>
    <t>59238</t>
  </si>
  <si>
    <t>VERMOX</t>
  </si>
  <si>
    <t>POR TBL NOB 6X100MG</t>
  </si>
  <si>
    <t>Meflochin</t>
  </si>
  <si>
    <t>14946</t>
  </si>
  <si>
    <t>LARIAM</t>
  </si>
  <si>
    <t>POR TBL NOB 8X250MG</t>
  </si>
  <si>
    <t>46405</t>
  </si>
  <si>
    <t>53200</t>
  </si>
  <si>
    <t>AGAPURIN</t>
  </si>
  <si>
    <t>INJ SOL 5X5ML/100MG</t>
  </si>
  <si>
    <t>Piracetam</t>
  </si>
  <si>
    <t>66648</t>
  </si>
  <si>
    <t>PIRACETAM AL 800</t>
  </si>
  <si>
    <t>POR TBL FLM 100X800MG</t>
  </si>
  <si>
    <t>56973</t>
  </si>
  <si>
    <t>TRITACE 1,25 MG</t>
  </si>
  <si>
    <t>POR TBL NOB 30X1.25MG</t>
  </si>
  <si>
    <t>56977</t>
  </si>
  <si>
    <t>POR TBL NOB 30X2.5MG</t>
  </si>
  <si>
    <t>Sodná sůl metamizolu</t>
  </si>
  <si>
    <t>55823</t>
  </si>
  <si>
    <t>NOVALGIN TABLETY</t>
  </si>
  <si>
    <t>POR TBL FLM 20X500MG</t>
  </si>
  <si>
    <t>Papilomavirus lidský (typ 6, 11, 16, 18)</t>
  </si>
  <si>
    <t>27868</t>
  </si>
  <si>
    <t>SILGARD 0,5 ML</t>
  </si>
  <si>
    <t>IMS INJ SUS 1X0,5ML (PS+2J)</t>
  </si>
  <si>
    <t>Všeobecná ambulance</t>
  </si>
  <si>
    <t>P</t>
  </si>
  <si>
    <t>Přehled plnění PL - Preskripce léčivých přípravků dle objemu Kč mimo PL</t>
  </si>
  <si>
    <t>B01AC04 - Klopidogrel</t>
  </si>
  <si>
    <t>R06AE09 - Levocetirizin</t>
  </si>
  <si>
    <t>C09BA05 - Ramipril a diuretika</t>
  </si>
  <si>
    <t>J01CR02 - Amoxicilin a enzymový inhibitor</t>
  </si>
  <si>
    <t>C07AB02 - Metoprolol</t>
  </si>
  <si>
    <t>N02CC01 - Sumatriptan</t>
  </si>
  <si>
    <t>M01AX17 - Nimesulid</t>
  </si>
  <si>
    <t>C09CA07 - Telmisartan</t>
  </si>
  <si>
    <t>J01DC02 - Cefuroxim</t>
  </si>
  <si>
    <t>C08CA01 - Amlodipin</t>
  </si>
  <si>
    <t>C10AA07 - Rosuvastatin</t>
  </si>
  <si>
    <t>J01FA09 - Klarithromycin</t>
  </si>
  <si>
    <t>C09CA01 - Losartan</t>
  </si>
  <si>
    <t>N03AX12 - Gabapentin</t>
  </si>
  <si>
    <t>R06AE07 - Cetirizin</t>
  </si>
  <si>
    <t>N05BA12 - Alprazolam</t>
  </si>
  <si>
    <t>C07AB05 - Betaxolol</t>
  </si>
  <si>
    <t>C09AA05 - Ramipril</t>
  </si>
  <si>
    <t>H03AA01 - Levothyroxin, sodná sůl</t>
  </si>
  <si>
    <t>H02AB04 - Methylprednisolon</t>
  </si>
  <si>
    <t>J01FA09</t>
  </si>
  <si>
    <t>C09AA05</t>
  </si>
  <si>
    <t>C10AA07</t>
  </si>
  <si>
    <t>C07AB02</t>
  </si>
  <si>
    <t>C08CA01</t>
  </si>
  <si>
    <t>C09CA01</t>
  </si>
  <si>
    <t>J01CR02</t>
  </si>
  <si>
    <t>N02CC01</t>
  </si>
  <si>
    <t>N05BA12</t>
  </si>
  <si>
    <t>R06AE07</t>
  </si>
  <si>
    <t>B01AC04</t>
  </si>
  <si>
    <t>C07AB05</t>
  </si>
  <si>
    <t>C09BA05</t>
  </si>
  <si>
    <t>C09CA07</t>
  </si>
  <si>
    <t>H03AA01</t>
  </si>
  <si>
    <t>J01DC02</t>
  </si>
  <si>
    <t>M01AX17</t>
  </si>
  <si>
    <t>H02AB04</t>
  </si>
  <si>
    <t>N03AX12</t>
  </si>
  <si>
    <t>R06AE09</t>
  </si>
  <si>
    <t>50115020</t>
  </si>
  <si>
    <t>Diagnostika (132 03 001)</t>
  </si>
  <si>
    <t>50115050</t>
  </si>
  <si>
    <t>502 SZM obvazový (112 02 040)</t>
  </si>
  <si>
    <t>50115060</t>
  </si>
  <si>
    <t>503 SZM ostatní zdravotnický (112 02 100)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</si>
  <si>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</si>
  <si>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</si>
  <si>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</si>
  <si>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</si>
  <si>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</si>
  <si>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</si>
  <si>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1922</t>
  </si>
  <si>
    <t>PRAC, ambulance - péče o zaměstnance FNO</t>
  </si>
  <si>
    <t>ZA031</t>
  </si>
  <si>
    <t>Vata obvazová 1000 g nest.vinutá 110710</t>
  </si>
  <si>
    <t>ZA318</t>
  </si>
  <si>
    <t>Náplast transpore 1,25 cm x 9,14 m 1527-0</t>
  </si>
  <si>
    <t>ZA446</t>
  </si>
  <si>
    <t>Vata buničitá přířezy 20 x 30 cm 1230200129</t>
  </si>
  <si>
    <t>ZA547</t>
  </si>
  <si>
    <t>Krytí inadine nepřilnavé 9,5 x 9,5 cm 1/10 SYS01512EE</t>
  </si>
  <si>
    <t>ZB404</t>
  </si>
  <si>
    <t>Náplast cosmos 8 cm x 1m 5403353</t>
  </si>
  <si>
    <t>ZC100</t>
  </si>
  <si>
    <t>Vata buničitá dělená 2 role / 500 ks 40 x 50 mm 1230200310</t>
  </si>
  <si>
    <t>ZH011</t>
  </si>
  <si>
    <t>Náplast micropore 1,25 cm x 9,14 m bal. á 24 ks 1530-0</t>
  </si>
  <si>
    <t>ZI558</t>
  </si>
  <si>
    <t>Náplast curapor   7 x   5 cm 22 120 ( náhrada za cosmopor )</t>
  </si>
  <si>
    <t>ZI599</t>
  </si>
  <si>
    <t>Náplast curapor 10 x   8 cm 22121 ( náhrada za cosmopor )</t>
  </si>
  <si>
    <t>ZA728</t>
  </si>
  <si>
    <t>Lopatka lékařská nesterilní 1320100655</t>
  </si>
  <si>
    <t>ZA762</t>
  </si>
  <si>
    <t>Pohár na moč 100 ml UH 712252</t>
  </si>
  <si>
    <t>ZA788</t>
  </si>
  <si>
    <t>Stříkačka injekční 20 ml 4606205V</t>
  </si>
  <si>
    <t>ZB006</t>
  </si>
  <si>
    <t>Teploměr digitální thermoval basic 9250391</t>
  </si>
  <si>
    <t>ZB058</t>
  </si>
  <si>
    <t>Tonometr digitální automatický KVS-LD7</t>
  </si>
  <si>
    <t>ZB724</t>
  </si>
  <si>
    <t>Kapilára sedimentační kalibrovaná 727111</t>
  </si>
  <si>
    <t>ZB754</t>
  </si>
  <si>
    <t>Zkumavka černá 2 ml 454073</t>
  </si>
  <si>
    <t>ZB756</t>
  </si>
  <si>
    <t>Zkumavka 3 ml K3 edta fialová 454086</t>
  </si>
  <si>
    <t>ZB759</t>
  </si>
  <si>
    <t>Zkumavka červená 8 ml gel 455071</t>
  </si>
  <si>
    <t>ZB761</t>
  </si>
  <si>
    <t>Zkumavka červená 4 ml 454092</t>
  </si>
  <si>
    <t>ZB762</t>
  </si>
  <si>
    <t>Zkumavka červená 6 ml 456092</t>
  </si>
  <si>
    <t>ZB768</t>
  </si>
  <si>
    <t>Jehla vakuová 216/38 mm zelená 450076</t>
  </si>
  <si>
    <t>ZB771</t>
  </si>
  <si>
    <t>Držák jehly základní 450201</t>
  </si>
  <si>
    <t>ZB773</t>
  </si>
  <si>
    <t>Zkumavka šedá-glykemie 454085</t>
  </si>
  <si>
    <t>ZB774</t>
  </si>
  <si>
    <t>Zkumavka červená 5 ml gel 456071</t>
  </si>
  <si>
    <t>ZB775</t>
  </si>
  <si>
    <t>Zkumavka koagulace 4 ml modrá 454328</t>
  </si>
  <si>
    <t>ZB776</t>
  </si>
  <si>
    <t>Zkumavka zelená 3 ml 454082</t>
  </si>
  <si>
    <t>ZB777</t>
  </si>
  <si>
    <t>Zkumavka červená 4 ml gel 454071</t>
  </si>
  <si>
    <t>ZC732</t>
  </si>
  <si>
    <t>Vzduchovod ústní guedell   70 mm 24104</t>
  </si>
  <si>
    <t>ZC798</t>
  </si>
  <si>
    <t>Fonendoskop oboustranný KVS-30L</t>
  </si>
  <si>
    <t>ZC906</t>
  </si>
  <si>
    <t>Škrtidlo se sponou KVS25500</t>
  </si>
  <si>
    <t>ZD903</t>
  </si>
  <si>
    <t>Kontejner+lopatka 30 ml nesterilní 331690251330</t>
  </si>
  <si>
    <t>ZF159</t>
  </si>
  <si>
    <t>Nádoba na kontaminovaný odpad 1 l 15-0002</t>
  </si>
  <si>
    <t>ZG515</t>
  </si>
  <si>
    <t>Zkumavka močová vacuette 10,5 ml bal. á 50 ks 331980455007</t>
  </si>
  <si>
    <t>ZI179</t>
  </si>
  <si>
    <t>Zkumavka s mediem+ flovakovaný tampon eSwab růžový 490CE.A</t>
  </si>
  <si>
    <t>ZI182</t>
  </si>
  <si>
    <t>Zkumavka + aplikátor s chem.stabilizátorem UriSwab žlutá 802CE.A</t>
  </si>
  <si>
    <t>ZB236</t>
  </si>
  <si>
    <t>Maska anesteziologická vel. 4 bal. á 30 ks MP01504</t>
  </si>
  <si>
    <t>ZC731</t>
  </si>
  <si>
    <t>Vzduchovod ústní guedell   60 mm 24103</t>
  </si>
  <si>
    <t>ZG466</t>
  </si>
  <si>
    <t>Náústek pro spirometr 26/24 flowscreen bal. á 100 ks 400847690</t>
  </si>
  <si>
    <t>ZA715</t>
  </si>
  <si>
    <t>Set infuzní intrafix 4062957</t>
  </si>
  <si>
    <t>ZA360</t>
  </si>
  <si>
    <t>Jehla sterican 0,5 x 25 mm oranžová 9186158</t>
  </si>
  <si>
    <t>ZA833</t>
  </si>
  <si>
    <t>Jehla injekční 0,8 x   40 mm zelená 4657527</t>
  </si>
  <si>
    <t>ZA834</t>
  </si>
  <si>
    <t>Jehla injekční 0,7 x   40 mm černá 4660021</t>
  </si>
  <si>
    <t>ZB556</t>
  </si>
  <si>
    <t>Jehla injekční 1,2 x   40 mm růžová 4665120</t>
  </si>
  <si>
    <t>ZF925</t>
  </si>
  <si>
    <t>Jehla injekční 0,9 x   25 mm žlutá á 100 ks 4657500</t>
  </si>
  <si>
    <t>ZI758</t>
  </si>
  <si>
    <t>Rukavice vinyl bez p. M á 100 ks EFEKTVR03</t>
  </si>
  <si>
    <t>ZI759</t>
  </si>
  <si>
    <t>Rukavice vinyl bez p. L á 100 ks EFEKTVR04</t>
  </si>
  <si>
    <t>ZL131</t>
  </si>
  <si>
    <t>Rukavice nitril promedica bez p.L á 100 ks 98898</t>
  </si>
  <si>
    <t>ZL949</t>
  </si>
  <si>
    <t>Rukavice nitril promedica bez p. L bílé 6N á 100 ks 9399W4</t>
  </si>
  <si>
    <t>ZL948</t>
  </si>
  <si>
    <t>Rukavice nitril promedica bez p. M bílé 6N á 100 ks 9399W3</t>
  </si>
  <si>
    <t>385033</t>
  </si>
  <si>
    <t>-PROUZKY TETRAPHAN DIA  KATALOGO VE CISLO 1303950 50</t>
  </si>
  <si>
    <t>396404</t>
  </si>
  <si>
    <t>-Zinek práškový k likvidaci rtuti 25g</t>
  </si>
  <si>
    <t>910067</t>
  </si>
  <si>
    <t>-HEPTAPHAN, DIAG.PROUZKY 50 ks 10003317</t>
  </si>
  <si>
    <t>ZI600</t>
  </si>
  <si>
    <t>Náplast curapor 10 x 15 cm 22122 ( náhrada za cosmopor )</t>
  </si>
  <si>
    <t>ZB763</t>
  </si>
  <si>
    <t>Zkumavka červená 9 ml 455092</t>
  </si>
  <si>
    <t xml:space="preserve">401 - Pracoviště pracovního lékařství                   </t>
  </si>
  <si>
    <t xml:space="preserve">902 - Samostatné pracoviště fyzioterapeutů              </t>
  </si>
  <si>
    <t>401</t>
  </si>
  <si>
    <t>1</t>
  </si>
  <si>
    <t>0000498</t>
  </si>
  <si>
    <t xml:space="preserve">MAGNESIUM SULFURICUM BIOTIKA 10%                  </t>
  </si>
  <si>
    <t>0000499</t>
  </si>
  <si>
    <t xml:space="preserve">MAGNESIUM SULFURICUM BIOTIKA 20%                  </t>
  </si>
  <si>
    <t>0000502</t>
  </si>
  <si>
    <t xml:space="preserve">MESOCAIN 1%                                       </t>
  </si>
  <si>
    <t>0000527</t>
  </si>
  <si>
    <t xml:space="preserve">NATRIUM SALICYLICUM BIOTIKA                       </t>
  </si>
  <si>
    <t>0007981</t>
  </si>
  <si>
    <t xml:space="preserve">NOVALGIN INJEKCE                                  </t>
  </si>
  <si>
    <t>0058249</t>
  </si>
  <si>
    <t xml:space="preserve">GUAJACURAN 5%                                     </t>
  </si>
  <si>
    <t>0058712</t>
  </si>
  <si>
    <t xml:space="preserve">INFUSIO NATRII CHLORATI ISOTONICA MEDIEKOS F 1/1  </t>
  </si>
  <si>
    <t>0083947</t>
  </si>
  <si>
    <t>0089212</t>
  </si>
  <si>
    <t xml:space="preserve">INJECTIO PROCAINII CHLORATI 0,2% ARDEAPHARMA      </t>
  </si>
  <si>
    <t>0096873</t>
  </si>
  <si>
    <t xml:space="preserve">GLUKÓZA 5 BRAUN                                   </t>
  </si>
  <si>
    <t>0097682</t>
  </si>
  <si>
    <t xml:space="preserve">CHLORID SODNÝ 0,9% BRAUN                          </t>
  </si>
  <si>
    <t>0091775</t>
  </si>
  <si>
    <t xml:space="preserve">ENGERIX-B 20 MCG                                  </t>
  </si>
  <si>
    <t>V</t>
  </si>
  <si>
    <t xml:space="preserve">09547  </t>
  </si>
  <si>
    <t>REGULAČNÍ POPLATEK -- POJIŠTĚNEC OD ÚHRADY POPLATK</t>
  </si>
  <si>
    <t xml:space="preserve">09543  </t>
  </si>
  <si>
    <t>REGULAČNÍ POPLATEK ZA NÁVŠTĚVU -- POPLATEK UHRAZEN</t>
  </si>
  <si>
    <t xml:space="preserve">09511  </t>
  </si>
  <si>
    <t xml:space="preserve">MINIMÁLNÍ KONTAKT LÉKAŘE S PACIENTEM              </t>
  </si>
  <si>
    <t xml:space="preserve">09119  </t>
  </si>
  <si>
    <t xml:space="preserve">ODBĚR KRVE ZE ŽÍLY U DOSPĚLÉHO NEBO DÍTĚTE NAD 10 </t>
  </si>
  <si>
    <t xml:space="preserve">09223  </t>
  </si>
  <si>
    <t>INTRAVENÓZNÍ INFÚZE U DOSPĚLÉHO NEBO DÍTĚTE NAD 10</t>
  </si>
  <si>
    <t xml:space="preserve">09513  </t>
  </si>
  <si>
    <t>TELEFONICKÁ KONZULTACE OŠETŘUJÍCÍHO LÉKAŘE PACIENT</t>
  </si>
  <si>
    <t xml:space="preserve">09127  </t>
  </si>
  <si>
    <t xml:space="preserve">EKG VYŠETŘENÍ                                     </t>
  </si>
  <si>
    <t xml:space="preserve">09215  </t>
  </si>
  <si>
    <t xml:space="preserve">INJEKCE I. M., S. C., I. D.                       </t>
  </si>
  <si>
    <t xml:space="preserve">09115  </t>
  </si>
  <si>
    <t>ODBĚR BIOLOGICKÉHO MATERIÁLU JINÉHO NEŽ KREV NA KV</t>
  </si>
  <si>
    <t xml:space="preserve">09133  </t>
  </si>
  <si>
    <t xml:space="preserve">SEDIMENTACE ERYTROCYTŮ                            </t>
  </si>
  <si>
    <t xml:space="preserve">09532  </t>
  </si>
  <si>
    <t xml:space="preserve">PROHLÍDKA OSOBY DISPENZARIZOVANÉ                  </t>
  </si>
  <si>
    <t xml:space="preserve">09551  </t>
  </si>
  <si>
    <t>SIGNÁLNÍ VÝKON - INFORMACE O VYDÁNÍ ROZHODNUTÍ O U</t>
  </si>
  <si>
    <t xml:space="preserve">09550  </t>
  </si>
  <si>
    <t>SIGNÁLNÍ VÝKON - INFORMACE O VYDÁNÍ ROZHODNUTÍ O D</t>
  </si>
  <si>
    <t xml:space="preserve">09125  </t>
  </si>
  <si>
    <t xml:space="preserve">PULZNÍ OXYMETRIE                                  </t>
  </si>
  <si>
    <t xml:space="preserve">09523  </t>
  </si>
  <si>
    <t xml:space="preserve">EDUKAČNÍ POHOVOR LÉKAŘE S NEMOCNÝM ČI RODINOU     </t>
  </si>
  <si>
    <t xml:space="preserve">25213  </t>
  </si>
  <si>
    <t xml:space="preserve">SPIROMETRIE (OBVYKLE METODOU PRŮTOK - OBJEM)      </t>
  </si>
  <si>
    <t xml:space="preserve">02110  </t>
  </si>
  <si>
    <t xml:space="preserve">                                                  </t>
  </si>
  <si>
    <t xml:space="preserve">12232  </t>
  </si>
  <si>
    <t xml:space="preserve">PLETYSMOGRAFICKÉ METODY ZÁTĚŽOVÉ A SLOŽITĚJŠÍ (NA </t>
  </si>
  <si>
    <t xml:space="preserve">41021  </t>
  </si>
  <si>
    <t xml:space="preserve">KOMPLEXNÍ VYŠETŘENÍ PRACOVNÍM LÉKAŘEM             </t>
  </si>
  <si>
    <t xml:space="preserve">41040  </t>
  </si>
  <si>
    <t>POSOUZENÍ ZDRAVOTNÍHO STAVU Z HLEDISKA PROFESIONÁL</t>
  </si>
  <si>
    <t xml:space="preserve">21115  </t>
  </si>
  <si>
    <t xml:space="preserve">FYZIKÁLNÍ TERAPIE III                             </t>
  </si>
  <si>
    <t xml:space="preserve">41022  </t>
  </si>
  <si>
    <t xml:space="preserve">CÍLENÉ VYŠETŘENÍ PRACOVNÍM LÉKAŘEM                </t>
  </si>
  <si>
    <t xml:space="preserve">01193  </t>
  </si>
  <si>
    <t xml:space="preserve">01195  </t>
  </si>
  <si>
    <t xml:space="preserve">12110  </t>
  </si>
  <si>
    <t xml:space="preserve">FUNKČNÍ TEPENNÉ TESTY                             </t>
  </si>
  <si>
    <t xml:space="preserve">41023  </t>
  </si>
  <si>
    <t xml:space="preserve">KONTROLNÍ VYŠETŘENÍ PRACOVNÍM LÉKAŘEM             </t>
  </si>
  <si>
    <t xml:space="preserve">02130  </t>
  </si>
  <si>
    <t>OČKOVÁNÍ V PŘÍPADECH, KDY OČKOVACÍ LÁTKA JE HRAZEN</t>
  </si>
  <si>
    <t xml:space="preserve">02156  </t>
  </si>
  <si>
    <t xml:space="preserve">12230  </t>
  </si>
  <si>
    <t>PLETYSMOGRAFICKÉ METODY JEDNODUCHÉ (NA JEDNÉ KONČE</t>
  </si>
  <si>
    <t>902</t>
  </si>
  <si>
    <t xml:space="preserve">01 - I. INTERNÍ  KLINIKA                                                             </t>
  </si>
  <si>
    <t xml:space="preserve">03 - III. INTERNÍ  KLINIKA                                                           </t>
  </si>
  <si>
    <t xml:space="preserve">05 - II. CHIRURGICKÁ KLINIKA                                                         </t>
  </si>
  <si>
    <t xml:space="preserve">11 - ORTOPEDICKÁ KLINIKA                                                             </t>
  </si>
  <si>
    <t xml:space="preserve">16 - KLINIKA PLICNÍCH NEMOCÍ A TUBERKULÓZY                                           </t>
  </si>
  <si>
    <t xml:space="preserve">17 - NEUROLOGICKÁ KLINIKA                                                            </t>
  </si>
  <si>
    <t xml:space="preserve">19 - KLINIKA PRACOVNÍHO LÉKAŘSTVÍ                                                    </t>
  </si>
  <si>
    <t xml:space="preserve">20 - KLINIKA CHOROB KOŽNÍCH A POHLAVNÍCH                                             </t>
  </si>
  <si>
    <t>01</t>
  </si>
  <si>
    <t>03</t>
  </si>
  <si>
    <t>05</t>
  </si>
  <si>
    <t>11</t>
  </si>
  <si>
    <t>16</t>
  </si>
  <si>
    <t>17</t>
  </si>
  <si>
    <t>4F1</t>
  </si>
  <si>
    <t xml:space="preserve">00698  </t>
  </si>
  <si>
    <t>OD TYPU 98 - PRO NEMOCNICE TYPU 3, (KATEGORIE 6) -</t>
  </si>
  <si>
    <t xml:space="preserve">00880  </t>
  </si>
  <si>
    <t>ROZLIŠENÍ VYKÁZANÉ HOSPITALIZACE JAKO: = NOVÁ HOSP</t>
  </si>
  <si>
    <t xml:space="preserve">00601  </t>
  </si>
  <si>
    <t xml:space="preserve">OD TYPU 01 - PRO NEMOCNICE TYPU 3, (KATEGORIE 6)  </t>
  </si>
  <si>
    <t xml:space="preserve">00881  </t>
  </si>
  <si>
    <t>ROZLIŠENÍ VYKÁZANÉ HOSPITALIZACE JAKO: = POKRAČOVÁ</t>
  </si>
  <si>
    <t xml:space="preserve">09544  </t>
  </si>
  <si>
    <t>REGULAČNÍ POPLATEK ZA KAŽDÝ DEN LŮŽKOVÉ PÉČE -- PO</t>
  </si>
  <si>
    <t>20</t>
  </si>
  <si>
    <t xml:space="preserve">22 - KLINIKA NUKLEÁRNÍ MEDICÍNY                                                      </t>
  </si>
  <si>
    <t xml:space="preserve">32 - HEMATO-ONKOLOGICKÁ KLINIKA                                                      </t>
  </si>
  <si>
    <t xml:space="preserve">33 - ODDĚLENÍ KLINICKÉ BIOCHEMIE                                                     </t>
  </si>
  <si>
    <t xml:space="preserve">34 - KLINIKA RADIOLOGICKÁ                                                            </t>
  </si>
  <si>
    <t xml:space="preserve">35 - TRANSFÚZNÍ ODDĚLENÍ                                                             </t>
  </si>
  <si>
    <t xml:space="preserve">37 - ÚSTAV PATOLOGIE                                                                 </t>
  </si>
  <si>
    <t xml:space="preserve">40 - ÚSTAV MIKROBIOLOGIE                                                             </t>
  </si>
  <si>
    <t xml:space="preserve">41 - ÚSTAV IMUNOLOGIE                                                                </t>
  </si>
  <si>
    <t>22</t>
  </si>
  <si>
    <t>407</t>
  </si>
  <si>
    <t>2</t>
  </si>
  <si>
    <t>0002027</t>
  </si>
  <si>
    <t xml:space="preserve">99MTC-MIBI INJ.                                   </t>
  </si>
  <si>
    <t>0002073</t>
  </si>
  <si>
    <t xml:space="preserve">99MTC-OXIDRONÁT DISODNÝ INJ.                      </t>
  </si>
  <si>
    <t>0002087</t>
  </si>
  <si>
    <t xml:space="preserve">18F-FDG                                           </t>
  </si>
  <si>
    <t xml:space="preserve">47241  </t>
  </si>
  <si>
    <t xml:space="preserve">SCINTIGRAFIE SKELETU                              </t>
  </si>
  <si>
    <t xml:space="preserve">47269  </t>
  </si>
  <si>
    <t xml:space="preserve">TOMOGRAFICKÁ SCINTIGRAFIE - SPECT                 </t>
  </si>
  <si>
    <t xml:space="preserve">47245  </t>
  </si>
  <si>
    <t xml:space="preserve">SCINTIGRAFIE SKELETU CÍLENÁ TŘÍFÁZOVÁ             </t>
  </si>
  <si>
    <t xml:space="preserve">47273  </t>
  </si>
  <si>
    <t>KVANTIFIKACE DYNAMICKÝCH A TOMOGRAFICKÝCH SCINTIGR</t>
  </si>
  <si>
    <t>32</t>
  </si>
  <si>
    <t>818</t>
  </si>
  <si>
    <t xml:space="preserve">96167  </t>
  </si>
  <si>
    <t>KREVNÍ OBRAZ S PĚTI POPULAČNÍM DIFERENCIÁLNÍM POČT</t>
  </si>
  <si>
    <t xml:space="preserve">96315  </t>
  </si>
  <si>
    <t>ANALÝZA KREVNÍHO NÁTĚRU PANOPTICKY OBARVENÉHO. IND</t>
  </si>
  <si>
    <t xml:space="preserve">96847  </t>
  </si>
  <si>
    <t>FIBRIN/FIBRINOGEN DEGRADAČNÍ PRODUKTY SEMIKVANTITA</t>
  </si>
  <si>
    <t xml:space="preserve">96325  </t>
  </si>
  <si>
    <t xml:space="preserve">FIBRINOGEN (SÉRIE)                                </t>
  </si>
  <si>
    <t xml:space="preserve">96621  </t>
  </si>
  <si>
    <t xml:space="preserve">AKTIVOVANÝ PARTIALNÍ TROMBOPLASTINOVÝ TEST (APTT) </t>
  </si>
  <si>
    <t xml:space="preserve">96711  </t>
  </si>
  <si>
    <t>PANOPTICKÉ OBARVENÍ NÁTĚRU PERIFERNÍ KRVE NEBO ASP</t>
  </si>
  <si>
    <t xml:space="preserve">96857  </t>
  </si>
  <si>
    <t>STANOVENÍ POČTU RETIKULOCYTŮ NA AUTOMATICKÉM ANALY</t>
  </si>
  <si>
    <t xml:space="preserve">96321  </t>
  </si>
  <si>
    <t xml:space="preserve">POČET TROMBOCYTŮ MIKROSKOPICKY                    </t>
  </si>
  <si>
    <t xml:space="preserve">96889  </t>
  </si>
  <si>
    <t xml:space="preserve">TROMBIN GENERAČNÍ ČAS                             </t>
  </si>
  <si>
    <t>33</t>
  </si>
  <si>
    <t>801</t>
  </si>
  <si>
    <t xml:space="preserve">81443  </t>
  </si>
  <si>
    <t xml:space="preserve">GLUKOZOVÝ TOLERANČNÍ TEST (WHO)                   </t>
  </si>
  <si>
    <t xml:space="preserve">93151  </t>
  </si>
  <si>
    <t xml:space="preserve">FERRITIN                                          </t>
  </si>
  <si>
    <t xml:space="preserve">81427  </t>
  </si>
  <si>
    <t xml:space="preserve">FOSFOR ANORGANICKÝ                                </t>
  </si>
  <si>
    <t xml:space="preserve">93195  </t>
  </si>
  <si>
    <t xml:space="preserve">TYREOTROPIN (TSH)                                 </t>
  </si>
  <si>
    <t xml:space="preserve">81465  </t>
  </si>
  <si>
    <t xml:space="preserve">HOŘČÍK                                            </t>
  </si>
  <si>
    <t xml:space="preserve">81563  </t>
  </si>
  <si>
    <t xml:space="preserve">OSMOLALITA (SÉRUM, MOČ)                           </t>
  </si>
  <si>
    <t xml:space="preserve">93145  </t>
  </si>
  <si>
    <t xml:space="preserve">C-PEPTID                                          </t>
  </si>
  <si>
    <t xml:space="preserve">93185  </t>
  </si>
  <si>
    <t xml:space="preserve">TRIJODTYRONIN CELKOVÝ (TT3)                       </t>
  </si>
  <si>
    <t xml:space="preserve">81585  </t>
  </si>
  <si>
    <t xml:space="preserve">ACIDOBAZICKÁ ROVNOVÁHA                            </t>
  </si>
  <si>
    <t xml:space="preserve">93225  </t>
  </si>
  <si>
    <t xml:space="preserve">PROSTATICKÝ SPECIFICKÝ ANTIGEN (PSA)              </t>
  </si>
  <si>
    <t xml:space="preserve">81169  </t>
  </si>
  <si>
    <t xml:space="preserve">KREATININ STATIM                                  </t>
  </si>
  <si>
    <t xml:space="preserve">81329  </t>
  </si>
  <si>
    <t xml:space="preserve">ALBUMIN (SÉRUM)                                   </t>
  </si>
  <si>
    <t xml:space="preserve">81473  </t>
  </si>
  <si>
    <t xml:space="preserve">CHOLESTEROL HDL                                   </t>
  </si>
  <si>
    <t xml:space="preserve">81527  </t>
  </si>
  <si>
    <t xml:space="preserve">CHOLESTEROL LDL                                   </t>
  </si>
  <si>
    <t xml:space="preserve">91397  </t>
  </si>
  <si>
    <t>ELEKTROFORESA S NÁSLEDNOU IMUNOFIXACÍ (KOMPLEX - I</t>
  </si>
  <si>
    <t xml:space="preserve">93263  </t>
  </si>
  <si>
    <t xml:space="preserve">KARBOHYDRÁT-DEFICIENTNÍ TRANSFERIN (CDT)          </t>
  </si>
  <si>
    <t xml:space="preserve">81111  </t>
  </si>
  <si>
    <t xml:space="preserve">A L T  STATIM                                     </t>
  </si>
  <si>
    <t xml:space="preserve">81137  </t>
  </si>
  <si>
    <t xml:space="preserve">UREA STATIM                                       </t>
  </si>
  <si>
    <t xml:space="preserve">81153  </t>
  </si>
  <si>
    <t xml:space="preserve">GAMA-GLUTAMYLTRANSFERÁZA (GMT) STATIM             </t>
  </si>
  <si>
    <t xml:space="preserve">81397  </t>
  </si>
  <si>
    <t xml:space="preserve">ELEKTROFORÉZA PROTEINŮ (SÉRUM)                    </t>
  </si>
  <si>
    <t xml:space="preserve">81495  </t>
  </si>
  <si>
    <t xml:space="preserve">KREATINKINÁZA (CK)                                </t>
  </si>
  <si>
    <t xml:space="preserve">81533  </t>
  </si>
  <si>
    <t xml:space="preserve">LIPÁZA                                            </t>
  </si>
  <si>
    <t xml:space="preserve">81375  </t>
  </si>
  <si>
    <t xml:space="preserve">KRYOGLOBULINY KVANTITATIVNĚ                       </t>
  </si>
  <si>
    <t xml:space="preserve">81641  </t>
  </si>
  <si>
    <t xml:space="preserve">ŽELEZO CELKOVÉ                                    </t>
  </si>
  <si>
    <t xml:space="preserve">91495  </t>
  </si>
  <si>
    <t xml:space="preserve">AUTOPROTILÁTKY PROTI GAD                          </t>
  </si>
  <si>
    <t xml:space="preserve">81363  </t>
  </si>
  <si>
    <t xml:space="preserve">BILIRUBIN KONJUGOVANÝ                             </t>
  </si>
  <si>
    <t xml:space="preserve">81423  </t>
  </si>
  <si>
    <t xml:space="preserve">FOSFATÁZA ALKALICKÁ IZOENZYMY                     </t>
  </si>
  <si>
    <t xml:space="preserve">93131  </t>
  </si>
  <si>
    <t xml:space="preserve">KORTISOL                                          </t>
  </si>
  <si>
    <t xml:space="preserve">81625  </t>
  </si>
  <si>
    <t xml:space="preserve">VÁPNÍK CELKOVÝ                                    </t>
  </si>
  <si>
    <t xml:space="preserve">93189  </t>
  </si>
  <si>
    <t xml:space="preserve">TYROXIN VOLNÝ (FT4)                               </t>
  </si>
  <si>
    <t xml:space="preserve">81731  </t>
  </si>
  <si>
    <t>STANOVENÍ NATRIURETICKÝCH PEPTIDŮ V SÉRU A V PLAZM</t>
  </si>
  <si>
    <t xml:space="preserve">81237  </t>
  </si>
  <si>
    <t xml:space="preserve">TROPONIN - T NEBO I ELISA                         </t>
  </si>
  <si>
    <t xml:space="preserve">93179  </t>
  </si>
  <si>
    <t xml:space="preserve">PLAZMATICKÁ RENINOVÁ AKTIVITA (PRA)               </t>
  </si>
  <si>
    <t xml:space="preserve">93187  </t>
  </si>
  <si>
    <t xml:space="preserve">TYROXIN CELKOVÝ (TT4)                             </t>
  </si>
  <si>
    <t xml:space="preserve">93245  </t>
  </si>
  <si>
    <t xml:space="preserve">TRIJODTYRONIN VOLNÝ (FT3)                         </t>
  </si>
  <si>
    <t xml:space="preserve">81561  </t>
  </si>
  <si>
    <t xml:space="preserve">PRŮKAZ OKULTNÍHO KRVÁCENÍ                         </t>
  </si>
  <si>
    <t xml:space="preserve">81345  </t>
  </si>
  <si>
    <t xml:space="preserve">AMYLÁZA                                           </t>
  </si>
  <si>
    <t xml:space="preserve">81155  </t>
  </si>
  <si>
    <t xml:space="preserve">GLUKÓZA KVANTITATIVNÍ STANOVENÍ STATIM            </t>
  </si>
  <si>
    <t xml:space="preserve">81541  </t>
  </si>
  <si>
    <t xml:space="preserve">LIPOPROTEIN - Lp (a)                              </t>
  </si>
  <si>
    <t xml:space="preserve">93125  </t>
  </si>
  <si>
    <t xml:space="preserve">ALDOSTERON                                        </t>
  </si>
  <si>
    <t xml:space="preserve">81227  </t>
  </si>
  <si>
    <t xml:space="preserve">PROSTATICKÝ SPECIFICKÝ ANTIGEN (PSA) - VOLNÝ      </t>
  </si>
  <si>
    <t xml:space="preserve">81629  </t>
  </si>
  <si>
    <t xml:space="preserve">VAZEBNÁ KAPACITA ŽELEZA                           </t>
  </si>
  <si>
    <t xml:space="preserve">93115  </t>
  </si>
  <si>
    <t xml:space="preserve">FOLÁTY                                            </t>
  </si>
  <si>
    <t xml:space="preserve">91153  </t>
  </si>
  <si>
    <t xml:space="preserve">STANOVENÍ  C - REAKTIVNÍHO PROTEINU               </t>
  </si>
  <si>
    <t xml:space="preserve">81355  </t>
  </si>
  <si>
    <t xml:space="preserve">APOLIPOPROTEINY AI NEBO B                         </t>
  </si>
  <si>
    <t xml:space="preserve">93161  </t>
  </si>
  <si>
    <t xml:space="preserve">INZULÍN                                           </t>
  </si>
  <si>
    <t xml:space="preserve">93213  </t>
  </si>
  <si>
    <t xml:space="preserve">VITAMIN B12                                       </t>
  </si>
  <si>
    <t xml:space="preserve">81145  </t>
  </si>
  <si>
    <t xml:space="preserve">DRASLÍK STATIM                                    </t>
  </si>
  <si>
    <t xml:space="preserve">81369  </t>
  </si>
  <si>
    <t>BÍLKOVINA KVANTITATIVNĚ (MOČ, MOZKOM. MOK, VÝPOTEK</t>
  </si>
  <si>
    <t xml:space="preserve">93259  </t>
  </si>
  <si>
    <t xml:space="preserve">CROSSLAPS                                         </t>
  </si>
  <si>
    <t xml:space="preserve">81135  </t>
  </si>
  <si>
    <t xml:space="preserve">SODÍK STATIM                                      </t>
  </si>
  <si>
    <t xml:space="preserve">81147  </t>
  </si>
  <si>
    <t xml:space="preserve">FOSFATÁZA ALKALICKÁ STATIM                        </t>
  </si>
  <si>
    <t xml:space="preserve">81167  </t>
  </si>
  <si>
    <t xml:space="preserve">KREATINKINÁZA IZOENZYMY (CK-MB) STATIM            </t>
  </si>
  <si>
    <t xml:space="preserve">81173  </t>
  </si>
  <si>
    <t xml:space="preserve">LIPÁZA STATIM                                     </t>
  </si>
  <si>
    <t xml:space="preserve">81121  </t>
  </si>
  <si>
    <t xml:space="preserve">BILIRUBIN CELKOVÝ STATIM                          </t>
  </si>
  <si>
    <t xml:space="preserve">81161  </t>
  </si>
  <si>
    <t xml:space="preserve">AMYLÁZA PANKREATICKÁ STATIM                       </t>
  </si>
  <si>
    <t xml:space="preserve">93171  </t>
  </si>
  <si>
    <t xml:space="preserve">PARATHORMON                                       </t>
  </si>
  <si>
    <t xml:space="preserve">81157  </t>
  </si>
  <si>
    <t xml:space="preserve">CHLORIDY STATIM                                   </t>
  </si>
  <si>
    <t xml:space="preserve">93247  </t>
  </si>
  <si>
    <t xml:space="preserve">OSTEÁZA (KOSTNÍ FRAKCE ALKALICKÉ FOSFATÁZY)       </t>
  </si>
  <si>
    <t xml:space="preserve">81447  </t>
  </si>
  <si>
    <t xml:space="preserve">GLYKOVANÉ PROTEINY                                </t>
  </si>
  <si>
    <t xml:space="preserve">81537  </t>
  </si>
  <si>
    <t xml:space="preserve">LIPOPROTEINY - ELEKTROFORÉZA                      </t>
  </si>
  <si>
    <t xml:space="preserve">81449  </t>
  </si>
  <si>
    <t xml:space="preserve">GLYKOVANÝ HEMOGLOBIN                              </t>
  </si>
  <si>
    <t xml:space="preserve">81117  </t>
  </si>
  <si>
    <t xml:space="preserve">AMYLASA (SÉRUM, MOČ) STATIM                       </t>
  </si>
  <si>
    <t xml:space="preserve">81113  </t>
  </si>
  <si>
    <t xml:space="preserve">A S T  STATIM                                     </t>
  </si>
  <si>
    <t xml:space="preserve">81325  </t>
  </si>
  <si>
    <t xml:space="preserve">ANALÝZA MOČI MIKROSKOPICKY KVANTITATIVNĚ          </t>
  </si>
  <si>
    <t>881</t>
  </si>
  <si>
    <t xml:space="preserve">81023  </t>
  </si>
  <si>
    <t xml:space="preserve">KONTROLNÍ VYŠETŘENÍ KLINICKÝM BIOCHEMIKEM         </t>
  </si>
  <si>
    <t>34</t>
  </si>
  <si>
    <t>809</t>
  </si>
  <si>
    <t>0077019</t>
  </si>
  <si>
    <t xml:space="preserve">ULTRAVIST 370                                     </t>
  </si>
  <si>
    <t xml:space="preserve">89143  </t>
  </si>
  <si>
    <t xml:space="preserve">RTG BŘICHA                                        </t>
  </si>
  <si>
    <t xml:space="preserve">89131  </t>
  </si>
  <si>
    <t xml:space="preserve">RTG HRUDNÍKU                                      </t>
  </si>
  <si>
    <t xml:space="preserve">89713  </t>
  </si>
  <si>
    <t>MR ZOBRAZENÍ HLAVY, KONČETIN, KLOUBU, JEDNOHO ÚSEK</t>
  </si>
  <si>
    <t xml:space="preserve">89615  </t>
  </si>
  <si>
    <t>CT VYŠETŘENÍ S VĚTŠÍM POČTEM SKENŮ (NAD 30), BEZ P</t>
  </si>
  <si>
    <t xml:space="preserve">89127  </t>
  </si>
  <si>
    <t xml:space="preserve">RTG KOSTÍ A KLOUBŮ KONČETIN                       </t>
  </si>
  <si>
    <t xml:space="preserve">89123  </t>
  </si>
  <si>
    <t xml:space="preserve">RTG PÁNVE NEBO KYČELNÍHO KLOUBU                   </t>
  </si>
  <si>
    <t xml:space="preserve">89611  </t>
  </si>
  <si>
    <t xml:space="preserve">CT VYŠETŘENÍ HLAVY NEBO TĚLA NATIVNÍ A KONTRASTNÍ </t>
  </si>
  <si>
    <t xml:space="preserve">89111  </t>
  </si>
  <si>
    <t xml:space="preserve">RTG PRSTŮ A ZÁPRSTNÍCH KŮSTEK RUKY NEBO NOHY      </t>
  </si>
  <si>
    <t xml:space="preserve">89125  </t>
  </si>
  <si>
    <t xml:space="preserve">RTG RAMENNÍHO KLOUBU                              </t>
  </si>
  <si>
    <t xml:space="preserve">89113  </t>
  </si>
  <si>
    <t xml:space="preserve">RTG LEBKY, CÍLENÉ SNÍMKY                          </t>
  </si>
  <si>
    <t xml:space="preserve">89119  </t>
  </si>
  <si>
    <t xml:space="preserve">RTG HRUDNÍ NEBO BEDERNÍ PÁTEŘE                    </t>
  </si>
  <si>
    <t xml:space="preserve">89117  </t>
  </si>
  <si>
    <t xml:space="preserve">RTG KRKU A KRČNÍ PÁTEŘE                           </t>
  </si>
  <si>
    <t xml:space="preserve">89115  </t>
  </si>
  <si>
    <t xml:space="preserve">RTG LEBKY, PŘEHLEDNÉ SNÍMKY                       </t>
  </si>
  <si>
    <t>35</t>
  </si>
  <si>
    <t>222</t>
  </si>
  <si>
    <t xml:space="preserve">22219  </t>
  </si>
  <si>
    <t>SCREENING ANTIERYTROCYTÁRNÍCH PROTILÁTEK - V SÉRII</t>
  </si>
  <si>
    <t xml:space="preserve">22341  </t>
  </si>
  <si>
    <t>IDENTIFIKACE ANTIERYTROCYTÁRNÍCH PROTILÁTEK - ZKUM</t>
  </si>
  <si>
    <t xml:space="preserve">22339  </t>
  </si>
  <si>
    <t xml:space="preserve">TITRACE ANTIERYTROCYTÁRNÍCH PROTILÁTEK            </t>
  </si>
  <si>
    <t xml:space="preserve">22357  </t>
  </si>
  <si>
    <t>KONZULTACE DISKREPANTNÍHO A DIAGNOSTICKY OBTÍŽNÉHO</t>
  </si>
  <si>
    <t xml:space="preserve">22131  </t>
  </si>
  <si>
    <t xml:space="preserve">VYŠETŘENÍ CHLADOVÝCH AGLUTININŮ                   </t>
  </si>
  <si>
    <t>37</t>
  </si>
  <si>
    <t>807</t>
  </si>
  <si>
    <t xml:space="preserve">87523  </t>
  </si>
  <si>
    <t>STANOVENÍ BIOPTICKÉ DIAGNÓZY III. STUPNĚ OBTÍŽNOST</t>
  </si>
  <si>
    <t xml:space="preserve">87127  </t>
  </si>
  <si>
    <t>JEDNODUCHÝ BIOPTICKÝ VZOREK: MAKROSKOPICKÉ POSOUZE</t>
  </si>
  <si>
    <t xml:space="preserve">87511  </t>
  </si>
  <si>
    <t xml:space="preserve">STANOVENÍ BIOPTICKÉ DIAGNÓZY I. STUPNĚ OBTÍŽNOSTI </t>
  </si>
  <si>
    <t xml:space="preserve">87613  </t>
  </si>
  <si>
    <t>TECHNICKO ADMINISTRATIVNÍ KOMPONENTA BIOPSIE (STAN</t>
  </si>
  <si>
    <t xml:space="preserve">87129  </t>
  </si>
  <si>
    <t>VÍCEČETNÉ MALÉ BIOPTICKÉ VZORKY: MAKROSKOPICKÉ POS</t>
  </si>
  <si>
    <t>40</t>
  </si>
  <si>
    <t>802</t>
  </si>
  <si>
    <t xml:space="preserve">82079  </t>
  </si>
  <si>
    <t>STANOVENÍ PROTILÁTEK PROTI ANTIGENŮM VIRŮ (MIMO VI</t>
  </si>
  <si>
    <t xml:space="preserve">82077  </t>
  </si>
  <si>
    <t>STANOVENÍ PROTILÁTEK PROTI ANTIGENŮM VIRŮ HEPATITI</t>
  </si>
  <si>
    <t xml:space="preserve">82063  </t>
  </si>
  <si>
    <t xml:space="preserve">STANOVENÍ CITLIVOSTI NA ATB KVALITATIVNÍ METODOU  </t>
  </si>
  <si>
    <t xml:space="preserve">82065  </t>
  </si>
  <si>
    <t xml:space="preserve">STANOVENÍ CITLIVOSTI NA ATB KVANTITATIVNÍ METODOU </t>
  </si>
  <si>
    <t xml:space="preserve">82057  </t>
  </si>
  <si>
    <t xml:space="preserve">IDENTIFIKACE KMENE ORIENTAČNÍ JEDNODUCHÝM TESTEM  </t>
  </si>
  <si>
    <t xml:space="preserve">91399  </t>
  </si>
  <si>
    <t>CHARAKTERISTIKA ANTIGENŮ A PROTILÁTEK ELEKTROFORÉZ</t>
  </si>
  <si>
    <t xml:space="preserve">82111  </t>
  </si>
  <si>
    <t>PRŮKAZ PROTILÁTEK NEPŘÍMOU HEMAGLUTINACÍ NA NOSIČÍ</t>
  </si>
  <si>
    <t xml:space="preserve">82087  </t>
  </si>
  <si>
    <t xml:space="preserve">STANOVENÍ PROTILÁTEK AGLUTINACÍ                   </t>
  </si>
  <si>
    <t xml:space="preserve">82001  </t>
  </si>
  <si>
    <t>KONSULTACE K MIKROBIOLOGICKÉMU, PARAZITOLOGICKÉMU,</t>
  </si>
  <si>
    <t>41</t>
  </si>
  <si>
    <t>813</t>
  </si>
  <si>
    <t xml:space="preserve">91427  </t>
  </si>
  <si>
    <t>IZOLACE MONONUKLEÁRŮ Z PERIFERNÍ KRVE GRADIENTOVOU</t>
  </si>
  <si>
    <t xml:space="preserve">91131  </t>
  </si>
  <si>
    <t xml:space="preserve">STANOVENÍ IgA                                     </t>
  </si>
  <si>
    <t xml:space="preserve">91133  </t>
  </si>
  <si>
    <t xml:space="preserve">STANOVENÍ IgM                                     </t>
  </si>
  <si>
    <t xml:space="preserve">91171  </t>
  </si>
  <si>
    <t xml:space="preserve">STANOVENÍ IgG ELISA                               </t>
  </si>
  <si>
    <t xml:space="preserve">91129  </t>
  </si>
  <si>
    <t xml:space="preserve">STANOVENÍ IgG                                     </t>
  </si>
  <si>
    <t xml:space="preserve">91199  </t>
  </si>
  <si>
    <t xml:space="preserve">STANOVENÍ IgA PROTI POTRAVINOVÝM ALERGENŮM ELISA  </t>
  </si>
  <si>
    <t xml:space="preserve">91211  </t>
  </si>
  <si>
    <t xml:space="preserve">STANOVENÍ IgG PROTI POTRAVINOVÝM ALERGENŮM ELISA  </t>
  </si>
  <si>
    <t xml:space="preserve">91565  </t>
  </si>
  <si>
    <t>IMUNOANALYTICKÉ STANOVENÍ AUTOPROTILÁTEK PROTI TKÁ</t>
  </si>
  <si>
    <t xml:space="preserve">91317  </t>
  </si>
  <si>
    <t>PRŮKAZ ANTINUKLEÁRNÍCH PROTILÁTEK - JINÉ SUBSTRÁTY</t>
  </si>
  <si>
    <t xml:space="preserve">91487  </t>
  </si>
  <si>
    <t>DETEKCE AUTOPROTILÁTEK METODOU NEPŘÍMÉ IMUNOFLUORE</t>
  </si>
  <si>
    <t xml:space="preserve">91285  </t>
  </si>
  <si>
    <t xml:space="preserve">STANOVENÍ REVMATOIDNÍHO FAKTORU IgM ELISA         </t>
  </si>
  <si>
    <t xml:space="preserve">91189  </t>
  </si>
  <si>
    <t xml:space="preserve">STANOVENÍ IgE                                     </t>
  </si>
  <si>
    <t xml:space="preserve">91501  </t>
  </si>
  <si>
    <t>STANOVENÍ HLADIN REVMATOIDNÍHO FAKTORU (RF) NEFELO</t>
  </si>
  <si>
    <t xml:space="preserve">91355  </t>
  </si>
  <si>
    <t xml:space="preserve">STANOVENÍ CIK METODOU PEG-IKEM                    </t>
  </si>
  <si>
    <t xml:space="preserve">86217  </t>
  </si>
  <si>
    <t xml:space="preserve">URČOVÁNÍ HLA-B 27                                 </t>
  </si>
  <si>
    <t xml:space="preserve">91161  </t>
  </si>
  <si>
    <t xml:space="preserve">STANOVENÍ C4 SLOŽKY KOMPLEMENTU                   </t>
  </si>
  <si>
    <t xml:space="preserve">91159  </t>
  </si>
  <si>
    <t xml:space="preserve">STANOVENÍ C3 SLOŽKY KOMPLEMENTU                   </t>
  </si>
  <si>
    <t xml:space="preserve">91261  </t>
  </si>
  <si>
    <t xml:space="preserve">STANOVENÍ ANTI ENA Ab ELISA                       </t>
  </si>
  <si>
    <t xml:space="preserve">91289  </t>
  </si>
  <si>
    <t xml:space="preserve">STANOVENÍ REVMATOIDNÍHO FAKTORU IgA ELISA         </t>
  </si>
  <si>
    <t xml:space="preserve">91287  </t>
  </si>
  <si>
    <t xml:space="preserve">STANOVENÍ REVMATOIDNÍHO FAKTORU IgG ELISA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</si>
</sst>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70" formatCode="#,##0,"/>
    <numFmt numFmtId="172" formatCode="0.000"/>
    <numFmt numFmtId="173" formatCode="#.##0"/>
    <numFmt numFmtId="174" formatCode="#,##0%"/>
  </numFmts>
  <fonts count="5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1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4"/>
      <color indexed="63"/>
      <name val="Arial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color theme="1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sz val="10"/>
      <color indexed="63"/>
      <name val="Calibri"/>
      <family val="2"/>
      <charset val="238"/>
    </font>
    <font>
      <b/>
      <sz val="10"/>
      <color indexed="63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</patternFill>
    </fill>
    <fill>
      <patternFill patternType="solid">
        <fgColor theme="3" tint="0.79995117038483843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22"/>
      </top>
      <bottom style="medium">
        <color indexed="22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64"/>
      </right>
      <top style="medium">
        <color indexed="9"/>
      </top>
      <bottom style="medium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22"/>
      </bottom>
      <diagonal/>
    </border>
    <border>
      <left style="medium">
        <color indexed="9"/>
      </left>
      <right style="medium">
        <color indexed="9"/>
      </right>
      <top style="medium">
        <color indexed="64"/>
      </top>
      <bottom style="medium">
        <color indexed="9"/>
      </bottom>
      <diagonal/>
    </border>
    <border>
      <left style="medium">
        <color indexed="9"/>
      </left>
      <right style="medium">
        <color indexed="64"/>
      </right>
      <top style="medium">
        <color indexed="64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64"/>
      </top>
      <bottom style="medium">
        <color indexed="64"/>
      </bottom>
      <diagonal/>
    </border>
    <border>
      <left style="medium">
        <color indexed="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97">
    <xf numFmtId="0" fontId="0" fillId="0" borderId="0"/>
    <xf numFmtId="0" fontId="30" fillId="0" borderId="0" applyNumberForma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31" fillId="0" borderId="0"/>
    <xf numFmtId="0" fontId="12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449">
    <xf numFmtId="0" fontId="0" fillId="0" borderId="0" xfId="0"/>
    <xf numFmtId="0" fontId="32" fillId="2" borderId="18" xfId="81" applyFont="1" applyFill="1" applyBorder="1"/>
    <xf numFmtId="0" fontId="33" fillId="2" borderId="19" xfId="81" applyFont="1" applyFill="1" applyBorder="1"/>
    <xf numFmtId="3" fontId="33" fillId="2" borderId="20" xfId="81" applyNumberFormat="1" applyFont="1" applyFill="1" applyBorder="1"/>
    <xf numFmtId="10" fontId="33" fillId="2" borderId="21" xfId="81" applyNumberFormat="1" applyFont="1" applyFill="1" applyBorder="1"/>
    <xf numFmtId="0" fontId="33" fillId="4" borderId="19" xfId="81" applyFont="1" applyFill="1" applyBorder="1"/>
    <xf numFmtId="3" fontId="33" fillId="4" borderId="20" xfId="81" applyNumberFormat="1" applyFont="1" applyFill="1" applyBorder="1"/>
    <xf numFmtId="10" fontId="33" fillId="4" borderId="21" xfId="81" applyNumberFormat="1" applyFont="1" applyFill="1" applyBorder="1"/>
    <xf numFmtId="172" fontId="33" fillId="3" borderId="20" xfId="81" applyNumberFormat="1" applyFont="1" applyFill="1" applyBorder="1"/>
    <xf numFmtId="10" fontId="33" fillId="3" borderId="21" xfId="81" applyNumberFormat="1" applyFont="1" applyFill="1" applyBorder="1" applyAlignment="1"/>
    <xf numFmtId="0" fontId="34" fillId="5" borderId="0" xfId="74" applyFont="1" applyFill="1"/>
    <xf numFmtId="0" fontId="36" fillId="5" borderId="0" xfId="74" applyFont="1" applyFill="1"/>
    <xf numFmtId="3" fontId="32" fillId="5" borderId="25" xfId="81" applyNumberFormat="1" applyFont="1" applyFill="1" applyBorder="1"/>
    <xf numFmtId="10" fontId="32" fillId="5" borderId="26" xfId="81" applyNumberFormat="1" applyFont="1" applyFill="1" applyBorder="1"/>
    <xf numFmtId="3" fontId="32" fillId="5" borderId="8" xfId="81" applyNumberFormat="1" applyFont="1" applyFill="1" applyBorder="1"/>
    <xf numFmtId="10" fontId="32" fillId="5" borderId="10" xfId="81" applyNumberFormat="1" applyFont="1" applyFill="1" applyBorder="1"/>
    <xf numFmtId="3" fontId="32" fillId="5" borderId="12" xfId="81" applyNumberFormat="1" applyFont="1" applyFill="1" applyBorder="1"/>
    <xf numFmtId="10" fontId="32" fillId="5" borderId="14" xfId="81" applyNumberFormat="1" applyFont="1" applyFill="1" applyBorder="1"/>
    <xf numFmtId="0" fontId="32" fillId="5" borderId="0" xfId="81" applyFont="1" applyFill="1"/>
    <xf numFmtId="10" fontId="32" fillId="5" borderId="0" xfId="81" applyNumberFormat="1" applyFont="1" applyFill="1"/>
    <xf numFmtId="0" fontId="41" fillId="2" borderId="34" xfId="0" applyFont="1" applyFill="1" applyBorder="1" applyAlignment="1">
      <alignment vertical="top"/>
    </xf>
    <xf numFmtId="0" fontId="41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42" fillId="2" borderId="35" xfId="0" applyFont="1" applyFill="1" applyBorder="1" applyAlignment="1">
      <alignment vertical="top"/>
    </xf>
    <xf numFmtId="0" fontId="40" fillId="2" borderId="35" xfId="0" applyFont="1" applyFill="1" applyBorder="1" applyAlignment="1">
      <alignment vertical="top"/>
    </xf>
    <xf numFmtId="0" fontId="38" fillId="2" borderId="36" xfId="0" applyFont="1" applyFill="1" applyBorder="1" applyAlignment="1">
      <alignment vertical="top"/>
    </xf>
    <xf numFmtId="0" fontId="41" fillId="2" borderId="8" xfId="0" applyFont="1" applyFill="1" applyBorder="1" applyAlignment="1">
      <alignment horizontal="center" vertical="center"/>
    </xf>
    <xf numFmtId="0" fontId="41" fillId="2" borderId="22" xfId="0" applyFont="1" applyFill="1" applyBorder="1" applyAlignment="1">
      <alignment horizontal="center" vertical="center"/>
    </xf>
    <xf numFmtId="0" fontId="41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/>
    </xf>
    <xf numFmtId="0" fontId="42" fillId="2" borderId="22" xfId="0" applyFont="1" applyFill="1" applyBorder="1" applyAlignment="1">
      <alignment horizontal="center" vertical="center" wrapText="1"/>
    </xf>
    <xf numFmtId="0" fontId="42" fillId="2" borderId="24" xfId="0" applyFont="1" applyFill="1" applyBorder="1" applyAlignment="1">
      <alignment horizontal="center" vertical="center" wrapText="1"/>
    </xf>
    <xf numFmtId="0" fontId="40" fillId="2" borderId="24" xfId="0" applyFont="1" applyFill="1" applyBorder="1" applyAlignment="1">
      <alignment horizontal="center" vertical="center" wrapText="1"/>
    </xf>
    <xf numFmtId="3" fontId="32" fillId="5" borderId="3" xfId="81" applyNumberFormat="1" applyFont="1" applyFill="1" applyBorder="1"/>
    <xf numFmtId="3" fontId="32" fillId="5" borderId="30" xfId="81" applyNumberFormat="1" applyFont="1" applyFill="1" applyBorder="1"/>
    <xf numFmtId="3" fontId="32" fillId="5" borderId="26" xfId="81" applyNumberFormat="1" applyFont="1" applyFill="1" applyBorder="1"/>
    <xf numFmtId="3" fontId="32" fillId="5" borderId="9" xfId="81" applyNumberFormat="1" applyFont="1" applyFill="1" applyBorder="1"/>
    <xf numFmtId="3" fontId="32" fillId="5" borderId="10" xfId="81" applyNumberFormat="1" applyFont="1" applyFill="1" applyBorder="1"/>
    <xf numFmtId="3" fontId="32" fillId="5" borderId="13" xfId="81" applyNumberFormat="1" applyFont="1" applyFill="1" applyBorder="1"/>
    <xf numFmtId="3" fontId="32" fillId="5" borderId="14" xfId="81" applyNumberFormat="1" applyFont="1" applyFill="1" applyBorder="1"/>
    <xf numFmtId="3" fontId="33" fillId="2" borderId="28" xfId="81" applyNumberFormat="1" applyFont="1" applyFill="1" applyBorder="1"/>
    <xf numFmtId="3" fontId="33" fillId="2" borderId="21" xfId="81" applyNumberFormat="1" applyFont="1" applyFill="1" applyBorder="1"/>
    <xf numFmtId="3" fontId="33" fillId="4" borderId="28" xfId="81" applyNumberFormat="1" applyFont="1" applyFill="1" applyBorder="1"/>
    <xf numFmtId="3" fontId="33" fillId="4" borderId="21" xfId="81" applyNumberFormat="1" applyFont="1" applyFill="1" applyBorder="1"/>
    <xf numFmtId="172" fontId="33" fillId="3" borderId="28" xfId="81" applyNumberFormat="1" applyFont="1" applyFill="1" applyBorder="1"/>
    <xf numFmtId="172" fontId="33" fillId="3" borderId="21" xfId="81" applyNumberFormat="1" applyFont="1" applyFill="1" applyBorder="1"/>
    <xf numFmtId="0" fontId="35" fillId="2" borderId="24" xfId="74" applyFont="1" applyFill="1" applyBorder="1" applyAlignment="1">
      <alignment horizontal="center"/>
    </xf>
    <xf numFmtId="0" fontId="35" fillId="2" borderId="23" xfId="74" applyFont="1" applyFill="1" applyBorder="1" applyAlignment="1">
      <alignment horizontal="center"/>
    </xf>
    <xf numFmtId="0" fontId="35" fillId="2" borderId="25" xfId="81" applyFont="1" applyFill="1" applyBorder="1" applyAlignment="1">
      <alignment horizontal="center"/>
    </xf>
    <xf numFmtId="0" fontId="35" fillId="2" borderId="26" xfId="81" applyFont="1" applyFill="1" applyBorder="1" applyAlignment="1">
      <alignment horizontal="center"/>
    </xf>
    <xf numFmtId="0" fontId="43" fillId="0" borderId="1" xfId="0" applyFont="1" applyFill="1" applyBorder="1"/>
    <xf numFmtId="0" fontId="43" fillId="0" borderId="2" xfId="0" applyFont="1" applyFill="1" applyBorder="1"/>
    <xf numFmtId="3" fontId="33" fillId="0" borderId="28" xfId="78" applyNumberFormat="1" applyFont="1" applyFill="1" applyBorder="1" applyAlignment="1">
      <alignment horizontal="right"/>
    </xf>
    <xf numFmtId="9" fontId="33" fillId="0" borderId="28" xfId="78" applyNumberFormat="1" applyFont="1" applyFill="1" applyBorder="1" applyAlignment="1">
      <alignment horizontal="right"/>
    </xf>
    <xf numFmtId="3" fontId="33" fillId="0" borderId="21" xfId="78" applyNumberFormat="1" applyFont="1" applyFill="1" applyBorder="1" applyAlignment="1">
      <alignment horizontal="right"/>
    </xf>
    <xf numFmtId="0" fontId="35" fillId="2" borderId="22" xfId="81" applyFont="1" applyFill="1" applyBorder="1" applyAlignment="1">
      <alignment horizontal="center"/>
    </xf>
    <xf numFmtId="0" fontId="36" fillId="2" borderId="30" xfId="0" applyFont="1" applyFill="1" applyBorder="1" applyAlignment="1">
      <alignment horizontal="center" vertical="center"/>
    </xf>
    <xf numFmtId="0" fontId="41" fillId="2" borderId="9" xfId="0" applyFont="1" applyFill="1" applyBorder="1" applyAlignment="1">
      <alignment horizontal="center" vertical="center"/>
    </xf>
    <xf numFmtId="0" fontId="36" fillId="2" borderId="26" xfId="0" applyFont="1" applyFill="1" applyBorder="1" applyAlignment="1">
      <alignment horizontal="center" vertical="center"/>
    </xf>
    <xf numFmtId="0" fontId="42" fillId="2" borderId="9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/>
    <xf numFmtId="0" fontId="36" fillId="0" borderId="0" xfId="0" applyFont="1" applyFill="1"/>
    <xf numFmtId="0" fontId="36" fillId="0" borderId="44" xfId="0" applyFont="1" applyFill="1" applyBorder="1" applyAlignment="1"/>
    <xf numFmtId="0" fontId="44" fillId="0" borderId="0" xfId="0" applyFont="1" applyFill="1" applyBorder="1" applyAlignment="1"/>
    <xf numFmtId="0" fontId="36" fillId="0" borderId="48" xfId="0" applyFont="1" applyFill="1" applyBorder="1"/>
    <xf numFmtId="0" fontId="0" fillId="0" borderId="0" xfId="0" applyFill="1"/>
    <xf numFmtId="0" fontId="0" fillId="0" borderId="48" xfId="0" applyFill="1" applyBorder="1" applyAlignment="1"/>
    <xf numFmtId="0" fontId="9" fillId="0" borderId="0" xfId="81" applyFill="1"/>
    <xf numFmtId="0" fontId="10" fillId="0" borderId="44" xfId="81" applyFont="1" applyFill="1" applyBorder="1" applyAlignment="1"/>
    <xf numFmtId="3" fontId="37" fillId="0" borderId="6" xfId="0" applyNumberFormat="1" applyFont="1" applyFill="1" applyBorder="1" applyAlignment="1">
      <alignment horizontal="right" vertical="top"/>
    </xf>
    <xf numFmtId="3" fontId="37" fillId="0" borderId="4" xfId="0" applyNumberFormat="1" applyFont="1" applyFill="1" applyBorder="1" applyAlignment="1">
      <alignment horizontal="right" vertical="top"/>
    </xf>
    <xf numFmtId="3" fontId="38" fillId="0" borderId="4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8" fillId="0" borderId="9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9" fillId="0" borderId="9" xfId="0" applyNumberFormat="1" applyFont="1" applyFill="1" applyBorder="1" applyAlignment="1">
      <alignment horizontal="right" vertical="top"/>
    </xf>
    <xf numFmtId="3" fontId="40" fillId="0" borderId="9" xfId="0" applyNumberFormat="1" applyFont="1" applyFill="1" applyBorder="1" applyAlignment="1">
      <alignment horizontal="right" vertical="top"/>
    </xf>
    <xf numFmtId="3" fontId="37" fillId="0" borderId="33" xfId="0" applyNumberFormat="1" applyFont="1" applyFill="1" applyBorder="1" applyAlignment="1">
      <alignment horizontal="right" vertical="top"/>
    </xf>
    <xf numFmtId="3" fontId="37" fillId="0" borderId="24" xfId="0" applyNumberFormat="1" applyFont="1" applyFill="1" applyBorder="1" applyAlignment="1">
      <alignment horizontal="right" vertical="top"/>
    </xf>
    <xf numFmtId="3" fontId="38" fillId="0" borderId="24" xfId="0" applyNumberFormat="1" applyFont="1" applyFill="1" applyBorder="1" applyAlignment="1">
      <alignment horizontal="right" vertical="top"/>
    </xf>
    <xf numFmtId="0" fontId="8" fillId="0" borderId="0" xfId="82" applyFont="1" applyFill="1"/>
    <xf numFmtId="0" fontId="11" fillId="0" borderId="44" xfId="82" applyFont="1" applyFill="1" applyBorder="1" applyAlignment="1"/>
    <xf numFmtId="0" fontId="1" fillId="0" borderId="0" xfId="78" applyFill="1"/>
    <xf numFmtId="0" fontId="34" fillId="0" borderId="0" xfId="49" applyFont="1" applyFill="1"/>
    <xf numFmtId="0" fontId="0" fillId="0" borderId="0" xfId="0" applyFill="1" applyAlignment="1">
      <alignment horizontal="left"/>
    </xf>
    <xf numFmtId="165" fontId="0" fillId="0" borderId="0" xfId="0" applyNumberFormat="1" applyFill="1"/>
    <xf numFmtId="9" fontId="0" fillId="0" borderId="0" xfId="0" applyNumberFormat="1" applyFill="1"/>
    <xf numFmtId="165" fontId="0" fillId="0" borderId="0" xfId="0" applyNumberFormat="1" applyFill="1" applyAlignment="1">
      <alignment horizontal="right"/>
    </xf>
    <xf numFmtId="3" fontId="8" fillId="0" borderId="0" xfId="78" applyNumberFormat="1" applyFont="1" applyFill="1" applyAlignment="1">
      <alignment horizontal="left"/>
    </xf>
    <xf numFmtId="9" fontId="8" fillId="0" borderId="0" xfId="78" applyNumberFormat="1" applyFont="1" applyFill="1"/>
    <xf numFmtId="3" fontId="8" fillId="0" borderId="0" xfId="78" applyNumberFormat="1" applyFont="1" applyFill="1"/>
    <xf numFmtId="0" fontId="1" fillId="0" borderId="0" xfId="78" applyFill="1" applyBorder="1" applyAlignment="1"/>
    <xf numFmtId="3" fontId="1" fillId="0" borderId="0" xfId="78" applyNumberFormat="1" applyFill="1" applyBorder="1" applyAlignment="1"/>
    <xf numFmtId="3" fontId="0" fillId="0" borderId="0" xfId="0" applyNumberFormat="1" applyFill="1"/>
    <xf numFmtId="0" fontId="3" fillId="0" borderId="0" xfId="79" applyFont="1" applyFill="1" applyBorder="1" applyAlignment="1">
      <alignment horizontal="left"/>
    </xf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0" fontId="0" fillId="0" borderId="0" xfId="0" applyFill="1" applyAlignment="1">
      <alignment horizontal="right"/>
    </xf>
    <xf numFmtId="166" fontId="0" fillId="0" borderId="0" xfId="0" applyNumberFormat="1" applyFill="1"/>
    <xf numFmtId="0" fontId="46" fillId="0" borderId="48" xfId="0" applyFont="1" applyFill="1" applyBorder="1" applyAlignment="1"/>
    <xf numFmtId="165" fontId="3" fillId="0" borderId="72" xfId="53" applyNumberFormat="1" applyFont="1" applyFill="1" applyBorder="1"/>
    <xf numFmtId="9" fontId="3" fillId="0" borderId="72" xfId="53" applyNumberFormat="1" applyFont="1" applyFill="1" applyBorder="1"/>
    <xf numFmtId="0" fontId="0" fillId="0" borderId="0" xfId="0" applyFill="1" applyBorder="1" applyAlignment="1"/>
    <xf numFmtId="0" fontId="0" fillId="0" borderId="0" xfId="0" applyFont="1" applyFill="1"/>
    <xf numFmtId="0" fontId="46" fillId="0" borderId="0" xfId="0" applyFont="1" applyFill="1" applyBorder="1" applyAlignment="1"/>
    <xf numFmtId="3" fontId="0" fillId="0" borderId="0" xfId="0" applyNumberFormat="1" applyFill="1" applyBorder="1" applyAlignment="1"/>
    <xf numFmtId="0" fontId="36" fillId="0" borderId="31" xfId="0" applyFont="1" applyFill="1" applyBorder="1" applyAlignment="1"/>
    <xf numFmtId="0" fontId="36" fillId="0" borderId="32" xfId="0" applyFont="1" applyFill="1" applyBorder="1" applyAlignment="1"/>
    <xf numFmtId="0" fontId="36" fillId="0" borderId="64" xfId="0" applyFont="1" applyFill="1" applyBorder="1" applyAlignment="1"/>
    <xf numFmtId="0" fontId="33" fillId="2" borderId="27" xfId="78" applyFont="1" applyFill="1" applyBorder="1" applyAlignment="1">
      <alignment horizontal="right"/>
    </xf>
    <xf numFmtId="3" fontId="33" fillId="2" borderId="63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70" xfId="53" applyFont="1" applyFill="1" applyBorder="1" applyAlignment="1">
      <alignment horizontal="right"/>
    </xf>
    <xf numFmtId="9" fontId="3" fillId="0" borderId="71" xfId="53" applyNumberFormat="1" applyFont="1" applyFill="1" applyBorder="1"/>
    <xf numFmtId="0" fontId="30" fillId="3" borderId="8" xfId="1" applyFill="1" applyBorder="1"/>
    <xf numFmtId="0" fontId="36" fillId="0" borderId="26" xfId="0" applyFont="1" applyBorder="1" applyAlignment="1"/>
    <xf numFmtId="0" fontId="30" fillId="3" borderId="3" xfId="1" applyFill="1" applyBorder="1"/>
    <xf numFmtId="0" fontId="36" fillId="5" borderId="5" xfId="0" applyFont="1" applyFill="1" applyBorder="1"/>
    <xf numFmtId="0" fontId="30" fillId="6" borderId="3" xfId="1" applyFill="1" applyBorder="1"/>
    <xf numFmtId="0" fontId="36" fillId="5" borderId="10" xfId="0" applyFont="1" applyFill="1" applyBorder="1"/>
    <xf numFmtId="0" fontId="30" fillId="6" borderId="62" xfId="1" applyFill="1" applyBorder="1"/>
    <xf numFmtId="0" fontId="36" fillId="5" borderId="23" xfId="0" applyFont="1" applyFill="1" applyBorder="1"/>
    <xf numFmtId="0" fontId="36" fillId="5" borderId="44" xfId="0" applyFont="1" applyFill="1" applyBorder="1"/>
    <xf numFmtId="0" fontId="30" fillId="2" borderId="3" xfId="1" applyFill="1" applyBorder="1"/>
    <xf numFmtId="0" fontId="36" fillId="5" borderId="48" xfId="0" applyFont="1" applyFill="1" applyBorder="1"/>
    <xf numFmtId="0" fontId="30" fillId="4" borderId="3" xfId="1" applyFill="1" applyBorder="1"/>
    <xf numFmtId="9" fontId="38" fillId="0" borderId="5" xfId="0" applyNumberFormat="1" applyFont="1" applyFill="1" applyBorder="1" applyAlignment="1">
      <alignment horizontal="right" vertical="top"/>
    </xf>
    <xf numFmtId="9" fontId="38" fillId="0" borderId="10" xfId="0" applyNumberFormat="1" applyFont="1" applyFill="1" applyBorder="1" applyAlignment="1">
      <alignment horizontal="right" vertical="top"/>
    </xf>
    <xf numFmtId="9" fontId="40" fillId="0" borderId="10" xfId="0" applyNumberFormat="1" applyFont="1" applyFill="1" applyBorder="1" applyAlignment="1">
      <alignment horizontal="right" vertical="top"/>
    </xf>
    <xf numFmtId="9" fontId="38" fillId="0" borderId="23" xfId="0" applyNumberFormat="1" applyFont="1" applyFill="1" applyBorder="1" applyAlignment="1">
      <alignment horizontal="right" vertical="top"/>
    </xf>
    <xf numFmtId="9" fontId="0" fillId="0" borderId="0" xfId="0" applyNumberFormat="1" applyFill="1" applyBorder="1" applyAlignment="1"/>
    <xf numFmtId="0" fontId="0" fillId="0" borderId="0" xfId="0" applyAlignment="1"/>
    <xf numFmtId="0" fontId="3" fillId="2" borderId="28" xfId="79" applyFont="1" applyFill="1" applyBorder="1"/>
    <xf numFmtId="0" fontId="3" fillId="2" borderId="28" xfId="53" applyFont="1" applyFill="1" applyBorder="1" applyAlignment="1">
      <alignment horizontal="left"/>
    </xf>
    <xf numFmtId="3" fontId="3" fillId="2" borderId="21" xfId="53" applyNumberFormat="1" applyFont="1" applyFill="1" applyBorder="1" applyAlignment="1">
      <alignment horizontal="left"/>
    </xf>
    <xf numFmtId="165" fontId="45" fillId="0" borderId="0" xfId="78" applyNumberFormat="1" applyFont="1" applyFill="1" applyBorder="1" applyAlignment="1"/>
    <xf numFmtId="3" fontId="45" fillId="0" borderId="0" xfId="78" applyNumberFormat="1" applyFont="1" applyFill="1" applyBorder="1" applyAlignment="1"/>
    <xf numFmtId="3" fontId="35" fillId="0" borderId="30" xfId="53" applyNumberFormat="1" applyFont="1" applyFill="1" applyBorder="1"/>
    <xf numFmtId="3" fontId="35" fillId="0" borderId="26" xfId="53" applyNumberFormat="1" applyFont="1" applyFill="1" applyBorder="1"/>
    <xf numFmtId="0" fontId="0" fillId="0" borderId="0" xfId="0" applyBorder="1" applyAlignment="1"/>
    <xf numFmtId="165" fontId="35" fillId="2" borderId="25" xfId="53" applyNumberFormat="1" applyFont="1" applyFill="1" applyBorder="1" applyAlignment="1">
      <alignment horizontal="right"/>
    </xf>
    <xf numFmtId="170" fontId="0" fillId="0" borderId="0" xfId="0" applyNumberFormat="1" applyFill="1" applyBorder="1" applyAlignment="1"/>
    <xf numFmtId="0" fontId="0" fillId="0" borderId="48" xfId="0" applyFont="1" applyFill="1" applyBorder="1" applyAlignment="1"/>
    <xf numFmtId="0" fontId="28" fillId="0" borderId="0" xfId="0" applyFont="1" applyFill="1"/>
    <xf numFmtId="16" fontId="28" fillId="0" borderId="0" xfId="0" quotePrefix="1" applyNumberFormat="1" applyFont="1" applyFill="1"/>
    <xf numFmtId="0" fontId="28" fillId="0" borderId="0" xfId="0" quotePrefix="1" applyFont="1" applyFill="1"/>
    <xf numFmtId="172" fontId="28" fillId="0" borderId="0" xfId="0" applyNumberFormat="1" applyFont="1" applyFill="1"/>
    <xf numFmtId="173" fontId="28" fillId="0" borderId="0" xfId="0" applyNumberFormat="1" applyFont="1" applyFill="1"/>
    <xf numFmtId="3" fontId="28" fillId="0" borderId="0" xfId="0" applyNumberFormat="1" applyFont="1" applyFill="1"/>
    <xf numFmtId="0" fontId="33" fillId="0" borderId="2" xfId="78" applyFont="1" applyFill="1" applyBorder="1" applyAlignment="1">
      <alignment horizontal="left"/>
    </xf>
    <xf numFmtId="9" fontId="1" fillId="0" borderId="0" xfId="78" applyNumberFormat="1" applyFill="1" applyBorder="1" applyAlignment="1"/>
    <xf numFmtId="0" fontId="35" fillId="2" borderId="48" xfId="0" applyFont="1" applyFill="1" applyBorder="1" applyAlignment="1">
      <alignment horizontal="center"/>
    </xf>
    <xf numFmtId="170" fontId="0" fillId="0" borderId="0" xfId="0" applyNumberFormat="1" applyFill="1"/>
    <xf numFmtId="3" fontId="46" fillId="0" borderId="48" xfId="0" applyNumberFormat="1" applyFont="1" applyFill="1" applyBorder="1" applyAlignment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9" fontId="46" fillId="0" borderId="48" xfId="0" applyNumberFormat="1" applyFont="1" applyFill="1" applyBorder="1" applyAlignment="1"/>
    <xf numFmtId="0" fontId="35" fillId="2" borderId="48" xfId="0" applyNumberFormat="1" applyFont="1" applyFill="1" applyBorder="1" applyAlignment="1">
      <alignment horizontal="center"/>
    </xf>
    <xf numFmtId="3" fontId="3" fillId="0" borderId="74" xfId="53" applyNumberFormat="1" applyFont="1" applyFill="1" applyBorder="1"/>
    <xf numFmtId="3" fontId="3" fillId="0" borderId="75" xfId="53" applyNumberFormat="1" applyFont="1" applyFill="1" applyBorder="1"/>
    <xf numFmtId="0" fontId="36" fillId="0" borderId="0" xfId="0" applyFont="1" applyFill="1"/>
    <xf numFmtId="3" fontId="0" fillId="0" borderId="0" xfId="0" applyNumberFormat="1"/>
    <xf numFmtId="9" fontId="0" fillId="0" borderId="0" xfId="0" applyNumberFormat="1"/>
    <xf numFmtId="0" fontId="36" fillId="0" borderId="0" xfId="0" applyFont="1" applyFill="1"/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1" fillId="0" borderId="0" xfId="78" applyFill="1" applyBorder="1" applyAlignment="1">
      <alignment horizontal="left"/>
    </xf>
    <xf numFmtId="0" fontId="0" fillId="0" borderId="0" xfId="0" applyBorder="1"/>
    <xf numFmtId="3" fontId="29" fillId="2" borderId="51" xfId="0" applyNumberFormat="1" applyFont="1" applyFill="1" applyBorder="1"/>
    <xf numFmtId="3" fontId="29" fillId="2" borderId="53" xfId="0" applyNumberFormat="1" applyFont="1" applyFill="1" applyBorder="1"/>
    <xf numFmtId="9" fontId="29" fillId="2" borderId="63" xfId="0" applyNumberFormat="1" applyFont="1" applyFill="1" applyBorder="1"/>
    <xf numFmtId="0" fontId="29" fillId="0" borderId="0" xfId="0" applyFont="1" applyFill="1" applyBorder="1" applyAlignment="1"/>
    <xf numFmtId="0" fontId="0" fillId="0" borderId="6" xfId="0" applyBorder="1" applyAlignment="1"/>
    <xf numFmtId="0" fontId="0" fillId="0" borderId="11" xfId="0" applyBorder="1" applyAlignment="1"/>
    <xf numFmtId="0" fontId="0" fillId="0" borderId="33" xfId="0" applyBorder="1" applyAlignment="1"/>
    <xf numFmtId="0" fontId="0" fillId="4" borderId="29" xfId="0" applyFill="1" applyBorder="1" applyAlignment="1"/>
    <xf numFmtId="0" fontId="0" fillId="3" borderId="29" xfId="0" applyFill="1" applyBorder="1" applyAlignment="1"/>
    <xf numFmtId="0" fontId="29" fillId="2" borderId="57" xfId="0" applyFont="1" applyFill="1" applyBorder="1" applyAlignment="1"/>
    <xf numFmtId="0" fontId="29" fillId="2" borderId="35" xfId="0" applyFont="1" applyFill="1" applyBorder="1" applyAlignment="1">
      <alignment horizontal="left" indent="2"/>
    </xf>
    <xf numFmtId="0" fontId="29" fillId="4" borderId="36" xfId="0" applyFont="1" applyFill="1" applyBorder="1" applyAlignment="1">
      <alignment horizontal="left" indent="2"/>
    </xf>
    <xf numFmtId="0" fontId="29" fillId="3" borderId="19" xfId="0" applyFont="1" applyFill="1" applyBorder="1" applyAlignment="1"/>
    <xf numFmtId="0" fontId="0" fillId="2" borderId="29" xfId="0" applyFill="1" applyBorder="1" applyAlignment="1"/>
    <xf numFmtId="9" fontId="0" fillId="0" borderId="9" xfId="0" applyNumberFormat="1" applyBorder="1" applyAlignment="1"/>
    <xf numFmtId="3" fontId="0" fillId="0" borderId="9" xfId="0" applyNumberFormat="1" applyBorder="1" applyAlignment="1"/>
    <xf numFmtId="9" fontId="0" fillId="2" borderId="21" xfId="0" applyNumberFormat="1" applyFill="1" applyBorder="1" applyAlignment="1"/>
    <xf numFmtId="9" fontId="0" fillId="0" borderId="10" xfId="0" applyNumberFormat="1" applyBorder="1" applyAlignment="1"/>
    <xf numFmtId="9" fontId="0" fillId="0" borderId="23" xfId="0" applyNumberFormat="1" applyBorder="1" applyAlignment="1"/>
    <xf numFmtId="9" fontId="0" fillId="0" borderId="44" xfId="0" applyNumberFormat="1" applyBorder="1" applyAlignment="1"/>
    <xf numFmtId="9" fontId="0" fillId="4" borderId="21" xfId="0" applyNumberFormat="1" applyFill="1" applyBorder="1" applyAlignment="1"/>
    <xf numFmtId="9" fontId="0" fillId="0" borderId="48" xfId="0" applyNumberFormat="1" applyBorder="1" applyAlignment="1"/>
    <xf numFmtId="9" fontId="0" fillId="3" borderId="21" xfId="0" applyNumberFormat="1" applyFill="1" applyBorder="1" applyAlignment="1"/>
    <xf numFmtId="3" fontId="0" fillId="2" borderId="28" xfId="0" applyNumberFormat="1" applyFill="1" applyBorder="1" applyAlignment="1"/>
    <xf numFmtId="3" fontId="0" fillId="0" borderId="4" xfId="0" applyNumberFormat="1" applyBorder="1" applyAlignment="1"/>
    <xf numFmtId="3" fontId="0" fillId="0" borderId="24" xfId="0" applyNumberFormat="1" applyBorder="1" applyAlignment="1"/>
    <xf numFmtId="3" fontId="0" fillId="0" borderId="0" xfId="0" applyNumberFormat="1" applyAlignment="1"/>
    <xf numFmtId="3" fontId="0" fillId="4" borderId="28" xfId="0" applyNumberFormat="1" applyFill="1" applyBorder="1" applyAlignment="1"/>
    <xf numFmtId="3" fontId="0" fillId="3" borderId="28" xfId="0" applyNumberFormat="1" applyFill="1" applyBorder="1" applyAlignment="1"/>
    <xf numFmtId="0" fontId="29" fillId="0" borderId="44" xfId="0" applyFont="1" applyFill="1" applyBorder="1" applyAlignment="1">
      <alignment horizontal="left" indent="2"/>
    </xf>
    <xf numFmtId="0" fontId="0" fillId="0" borderId="44" xfId="0" applyBorder="1" applyAlignment="1"/>
    <xf numFmtId="3" fontId="0" fillId="0" borderId="44" xfId="0" applyNumberFormat="1" applyBorder="1" applyAlignment="1"/>
    <xf numFmtId="0" fontId="30" fillId="2" borderId="18" xfId="1" applyFill="1" applyBorder="1"/>
    <xf numFmtId="0" fontId="30" fillId="0" borderId="0" xfId="1" applyFill="1"/>
    <xf numFmtId="0" fontId="30" fillId="4" borderId="34" xfId="1" applyFill="1" applyBorder="1"/>
    <xf numFmtId="0" fontId="30" fillId="4" borderId="18" xfId="1" applyFill="1" applyBorder="1"/>
    <xf numFmtId="0" fontId="30" fillId="2" borderId="35" xfId="1" applyFill="1" applyBorder="1" applyAlignment="1">
      <alignment horizontal="left" indent="2"/>
    </xf>
    <xf numFmtId="0" fontId="30" fillId="2" borderId="35" xfId="1" applyFill="1" applyBorder="1" applyAlignment="1">
      <alignment horizontal="left" indent="4"/>
    </xf>
    <xf numFmtId="0" fontId="30" fillId="4" borderId="35" xfId="1" applyFill="1" applyBorder="1" applyAlignment="1">
      <alignment horizontal="left" indent="2"/>
    </xf>
    <xf numFmtId="0" fontId="30" fillId="4" borderId="35" xfId="1" applyFill="1" applyBorder="1" applyAlignment="1">
      <alignment horizontal="left" wrapText="1" indent="2"/>
    </xf>
    <xf numFmtId="0" fontId="54" fillId="2" borderId="35" xfId="1" applyFont="1" applyFill="1" applyBorder="1" applyAlignment="1">
      <alignment horizontal="left" indent="2"/>
    </xf>
    <xf numFmtId="0" fontId="54" fillId="2" borderId="35" xfId="1" applyFont="1" applyFill="1" applyBorder="1" applyAlignment="1"/>
    <xf numFmtId="0" fontId="55" fillId="3" borderId="19" xfId="1" applyFont="1" applyFill="1" applyBorder="1"/>
    <xf numFmtId="0" fontId="55" fillId="2" borderId="35" xfId="1" applyFont="1" applyFill="1" applyBorder="1" applyAlignment="1"/>
    <xf numFmtId="0" fontId="55" fillId="4" borderId="19" xfId="1" applyFont="1" applyFill="1" applyBorder="1" applyAlignment="1">
      <alignment horizontal="left"/>
    </xf>
    <xf numFmtId="0" fontId="55" fillId="2" borderId="19" xfId="1" applyFont="1" applyFill="1" applyBorder="1" applyAlignment="1"/>
    <xf numFmtId="0" fontId="55" fillId="4" borderId="57" xfId="1" applyFont="1" applyFill="1" applyBorder="1" applyAlignment="1">
      <alignment horizontal="left"/>
    </xf>
    <xf numFmtId="0" fontId="55" fillId="4" borderId="35" xfId="1" applyFont="1" applyFill="1" applyBorder="1" applyAlignment="1">
      <alignment horizontal="left"/>
    </xf>
    <xf numFmtId="0" fontId="29" fillId="2" borderId="27" xfId="0" applyFont="1" applyFill="1" applyBorder="1" applyAlignment="1">
      <alignment horizontal="right"/>
    </xf>
    <xf numFmtId="170" fontId="29" fillId="0" borderId="20" xfId="0" applyNumberFormat="1" applyFont="1" applyFill="1" applyBorder="1" applyAlignment="1"/>
    <xf numFmtId="170" fontId="29" fillId="0" borderId="28" xfId="0" applyNumberFormat="1" applyFont="1" applyFill="1" applyBorder="1" applyAlignment="1"/>
    <xf numFmtId="9" fontId="29" fillId="0" borderId="50" xfId="0" applyNumberFormat="1" applyFont="1" applyFill="1" applyBorder="1" applyAlignment="1"/>
    <xf numFmtId="9" fontId="29" fillId="0" borderId="21" xfId="0" applyNumberFormat="1" applyFont="1" applyFill="1" applyBorder="1" applyAlignment="1"/>
    <xf numFmtId="170" fontId="29" fillId="0" borderId="29" xfId="0" applyNumberFormat="1" applyFont="1" applyFill="1" applyBorder="1" applyAlignment="1"/>
    <xf numFmtId="0" fontId="43" fillId="3" borderId="27" xfId="0" applyFont="1" applyFill="1" applyBorder="1" applyAlignment="1"/>
    <xf numFmtId="0" fontId="0" fillId="0" borderId="45" xfId="0" applyBorder="1" applyAlignment="1"/>
    <xf numFmtId="0" fontId="43" fillId="2" borderId="27" xfId="0" applyFont="1" applyFill="1" applyBorder="1" applyAlignment="1"/>
    <xf numFmtId="0" fontId="43" fillId="4" borderId="27" xfId="0" applyFont="1" applyFill="1" applyBorder="1" applyAlignment="1"/>
    <xf numFmtId="0" fontId="46" fillId="0" borderId="1" xfId="0" applyFont="1" applyFill="1" applyBorder="1" applyAlignment="1"/>
    <xf numFmtId="0" fontId="0" fillId="0" borderId="1" xfId="0" applyFill="1" applyBorder="1" applyAlignment="1"/>
    <xf numFmtId="0" fontId="0" fillId="0" borderId="1" xfId="0" applyBorder="1" applyAlignment="1"/>
    <xf numFmtId="0" fontId="47" fillId="5" borderId="17" xfId="81" applyFont="1" applyFill="1" applyBorder="1" applyAlignment="1">
      <alignment horizontal="center" vertical="center"/>
    </xf>
    <xf numFmtId="0" fontId="48" fillId="0" borderId="2" xfId="0" applyFont="1" applyBorder="1" applyAlignment="1">
      <alignment horizontal="center" vertical="center"/>
    </xf>
    <xf numFmtId="0" fontId="35" fillId="2" borderId="25" xfId="74" applyFont="1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6" xfId="0" applyBorder="1" applyAlignment="1">
      <alignment horizontal="center"/>
    </xf>
    <xf numFmtId="0" fontId="35" fillId="2" borderId="22" xfId="81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" xfId="0" applyFont="1" applyFill="1" applyBorder="1" applyAlignment="1"/>
    <xf numFmtId="0" fontId="36" fillId="0" borderId="0" xfId="0" applyFont="1" applyFill="1"/>
    <xf numFmtId="0" fontId="2" fillId="0" borderId="1" xfId="0" applyFont="1" applyFill="1" applyBorder="1" applyAlignment="1"/>
    <xf numFmtId="0" fontId="42" fillId="2" borderId="25" xfId="0" applyFont="1" applyFill="1" applyBorder="1" applyAlignment="1">
      <alignment horizontal="center" vertical="center"/>
    </xf>
    <xf numFmtId="0" fontId="36" fillId="2" borderId="30" xfId="0" applyFont="1" applyFill="1" applyBorder="1" applyAlignment="1">
      <alignment horizontal="center" vertical="center"/>
    </xf>
    <xf numFmtId="0" fontId="41" fillId="2" borderId="9" xfId="0" applyFont="1" applyFill="1" applyBorder="1" applyAlignment="1">
      <alignment horizontal="center" vertical="center"/>
    </xf>
    <xf numFmtId="0" fontId="36" fillId="2" borderId="10" xfId="0" applyFont="1" applyFill="1" applyBorder="1" applyAlignment="1">
      <alignment horizontal="center" vertical="center"/>
    </xf>
    <xf numFmtId="0" fontId="49" fillId="0" borderId="0" xfId="0" applyFont="1" applyFill="1" applyAlignment="1">
      <alignment vertical="center" wrapText="1"/>
    </xf>
    <xf numFmtId="0" fontId="6" fillId="0" borderId="1" xfId="0" applyFont="1" applyFill="1" applyBorder="1" applyAlignment="1"/>
    <xf numFmtId="0" fontId="36" fillId="2" borderId="8" xfId="0" applyFont="1" applyFill="1" applyBorder="1" applyAlignment="1">
      <alignment horizontal="center" vertical="center"/>
    </xf>
    <xf numFmtId="0" fontId="36" fillId="2" borderId="9" xfId="0" applyFont="1" applyFill="1" applyBorder="1" applyAlignment="1">
      <alignment horizontal="center" vertical="center"/>
    </xf>
    <xf numFmtId="0" fontId="42" fillId="2" borderId="30" xfId="0" applyFont="1" applyFill="1" applyBorder="1" applyAlignment="1">
      <alignment horizontal="center" vertical="center"/>
    </xf>
    <xf numFmtId="0" fontId="36" fillId="2" borderId="26" xfId="0" applyFont="1" applyFill="1" applyBorder="1" applyAlignment="1">
      <alignment horizontal="center" vertical="center"/>
    </xf>
    <xf numFmtId="0" fontId="42" fillId="2" borderId="9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0" fontId="40" fillId="2" borderId="9" xfId="0" applyFont="1" applyFill="1" applyBorder="1" applyAlignment="1">
      <alignment horizontal="center" vertical="center" wrapText="1"/>
    </xf>
    <xf numFmtId="0" fontId="40" fillId="2" borderId="10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0" fontId="2" fillId="0" borderId="1" xfId="14" applyFont="1" applyFill="1" applyBorder="1" applyAlignment="1"/>
    <xf numFmtId="0" fontId="27" fillId="0" borderId="1" xfId="14" applyFill="1" applyBorder="1" applyAlignment="1"/>
    <xf numFmtId="165" fontId="35" fillId="0" borderId="0" xfId="53" applyNumberFormat="1" applyFont="1" applyFill="1" applyBorder="1" applyAlignment="1">
      <alignment horizontal="center"/>
    </xf>
    <xf numFmtId="165" fontId="34" fillId="0" borderId="0" xfId="79" applyNumberFormat="1" applyFont="1" applyFill="1" applyBorder="1" applyAlignment="1">
      <alignment horizontal="center"/>
    </xf>
    <xf numFmtId="165" fontId="35" fillId="2" borderId="25" xfId="53" applyNumberFormat="1" applyFont="1" applyFill="1" applyBorder="1" applyAlignment="1">
      <alignment horizontal="right"/>
    </xf>
    <xf numFmtId="165" fontId="34" fillId="2" borderId="30" xfId="79" applyNumberFormat="1" applyFont="1" applyFill="1" applyBorder="1" applyAlignment="1">
      <alignment horizontal="right"/>
    </xf>
    <xf numFmtId="165" fontId="50" fillId="0" borderId="1" xfId="14" applyNumberFormat="1" applyFont="1" applyFill="1" applyBorder="1" applyAlignment="1"/>
    <xf numFmtId="0" fontId="6" fillId="0" borderId="1" xfId="14" applyFont="1" applyFill="1" applyBorder="1" applyAlignment="1"/>
    <xf numFmtId="3" fontId="33" fillId="2" borderId="65" xfId="78" applyNumberFormat="1" applyFont="1" applyFill="1" applyBorder="1" applyAlignment="1">
      <alignment horizontal="left"/>
    </xf>
    <xf numFmtId="0" fontId="36" fillId="2" borderId="52" xfId="0" applyFont="1" applyFill="1" applyBorder="1" applyAlignment="1"/>
    <xf numFmtId="3" fontId="33" fillId="2" borderId="54" xfId="78" applyNumberFormat="1" applyFont="1" applyFill="1" applyBorder="1" applyAlignment="1"/>
    <xf numFmtId="0" fontId="43" fillId="2" borderId="65" xfId="0" applyFont="1" applyFill="1" applyBorder="1" applyAlignment="1">
      <alignment horizontal="left"/>
    </xf>
    <xf numFmtId="0" fontId="0" fillId="2" borderId="48" xfId="0" applyFill="1" applyBorder="1" applyAlignment="1">
      <alignment horizontal="left"/>
    </xf>
    <xf numFmtId="0" fontId="0" fillId="2" borderId="52" xfId="0" applyFill="1" applyBorder="1" applyAlignment="1">
      <alignment horizontal="left"/>
    </xf>
    <xf numFmtId="0" fontId="43" fillId="2" borderId="54" xfId="0" applyFont="1" applyFill="1" applyBorder="1" applyAlignment="1">
      <alignment horizontal="left"/>
    </xf>
    <xf numFmtId="3" fontId="43" fillId="2" borderId="54" xfId="0" applyNumberFormat="1" applyFont="1" applyFill="1" applyBorder="1" applyAlignment="1">
      <alignment horizontal="left"/>
    </xf>
    <xf numFmtId="3" fontId="0" fillId="2" borderId="49" xfId="0" applyNumberFormat="1" applyFill="1" applyBorder="1" applyAlignment="1">
      <alignment horizontal="left"/>
    </xf>
    <xf numFmtId="0" fontId="7" fillId="0" borderId="1" xfId="14" applyFont="1" applyFill="1" applyBorder="1" applyAlignment="1"/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5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8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6" xfId="53" applyFont="1" applyFill="1" applyBorder="1" applyAlignment="1">
      <alignment horizontal="right"/>
    </xf>
    <xf numFmtId="0" fontId="5" fillId="2" borderId="67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8" xfId="79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29" fillId="2" borderId="63" xfId="0" applyFont="1" applyFill="1" applyBorder="1" applyAlignment="1">
      <alignment vertical="center"/>
    </xf>
    <xf numFmtId="3" fontId="35" fillId="2" borderId="65" xfId="26" applyNumberFormat="1" applyFont="1" applyFill="1" applyBorder="1" applyAlignment="1">
      <alignment horizontal="center"/>
    </xf>
    <xf numFmtId="3" fontId="35" fillId="2" borderId="48" xfId="26" applyNumberFormat="1" applyFont="1" applyFill="1" applyBorder="1" applyAlignment="1">
      <alignment horizontal="center"/>
    </xf>
    <xf numFmtId="3" fontId="35" fillId="2" borderId="49" xfId="26" applyNumberFormat="1" applyFont="1" applyFill="1" applyBorder="1" applyAlignment="1">
      <alignment horizontal="center"/>
    </xf>
    <xf numFmtId="3" fontId="35" fillId="2" borderId="49" xfId="0" applyNumberFormat="1" applyFont="1" applyFill="1" applyBorder="1" applyAlignment="1">
      <alignment horizontal="center" vertical="top"/>
    </xf>
    <xf numFmtId="0" fontId="35" fillId="2" borderId="31" xfId="0" applyFont="1" applyFill="1" applyBorder="1" applyAlignment="1">
      <alignment horizontal="center" vertical="top" wrapText="1"/>
    </xf>
    <xf numFmtId="0" fontId="35" fillId="2" borderId="31" xfId="0" applyFont="1" applyFill="1" applyBorder="1" applyAlignment="1">
      <alignment horizontal="center" vertical="top"/>
    </xf>
    <xf numFmtId="49" fontId="35" fillId="2" borderId="31" xfId="0" applyNumberFormat="1" applyFont="1" applyFill="1" applyBorder="1" applyAlignment="1">
      <alignment horizontal="center" vertical="top"/>
    </xf>
    <xf numFmtId="0" fontId="35" fillId="2" borderId="31" xfId="0" applyFont="1" applyFill="1" applyBorder="1" applyAlignment="1">
      <alignment horizontal="center" vertical="center"/>
    </xf>
    <xf numFmtId="0" fontId="35" fillId="2" borderId="65" xfId="0" quotePrefix="1" applyFont="1" applyFill="1" applyBorder="1" applyAlignment="1">
      <alignment horizontal="center"/>
    </xf>
    <xf numFmtId="0" fontId="35" fillId="2" borderId="49" xfId="0" applyFont="1" applyFill="1" applyBorder="1" applyAlignment="1">
      <alignment horizontal="center"/>
    </xf>
    <xf numFmtId="9" fontId="51" fillId="2" borderId="49" xfId="0" applyNumberFormat="1" applyFont="1" applyFill="1" applyBorder="1" applyAlignment="1">
      <alignment horizontal="center" vertical="top"/>
    </xf>
    <xf numFmtId="0" fontId="35" fillId="2" borderId="65" xfId="0" quotePrefix="1" applyNumberFormat="1" applyFont="1" applyFill="1" applyBorder="1" applyAlignment="1">
      <alignment horizontal="center"/>
    </xf>
    <xf numFmtId="0" fontId="35" fillId="2" borderId="49" xfId="0" applyNumberFormat="1" applyFont="1" applyFill="1" applyBorder="1" applyAlignment="1">
      <alignment horizontal="center"/>
    </xf>
    <xf numFmtId="0" fontId="51" fillId="2" borderId="49" xfId="0" applyNumberFormat="1" applyFont="1" applyFill="1" applyBorder="1" applyAlignment="1">
      <alignment horizontal="center" vertical="top"/>
    </xf>
    <xf numFmtId="0" fontId="35" fillId="2" borderId="31" xfId="0" applyFont="1" applyFill="1" applyBorder="1" applyAlignment="1">
      <alignment vertical="center" wrapText="1"/>
    </xf>
    <xf numFmtId="0" fontId="56" fillId="0" borderId="0" xfId="1" applyFont="1" applyFill="1"/>
    <xf numFmtId="3" fontId="57" fillId="7" borderId="77" xfId="0" applyNumberFormat="1" applyFont="1" applyFill="1" applyBorder="1" applyAlignment="1">
      <alignment horizontal="right" vertical="top"/>
    </xf>
    <xf numFmtId="174" fontId="57" fillId="7" borderId="78" xfId="0" applyNumberFormat="1" applyFont="1" applyFill="1" applyBorder="1" applyAlignment="1">
      <alignment horizontal="right" vertical="top"/>
    </xf>
    <xf numFmtId="3" fontId="57" fillId="0" borderId="77" xfId="0" applyNumberFormat="1" applyFont="1" applyBorder="1" applyAlignment="1">
      <alignment horizontal="right" vertical="top"/>
    </xf>
    <xf numFmtId="3" fontId="58" fillId="7" borderId="80" xfId="0" applyNumberFormat="1" applyFont="1" applyFill="1" applyBorder="1" applyAlignment="1">
      <alignment horizontal="right" vertical="top"/>
    </xf>
    <xf numFmtId="174" fontId="58" fillId="7" borderId="81" xfId="0" applyNumberFormat="1" applyFont="1" applyFill="1" applyBorder="1" applyAlignment="1">
      <alignment horizontal="right" vertical="top"/>
    </xf>
    <xf numFmtId="3" fontId="58" fillId="0" borderId="80" xfId="0" applyNumberFormat="1" applyFont="1" applyBorder="1" applyAlignment="1">
      <alignment horizontal="right" vertical="top"/>
    </xf>
    <xf numFmtId="0" fontId="57" fillId="7" borderId="78" xfId="0" applyFont="1" applyFill="1" applyBorder="1" applyAlignment="1">
      <alignment horizontal="right" vertical="top"/>
    </xf>
    <xf numFmtId="0" fontId="58" fillId="7" borderId="81" xfId="0" applyFont="1" applyFill="1" applyBorder="1" applyAlignment="1">
      <alignment horizontal="right" vertical="top"/>
    </xf>
    <xf numFmtId="3" fontId="58" fillId="0" borderId="82" xfId="0" applyNumberFormat="1" applyFont="1" applyBorder="1" applyAlignment="1">
      <alignment horizontal="right" vertical="top"/>
    </xf>
    <xf numFmtId="3" fontId="58" fillId="0" borderId="83" xfId="0" applyNumberFormat="1" applyFont="1" applyBorder="1" applyAlignment="1">
      <alignment horizontal="right" vertical="top"/>
    </xf>
    <xf numFmtId="174" fontId="58" fillId="7" borderId="83" xfId="0" applyNumberFormat="1" applyFont="1" applyFill="1" applyBorder="1" applyAlignment="1">
      <alignment horizontal="right" vertical="top"/>
    </xf>
    <xf numFmtId="0" fontId="57" fillId="8" borderId="76" xfId="0" applyFont="1" applyFill="1" applyBorder="1" applyAlignment="1">
      <alignment vertical="top"/>
    </xf>
    <xf numFmtId="0" fontId="57" fillId="8" borderId="76" xfId="0" applyFont="1" applyFill="1" applyBorder="1" applyAlignment="1">
      <alignment vertical="top" indent="2"/>
    </xf>
    <xf numFmtId="0" fontId="57" fillId="8" borderId="76" xfId="0" applyFont="1" applyFill="1" applyBorder="1" applyAlignment="1">
      <alignment vertical="top" indent="4"/>
    </xf>
    <xf numFmtId="0" fontId="58" fillId="8" borderId="79" xfId="0" applyFont="1" applyFill="1" applyBorder="1" applyAlignment="1">
      <alignment vertical="top" indent="6"/>
    </xf>
    <xf numFmtId="0" fontId="57" fillId="8" borderId="76" xfId="0" applyFont="1" applyFill="1" applyBorder="1" applyAlignment="1">
      <alignment vertical="top" indent="8"/>
    </xf>
    <xf numFmtId="0" fontId="58" fillId="8" borderId="79" xfId="0" applyFont="1" applyFill="1" applyBorder="1" applyAlignment="1">
      <alignment vertical="top" indent="2"/>
    </xf>
    <xf numFmtId="0" fontId="58" fillId="8" borderId="79" xfId="0" applyFont="1" applyFill="1" applyBorder="1" applyAlignment="1">
      <alignment vertical="top" indent="4"/>
    </xf>
    <xf numFmtId="0" fontId="57" fillId="8" borderId="76" xfId="0" applyFont="1" applyFill="1" applyBorder="1" applyAlignment="1">
      <alignment vertical="top" indent="6"/>
    </xf>
    <xf numFmtId="0" fontId="58" fillId="8" borderId="79" xfId="0" applyFont="1" applyFill="1" applyBorder="1" applyAlignment="1">
      <alignment vertical="top"/>
    </xf>
    <xf numFmtId="0" fontId="36" fillId="8" borderId="76" xfId="0" applyFont="1" applyFill="1" applyBorder="1"/>
    <xf numFmtId="0" fontId="58" fillId="8" borderId="19" xfId="0" applyFont="1" applyFill="1" applyBorder="1" applyAlignment="1">
      <alignment vertical="top"/>
    </xf>
    <xf numFmtId="0" fontId="34" fillId="0" borderId="0" xfId="0" applyNumberFormat="1" applyFont="1" applyFill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4" fillId="0" borderId="0" xfId="0" applyNumberFormat="1" applyFont="1" applyFill="1" applyBorder="1"/>
    <xf numFmtId="9" fontId="34" fillId="0" borderId="0" xfId="0" applyNumberFormat="1" applyFont="1" applyFill="1" applyBorder="1"/>
    <xf numFmtId="165" fontId="35" fillId="2" borderId="51" xfId="53" applyNumberFormat="1" applyFont="1" applyFill="1" applyBorder="1" applyAlignment="1">
      <alignment horizontal="left"/>
    </xf>
    <xf numFmtId="165" fontId="35" fillId="2" borderId="53" xfId="53" applyNumberFormat="1" applyFont="1" applyFill="1" applyBorder="1" applyAlignment="1">
      <alignment horizontal="left"/>
    </xf>
    <xf numFmtId="165" fontId="35" fillId="2" borderId="60" xfId="53" applyNumberFormat="1" applyFont="1" applyFill="1" applyBorder="1" applyAlignment="1">
      <alignment horizontal="left"/>
    </xf>
    <xf numFmtId="3" fontId="35" fillId="2" borderId="60" xfId="53" applyNumberFormat="1" applyFont="1" applyFill="1" applyBorder="1" applyAlignment="1">
      <alignment horizontal="left"/>
    </xf>
    <xf numFmtId="3" fontId="35" fillId="2" borderId="69" xfId="53" applyNumberFormat="1" applyFont="1" applyFill="1" applyBorder="1" applyAlignment="1">
      <alignment horizontal="left"/>
    </xf>
    <xf numFmtId="0" fontId="0" fillId="0" borderId="25" xfId="0" applyFill="1" applyBorder="1"/>
    <xf numFmtId="0" fontId="0" fillId="0" borderId="30" xfId="0" applyFill="1" applyBorder="1"/>
    <xf numFmtId="165" fontId="0" fillId="0" borderId="30" xfId="0" applyNumberFormat="1" applyFill="1" applyBorder="1"/>
    <xf numFmtId="165" fontId="0" fillId="0" borderId="30" xfId="0" applyNumberFormat="1" applyFill="1" applyBorder="1" applyAlignment="1">
      <alignment horizontal="right"/>
    </xf>
    <xf numFmtId="3" fontId="0" fillId="0" borderId="30" xfId="0" applyNumberFormat="1" applyFill="1" applyBorder="1"/>
    <xf numFmtId="3" fontId="0" fillId="0" borderId="26" xfId="0" applyNumberFormat="1" applyFill="1" applyBorder="1"/>
    <xf numFmtId="0" fontId="0" fillId="0" borderId="8" xfId="0" applyFill="1" applyBorder="1"/>
    <xf numFmtId="0" fontId="0" fillId="0" borderId="9" xfId="0" applyFill="1" applyBorder="1"/>
    <xf numFmtId="165" fontId="0" fillId="0" borderId="9" xfId="0" applyNumberFormat="1" applyFill="1" applyBorder="1"/>
    <xf numFmtId="165" fontId="0" fillId="0" borderId="9" xfId="0" applyNumberFormat="1" applyFill="1" applyBorder="1" applyAlignment="1">
      <alignment horizontal="right"/>
    </xf>
    <xf numFmtId="3" fontId="0" fillId="0" borderId="9" xfId="0" applyNumberFormat="1" applyFill="1" applyBorder="1"/>
    <xf numFmtId="3" fontId="0" fillId="0" borderId="10" xfId="0" applyNumberFormat="1" applyFill="1" applyBorder="1"/>
    <xf numFmtId="0" fontId="0" fillId="0" borderId="22" xfId="0" applyFill="1" applyBorder="1"/>
    <xf numFmtId="0" fontId="0" fillId="0" borderId="24" xfId="0" applyFill="1" applyBorder="1"/>
    <xf numFmtId="165" fontId="0" fillId="0" borderId="24" xfId="0" applyNumberFormat="1" applyFill="1" applyBorder="1"/>
    <xf numFmtId="165" fontId="0" fillId="0" borderId="24" xfId="0" applyNumberFormat="1" applyFill="1" applyBorder="1" applyAlignment="1">
      <alignment horizontal="right"/>
    </xf>
    <xf numFmtId="3" fontId="0" fillId="0" borderId="24" xfId="0" applyNumberFormat="1" applyFill="1" applyBorder="1"/>
    <xf numFmtId="3" fontId="0" fillId="0" borderId="23" xfId="0" applyNumberFormat="1" applyFill="1" applyBorder="1"/>
    <xf numFmtId="0" fontId="3" fillId="2" borderId="51" xfId="79" applyFont="1" applyFill="1" applyBorder="1" applyAlignment="1">
      <alignment horizontal="left"/>
    </xf>
    <xf numFmtId="0" fontId="29" fillId="8" borderId="46" xfId="0" applyFont="1" applyFill="1" applyBorder="1"/>
    <xf numFmtId="0" fontId="29" fillId="8" borderId="7" xfId="0" applyFont="1" applyFill="1" applyBorder="1"/>
    <xf numFmtId="0" fontId="29" fillId="8" borderId="47" xfId="0" applyFont="1" applyFill="1" applyBorder="1"/>
    <xf numFmtId="3" fontId="3" fillId="2" borderId="13" xfId="80" applyNumberFormat="1" applyFont="1" applyFill="1" applyBorder="1"/>
    <xf numFmtId="0" fontId="3" fillId="2" borderId="13" xfId="80" applyFont="1" applyFill="1" applyBorder="1"/>
    <xf numFmtId="3" fontId="0" fillId="0" borderId="25" xfId="0" applyNumberFormat="1" applyFill="1" applyBorder="1"/>
    <xf numFmtId="3" fontId="0" fillId="0" borderId="8" xfId="0" applyNumberFormat="1" applyFill="1" applyBorder="1"/>
    <xf numFmtId="3" fontId="0" fillId="0" borderId="22" xfId="0" applyNumberFormat="1" applyFill="1" applyBorder="1"/>
    <xf numFmtId="3" fontId="0" fillId="0" borderId="56" xfId="0" applyNumberFormat="1" applyFill="1" applyBorder="1"/>
    <xf numFmtId="3" fontId="0" fillId="0" borderId="15" xfId="0" applyNumberFormat="1" applyFill="1" applyBorder="1"/>
    <xf numFmtId="3" fontId="0" fillId="0" borderId="58" xfId="0" applyNumberFormat="1" applyFill="1" applyBorder="1"/>
    <xf numFmtId="9" fontId="3" fillId="2" borderId="13" xfId="80" applyNumberFormat="1" applyFont="1" applyFill="1" applyBorder="1"/>
    <xf numFmtId="9" fontId="3" fillId="2" borderId="14" xfId="80" applyNumberFormat="1" applyFont="1" applyFill="1" applyBorder="1"/>
    <xf numFmtId="9" fontId="0" fillId="0" borderId="30" xfId="0" applyNumberFormat="1" applyFill="1" applyBorder="1"/>
    <xf numFmtId="9" fontId="0" fillId="0" borderId="26" xfId="0" applyNumberFormat="1" applyFill="1" applyBorder="1"/>
    <xf numFmtId="9" fontId="0" fillId="0" borderId="9" xfId="0" applyNumberFormat="1" applyFill="1" applyBorder="1"/>
    <xf numFmtId="9" fontId="0" fillId="0" borderId="10" xfId="0" applyNumberFormat="1" applyFill="1" applyBorder="1"/>
    <xf numFmtId="9" fontId="0" fillId="0" borderId="24" xfId="0" applyNumberFormat="1" applyFill="1" applyBorder="1"/>
    <xf numFmtId="9" fontId="0" fillId="0" borderId="23" xfId="0" applyNumberFormat="1" applyFill="1" applyBorder="1"/>
    <xf numFmtId="0" fontId="0" fillId="0" borderId="46" xfId="0" applyFill="1" applyBorder="1"/>
    <xf numFmtId="0" fontId="0" fillId="0" borderId="7" xfId="0" applyFill="1" applyBorder="1"/>
    <xf numFmtId="0" fontId="0" fillId="0" borderId="47" xfId="0" applyFill="1" applyBorder="1"/>
    <xf numFmtId="3" fontId="0" fillId="0" borderId="55" xfId="0" applyNumberFormat="1" applyFill="1" applyBorder="1"/>
    <xf numFmtId="3" fontId="0" fillId="0" borderId="11" xfId="0" applyNumberFormat="1" applyFill="1" applyBorder="1"/>
    <xf numFmtId="3" fontId="0" fillId="0" borderId="33" xfId="0" applyNumberFormat="1" applyFill="1" applyBorder="1"/>
    <xf numFmtId="0" fontId="3" fillId="2" borderId="84" xfId="79" applyFont="1" applyFill="1" applyBorder="1" applyAlignment="1">
      <alignment horizontal="left"/>
    </xf>
    <xf numFmtId="0" fontId="3" fillId="2" borderId="85" xfId="79" applyFont="1" applyFill="1" applyBorder="1" applyAlignment="1">
      <alignment horizontal="left"/>
    </xf>
    <xf numFmtId="0" fontId="3" fillId="2" borderId="86" xfId="80" applyFont="1" applyFill="1" applyBorder="1" applyAlignment="1">
      <alignment horizontal="left"/>
    </xf>
    <xf numFmtId="0" fontId="3" fillId="2" borderId="86" xfId="79" applyFont="1" applyFill="1" applyBorder="1" applyAlignment="1">
      <alignment horizontal="left"/>
    </xf>
    <xf numFmtId="0" fontId="3" fillId="2" borderId="87" xfId="79" applyFont="1" applyFill="1" applyBorder="1" applyAlignment="1">
      <alignment horizontal="left"/>
    </xf>
    <xf numFmtId="0" fontId="0" fillId="0" borderId="30" xfId="0" applyFill="1" applyBorder="1" applyAlignment="1">
      <alignment horizontal="right"/>
    </xf>
    <xf numFmtId="0" fontId="0" fillId="0" borderId="30" xfId="0" applyFill="1" applyBorder="1" applyAlignment="1">
      <alignment horizontal="left"/>
    </xf>
    <xf numFmtId="166" fontId="0" fillId="0" borderId="30" xfId="0" applyNumberFormat="1" applyFill="1" applyBorder="1"/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6" fontId="0" fillId="0" borderId="9" xfId="0" applyNumberFormat="1" applyFill="1" applyBorder="1"/>
    <xf numFmtId="0" fontId="0" fillId="0" borderId="24" xfId="0" applyFill="1" applyBorder="1" applyAlignment="1">
      <alignment horizontal="right"/>
    </xf>
    <xf numFmtId="0" fontId="0" fillId="0" borderId="24" xfId="0" applyFill="1" applyBorder="1" applyAlignment="1">
      <alignment horizontal="left"/>
    </xf>
    <xf numFmtId="166" fontId="0" fillId="0" borderId="24" xfId="0" applyNumberFormat="1" applyFill="1" applyBorder="1"/>
    <xf numFmtId="0" fontId="43" fillId="2" borderId="51" xfId="0" applyFont="1" applyFill="1" applyBorder="1"/>
    <xf numFmtId="3" fontId="43" fillId="2" borderId="61" xfId="0" applyNumberFormat="1" applyFont="1" applyFill="1" applyBorder="1"/>
    <xf numFmtId="9" fontId="43" fillId="2" borderId="59" xfId="0" applyNumberFormat="1" applyFont="1" applyFill="1" applyBorder="1"/>
    <xf numFmtId="3" fontId="43" fillId="2" borderId="69" xfId="0" applyNumberFormat="1" applyFont="1" applyFill="1" applyBorder="1"/>
    <xf numFmtId="3" fontId="0" fillId="0" borderId="13" xfId="0" applyNumberFormat="1" applyFill="1" applyBorder="1"/>
    <xf numFmtId="9" fontId="0" fillId="0" borderId="13" xfId="0" applyNumberFormat="1" applyFill="1" applyBorder="1"/>
    <xf numFmtId="3" fontId="0" fillId="0" borderId="14" xfId="0" applyNumberFormat="1" applyFill="1" applyBorder="1"/>
    <xf numFmtId="0" fontId="29" fillId="8" borderId="20" xfId="0" applyFont="1" applyFill="1" applyBorder="1"/>
    <xf numFmtId="3" fontId="29" fillId="8" borderId="28" xfId="0" applyNumberFormat="1" applyFont="1" applyFill="1" applyBorder="1"/>
    <xf numFmtId="9" fontId="29" fillId="8" borderId="28" xfId="0" applyNumberFormat="1" applyFont="1" applyFill="1" applyBorder="1"/>
    <xf numFmtId="3" fontId="29" fillId="8" borderId="21" xfId="0" applyNumberFormat="1" applyFont="1" applyFill="1" applyBorder="1"/>
    <xf numFmtId="0" fontId="29" fillId="0" borderId="25" xfId="0" applyFont="1" applyFill="1" applyBorder="1"/>
    <xf numFmtId="0" fontId="29" fillId="0" borderId="8" xfId="0" applyFont="1" applyFill="1" applyBorder="1"/>
    <xf numFmtId="0" fontId="29" fillId="0" borderId="12" xfId="0" applyFont="1" applyFill="1" applyBorder="1"/>
    <xf numFmtId="0" fontId="43" fillId="2" borderId="53" xfId="0" applyFont="1" applyFill="1" applyBorder="1"/>
    <xf numFmtId="3" fontId="43" fillId="2" borderId="0" xfId="0" applyNumberFormat="1" applyFont="1" applyFill="1" applyBorder="1"/>
    <xf numFmtId="3" fontId="43" fillId="2" borderId="17" xfId="0" applyNumberFormat="1" applyFont="1" applyFill="1" applyBorder="1"/>
    <xf numFmtId="0" fontId="0" fillId="2" borderId="69" xfId="0" applyFill="1" applyBorder="1" applyAlignment="1">
      <alignment vertical="center"/>
    </xf>
    <xf numFmtId="0" fontId="35" fillId="2" borderId="16" xfId="26" applyNumberFormat="1" applyFont="1" applyFill="1" applyBorder="1"/>
    <xf numFmtId="0" fontId="35" fillId="2" borderId="0" xfId="26" applyNumberFormat="1" applyFont="1" applyFill="1" applyBorder="1"/>
    <xf numFmtId="0" fontId="35" fillId="2" borderId="17" xfId="26" applyNumberFormat="1" applyFont="1" applyFill="1" applyBorder="1" applyAlignment="1">
      <alignment horizontal="right"/>
    </xf>
    <xf numFmtId="170" fontId="0" fillId="0" borderId="30" xfId="0" applyNumberFormat="1" applyFill="1" applyBorder="1"/>
    <xf numFmtId="170" fontId="0" fillId="0" borderId="24" xfId="0" applyNumberFormat="1" applyFill="1" applyBorder="1"/>
    <xf numFmtId="0" fontId="29" fillId="0" borderId="22" xfId="0" applyFont="1" applyFill="1" applyBorder="1"/>
    <xf numFmtId="0" fontId="0" fillId="2" borderId="32" xfId="0" applyFill="1" applyBorder="1" applyAlignment="1">
      <alignment horizontal="center" vertical="top" wrapText="1"/>
    </xf>
    <xf numFmtId="0" fontId="35" fillId="2" borderId="32" xfId="0" applyFont="1" applyFill="1" applyBorder="1" applyAlignment="1">
      <alignment horizontal="center" vertical="top"/>
    </xf>
    <xf numFmtId="49" fontId="35" fillId="2" borderId="32" xfId="0" applyNumberFormat="1" applyFont="1" applyFill="1" applyBorder="1" applyAlignment="1">
      <alignment horizontal="center" vertical="top"/>
    </xf>
    <xf numFmtId="0" fontId="35" fillId="2" borderId="32" xfId="0" applyFont="1" applyFill="1" applyBorder="1" applyAlignment="1">
      <alignment horizontal="center" vertical="center"/>
    </xf>
    <xf numFmtId="3" fontId="35" fillId="2" borderId="16" xfId="0" applyNumberFormat="1" applyFont="1" applyFill="1" applyBorder="1" applyAlignment="1">
      <alignment horizontal="left"/>
    </xf>
    <xf numFmtId="3" fontId="35" fillId="2" borderId="17" xfId="0" applyNumberFormat="1" applyFont="1" applyFill="1" applyBorder="1" applyAlignment="1">
      <alignment horizontal="center"/>
    </xf>
    <xf numFmtId="3" fontId="35" fillId="2" borderId="0" xfId="0" applyNumberFormat="1" applyFont="1" applyFill="1" applyBorder="1" applyAlignment="1">
      <alignment horizontal="center"/>
    </xf>
    <xf numFmtId="9" fontId="51" fillId="2" borderId="17" xfId="0" applyNumberFormat="1" applyFont="1" applyFill="1" applyBorder="1" applyAlignment="1">
      <alignment horizontal="center" vertical="top"/>
    </xf>
    <xf numFmtId="3" fontId="35" fillId="2" borderId="17" xfId="0" applyNumberFormat="1" applyFont="1" applyFill="1" applyBorder="1" applyAlignment="1">
      <alignment horizontal="center" vertical="top"/>
    </xf>
    <xf numFmtId="170" fontId="0" fillId="0" borderId="9" xfId="0" applyNumberFormat="1" applyFill="1" applyBorder="1"/>
    <xf numFmtId="0" fontId="35" fillId="2" borderId="16" xfId="0" applyNumberFormat="1" applyFont="1" applyFill="1" applyBorder="1" applyAlignment="1">
      <alignment horizontal="left"/>
    </xf>
    <xf numFmtId="0" fontId="35" fillId="2" borderId="17" xfId="0" applyNumberFormat="1" applyFont="1" applyFill="1" applyBorder="1" applyAlignment="1">
      <alignment horizontal="left"/>
    </xf>
    <xf numFmtId="0" fontId="35" fillId="2" borderId="0" xfId="0" applyNumberFormat="1" applyFont="1" applyFill="1" applyBorder="1" applyAlignment="1">
      <alignment horizontal="left"/>
    </xf>
    <xf numFmtId="0" fontId="51" fillId="2" borderId="17" xfId="0" applyNumberFormat="1" applyFont="1" applyFill="1" applyBorder="1" applyAlignment="1">
      <alignment horizontal="center" vertical="top"/>
    </xf>
    <xf numFmtId="0" fontId="52" fillId="2" borderId="32" xfId="0" applyFont="1" applyFill="1" applyBorder="1" applyAlignment="1">
      <alignment vertical="center" wrapText="1"/>
    </xf>
    <xf numFmtId="0" fontId="35" fillId="2" borderId="16" xfId="26" applyNumberFormat="1" applyFont="1" applyFill="1" applyBorder="1" applyAlignment="1">
      <alignment horizontal="right"/>
    </xf>
    <xf numFmtId="0" fontId="35" fillId="2" borderId="0" xfId="26" applyNumberFormat="1" applyFont="1" applyFill="1" applyBorder="1" applyAlignment="1">
      <alignment horizontal="right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5">
    <dxf>
      <font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Graf'!$A$4:$B$4</c:f>
              <c:numCache>
                <c:formatCode>General</c:formatCode>
                <c:ptCount val="2"/>
                <c:pt idx="0">
                  <c:v>0</c:v>
                </c:pt>
                <c:pt idx="1">
                  <c:v>0.22934159149139027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5966592"/>
        <c:axId val="106601049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0.26672470406360427</c:v>
                </c:pt>
                <c:pt idx="1">
                  <c:v>0.26672470406360427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4681344"/>
        <c:axId val="1075274880"/>
      </c:scatterChart>
      <c:catAx>
        <c:axId val="1065966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roku 2013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66010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660104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65966592"/>
        <c:crosses val="autoZero"/>
        <c:crossBetween val="between"/>
      </c:valAx>
      <c:valAx>
        <c:axId val="107468134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075274880"/>
        <c:crosses val="max"/>
        <c:crossBetween val="midCat"/>
      </c:valAx>
      <c:valAx>
        <c:axId val="107527488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07468134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8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6.77734375" style="61" bestFit="1" customWidth="1"/>
    <col min="2" max="2" width="89.109375" style="61" bestFit="1" customWidth="1"/>
    <col min="3" max="3" width="16.109375" style="63" customWidth="1"/>
    <col min="4" max="16384" width="8.88671875" style="61"/>
  </cols>
  <sheetData>
    <row r="1" spans="1:3" ht="18.600000000000001" customHeight="1" thickBot="1" x14ac:dyDescent="0.4">
      <c r="A1" s="240" t="s">
        <v>132</v>
      </c>
      <c r="B1" s="241"/>
      <c r="C1" s="60"/>
    </row>
    <row r="2" spans="1:3" ht="14.4" customHeight="1" thickBot="1" x14ac:dyDescent="0.35">
      <c r="A2" s="318" t="s">
        <v>193</v>
      </c>
      <c r="B2" s="62"/>
    </row>
    <row r="3" spans="1:3" ht="14.4" customHeight="1" thickBot="1" x14ac:dyDescent="0.35">
      <c r="A3" s="236" t="s">
        <v>174</v>
      </c>
      <c r="B3" s="237"/>
      <c r="C3" s="60"/>
    </row>
    <row r="4" spans="1:3" ht="14.4" customHeight="1" x14ac:dyDescent="0.3">
      <c r="A4" s="126" t="str">
        <f t="shared" ref="A4:A8" si="0">HYPERLINK("#'"&amp;C4&amp;"'!A1",C4)</f>
        <v>Motivace</v>
      </c>
      <c r="B4" s="127" t="s">
        <v>146</v>
      </c>
      <c r="C4" s="60" t="s">
        <v>147</v>
      </c>
    </row>
    <row r="5" spans="1:3" ht="14.4" customHeight="1" x14ac:dyDescent="0.3">
      <c r="A5" s="128" t="str">
        <f t="shared" si="0"/>
        <v>HI</v>
      </c>
      <c r="B5" s="129" t="s">
        <v>167</v>
      </c>
      <c r="C5" s="63" t="s">
        <v>135</v>
      </c>
    </row>
    <row r="6" spans="1:3" ht="14.4" customHeight="1" x14ac:dyDescent="0.3">
      <c r="A6" s="130" t="str">
        <f t="shared" si="0"/>
        <v>HI Graf</v>
      </c>
      <c r="B6" s="131" t="s">
        <v>129</v>
      </c>
      <c r="C6" s="63" t="s">
        <v>136</v>
      </c>
    </row>
    <row r="7" spans="1:3" ht="14.4" customHeight="1" x14ac:dyDescent="0.3">
      <c r="A7" s="130" t="str">
        <f t="shared" si="0"/>
        <v>Man Tab</v>
      </c>
      <c r="B7" s="131" t="s">
        <v>195</v>
      </c>
      <c r="C7" s="63" t="s">
        <v>137</v>
      </c>
    </row>
    <row r="8" spans="1:3" ht="14.4" customHeight="1" thickBot="1" x14ac:dyDescent="0.35">
      <c r="A8" s="132" t="str">
        <f t="shared" si="0"/>
        <v>HV</v>
      </c>
      <c r="B8" s="133" t="s">
        <v>78</v>
      </c>
      <c r="C8" s="63" t="s">
        <v>89</v>
      </c>
    </row>
    <row r="9" spans="1:3" ht="14.4" customHeight="1" thickBot="1" x14ac:dyDescent="0.35">
      <c r="A9" s="134"/>
      <c r="B9" s="134"/>
    </row>
    <row r="10" spans="1:3" ht="14.4" customHeight="1" thickBot="1" x14ac:dyDescent="0.35">
      <c r="A10" s="238" t="s">
        <v>133</v>
      </c>
      <c r="B10" s="237"/>
      <c r="C10" s="60"/>
    </row>
    <row r="11" spans="1:3" ht="14.4" customHeight="1" x14ac:dyDescent="0.3">
      <c r="A11" s="135" t="str">
        <f t="shared" ref="A11:A19" si="1">HYPERLINK("#'"&amp;C11&amp;"'!A1",C11)</f>
        <v>Léky Žádanky</v>
      </c>
      <c r="B11" s="129" t="s">
        <v>169</v>
      </c>
      <c r="C11" s="63" t="s">
        <v>138</v>
      </c>
    </row>
    <row r="12" spans="1:3" ht="14.4" customHeight="1" x14ac:dyDescent="0.3">
      <c r="A12" s="130" t="str">
        <f t="shared" si="1"/>
        <v>LŽ Detail</v>
      </c>
      <c r="B12" s="131" t="s">
        <v>168</v>
      </c>
      <c r="C12" s="63" t="s">
        <v>139</v>
      </c>
    </row>
    <row r="13" spans="1:3" ht="14.4" customHeight="1" x14ac:dyDescent="0.3">
      <c r="A13" s="130" t="str">
        <f t="shared" si="1"/>
        <v>Léky Recepty</v>
      </c>
      <c r="B13" s="131" t="s">
        <v>170</v>
      </c>
      <c r="C13" s="63" t="s">
        <v>140</v>
      </c>
    </row>
    <row r="14" spans="1:3" s="176" customFormat="1" ht="14.4" customHeight="1" x14ac:dyDescent="0.3">
      <c r="A14" s="130" t="str">
        <f t="shared" si="1"/>
        <v>LRp Lékaři</v>
      </c>
      <c r="B14" s="131" t="s">
        <v>182</v>
      </c>
      <c r="C14" s="63" t="s">
        <v>183</v>
      </c>
    </row>
    <row r="15" spans="1:3" ht="14.4" customHeight="1" x14ac:dyDescent="0.3">
      <c r="A15" s="130" t="str">
        <f t="shared" si="1"/>
        <v>LRp Detail</v>
      </c>
      <c r="B15" s="131" t="s">
        <v>171</v>
      </c>
      <c r="C15" s="63" t="s">
        <v>141</v>
      </c>
    </row>
    <row r="16" spans="1:3" ht="14.4" customHeight="1" x14ac:dyDescent="0.3">
      <c r="A16" s="130" t="str">
        <f t="shared" si="1"/>
        <v>LRp PL</v>
      </c>
      <c r="B16" s="131" t="s">
        <v>816</v>
      </c>
      <c r="C16" s="63" t="s">
        <v>179</v>
      </c>
    </row>
    <row r="17" spans="1:3" s="173" customFormat="1" ht="14.4" customHeight="1" x14ac:dyDescent="0.3">
      <c r="A17" s="130" t="str">
        <f t="shared" ref="A17" si="2">HYPERLINK("#'"&amp;C17&amp;"'!A1",C17)</f>
        <v>LRp PL Detail</v>
      </c>
      <c r="B17" s="131" t="s">
        <v>166</v>
      </c>
      <c r="C17" s="63" t="s">
        <v>180</v>
      </c>
    </row>
    <row r="18" spans="1:3" ht="14.4" customHeight="1" x14ac:dyDescent="0.3">
      <c r="A18" s="135" t="str">
        <f t="shared" si="1"/>
        <v>Materiál Žádanky</v>
      </c>
      <c r="B18" s="131" t="s">
        <v>172</v>
      </c>
      <c r="C18" s="63" t="s">
        <v>142</v>
      </c>
    </row>
    <row r="19" spans="1:3" ht="14.4" customHeight="1" thickBot="1" x14ac:dyDescent="0.35">
      <c r="A19" s="130" t="str">
        <f t="shared" si="1"/>
        <v>MŽ Detail</v>
      </c>
      <c r="B19" s="131" t="s">
        <v>173</v>
      </c>
      <c r="C19" s="63" t="s">
        <v>143</v>
      </c>
    </row>
    <row r="20" spans="1:3" ht="14.4" customHeight="1" thickBot="1" x14ac:dyDescent="0.35">
      <c r="A20" s="136"/>
      <c r="B20" s="136"/>
    </row>
    <row r="21" spans="1:3" ht="14.4" customHeight="1" thickBot="1" x14ac:dyDescent="0.35">
      <c r="A21" s="239" t="s">
        <v>134</v>
      </c>
      <c r="B21" s="237"/>
      <c r="C21" s="60"/>
    </row>
    <row r="22" spans="1:3" ht="14.4" customHeight="1" x14ac:dyDescent="0.3">
      <c r="A22" s="137" t="str">
        <f t="shared" ref="A22:A27" si="3">HYPERLINK("#'"&amp;C22&amp;"'!A1",C22)</f>
        <v>ZV Vykáz.-A</v>
      </c>
      <c r="B22" s="129" t="s">
        <v>152</v>
      </c>
      <c r="C22" s="63" t="s">
        <v>148</v>
      </c>
    </row>
    <row r="23" spans="1:3" ht="14.4" customHeight="1" x14ac:dyDescent="0.3">
      <c r="A23" s="130" t="str">
        <f t="shared" si="3"/>
        <v>ZV Vykáz.-A Detail</v>
      </c>
      <c r="B23" s="131" t="s">
        <v>153</v>
      </c>
      <c r="C23" s="63" t="s">
        <v>149</v>
      </c>
    </row>
    <row r="24" spans="1:3" ht="14.4" customHeight="1" x14ac:dyDescent="0.3">
      <c r="A24" s="130" t="str">
        <f t="shared" si="3"/>
        <v>ZV Vykáz.-H</v>
      </c>
      <c r="B24" s="131" t="s">
        <v>154</v>
      </c>
      <c r="C24" s="63" t="s">
        <v>150</v>
      </c>
    </row>
    <row r="25" spans="1:3" ht="14.4" customHeight="1" x14ac:dyDescent="0.3">
      <c r="A25" s="130" t="str">
        <f t="shared" si="3"/>
        <v>ZV Vykáz.-H Detail</v>
      </c>
      <c r="B25" s="131" t="s">
        <v>155</v>
      </c>
      <c r="C25" s="63" t="s">
        <v>151</v>
      </c>
    </row>
    <row r="26" spans="1:3" ht="14.4" customHeight="1" x14ac:dyDescent="0.3">
      <c r="A26" s="130" t="str">
        <f t="shared" si="3"/>
        <v>ZV Vyžád.</v>
      </c>
      <c r="B26" s="131" t="s">
        <v>156</v>
      </c>
      <c r="C26" s="63" t="s">
        <v>145</v>
      </c>
    </row>
    <row r="27" spans="1:3" ht="14.4" customHeight="1" thickBot="1" x14ac:dyDescent="0.35">
      <c r="A27" s="130" t="str">
        <f t="shared" si="3"/>
        <v>ZV Vyžád. Detail</v>
      </c>
      <c r="B27" s="131" t="s">
        <v>157</v>
      </c>
      <c r="C27" s="63" t="s">
        <v>144</v>
      </c>
    </row>
    <row r="28" spans="1:3" ht="14.4" customHeight="1" x14ac:dyDescent="0.3">
      <c r="A28" s="64"/>
      <c r="B28" s="64"/>
    </row>
  </sheetData>
  <mergeCells count="4">
    <mergeCell ref="A3:B3"/>
    <mergeCell ref="A10:B10"/>
    <mergeCell ref="A21:B21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2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65" customWidth="1"/>
    <col min="2" max="2" width="11.109375" style="94" bestFit="1" customWidth="1"/>
    <col min="3" max="3" width="11.109375" style="65" hidden="1" customWidth="1"/>
    <col min="4" max="4" width="7.33203125" style="94" bestFit="1" customWidth="1"/>
    <col min="5" max="5" width="7.33203125" style="65" hidden="1" customWidth="1"/>
    <col min="6" max="6" width="11.109375" style="94" bestFit="1" customWidth="1"/>
    <col min="7" max="7" width="5.33203125" style="87" customWidth="1"/>
    <col min="8" max="8" width="7.33203125" style="94" bestFit="1" customWidth="1"/>
    <col min="9" max="9" width="5.33203125" style="87" customWidth="1"/>
    <col min="10" max="10" width="11.109375" style="94" customWidth="1"/>
    <col min="11" max="11" width="5.33203125" style="87" customWidth="1"/>
    <col min="12" max="12" width="7.33203125" style="94" customWidth="1"/>
    <col min="13" max="13" width="5.33203125" style="87" customWidth="1"/>
    <col min="14" max="14" width="0" style="65" hidden="1" customWidth="1"/>
    <col min="15" max="16384" width="8.88671875" style="65"/>
  </cols>
  <sheetData>
    <row r="1" spans="1:13" ht="18.600000000000001" customHeight="1" thickBot="1" x14ac:dyDescent="0.4">
      <c r="A1" s="275" t="s">
        <v>182</v>
      </c>
      <c r="B1" s="285"/>
      <c r="C1" s="285"/>
      <c r="D1" s="285"/>
      <c r="E1" s="285"/>
      <c r="F1" s="285"/>
      <c r="G1" s="285"/>
      <c r="H1" s="285"/>
      <c r="I1" s="285"/>
      <c r="J1" s="242"/>
      <c r="K1" s="242"/>
      <c r="L1" s="242"/>
      <c r="M1" s="242"/>
    </row>
    <row r="2" spans="1:13" ht="14.4" customHeight="1" thickBot="1" x14ac:dyDescent="0.35">
      <c r="A2" s="318" t="s">
        <v>193</v>
      </c>
      <c r="B2" s="93"/>
      <c r="C2" s="92"/>
      <c r="D2" s="93"/>
      <c r="E2" s="92"/>
      <c r="F2" s="93"/>
      <c r="G2" s="162"/>
      <c r="H2" s="93"/>
      <c r="I2" s="162"/>
    </row>
    <row r="3" spans="1:13" ht="14.4" customHeight="1" thickBot="1" x14ac:dyDescent="0.35">
      <c r="A3" s="178"/>
      <c r="B3" s="287" t="s">
        <v>18</v>
      </c>
      <c r="C3" s="289"/>
      <c r="D3" s="286"/>
      <c r="E3" s="177"/>
      <c r="F3" s="286" t="s">
        <v>19</v>
      </c>
      <c r="G3" s="286"/>
      <c r="H3" s="286"/>
      <c r="I3" s="286"/>
      <c r="J3" s="286" t="s">
        <v>181</v>
      </c>
      <c r="K3" s="286"/>
      <c r="L3" s="286"/>
      <c r="M3" s="288"/>
    </row>
    <row r="4" spans="1:13" ht="14.4" customHeight="1" thickBot="1" x14ac:dyDescent="0.35">
      <c r="A4" s="368" t="s">
        <v>165</v>
      </c>
      <c r="B4" s="372" t="s">
        <v>22</v>
      </c>
      <c r="C4" s="373"/>
      <c r="D4" s="372" t="s">
        <v>23</v>
      </c>
      <c r="E4" s="373"/>
      <c r="F4" s="372" t="s">
        <v>22</v>
      </c>
      <c r="G4" s="380" t="s">
        <v>5</v>
      </c>
      <c r="H4" s="372" t="s">
        <v>23</v>
      </c>
      <c r="I4" s="380" t="s">
        <v>5</v>
      </c>
      <c r="J4" s="372" t="s">
        <v>22</v>
      </c>
      <c r="K4" s="380" t="s">
        <v>5</v>
      </c>
      <c r="L4" s="372" t="s">
        <v>23</v>
      </c>
      <c r="M4" s="381" t="s">
        <v>5</v>
      </c>
    </row>
    <row r="5" spans="1:13" ht="14.4" customHeight="1" x14ac:dyDescent="0.3">
      <c r="A5" s="369" t="s">
        <v>498</v>
      </c>
      <c r="B5" s="374">
        <v>14881.579999999991</v>
      </c>
      <c r="C5" s="351">
        <v>1</v>
      </c>
      <c r="D5" s="377">
        <v>197</v>
      </c>
      <c r="E5" s="388" t="s">
        <v>498</v>
      </c>
      <c r="F5" s="374">
        <v>12221.839999999989</v>
      </c>
      <c r="G5" s="382">
        <v>0.82127300998953046</v>
      </c>
      <c r="H5" s="354">
        <v>162</v>
      </c>
      <c r="I5" s="383">
        <v>0.82233502538071068</v>
      </c>
      <c r="J5" s="391">
        <v>2659.7400000000007</v>
      </c>
      <c r="K5" s="382">
        <v>0.17872699001046949</v>
      </c>
      <c r="L5" s="354">
        <v>35</v>
      </c>
      <c r="M5" s="383">
        <v>0.17766497461928935</v>
      </c>
    </row>
    <row r="6" spans="1:13" ht="14.4" customHeight="1" x14ac:dyDescent="0.3">
      <c r="A6" s="370" t="s">
        <v>499</v>
      </c>
      <c r="B6" s="375">
        <v>842.86999999999989</v>
      </c>
      <c r="C6" s="357">
        <v>1</v>
      </c>
      <c r="D6" s="378">
        <v>1</v>
      </c>
      <c r="E6" s="389" t="s">
        <v>499</v>
      </c>
      <c r="F6" s="375">
        <v>842.86999999999989</v>
      </c>
      <c r="G6" s="384">
        <v>1</v>
      </c>
      <c r="H6" s="360">
        <v>1</v>
      </c>
      <c r="I6" s="385">
        <v>1</v>
      </c>
      <c r="J6" s="392"/>
      <c r="K6" s="384">
        <v>0</v>
      </c>
      <c r="L6" s="360"/>
      <c r="M6" s="385">
        <v>0</v>
      </c>
    </row>
    <row r="7" spans="1:13" ht="14.4" customHeight="1" x14ac:dyDescent="0.3">
      <c r="A7" s="370" t="s">
        <v>500</v>
      </c>
      <c r="B7" s="375">
        <v>8866.1299999999992</v>
      </c>
      <c r="C7" s="357">
        <v>1</v>
      </c>
      <c r="D7" s="378">
        <v>56</v>
      </c>
      <c r="E7" s="389" t="s">
        <v>500</v>
      </c>
      <c r="F7" s="375">
        <v>4045.64</v>
      </c>
      <c r="G7" s="384">
        <v>0.45630280629767445</v>
      </c>
      <c r="H7" s="360">
        <v>29</v>
      </c>
      <c r="I7" s="385">
        <v>0.5178571428571429</v>
      </c>
      <c r="J7" s="392">
        <v>4820.49</v>
      </c>
      <c r="K7" s="384">
        <v>0.54369719370232561</v>
      </c>
      <c r="L7" s="360">
        <v>27</v>
      </c>
      <c r="M7" s="385">
        <v>0.48214285714285715</v>
      </c>
    </row>
    <row r="8" spans="1:13" ht="14.4" customHeight="1" x14ac:dyDescent="0.3">
      <c r="A8" s="370" t="s">
        <v>501</v>
      </c>
      <c r="B8" s="375">
        <v>4858.71</v>
      </c>
      <c r="C8" s="357">
        <v>1</v>
      </c>
      <c r="D8" s="378">
        <v>13</v>
      </c>
      <c r="E8" s="389" t="s">
        <v>501</v>
      </c>
      <c r="F8" s="375">
        <v>4665.45</v>
      </c>
      <c r="G8" s="384">
        <v>0.96022401007674874</v>
      </c>
      <c r="H8" s="360">
        <v>10</v>
      </c>
      <c r="I8" s="385">
        <v>0.76923076923076927</v>
      </c>
      <c r="J8" s="392">
        <v>193.26</v>
      </c>
      <c r="K8" s="384">
        <v>3.977598992325123E-2</v>
      </c>
      <c r="L8" s="360">
        <v>3</v>
      </c>
      <c r="M8" s="385">
        <v>0.23076923076923078</v>
      </c>
    </row>
    <row r="9" spans="1:13" ht="14.4" customHeight="1" x14ac:dyDescent="0.3">
      <c r="A9" s="370" t="s">
        <v>502</v>
      </c>
      <c r="B9" s="375">
        <v>4919.91</v>
      </c>
      <c r="C9" s="357">
        <v>1</v>
      </c>
      <c r="D9" s="378">
        <v>32</v>
      </c>
      <c r="E9" s="389" t="s">
        <v>502</v>
      </c>
      <c r="F9" s="375">
        <v>1294.6799999999998</v>
      </c>
      <c r="G9" s="384">
        <v>0.26315115520405857</v>
      </c>
      <c r="H9" s="360">
        <v>18</v>
      </c>
      <c r="I9" s="385">
        <v>0.5625</v>
      </c>
      <c r="J9" s="392">
        <v>3625.23</v>
      </c>
      <c r="K9" s="384">
        <v>0.73684884479594137</v>
      </c>
      <c r="L9" s="360">
        <v>14</v>
      </c>
      <c r="M9" s="385">
        <v>0.4375</v>
      </c>
    </row>
    <row r="10" spans="1:13" ht="14.4" customHeight="1" x14ac:dyDescent="0.3">
      <c r="A10" s="370" t="s">
        <v>503</v>
      </c>
      <c r="B10" s="375">
        <v>4072.35</v>
      </c>
      <c r="C10" s="357">
        <v>1</v>
      </c>
      <c r="D10" s="378">
        <v>18</v>
      </c>
      <c r="E10" s="389" t="s">
        <v>503</v>
      </c>
      <c r="F10" s="375">
        <v>3002.12</v>
      </c>
      <c r="G10" s="384">
        <v>0.73719596793006492</v>
      </c>
      <c r="H10" s="360">
        <v>15</v>
      </c>
      <c r="I10" s="385">
        <v>0.83333333333333337</v>
      </c>
      <c r="J10" s="392">
        <v>1070.23</v>
      </c>
      <c r="K10" s="384">
        <v>0.26280403206993508</v>
      </c>
      <c r="L10" s="360">
        <v>3</v>
      </c>
      <c r="M10" s="385">
        <v>0.16666666666666666</v>
      </c>
    </row>
    <row r="11" spans="1:13" ht="14.4" customHeight="1" x14ac:dyDescent="0.3">
      <c r="A11" s="370" t="s">
        <v>504</v>
      </c>
      <c r="B11" s="375">
        <v>7420.65</v>
      </c>
      <c r="C11" s="357">
        <v>1</v>
      </c>
      <c r="D11" s="378">
        <v>71</v>
      </c>
      <c r="E11" s="389" t="s">
        <v>504</v>
      </c>
      <c r="F11" s="375">
        <v>5459.17</v>
      </c>
      <c r="G11" s="384">
        <v>0.7356727510393295</v>
      </c>
      <c r="H11" s="360">
        <v>50</v>
      </c>
      <c r="I11" s="385">
        <v>0.70422535211267601</v>
      </c>
      <c r="J11" s="392">
        <v>1961.4799999999996</v>
      </c>
      <c r="K11" s="384">
        <v>0.2643272489606705</v>
      </c>
      <c r="L11" s="360">
        <v>21</v>
      </c>
      <c r="M11" s="385">
        <v>0.29577464788732394</v>
      </c>
    </row>
    <row r="12" spans="1:13" ht="14.4" customHeight="1" thickBot="1" x14ac:dyDescent="0.35">
      <c r="A12" s="371" t="s">
        <v>505</v>
      </c>
      <c r="B12" s="376">
        <v>2104.7199999999998</v>
      </c>
      <c r="C12" s="363">
        <v>1</v>
      </c>
      <c r="D12" s="379">
        <v>15</v>
      </c>
      <c r="E12" s="390" t="s">
        <v>505</v>
      </c>
      <c r="F12" s="376">
        <v>526.17999999999995</v>
      </c>
      <c r="G12" s="386">
        <v>0.25</v>
      </c>
      <c r="H12" s="366">
        <v>3</v>
      </c>
      <c r="I12" s="387">
        <v>0.2</v>
      </c>
      <c r="J12" s="393">
        <v>1578.54</v>
      </c>
      <c r="K12" s="386">
        <v>0.75</v>
      </c>
      <c r="L12" s="366">
        <v>12</v>
      </c>
      <c r="M12" s="387">
        <v>0.8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132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65" hidden="1" customWidth="1" outlineLevel="1"/>
    <col min="2" max="2" width="28.33203125" style="65" hidden="1" customWidth="1" outlineLevel="1"/>
    <col min="3" max="3" width="9" style="65" customWidth="1" collapsed="1"/>
    <col min="4" max="4" width="18.77734375" style="104" customWidth="1"/>
    <col min="5" max="5" width="13.5546875" style="85" customWidth="1"/>
    <col min="6" max="6" width="6" style="65" bestFit="1" customWidth="1"/>
    <col min="7" max="7" width="8.77734375" style="65" customWidth="1"/>
    <col min="8" max="8" width="5" style="65" bestFit="1" customWidth="1"/>
    <col min="9" max="9" width="8.5546875" style="65" hidden="1" customWidth="1" outlineLevel="1"/>
    <col min="10" max="10" width="25.77734375" style="65" customWidth="1" collapsed="1"/>
    <col min="11" max="11" width="8.77734375" style="65" customWidth="1"/>
    <col min="12" max="12" width="7.77734375" style="86" customWidth="1"/>
    <col min="13" max="13" width="11.109375" style="86" customWidth="1"/>
    <col min="14" max="14" width="7.77734375" style="65" customWidth="1"/>
    <col min="15" max="15" width="7.77734375" style="105" customWidth="1"/>
    <col min="16" max="16" width="11.109375" style="86" customWidth="1"/>
    <col min="17" max="17" width="5.44140625" style="87" bestFit="1" customWidth="1"/>
    <col min="18" max="18" width="7.77734375" style="65" customWidth="1"/>
    <col min="19" max="19" width="5.44140625" style="87" bestFit="1" customWidth="1"/>
    <col min="20" max="20" width="7.77734375" style="105" customWidth="1"/>
    <col min="21" max="21" width="5.44140625" style="87" bestFit="1" customWidth="1"/>
    <col min="22" max="16384" width="8.88671875" style="65"/>
  </cols>
  <sheetData>
    <row r="1" spans="1:21" ht="18.600000000000001" customHeight="1" thickBot="1" x14ac:dyDescent="0.4">
      <c r="A1" s="268" t="s">
        <v>171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</row>
    <row r="2" spans="1:21" ht="14.4" customHeight="1" thickBot="1" x14ac:dyDescent="0.35">
      <c r="A2" s="318" t="s">
        <v>193</v>
      </c>
      <c r="B2" s="83"/>
      <c r="C2" s="92"/>
      <c r="D2" s="92"/>
      <c r="E2" s="180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</row>
    <row r="3" spans="1:21" ht="14.4" customHeight="1" thickBot="1" x14ac:dyDescent="0.35">
      <c r="A3" s="293"/>
      <c r="B3" s="294"/>
      <c r="C3" s="294"/>
      <c r="D3" s="294"/>
      <c r="E3" s="294"/>
      <c r="F3" s="294"/>
      <c r="G3" s="294"/>
      <c r="H3" s="294"/>
      <c r="I3" s="294"/>
      <c r="J3" s="294"/>
      <c r="K3" s="295" t="s">
        <v>158</v>
      </c>
      <c r="L3" s="296"/>
      <c r="M3" s="96">
        <f>SUBTOTAL(9,M7:M1048576)</f>
        <v>47966.92000000002</v>
      </c>
      <c r="N3" s="96">
        <f>SUBTOTAL(9,N7:N1048576)</f>
        <v>809</v>
      </c>
      <c r="O3" s="96">
        <f>SUBTOTAL(9,O7:O1048576)</f>
        <v>403</v>
      </c>
      <c r="P3" s="96">
        <f>SUBTOTAL(9,P7:P1048576)</f>
        <v>32057.949999999997</v>
      </c>
      <c r="Q3" s="97">
        <f>IF(M3=0,0,P3/M3)</f>
        <v>0.66833455222891081</v>
      </c>
      <c r="R3" s="96">
        <f>SUBTOTAL(9,R7:R1048576)</f>
        <v>580</v>
      </c>
      <c r="S3" s="97">
        <f>IF(N3=0,0,R3/N3)</f>
        <v>0.71693448702101359</v>
      </c>
      <c r="T3" s="96">
        <f>SUBTOTAL(9,T7:T1048576)</f>
        <v>288</v>
      </c>
      <c r="U3" s="98">
        <f>IF(O3=0,0,T3/O3)</f>
        <v>0.71464019851116622</v>
      </c>
    </row>
    <row r="4" spans="1:21" ht="14.4" customHeight="1" x14ac:dyDescent="0.3">
      <c r="A4" s="99"/>
      <c r="B4" s="100"/>
      <c r="C4" s="100"/>
      <c r="D4" s="101"/>
      <c r="E4" s="179"/>
      <c r="F4" s="100"/>
      <c r="G4" s="100"/>
      <c r="H4" s="100"/>
      <c r="I4" s="100"/>
      <c r="J4" s="100"/>
      <c r="K4" s="100"/>
      <c r="L4" s="100"/>
      <c r="M4" s="297" t="s">
        <v>18</v>
      </c>
      <c r="N4" s="298"/>
      <c r="O4" s="298"/>
      <c r="P4" s="299" t="s">
        <v>24</v>
      </c>
      <c r="Q4" s="298"/>
      <c r="R4" s="298"/>
      <c r="S4" s="298"/>
      <c r="T4" s="298"/>
      <c r="U4" s="300"/>
    </row>
    <row r="5" spans="1:21" ht="14.4" customHeight="1" thickBot="1" x14ac:dyDescent="0.35">
      <c r="A5" s="102"/>
      <c r="B5" s="103"/>
      <c r="C5" s="100"/>
      <c r="D5" s="101"/>
      <c r="E5" s="179"/>
      <c r="F5" s="100"/>
      <c r="G5" s="100"/>
      <c r="H5" s="100"/>
      <c r="I5" s="100"/>
      <c r="J5" s="100"/>
      <c r="K5" s="100"/>
      <c r="L5" s="100"/>
      <c r="M5" s="122" t="s">
        <v>25</v>
      </c>
      <c r="N5" s="123" t="s">
        <v>16</v>
      </c>
      <c r="O5" s="123" t="s">
        <v>23</v>
      </c>
      <c r="P5" s="290" t="s">
        <v>25</v>
      </c>
      <c r="Q5" s="291"/>
      <c r="R5" s="290" t="s">
        <v>16</v>
      </c>
      <c r="S5" s="291"/>
      <c r="T5" s="290" t="s">
        <v>23</v>
      </c>
      <c r="U5" s="292"/>
    </row>
    <row r="6" spans="1:21" s="85" customFormat="1" ht="14.4" customHeight="1" thickBot="1" x14ac:dyDescent="0.35">
      <c r="A6" s="394" t="s">
        <v>26</v>
      </c>
      <c r="B6" s="395" t="s">
        <v>8</v>
      </c>
      <c r="C6" s="394" t="s">
        <v>27</v>
      </c>
      <c r="D6" s="395" t="s">
        <v>9</v>
      </c>
      <c r="E6" s="395" t="s">
        <v>184</v>
      </c>
      <c r="F6" s="395" t="s">
        <v>28</v>
      </c>
      <c r="G6" s="395" t="s">
        <v>29</v>
      </c>
      <c r="H6" s="395" t="s">
        <v>11</v>
      </c>
      <c r="I6" s="395" t="s">
        <v>13</v>
      </c>
      <c r="J6" s="395" t="s">
        <v>14</v>
      </c>
      <c r="K6" s="395" t="s">
        <v>15</v>
      </c>
      <c r="L6" s="395" t="s">
        <v>30</v>
      </c>
      <c r="M6" s="396" t="s">
        <v>17</v>
      </c>
      <c r="N6" s="397" t="s">
        <v>31</v>
      </c>
      <c r="O6" s="397" t="s">
        <v>31</v>
      </c>
      <c r="P6" s="397" t="s">
        <v>17</v>
      </c>
      <c r="Q6" s="397" t="s">
        <v>5</v>
      </c>
      <c r="R6" s="397" t="s">
        <v>31</v>
      </c>
      <c r="S6" s="397" t="s">
        <v>5</v>
      </c>
      <c r="T6" s="397" t="s">
        <v>31</v>
      </c>
      <c r="U6" s="398" t="s">
        <v>5</v>
      </c>
    </row>
    <row r="7" spans="1:21" ht="14.4" customHeight="1" x14ac:dyDescent="0.3">
      <c r="A7" s="350">
        <v>19</v>
      </c>
      <c r="B7" s="351" t="s">
        <v>360</v>
      </c>
      <c r="C7" s="351">
        <v>89301192</v>
      </c>
      <c r="D7" s="399" t="s">
        <v>814</v>
      </c>
      <c r="E7" s="400" t="s">
        <v>498</v>
      </c>
      <c r="F7" s="351" t="s">
        <v>494</v>
      </c>
      <c r="G7" s="351" t="s">
        <v>506</v>
      </c>
      <c r="H7" s="351" t="s">
        <v>359</v>
      </c>
      <c r="I7" s="351" t="s">
        <v>507</v>
      </c>
      <c r="J7" s="351" t="s">
        <v>508</v>
      </c>
      <c r="K7" s="351" t="s">
        <v>509</v>
      </c>
      <c r="L7" s="352">
        <v>483.76</v>
      </c>
      <c r="M7" s="352">
        <v>967.52</v>
      </c>
      <c r="N7" s="351">
        <v>2</v>
      </c>
      <c r="O7" s="401">
        <v>1</v>
      </c>
      <c r="P7" s="352">
        <v>967.52</v>
      </c>
      <c r="Q7" s="382">
        <v>1</v>
      </c>
      <c r="R7" s="351">
        <v>2</v>
      </c>
      <c r="S7" s="382">
        <v>1</v>
      </c>
      <c r="T7" s="401">
        <v>1</v>
      </c>
      <c r="U7" s="383">
        <v>1</v>
      </c>
    </row>
    <row r="8" spans="1:21" ht="14.4" customHeight="1" x14ac:dyDescent="0.3">
      <c r="A8" s="356">
        <v>19</v>
      </c>
      <c r="B8" s="357" t="s">
        <v>360</v>
      </c>
      <c r="C8" s="357">
        <v>89301192</v>
      </c>
      <c r="D8" s="402" t="s">
        <v>814</v>
      </c>
      <c r="E8" s="403" t="s">
        <v>498</v>
      </c>
      <c r="F8" s="357" t="s">
        <v>494</v>
      </c>
      <c r="G8" s="357" t="s">
        <v>510</v>
      </c>
      <c r="H8" s="357" t="s">
        <v>359</v>
      </c>
      <c r="I8" s="357" t="s">
        <v>511</v>
      </c>
      <c r="J8" s="357" t="s">
        <v>512</v>
      </c>
      <c r="K8" s="357" t="s">
        <v>513</v>
      </c>
      <c r="L8" s="358">
        <v>317.26</v>
      </c>
      <c r="M8" s="358">
        <v>317.26</v>
      </c>
      <c r="N8" s="357">
        <v>1</v>
      </c>
      <c r="O8" s="404">
        <v>1</v>
      </c>
      <c r="P8" s="358"/>
      <c r="Q8" s="384">
        <v>0</v>
      </c>
      <c r="R8" s="357"/>
      <c r="S8" s="384">
        <v>0</v>
      </c>
      <c r="T8" s="404"/>
      <c r="U8" s="385">
        <v>0</v>
      </c>
    </row>
    <row r="9" spans="1:21" ht="14.4" customHeight="1" x14ac:dyDescent="0.3">
      <c r="A9" s="356">
        <v>19</v>
      </c>
      <c r="B9" s="357" t="s">
        <v>360</v>
      </c>
      <c r="C9" s="357">
        <v>89301192</v>
      </c>
      <c r="D9" s="402" t="s">
        <v>814</v>
      </c>
      <c r="E9" s="403" t="s">
        <v>498</v>
      </c>
      <c r="F9" s="357" t="s">
        <v>494</v>
      </c>
      <c r="G9" s="357" t="s">
        <v>514</v>
      </c>
      <c r="H9" s="357" t="s">
        <v>359</v>
      </c>
      <c r="I9" s="357" t="s">
        <v>515</v>
      </c>
      <c r="J9" s="357" t="s">
        <v>516</v>
      </c>
      <c r="K9" s="357" t="s">
        <v>517</v>
      </c>
      <c r="L9" s="358">
        <v>128.9</v>
      </c>
      <c r="M9" s="358">
        <v>128.9</v>
      </c>
      <c r="N9" s="357">
        <v>1</v>
      </c>
      <c r="O9" s="404">
        <v>1</v>
      </c>
      <c r="P9" s="358">
        <v>128.9</v>
      </c>
      <c r="Q9" s="384">
        <v>1</v>
      </c>
      <c r="R9" s="357">
        <v>1</v>
      </c>
      <c r="S9" s="384">
        <v>1</v>
      </c>
      <c r="T9" s="404">
        <v>1</v>
      </c>
      <c r="U9" s="385">
        <v>1</v>
      </c>
    </row>
    <row r="10" spans="1:21" ht="14.4" customHeight="1" x14ac:dyDescent="0.3">
      <c r="A10" s="356">
        <v>19</v>
      </c>
      <c r="B10" s="357" t="s">
        <v>360</v>
      </c>
      <c r="C10" s="357">
        <v>89301192</v>
      </c>
      <c r="D10" s="402" t="s">
        <v>814</v>
      </c>
      <c r="E10" s="403" t="s">
        <v>498</v>
      </c>
      <c r="F10" s="357" t="s">
        <v>494</v>
      </c>
      <c r="G10" s="357" t="s">
        <v>518</v>
      </c>
      <c r="H10" s="357" t="s">
        <v>359</v>
      </c>
      <c r="I10" s="357" t="s">
        <v>519</v>
      </c>
      <c r="J10" s="357" t="s">
        <v>520</v>
      </c>
      <c r="K10" s="357" t="s">
        <v>521</v>
      </c>
      <c r="L10" s="358">
        <v>26.17</v>
      </c>
      <c r="M10" s="358">
        <v>26.17</v>
      </c>
      <c r="N10" s="357">
        <v>1</v>
      </c>
      <c r="O10" s="404">
        <v>0.5</v>
      </c>
      <c r="P10" s="358">
        <v>26.17</v>
      </c>
      <c r="Q10" s="384">
        <v>1</v>
      </c>
      <c r="R10" s="357">
        <v>1</v>
      </c>
      <c r="S10" s="384">
        <v>1</v>
      </c>
      <c r="T10" s="404">
        <v>0.5</v>
      </c>
      <c r="U10" s="385">
        <v>1</v>
      </c>
    </row>
    <row r="11" spans="1:21" ht="14.4" customHeight="1" x14ac:dyDescent="0.3">
      <c r="A11" s="356">
        <v>19</v>
      </c>
      <c r="B11" s="357" t="s">
        <v>360</v>
      </c>
      <c r="C11" s="357">
        <v>89301192</v>
      </c>
      <c r="D11" s="402" t="s">
        <v>814</v>
      </c>
      <c r="E11" s="403" t="s">
        <v>498</v>
      </c>
      <c r="F11" s="357" t="s">
        <v>494</v>
      </c>
      <c r="G11" s="357" t="s">
        <v>522</v>
      </c>
      <c r="H11" s="357" t="s">
        <v>815</v>
      </c>
      <c r="I11" s="357" t="s">
        <v>523</v>
      </c>
      <c r="J11" s="357" t="s">
        <v>524</v>
      </c>
      <c r="K11" s="357" t="s">
        <v>525</v>
      </c>
      <c r="L11" s="358">
        <v>399.92</v>
      </c>
      <c r="M11" s="358">
        <v>399.92</v>
      </c>
      <c r="N11" s="357">
        <v>1</v>
      </c>
      <c r="O11" s="404">
        <v>1</v>
      </c>
      <c r="P11" s="358">
        <v>399.92</v>
      </c>
      <c r="Q11" s="384">
        <v>1</v>
      </c>
      <c r="R11" s="357">
        <v>1</v>
      </c>
      <c r="S11" s="384">
        <v>1</v>
      </c>
      <c r="T11" s="404">
        <v>1</v>
      </c>
      <c r="U11" s="385">
        <v>1</v>
      </c>
    </row>
    <row r="12" spans="1:21" ht="14.4" customHeight="1" x14ac:dyDescent="0.3">
      <c r="A12" s="356">
        <v>19</v>
      </c>
      <c r="B12" s="357" t="s">
        <v>360</v>
      </c>
      <c r="C12" s="357">
        <v>89301192</v>
      </c>
      <c r="D12" s="402" t="s">
        <v>814</v>
      </c>
      <c r="E12" s="403" t="s">
        <v>498</v>
      </c>
      <c r="F12" s="357" t="s">
        <v>494</v>
      </c>
      <c r="G12" s="357" t="s">
        <v>522</v>
      </c>
      <c r="H12" s="357" t="s">
        <v>815</v>
      </c>
      <c r="I12" s="357" t="s">
        <v>523</v>
      </c>
      <c r="J12" s="357" t="s">
        <v>524</v>
      </c>
      <c r="K12" s="357" t="s">
        <v>525</v>
      </c>
      <c r="L12" s="358">
        <v>116.8</v>
      </c>
      <c r="M12" s="358">
        <v>233.6</v>
      </c>
      <c r="N12" s="357">
        <v>2</v>
      </c>
      <c r="O12" s="404">
        <v>0.5</v>
      </c>
      <c r="P12" s="358">
        <v>233.6</v>
      </c>
      <c r="Q12" s="384">
        <v>1</v>
      </c>
      <c r="R12" s="357">
        <v>2</v>
      </c>
      <c r="S12" s="384">
        <v>1</v>
      </c>
      <c r="T12" s="404">
        <v>0.5</v>
      </c>
      <c r="U12" s="385">
        <v>1</v>
      </c>
    </row>
    <row r="13" spans="1:21" ht="14.4" customHeight="1" x14ac:dyDescent="0.3">
      <c r="A13" s="356">
        <v>19</v>
      </c>
      <c r="B13" s="357" t="s">
        <v>360</v>
      </c>
      <c r="C13" s="357">
        <v>89301192</v>
      </c>
      <c r="D13" s="402" t="s">
        <v>814</v>
      </c>
      <c r="E13" s="403" t="s">
        <v>498</v>
      </c>
      <c r="F13" s="357" t="s">
        <v>494</v>
      </c>
      <c r="G13" s="357" t="s">
        <v>526</v>
      </c>
      <c r="H13" s="357" t="s">
        <v>359</v>
      </c>
      <c r="I13" s="357" t="s">
        <v>385</v>
      </c>
      <c r="J13" s="357" t="s">
        <v>527</v>
      </c>
      <c r="K13" s="357" t="s">
        <v>528</v>
      </c>
      <c r="L13" s="358">
        <v>41.83</v>
      </c>
      <c r="M13" s="358">
        <v>1505.8799999999997</v>
      </c>
      <c r="N13" s="357">
        <v>36</v>
      </c>
      <c r="O13" s="404">
        <v>18</v>
      </c>
      <c r="P13" s="358">
        <v>1171.2399999999998</v>
      </c>
      <c r="Q13" s="384">
        <v>0.77777777777777779</v>
      </c>
      <c r="R13" s="357">
        <v>28</v>
      </c>
      <c r="S13" s="384">
        <v>0.77777777777777779</v>
      </c>
      <c r="T13" s="404">
        <v>14</v>
      </c>
      <c r="U13" s="385">
        <v>0.77777777777777779</v>
      </c>
    </row>
    <row r="14" spans="1:21" ht="14.4" customHeight="1" x14ac:dyDescent="0.3">
      <c r="A14" s="356">
        <v>19</v>
      </c>
      <c r="B14" s="357" t="s">
        <v>360</v>
      </c>
      <c r="C14" s="357">
        <v>89301192</v>
      </c>
      <c r="D14" s="402" t="s">
        <v>814</v>
      </c>
      <c r="E14" s="403" t="s">
        <v>498</v>
      </c>
      <c r="F14" s="357" t="s">
        <v>494</v>
      </c>
      <c r="G14" s="357" t="s">
        <v>526</v>
      </c>
      <c r="H14" s="357" t="s">
        <v>359</v>
      </c>
      <c r="I14" s="357" t="s">
        <v>385</v>
      </c>
      <c r="J14" s="357" t="s">
        <v>529</v>
      </c>
      <c r="K14" s="357" t="s">
        <v>528</v>
      </c>
      <c r="L14" s="358">
        <v>41.83</v>
      </c>
      <c r="M14" s="358">
        <v>11001.28999999999</v>
      </c>
      <c r="N14" s="357">
        <v>263</v>
      </c>
      <c r="O14" s="404">
        <v>127.5</v>
      </c>
      <c r="P14" s="358">
        <v>8993.4499999999898</v>
      </c>
      <c r="Q14" s="384">
        <v>0.81749049429657772</v>
      </c>
      <c r="R14" s="357">
        <v>215</v>
      </c>
      <c r="S14" s="384">
        <v>0.81749049429657794</v>
      </c>
      <c r="T14" s="404">
        <v>104</v>
      </c>
      <c r="U14" s="385">
        <v>0.81568627450980391</v>
      </c>
    </row>
    <row r="15" spans="1:21" ht="14.4" customHeight="1" x14ac:dyDescent="0.3">
      <c r="A15" s="356">
        <v>19</v>
      </c>
      <c r="B15" s="357" t="s">
        <v>360</v>
      </c>
      <c r="C15" s="357">
        <v>89301192</v>
      </c>
      <c r="D15" s="402" t="s">
        <v>814</v>
      </c>
      <c r="E15" s="403" t="s">
        <v>498</v>
      </c>
      <c r="F15" s="357" t="s">
        <v>494</v>
      </c>
      <c r="G15" s="357" t="s">
        <v>530</v>
      </c>
      <c r="H15" s="357" t="s">
        <v>359</v>
      </c>
      <c r="I15" s="357" t="s">
        <v>531</v>
      </c>
      <c r="J15" s="357" t="s">
        <v>532</v>
      </c>
      <c r="K15" s="357" t="s">
        <v>533</v>
      </c>
      <c r="L15" s="358">
        <v>0</v>
      </c>
      <c r="M15" s="358">
        <v>0</v>
      </c>
      <c r="N15" s="357">
        <v>1</v>
      </c>
      <c r="O15" s="404">
        <v>0.5</v>
      </c>
      <c r="P15" s="358">
        <v>0</v>
      </c>
      <c r="Q15" s="384"/>
      <c r="R15" s="357">
        <v>1</v>
      </c>
      <c r="S15" s="384">
        <v>1</v>
      </c>
      <c r="T15" s="404">
        <v>0.5</v>
      </c>
      <c r="U15" s="385">
        <v>1</v>
      </c>
    </row>
    <row r="16" spans="1:21" ht="14.4" customHeight="1" x14ac:dyDescent="0.3">
      <c r="A16" s="356">
        <v>19</v>
      </c>
      <c r="B16" s="357" t="s">
        <v>360</v>
      </c>
      <c r="C16" s="357">
        <v>89301192</v>
      </c>
      <c r="D16" s="402" t="s">
        <v>814</v>
      </c>
      <c r="E16" s="403" t="s">
        <v>498</v>
      </c>
      <c r="F16" s="357" t="s">
        <v>494</v>
      </c>
      <c r="G16" s="357" t="s">
        <v>534</v>
      </c>
      <c r="H16" s="357" t="s">
        <v>359</v>
      </c>
      <c r="I16" s="357" t="s">
        <v>535</v>
      </c>
      <c r="J16" s="357" t="s">
        <v>536</v>
      </c>
      <c r="K16" s="357" t="s">
        <v>537</v>
      </c>
      <c r="L16" s="358">
        <v>58</v>
      </c>
      <c r="M16" s="358">
        <v>58</v>
      </c>
      <c r="N16" s="357">
        <v>1</v>
      </c>
      <c r="O16" s="404">
        <v>1</v>
      </c>
      <c r="P16" s="358">
        <v>58</v>
      </c>
      <c r="Q16" s="384">
        <v>1</v>
      </c>
      <c r="R16" s="357">
        <v>1</v>
      </c>
      <c r="S16" s="384">
        <v>1</v>
      </c>
      <c r="T16" s="404">
        <v>1</v>
      </c>
      <c r="U16" s="385">
        <v>1</v>
      </c>
    </row>
    <row r="17" spans="1:21" ht="14.4" customHeight="1" x14ac:dyDescent="0.3">
      <c r="A17" s="356">
        <v>19</v>
      </c>
      <c r="B17" s="357" t="s">
        <v>360</v>
      </c>
      <c r="C17" s="357">
        <v>89301192</v>
      </c>
      <c r="D17" s="402" t="s">
        <v>814</v>
      </c>
      <c r="E17" s="403" t="s">
        <v>498</v>
      </c>
      <c r="F17" s="357" t="s">
        <v>494</v>
      </c>
      <c r="G17" s="357" t="s">
        <v>538</v>
      </c>
      <c r="H17" s="357" t="s">
        <v>359</v>
      </c>
      <c r="I17" s="357" t="s">
        <v>539</v>
      </c>
      <c r="J17" s="357" t="s">
        <v>540</v>
      </c>
      <c r="K17" s="357" t="s">
        <v>541</v>
      </c>
      <c r="L17" s="358">
        <v>0</v>
      </c>
      <c r="M17" s="358">
        <v>0</v>
      </c>
      <c r="N17" s="357">
        <v>76</v>
      </c>
      <c r="O17" s="404">
        <v>33.5</v>
      </c>
      <c r="P17" s="358">
        <v>0</v>
      </c>
      <c r="Q17" s="384"/>
      <c r="R17" s="357">
        <v>68</v>
      </c>
      <c r="S17" s="384">
        <v>0.89473684210526316</v>
      </c>
      <c r="T17" s="404">
        <v>30</v>
      </c>
      <c r="U17" s="385">
        <v>0.89552238805970152</v>
      </c>
    </row>
    <row r="18" spans="1:21" ht="14.4" customHeight="1" x14ac:dyDescent="0.3">
      <c r="A18" s="356">
        <v>19</v>
      </c>
      <c r="B18" s="357" t="s">
        <v>360</v>
      </c>
      <c r="C18" s="357">
        <v>89301192</v>
      </c>
      <c r="D18" s="402" t="s">
        <v>814</v>
      </c>
      <c r="E18" s="403" t="s">
        <v>498</v>
      </c>
      <c r="F18" s="357" t="s">
        <v>494</v>
      </c>
      <c r="G18" s="357" t="s">
        <v>538</v>
      </c>
      <c r="H18" s="357" t="s">
        <v>359</v>
      </c>
      <c r="I18" s="357" t="s">
        <v>542</v>
      </c>
      <c r="J18" s="357" t="s">
        <v>540</v>
      </c>
      <c r="K18" s="357" t="s">
        <v>541</v>
      </c>
      <c r="L18" s="358">
        <v>0</v>
      </c>
      <c r="M18" s="358">
        <v>0</v>
      </c>
      <c r="N18" s="357">
        <v>4</v>
      </c>
      <c r="O18" s="404">
        <v>2</v>
      </c>
      <c r="P18" s="358">
        <v>0</v>
      </c>
      <c r="Q18" s="384"/>
      <c r="R18" s="357">
        <v>4</v>
      </c>
      <c r="S18" s="384">
        <v>1</v>
      </c>
      <c r="T18" s="404">
        <v>2</v>
      </c>
      <c r="U18" s="385">
        <v>1</v>
      </c>
    </row>
    <row r="19" spans="1:21" ht="14.4" customHeight="1" x14ac:dyDescent="0.3">
      <c r="A19" s="356">
        <v>19</v>
      </c>
      <c r="B19" s="357" t="s">
        <v>360</v>
      </c>
      <c r="C19" s="357">
        <v>89301192</v>
      </c>
      <c r="D19" s="402" t="s">
        <v>814</v>
      </c>
      <c r="E19" s="403" t="s">
        <v>498</v>
      </c>
      <c r="F19" s="357" t="s">
        <v>494</v>
      </c>
      <c r="G19" s="357" t="s">
        <v>543</v>
      </c>
      <c r="H19" s="357" t="s">
        <v>359</v>
      </c>
      <c r="I19" s="357" t="s">
        <v>544</v>
      </c>
      <c r="J19" s="357" t="s">
        <v>545</v>
      </c>
      <c r="K19" s="357" t="s">
        <v>546</v>
      </c>
      <c r="L19" s="358">
        <v>56.69</v>
      </c>
      <c r="M19" s="358">
        <v>113.38</v>
      </c>
      <c r="N19" s="357">
        <v>2</v>
      </c>
      <c r="O19" s="404">
        <v>0.5</v>
      </c>
      <c r="P19" s="358">
        <v>113.38</v>
      </c>
      <c r="Q19" s="384">
        <v>1</v>
      </c>
      <c r="R19" s="357">
        <v>2</v>
      </c>
      <c r="S19" s="384">
        <v>1</v>
      </c>
      <c r="T19" s="404">
        <v>0.5</v>
      </c>
      <c r="U19" s="385">
        <v>1</v>
      </c>
    </row>
    <row r="20" spans="1:21" ht="14.4" customHeight="1" x14ac:dyDescent="0.3">
      <c r="A20" s="356">
        <v>19</v>
      </c>
      <c r="B20" s="357" t="s">
        <v>360</v>
      </c>
      <c r="C20" s="357">
        <v>89301192</v>
      </c>
      <c r="D20" s="402" t="s">
        <v>814</v>
      </c>
      <c r="E20" s="403" t="s">
        <v>498</v>
      </c>
      <c r="F20" s="357" t="s">
        <v>494</v>
      </c>
      <c r="G20" s="357" t="s">
        <v>547</v>
      </c>
      <c r="H20" s="357" t="s">
        <v>359</v>
      </c>
      <c r="I20" s="357" t="s">
        <v>548</v>
      </c>
      <c r="J20" s="357" t="s">
        <v>549</v>
      </c>
      <c r="K20" s="357" t="s">
        <v>550</v>
      </c>
      <c r="L20" s="358">
        <v>0</v>
      </c>
      <c r="M20" s="358">
        <v>0</v>
      </c>
      <c r="N20" s="357">
        <v>12</v>
      </c>
      <c r="O20" s="404">
        <v>7</v>
      </c>
      <c r="P20" s="358">
        <v>0</v>
      </c>
      <c r="Q20" s="384"/>
      <c r="R20" s="357">
        <v>5</v>
      </c>
      <c r="S20" s="384">
        <v>0.41666666666666669</v>
      </c>
      <c r="T20" s="404">
        <v>4</v>
      </c>
      <c r="U20" s="385">
        <v>0.5714285714285714</v>
      </c>
    </row>
    <row r="21" spans="1:21" ht="14.4" customHeight="1" x14ac:dyDescent="0.3">
      <c r="A21" s="356">
        <v>19</v>
      </c>
      <c r="B21" s="357" t="s">
        <v>360</v>
      </c>
      <c r="C21" s="357">
        <v>89301192</v>
      </c>
      <c r="D21" s="402" t="s">
        <v>814</v>
      </c>
      <c r="E21" s="403" t="s">
        <v>498</v>
      </c>
      <c r="F21" s="357" t="s">
        <v>494</v>
      </c>
      <c r="G21" s="357" t="s">
        <v>551</v>
      </c>
      <c r="H21" s="357" t="s">
        <v>359</v>
      </c>
      <c r="I21" s="357" t="s">
        <v>552</v>
      </c>
      <c r="J21" s="357" t="s">
        <v>553</v>
      </c>
      <c r="K21" s="357" t="s">
        <v>554</v>
      </c>
      <c r="L21" s="358">
        <v>112.13</v>
      </c>
      <c r="M21" s="358">
        <v>112.13</v>
      </c>
      <c r="N21" s="357">
        <v>1</v>
      </c>
      <c r="O21" s="404">
        <v>1</v>
      </c>
      <c r="P21" s="358">
        <v>112.13</v>
      </c>
      <c r="Q21" s="384">
        <v>1</v>
      </c>
      <c r="R21" s="357">
        <v>1</v>
      </c>
      <c r="S21" s="384">
        <v>1</v>
      </c>
      <c r="T21" s="404">
        <v>1</v>
      </c>
      <c r="U21" s="385">
        <v>1</v>
      </c>
    </row>
    <row r="22" spans="1:21" ht="14.4" customHeight="1" x14ac:dyDescent="0.3">
      <c r="A22" s="356">
        <v>19</v>
      </c>
      <c r="B22" s="357" t="s">
        <v>360</v>
      </c>
      <c r="C22" s="357">
        <v>89301192</v>
      </c>
      <c r="D22" s="402" t="s">
        <v>814</v>
      </c>
      <c r="E22" s="403" t="s">
        <v>498</v>
      </c>
      <c r="F22" s="357" t="s">
        <v>494</v>
      </c>
      <c r="G22" s="357" t="s">
        <v>555</v>
      </c>
      <c r="H22" s="357" t="s">
        <v>359</v>
      </c>
      <c r="I22" s="357" t="s">
        <v>556</v>
      </c>
      <c r="J22" s="357" t="s">
        <v>557</v>
      </c>
      <c r="K22" s="357" t="s">
        <v>558</v>
      </c>
      <c r="L22" s="358">
        <v>17.53</v>
      </c>
      <c r="M22" s="358">
        <v>17.53</v>
      </c>
      <c r="N22" s="357">
        <v>1</v>
      </c>
      <c r="O22" s="404">
        <v>1</v>
      </c>
      <c r="P22" s="358">
        <v>17.53</v>
      </c>
      <c r="Q22" s="384">
        <v>1</v>
      </c>
      <c r="R22" s="357">
        <v>1</v>
      </c>
      <c r="S22" s="384">
        <v>1</v>
      </c>
      <c r="T22" s="404">
        <v>1</v>
      </c>
      <c r="U22" s="385">
        <v>1</v>
      </c>
    </row>
    <row r="23" spans="1:21" ht="14.4" customHeight="1" x14ac:dyDescent="0.3">
      <c r="A23" s="356">
        <v>19</v>
      </c>
      <c r="B23" s="357" t="s">
        <v>360</v>
      </c>
      <c r="C23" s="357">
        <v>89301192</v>
      </c>
      <c r="D23" s="402" t="s">
        <v>814</v>
      </c>
      <c r="E23" s="403" t="s">
        <v>499</v>
      </c>
      <c r="F23" s="357" t="s">
        <v>494</v>
      </c>
      <c r="G23" s="357" t="s">
        <v>559</v>
      </c>
      <c r="H23" s="357" t="s">
        <v>815</v>
      </c>
      <c r="I23" s="357" t="s">
        <v>560</v>
      </c>
      <c r="J23" s="357" t="s">
        <v>561</v>
      </c>
      <c r="K23" s="357" t="s">
        <v>562</v>
      </c>
      <c r="L23" s="358">
        <v>126.44</v>
      </c>
      <c r="M23" s="358">
        <v>126.44</v>
      </c>
      <c r="N23" s="357">
        <v>1</v>
      </c>
      <c r="O23" s="404">
        <v>0.5</v>
      </c>
      <c r="P23" s="358">
        <v>126.44</v>
      </c>
      <c r="Q23" s="384">
        <v>1</v>
      </c>
      <c r="R23" s="357">
        <v>1</v>
      </c>
      <c r="S23" s="384">
        <v>1</v>
      </c>
      <c r="T23" s="404">
        <v>0.5</v>
      </c>
      <c r="U23" s="385">
        <v>1</v>
      </c>
    </row>
    <row r="24" spans="1:21" ht="14.4" customHeight="1" x14ac:dyDescent="0.3">
      <c r="A24" s="356">
        <v>19</v>
      </c>
      <c r="B24" s="357" t="s">
        <v>360</v>
      </c>
      <c r="C24" s="357">
        <v>89301192</v>
      </c>
      <c r="D24" s="402" t="s">
        <v>814</v>
      </c>
      <c r="E24" s="403" t="s">
        <v>499</v>
      </c>
      <c r="F24" s="357" t="s">
        <v>494</v>
      </c>
      <c r="G24" s="357" t="s">
        <v>563</v>
      </c>
      <c r="H24" s="357" t="s">
        <v>815</v>
      </c>
      <c r="I24" s="357" t="s">
        <v>564</v>
      </c>
      <c r="J24" s="357" t="s">
        <v>565</v>
      </c>
      <c r="K24" s="357" t="s">
        <v>566</v>
      </c>
      <c r="L24" s="358">
        <v>716.43</v>
      </c>
      <c r="M24" s="358">
        <v>716.43</v>
      </c>
      <c r="N24" s="357">
        <v>1</v>
      </c>
      <c r="O24" s="404">
        <v>0.5</v>
      </c>
      <c r="P24" s="358">
        <v>716.43</v>
      </c>
      <c r="Q24" s="384">
        <v>1</v>
      </c>
      <c r="R24" s="357">
        <v>1</v>
      </c>
      <c r="S24" s="384">
        <v>1</v>
      </c>
      <c r="T24" s="404">
        <v>0.5</v>
      </c>
      <c r="U24" s="385">
        <v>1</v>
      </c>
    </row>
    <row r="25" spans="1:21" ht="14.4" customHeight="1" x14ac:dyDescent="0.3">
      <c r="A25" s="356">
        <v>19</v>
      </c>
      <c r="B25" s="357" t="s">
        <v>360</v>
      </c>
      <c r="C25" s="357">
        <v>89301192</v>
      </c>
      <c r="D25" s="402" t="s">
        <v>814</v>
      </c>
      <c r="E25" s="403" t="s">
        <v>500</v>
      </c>
      <c r="F25" s="357" t="s">
        <v>494</v>
      </c>
      <c r="G25" s="357" t="s">
        <v>567</v>
      </c>
      <c r="H25" s="357" t="s">
        <v>815</v>
      </c>
      <c r="I25" s="357" t="s">
        <v>568</v>
      </c>
      <c r="J25" s="357" t="s">
        <v>569</v>
      </c>
      <c r="K25" s="357" t="s">
        <v>570</v>
      </c>
      <c r="L25" s="358">
        <v>17.690000000000001</v>
      </c>
      <c r="M25" s="358">
        <v>17.690000000000001</v>
      </c>
      <c r="N25" s="357">
        <v>1</v>
      </c>
      <c r="O25" s="404">
        <v>0.5</v>
      </c>
      <c r="P25" s="358">
        <v>17.690000000000001</v>
      </c>
      <c r="Q25" s="384">
        <v>1</v>
      </c>
      <c r="R25" s="357">
        <v>1</v>
      </c>
      <c r="S25" s="384">
        <v>1</v>
      </c>
      <c r="T25" s="404">
        <v>0.5</v>
      </c>
      <c r="U25" s="385">
        <v>1</v>
      </c>
    </row>
    <row r="26" spans="1:21" ht="14.4" customHeight="1" x14ac:dyDescent="0.3">
      <c r="A26" s="356">
        <v>19</v>
      </c>
      <c r="B26" s="357" t="s">
        <v>360</v>
      </c>
      <c r="C26" s="357">
        <v>89301192</v>
      </c>
      <c r="D26" s="402" t="s">
        <v>814</v>
      </c>
      <c r="E26" s="403" t="s">
        <v>500</v>
      </c>
      <c r="F26" s="357" t="s">
        <v>494</v>
      </c>
      <c r="G26" s="357" t="s">
        <v>571</v>
      </c>
      <c r="H26" s="357" t="s">
        <v>815</v>
      </c>
      <c r="I26" s="357" t="s">
        <v>572</v>
      </c>
      <c r="J26" s="357" t="s">
        <v>573</v>
      </c>
      <c r="K26" s="357" t="s">
        <v>574</v>
      </c>
      <c r="L26" s="358">
        <v>81.209999999999994</v>
      </c>
      <c r="M26" s="358">
        <v>162.41999999999999</v>
      </c>
      <c r="N26" s="357">
        <v>2</v>
      </c>
      <c r="O26" s="404">
        <v>2</v>
      </c>
      <c r="P26" s="358"/>
      <c r="Q26" s="384">
        <v>0</v>
      </c>
      <c r="R26" s="357"/>
      <c r="S26" s="384">
        <v>0</v>
      </c>
      <c r="T26" s="404"/>
      <c r="U26" s="385">
        <v>0</v>
      </c>
    </row>
    <row r="27" spans="1:21" ht="14.4" customHeight="1" x14ac:dyDescent="0.3">
      <c r="A27" s="356">
        <v>19</v>
      </c>
      <c r="B27" s="357" t="s">
        <v>360</v>
      </c>
      <c r="C27" s="357">
        <v>89301192</v>
      </c>
      <c r="D27" s="402" t="s">
        <v>814</v>
      </c>
      <c r="E27" s="403" t="s">
        <v>500</v>
      </c>
      <c r="F27" s="357" t="s">
        <v>494</v>
      </c>
      <c r="G27" s="357" t="s">
        <v>571</v>
      </c>
      <c r="H27" s="357" t="s">
        <v>815</v>
      </c>
      <c r="I27" s="357" t="s">
        <v>575</v>
      </c>
      <c r="J27" s="357" t="s">
        <v>573</v>
      </c>
      <c r="K27" s="357" t="s">
        <v>576</v>
      </c>
      <c r="L27" s="358">
        <v>270.69</v>
      </c>
      <c r="M27" s="358">
        <v>270.69</v>
      </c>
      <c r="N27" s="357">
        <v>1</v>
      </c>
      <c r="O27" s="404">
        <v>0.5</v>
      </c>
      <c r="P27" s="358"/>
      <c r="Q27" s="384">
        <v>0</v>
      </c>
      <c r="R27" s="357"/>
      <c r="S27" s="384">
        <v>0</v>
      </c>
      <c r="T27" s="404"/>
      <c r="U27" s="385">
        <v>0</v>
      </c>
    </row>
    <row r="28" spans="1:21" ht="14.4" customHeight="1" x14ac:dyDescent="0.3">
      <c r="A28" s="356">
        <v>19</v>
      </c>
      <c r="B28" s="357" t="s">
        <v>360</v>
      </c>
      <c r="C28" s="357">
        <v>89301192</v>
      </c>
      <c r="D28" s="402" t="s">
        <v>814</v>
      </c>
      <c r="E28" s="403" t="s">
        <v>500</v>
      </c>
      <c r="F28" s="357" t="s">
        <v>494</v>
      </c>
      <c r="G28" s="357" t="s">
        <v>577</v>
      </c>
      <c r="H28" s="357" t="s">
        <v>359</v>
      </c>
      <c r="I28" s="357" t="s">
        <v>578</v>
      </c>
      <c r="J28" s="357" t="s">
        <v>579</v>
      </c>
      <c r="K28" s="357" t="s">
        <v>580</v>
      </c>
      <c r="L28" s="358">
        <v>333.31</v>
      </c>
      <c r="M28" s="358">
        <v>333.31</v>
      </c>
      <c r="N28" s="357">
        <v>1</v>
      </c>
      <c r="O28" s="404">
        <v>1</v>
      </c>
      <c r="P28" s="358"/>
      <c r="Q28" s="384">
        <v>0</v>
      </c>
      <c r="R28" s="357"/>
      <c r="S28" s="384">
        <v>0</v>
      </c>
      <c r="T28" s="404"/>
      <c r="U28" s="385">
        <v>0</v>
      </c>
    </row>
    <row r="29" spans="1:21" ht="14.4" customHeight="1" x14ac:dyDescent="0.3">
      <c r="A29" s="356">
        <v>19</v>
      </c>
      <c r="B29" s="357" t="s">
        <v>360</v>
      </c>
      <c r="C29" s="357">
        <v>89301192</v>
      </c>
      <c r="D29" s="402" t="s">
        <v>814</v>
      </c>
      <c r="E29" s="403" t="s">
        <v>500</v>
      </c>
      <c r="F29" s="357" t="s">
        <v>494</v>
      </c>
      <c r="G29" s="357" t="s">
        <v>577</v>
      </c>
      <c r="H29" s="357" t="s">
        <v>815</v>
      </c>
      <c r="I29" s="357" t="s">
        <v>581</v>
      </c>
      <c r="J29" s="357" t="s">
        <v>582</v>
      </c>
      <c r="K29" s="357" t="s">
        <v>580</v>
      </c>
      <c r="L29" s="358">
        <v>333.31</v>
      </c>
      <c r="M29" s="358">
        <v>333.31</v>
      </c>
      <c r="N29" s="357">
        <v>1</v>
      </c>
      <c r="O29" s="404">
        <v>1</v>
      </c>
      <c r="P29" s="358"/>
      <c r="Q29" s="384">
        <v>0</v>
      </c>
      <c r="R29" s="357"/>
      <c r="S29" s="384">
        <v>0</v>
      </c>
      <c r="T29" s="404"/>
      <c r="U29" s="385">
        <v>0</v>
      </c>
    </row>
    <row r="30" spans="1:21" ht="14.4" customHeight="1" x14ac:dyDescent="0.3">
      <c r="A30" s="356">
        <v>19</v>
      </c>
      <c r="B30" s="357" t="s">
        <v>360</v>
      </c>
      <c r="C30" s="357">
        <v>89301192</v>
      </c>
      <c r="D30" s="402" t="s">
        <v>814</v>
      </c>
      <c r="E30" s="403" t="s">
        <v>500</v>
      </c>
      <c r="F30" s="357" t="s">
        <v>494</v>
      </c>
      <c r="G30" s="357" t="s">
        <v>583</v>
      </c>
      <c r="H30" s="357" t="s">
        <v>359</v>
      </c>
      <c r="I30" s="357" t="s">
        <v>584</v>
      </c>
      <c r="J30" s="357" t="s">
        <v>585</v>
      </c>
      <c r="K30" s="357" t="s">
        <v>586</v>
      </c>
      <c r="L30" s="358">
        <v>55.81</v>
      </c>
      <c r="M30" s="358">
        <v>55.81</v>
      </c>
      <c r="N30" s="357">
        <v>1</v>
      </c>
      <c r="O30" s="404">
        <v>0.5</v>
      </c>
      <c r="P30" s="358">
        <v>55.81</v>
      </c>
      <c r="Q30" s="384">
        <v>1</v>
      </c>
      <c r="R30" s="357">
        <v>1</v>
      </c>
      <c r="S30" s="384">
        <v>1</v>
      </c>
      <c r="T30" s="404">
        <v>0.5</v>
      </c>
      <c r="U30" s="385">
        <v>1</v>
      </c>
    </row>
    <row r="31" spans="1:21" ht="14.4" customHeight="1" x14ac:dyDescent="0.3">
      <c r="A31" s="356">
        <v>19</v>
      </c>
      <c r="B31" s="357" t="s">
        <v>360</v>
      </c>
      <c r="C31" s="357">
        <v>89301192</v>
      </c>
      <c r="D31" s="402" t="s">
        <v>814</v>
      </c>
      <c r="E31" s="403" t="s">
        <v>500</v>
      </c>
      <c r="F31" s="357" t="s">
        <v>494</v>
      </c>
      <c r="G31" s="357" t="s">
        <v>587</v>
      </c>
      <c r="H31" s="357" t="s">
        <v>359</v>
      </c>
      <c r="I31" s="357" t="s">
        <v>588</v>
      </c>
      <c r="J31" s="357" t="s">
        <v>589</v>
      </c>
      <c r="K31" s="357" t="s">
        <v>590</v>
      </c>
      <c r="L31" s="358">
        <v>0</v>
      </c>
      <c r="M31" s="358">
        <v>0</v>
      </c>
      <c r="N31" s="357">
        <v>1</v>
      </c>
      <c r="O31" s="404">
        <v>1</v>
      </c>
      <c r="P31" s="358"/>
      <c r="Q31" s="384"/>
      <c r="R31" s="357"/>
      <c r="S31" s="384">
        <v>0</v>
      </c>
      <c r="T31" s="404"/>
      <c r="U31" s="385">
        <v>0</v>
      </c>
    </row>
    <row r="32" spans="1:21" ht="14.4" customHeight="1" x14ac:dyDescent="0.3">
      <c r="A32" s="356">
        <v>19</v>
      </c>
      <c r="B32" s="357" t="s">
        <v>360</v>
      </c>
      <c r="C32" s="357">
        <v>89301192</v>
      </c>
      <c r="D32" s="402" t="s">
        <v>814</v>
      </c>
      <c r="E32" s="403" t="s">
        <v>500</v>
      </c>
      <c r="F32" s="357" t="s">
        <v>494</v>
      </c>
      <c r="G32" s="357" t="s">
        <v>591</v>
      </c>
      <c r="H32" s="357" t="s">
        <v>815</v>
      </c>
      <c r="I32" s="357" t="s">
        <v>592</v>
      </c>
      <c r="J32" s="357" t="s">
        <v>593</v>
      </c>
      <c r="K32" s="357" t="s">
        <v>566</v>
      </c>
      <c r="L32" s="358">
        <v>413.22</v>
      </c>
      <c r="M32" s="358">
        <v>826.44</v>
      </c>
      <c r="N32" s="357">
        <v>2</v>
      </c>
      <c r="O32" s="404">
        <v>2</v>
      </c>
      <c r="P32" s="358">
        <v>826.44</v>
      </c>
      <c r="Q32" s="384">
        <v>1</v>
      </c>
      <c r="R32" s="357">
        <v>2</v>
      </c>
      <c r="S32" s="384">
        <v>1</v>
      </c>
      <c r="T32" s="404">
        <v>2</v>
      </c>
      <c r="U32" s="385">
        <v>1</v>
      </c>
    </row>
    <row r="33" spans="1:21" ht="14.4" customHeight="1" x14ac:dyDescent="0.3">
      <c r="A33" s="356">
        <v>19</v>
      </c>
      <c r="B33" s="357" t="s">
        <v>360</v>
      </c>
      <c r="C33" s="357">
        <v>89301192</v>
      </c>
      <c r="D33" s="402" t="s">
        <v>814</v>
      </c>
      <c r="E33" s="403" t="s">
        <v>500</v>
      </c>
      <c r="F33" s="357" t="s">
        <v>494</v>
      </c>
      <c r="G33" s="357" t="s">
        <v>594</v>
      </c>
      <c r="H33" s="357" t="s">
        <v>359</v>
      </c>
      <c r="I33" s="357" t="s">
        <v>595</v>
      </c>
      <c r="J33" s="357" t="s">
        <v>596</v>
      </c>
      <c r="K33" s="357" t="s">
        <v>597</v>
      </c>
      <c r="L33" s="358">
        <v>84.78</v>
      </c>
      <c r="M33" s="358">
        <v>1017.36</v>
      </c>
      <c r="N33" s="357">
        <v>12</v>
      </c>
      <c r="O33" s="404">
        <v>6</v>
      </c>
      <c r="P33" s="358">
        <v>339.12</v>
      </c>
      <c r="Q33" s="384">
        <v>0.33333333333333331</v>
      </c>
      <c r="R33" s="357">
        <v>4</v>
      </c>
      <c r="S33" s="384">
        <v>0.33333333333333331</v>
      </c>
      <c r="T33" s="404">
        <v>2</v>
      </c>
      <c r="U33" s="385">
        <v>0.33333333333333331</v>
      </c>
    </row>
    <row r="34" spans="1:21" ht="14.4" customHeight="1" x14ac:dyDescent="0.3">
      <c r="A34" s="356">
        <v>19</v>
      </c>
      <c r="B34" s="357" t="s">
        <v>360</v>
      </c>
      <c r="C34" s="357">
        <v>89301192</v>
      </c>
      <c r="D34" s="402" t="s">
        <v>814</v>
      </c>
      <c r="E34" s="403" t="s">
        <v>500</v>
      </c>
      <c r="F34" s="357" t="s">
        <v>494</v>
      </c>
      <c r="G34" s="357" t="s">
        <v>594</v>
      </c>
      <c r="H34" s="357" t="s">
        <v>359</v>
      </c>
      <c r="I34" s="357" t="s">
        <v>598</v>
      </c>
      <c r="J34" s="357" t="s">
        <v>599</v>
      </c>
      <c r="K34" s="357" t="s">
        <v>600</v>
      </c>
      <c r="L34" s="358">
        <v>75.36</v>
      </c>
      <c r="M34" s="358">
        <v>75.36</v>
      </c>
      <c r="N34" s="357">
        <v>1</v>
      </c>
      <c r="O34" s="404">
        <v>0.5</v>
      </c>
      <c r="P34" s="358">
        <v>75.36</v>
      </c>
      <c r="Q34" s="384">
        <v>1</v>
      </c>
      <c r="R34" s="357">
        <v>1</v>
      </c>
      <c r="S34" s="384">
        <v>1</v>
      </c>
      <c r="T34" s="404">
        <v>0.5</v>
      </c>
      <c r="U34" s="385">
        <v>1</v>
      </c>
    </row>
    <row r="35" spans="1:21" ht="14.4" customHeight="1" x14ac:dyDescent="0.3">
      <c r="A35" s="356">
        <v>19</v>
      </c>
      <c r="B35" s="357" t="s">
        <v>360</v>
      </c>
      <c r="C35" s="357">
        <v>89301192</v>
      </c>
      <c r="D35" s="402" t="s">
        <v>814</v>
      </c>
      <c r="E35" s="403" t="s">
        <v>500</v>
      </c>
      <c r="F35" s="357" t="s">
        <v>494</v>
      </c>
      <c r="G35" s="357" t="s">
        <v>601</v>
      </c>
      <c r="H35" s="357" t="s">
        <v>359</v>
      </c>
      <c r="I35" s="357" t="s">
        <v>602</v>
      </c>
      <c r="J35" s="357" t="s">
        <v>603</v>
      </c>
      <c r="K35" s="357" t="s">
        <v>604</v>
      </c>
      <c r="L35" s="358">
        <v>83.09</v>
      </c>
      <c r="M35" s="358">
        <v>249.27</v>
      </c>
      <c r="N35" s="357">
        <v>3</v>
      </c>
      <c r="O35" s="404">
        <v>1</v>
      </c>
      <c r="P35" s="358">
        <v>249.27</v>
      </c>
      <c r="Q35" s="384">
        <v>1</v>
      </c>
      <c r="R35" s="357">
        <v>3</v>
      </c>
      <c r="S35" s="384">
        <v>1</v>
      </c>
      <c r="T35" s="404">
        <v>1</v>
      </c>
      <c r="U35" s="385">
        <v>1</v>
      </c>
    </row>
    <row r="36" spans="1:21" ht="14.4" customHeight="1" x14ac:dyDescent="0.3">
      <c r="A36" s="356">
        <v>19</v>
      </c>
      <c r="B36" s="357" t="s">
        <v>360</v>
      </c>
      <c r="C36" s="357">
        <v>89301192</v>
      </c>
      <c r="D36" s="402" t="s">
        <v>814</v>
      </c>
      <c r="E36" s="403" t="s">
        <v>500</v>
      </c>
      <c r="F36" s="357" t="s">
        <v>494</v>
      </c>
      <c r="G36" s="357" t="s">
        <v>605</v>
      </c>
      <c r="H36" s="357" t="s">
        <v>359</v>
      </c>
      <c r="I36" s="357" t="s">
        <v>606</v>
      </c>
      <c r="J36" s="357" t="s">
        <v>607</v>
      </c>
      <c r="K36" s="357" t="s">
        <v>608</v>
      </c>
      <c r="L36" s="358">
        <v>0</v>
      </c>
      <c r="M36" s="358">
        <v>0</v>
      </c>
      <c r="N36" s="357">
        <v>1</v>
      </c>
      <c r="O36" s="404">
        <v>1</v>
      </c>
      <c r="P36" s="358">
        <v>0</v>
      </c>
      <c r="Q36" s="384"/>
      <c r="R36" s="357">
        <v>1</v>
      </c>
      <c r="S36" s="384">
        <v>1</v>
      </c>
      <c r="T36" s="404">
        <v>1</v>
      </c>
      <c r="U36" s="385">
        <v>1</v>
      </c>
    </row>
    <row r="37" spans="1:21" ht="14.4" customHeight="1" x14ac:dyDescent="0.3">
      <c r="A37" s="356">
        <v>19</v>
      </c>
      <c r="B37" s="357" t="s">
        <v>360</v>
      </c>
      <c r="C37" s="357">
        <v>89301192</v>
      </c>
      <c r="D37" s="402" t="s">
        <v>814</v>
      </c>
      <c r="E37" s="403" t="s">
        <v>500</v>
      </c>
      <c r="F37" s="357" t="s">
        <v>494</v>
      </c>
      <c r="G37" s="357" t="s">
        <v>609</v>
      </c>
      <c r="H37" s="357" t="s">
        <v>359</v>
      </c>
      <c r="I37" s="357" t="s">
        <v>610</v>
      </c>
      <c r="J37" s="357" t="s">
        <v>611</v>
      </c>
      <c r="K37" s="357" t="s">
        <v>612</v>
      </c>
      <c r="L37" s="358">
        <v>0</v>
      </c>
      <c r="M37" s="358">
        <v>0</v>
      </c>
      <c r="N37" s="357">
        <v>2</v>
      </c>
      <c r="O37" s="404">
        <v>2</v>
      </c>
      <c r="P37" s="358">
        <v>0</v>
      </c>
      <c r="Q37" s="384"/>
      <c r="R37" s="357">
        <v>2</v>
      </c>
      <c r="S37" s="384">
        <v>1</v>
      </c>
      <c r="T37" s="404">
        <v>2</v>
      </c>
      <c r="U37" s="385">
        <v>1</v>
      </c>
    </row>
    <row r="38" spans="1:21" ht="14.4" customHeight="1" x14ac:dyDescent="0.3">
      <c r="A38" s="356">
        <v>19</v>
      </c>
      <c r="B38" s="357" t="s">
        <v>360</v>
      </c>
      <c r="C38" s="357">
        <v>89301192</v>
      </c>
      <c r="D38" s="402" t="s">
        <v>814</v>
      </c>
      <c r="E38" s="403" t="s">
        <v>500</v>
      </c>
      <c r="F38" s="357" t="s">
        <v>494</v>
      </c>
      <c r="G38" s="357" t="s">
        <v>613</v>
      </c>
      <c r="H38" s="357" t="s">
        <v>359</v>
      </c>
      <c r="I38" s="357" t="s">
        <v>614</v>
      </c>
      <c r="J38" s="357" t="s">
        <v>615</v>
      </c>
      <c r="K38" s="357" t="s">
        <v>616</v>
      </c>
      <c r="L38" s="358">
        <v>0</v>
      </c>
      <c r="M38" s="358">
        <v>0</v>
      </c>
      <c r="N38" s="357">
        <v>1</v>
      </c>
      <c r="O38" s="404">
        <v>0.5</v>
      </c>
      <c r="P38" s="358"/>
      <c r="Q38" s="384"/>
      <c r="R38" s="357"/>
      <c r="S38" s="384">
        <v>0</v>
      </c>
      <c r="T38" s="404"/>
      <c r="U38" s="385">
        <v>0</v>
      </c>
    </row>
    <row r="39" spans="1:21" ht="14.4" customHeight="1" x14ac:dyDescent="0.3">
      <c r="A39" s="356">
        <v>19</v>
      </c>
      <c r="B39" s="357" t="s">
        <v>360</v>
      </c>
      <c r="C39" s="357">
        <v>89301192</v>
      </c>
      <c r="D39" s="402" t="s">
        <v>814</v>
      </c>
      <c r="E39" s="403" t="s">
        <v>500</v>
      </c>
      <c r="F39" s="357" t="s">
        <v>494</v>
      </c>
      <c r="G39" s="357" t="s">
        <v>617</v>
      </c>
      <c r="H39" s="357" t="s">
        <v>359</v>
      </c>
      <c r="I39" s="357" t="s">
        <v>618</v>
      </c>
      <c r="J39" s="357" t="s">
        <v>619</v>
      </c>
      <c r="K39" s="357" t="s">
        <v>620</v>
      </c>
      <c r="L39" s="358">
        <v>114.78</v>
      </c>
      <c r="M39" s="358">
        <v>229.56</v>
      </c>
      <c r="N39" s="357">
        <v>2</v>
      </c>
      <c r="O39" s="404">
        <v>1</v>
      </c>
      <c r="P39" s="358"/>
      <c r="Q39" s="384">
        <v>0</v>
      </c>
      <c r="R39" s="357"/>
      <c r="S39" s="384">
        <v>0</v>
      </c>
      <c r="T39" s="404"/>
      <c r="U39" s="385">
        <v>0</v>
      </c>
    </row>
    <row r="40" spans="1:21" ht="14.4" customHeight="1" x14ac:dyDescent="0.3">
      <c r="A40" s="356">
        <v>19</v>
      </c>
      <c r="B40" s="357" t="s">
        <v>360</v>
      </c>
      <c r="C40" s="357">
        <v>89301192</v>
      </c>
      <c r="D40" s="402" t="s">
        <v>814</v>
      </c>
      <c r="E40" s="403" t="s">
        <v>500</v>
      </c>
      <c r="F40" s="357" t="s">
        <v>494</v>
      </c>
      <c r="G40" s="357" t="s">
        <v>621</v>
      </c>
      <c r="H40" s="357" t="s">
        <v>359</v>
      </c>
      <c r="I40" s="357" t="s">
        <v>622</v>
      </c>
      <c r="J40" s="357" t="s">
        <v>623</v>
      </c>
      <c r="K40" s="357" t="s">
        <v>624</v>
      </c>
      <c r="L40" s="358">
        <v>41.07</v>
      </c>
      <c r="M40" s="358">
        <v>41.07</v>
      </c>
      <c r="N40" s="357">
        <v>1</v>
      </c>
      <c r="O40" s="404">
        <v>1</v>
      </c>
      <c r="P40" s="358"/>
      <c r="Q40" s="384">
        <v>0</v>
      </c>
      <c r="R40" s="357"/>
      <c r="S40" s="384">
        <v>0</v>
      </c>
      <c r="T40" s="404"/>
      <c r="U40" s="385">
        <v>0</v>
      </c>
    </row>
    <row r="41" spans="1:21" ht="14.4" customHeight="1" x14ac:dyDescent="0.3">
      <c r="A41" s="356">
        <v>19</v>
      </c>
      <c r="B41" s="357" t="s">
        <v>360</v>
      </c>
      <c r="C41" s="357">
        <v>89301192</v>
      </c>
      <c r="D41" s="402" t="s">
        <v>814</v>
      </c>
      <c r="E41" s="403" t="s">
        <v>500</v>
      </c>
      <c r="F41" s="357" t="s">
        <v>494</v>
      </c>
      <c r="G41" s="357" t="s">
        <v>522</v>
      </c>
      <c r="H41" s="357" t="s">
        <v>815</v>
      </c>
      <c r="I41" s="357" t="s">
        <v>523</v>
      </c>
      <c r="J41" s="357" t="s">
        <v>524</v>
      </c>
      <c r="K41" s="357" t="s">
        <v>525</v>
      </c>
      <c r="L41" s="358">
        <v>399.92</v>
      </c>
      <c r="M41" s="358">
        <v>1199.76</v>
      </c>
      <c r="N41" s="357">
        <v>3</v>
      </c>
      <c r="O41" s="404">
        <v>1</v>
      </c>
      <c r="P41" s="358">
        <v>1199.76</v>
      </c>
      <c r="Q41" s="384">
        <v>1</v>
      </c>
      <c r="R41" s="357">
        <v>3</v>
      </c>
      <c r="S41" s="384">
        <v>1</v>
      </c>
      <c r="T41" s="404">
        <v>1</v>
      </c>
      <c r="U41" s="385">
        <v>1</v>
      </c>
    </row>
    <row r="42" spans="1:21" ht="14.4" customHeight="1" x14ac:dyDescent="0.3">
      <c r="A42" s="356">
        <v>19</v>
      </c>
      <c r="B42" s="357" t="s">
        <v>360</v>
      </c>
      <c r="C42" s="357">
        <v>89301192</v>
      </c>
      <c r="D42" s="402" t="s">
        <v>814</v>
      </c>
      <c r="E42" s="403" t="s">
        <v>500</v>
      </c>
      <c r="F42" s="357" t="s">
        <v>494</v>
      </c>
      <c r="G42" s="357" t="s">
        <v>526</v>
      </c>
      <c r="H42" s="357" t="s">
        <v>359</v>
      </c>
      <c r="I42" s="357" t="s">
        <v>385</v>
      </c>
      <c r="J42" s="357" t="s">
        <v>529</v>
      </c>
      <c r="K42" s="357" t="s">
        <v>528</v>
      </c>
      <c r="L42" s="358">
        <v>41.83</v>
      </c>
      <c r="M42" s="358">
        <v>250.98</v>
      </c>
      <c r="N42" s="357">
        <v>6</v>
      </c>
      <c r="O42" s="404">
        <v>3</v>
      </c>
      <c r="P42" s="358">
        <v>83.66</v>
      </c>
      <c r="Q42" s="384">
        <v>0.33333333333333331</v>
      </c>
      <c r="R42" s="357">
        <v>2</v>
      </c>
      <c r="S42" s="384">
        <v>0.33333333333333331</v>
      </c>
      <c r="T42" s="404">
        <v>1</v>
      </c>
      <c r="U42" s="385">
        <v>0.33333333333333331</v>
      </c>
    </row>
    <row r="43" spans="1:21" ht="14.4" customHeight="1" x14ac:dyDescent="0.3">
      <c r="A43" s="356">
        <v>19</v>
      </c>
      <c r="B43" s="357" t="s">
        <v>360</v>
      </c>
      <c r="C43" s="357">
        <v>89301192</v>
      </c>
      <c r="D43" s="402" t="s">
        <v>814</v>
      </c>
      <c r="E43" s="403" t="s">
        <v>500</v>
      </c>
      <c r="F43" s="357" t="s">
        <v>494</v>
      </c>
      <c r="G43" s="357" t="s">
        <v>526</v>
      </c>
      <c r="H43" s="357" t="s">
        <v>359</v>
      </c>
      <c r="I43" s="357" t="s">
        <v>625</v>
      </c>
      <c r="J43" s="357" t="s">
        <v>626</v>
      </c>
      <c r="K43" s="357" t="s">
        <v>627</v>
      </c>
      <c r="L43" s="358">
        <v>49.76</v>
      </c>
      <c r="M43" s="358">
        <v>199.04</v>
      </c>
      <c r="N43" s="357">
        <v>4</v>
      </c>
      <c r="O43" s="404">
        <v>2</v>
      </c>
      <c r="P43" s="358">
        <v>99.52</v>
      </c>
      <c r="Q43" s="384">
        <v>0.5</v>
      </c>
      <c r="R43" s="357">
        <v>2</v>
      </c>
      <c r="S43" s="384">
        <v>0.5</v>
      </c>
      <c r="T43" s="404">
        <v>1</v>
      </c>
      <c r="U43" s="385">
        <v>0.5</v>
      </c>
    </row>
    <row r="44" spans="1:21" ht="14.4" customHeight="1" x14ac:dyDescent="0.3">
      <c r="A44" s="356">
        <v>19</v>
      </c>
      <c r="B44" s="357" t="s">
        <v>360</v>
      </c>
      <c r="C44" s="357">
        <v>89301192</v>
      </c>
      <c r="D44" s="402" t="s">
        <v>814</v>
      </c>
      <c r="E44" s="403" t="s">
        <v>500</v>
      </c>
      <c r="F44" s="357" t="s">
        <v>494</v>
      </c>
      <c r="G44" s="357" t="s">
        <v>628</v>
      </c>
      <c r="H44" s="357" t="s">
        <v>815</v>
      </c>
      <c r="I44" s="357" t="s">
        <v>629</v>
      </c>
      <c r="J44" s="357" t="s">
        <v>630</v>
      </c>
      <c r="K44" s="357" t="s">
        <v>631</v>
      </c>
      <c r="L44" s="358">
        <v>323.43</v>
      </c>
      <c r="M44" s="358">
        <v>970.29</v>
      </c>
      <c r="N44" s="357">
        <v>3</v>
      </c>
      <c r="O44" s="404">
        <v>2</v>
      </c>
      <c r="P44" s="358"/>
      <c r="Q44" s="384">
        <v>0</v>
      </c>
      <c r="R44" s="357"/>
      <c r="S44" s="384">
        <v>0</v>
      </c>
      <c r="T44" s="404"/>
      <c r="U44" s="385">
        <v>0</v>
      </c>
    </row>
    <row r="45" spans="1:21" ht="14.4" customHeight="1" x14ac:dyDescent="0.3">
      <c r="A45" s="356">
        <v>19</v>
      </c>
      <c r="B45" s="357" t="s">
        <v>360</v>
      </c>
      <c r="C45" s="357">
        <v>89301192</v>
      </c>
      <c r="D45" s="402" t="s">
        <v>814</v>
      </c>
      <c r="E45" s="403" t="s">
        <v>500</v>
      </c>
      <c r="F45" s="357" t="s">
        <v>494</v>
      </c>
      <c r="G45" s="357" t="s">
        <v>628</v>
      </c>
      <c r="H45" s="357" t="s">
        <v>815</v>
      </c>
      <c r="I45" s="357" t="s">
        <v>632</v>
      </c>
      <c r="J45" s="357" t="s">
        <v>630</v>
      </c>
      <c r="K45" s="357" t="s">
        <v>633</v>
      </c>
      <c r="L45" s="358">
        <v>107.81</v>
      </c>
      <c r="M45" s="358">
        <v>215.62</v>
      </c>
      <c r="N45" s="357">
        <v>2</v>
      </c>
      <c r="O45" s="404">
        <v>1</v>
      </c>
      <c r="P45" s="358"/>
      <c r="Q45" s="384">
        <v>0</v>
      </c>
      <c r="R45" s="357"/>
      <c r="S45" s="384">
        <v>0</v>
      </c>
      <c r="T45" s="404"/>
      <c r="U45" s="385">
        <v>0</v>
      </c>
    </row>
    <row r="46" spans="1:21" ht="14.4" customHeight="1" x14ac:dyDescent="0.3">
      <c r="A46" s="356">
        <v>19</v>
      </c>
      <c r="B46" s="357" t="s">
        <v>360</v>
      </c>
      <c r="C46" s="357">
        <v>89301192</v>
      </c>
      <c r="D46" s="402" t="s">
        <v>814</v>
      </c>
      <c r="E46" s="403" t="s">
        <v>500</v>
      </c>
      <c r="F46" s="357" t="s">
        <v>494</v>
      </c>
      <c r="G46" s="357" t="s">
        <v>634</v>
      </c>
      <c r="H46" s="357" t="s">
        <v>359</v>
      </c>
      <c r="I46" s="357" t="s">
        <v>635</v>
      </c>
      <c r="J46" s="357" t="s">
        <v>636</v>
      </c>
      <c r="K46" s="357" t="s">
        <v>637</v>
      </c>
      <c r="L46" s="358">
        <v>242.93</v>
      </c>
      <c r="M46" s="358">
        <v>485.86</v>
      </c>
      <c r="N46" s="357">
        <v>2</v>
      </c>
      <c r="O46" s="404">
        <v>2</v>
      </c>
      <c r="P46" s="358">
        <v>242.93</v>
      </c>
      <c r="Q46" s="384">
        <v>0.5</v>
      </c>
      <c r="R46" s="357">
        <v>1</v>
      </c>
      <c r="S46" s="384">
        <v>0.5</v>
      </c>
      <c r="T46" s="404">
        <v>1</v>
      </c>
      <c r="U46" s="385">
        <v>0.5</v>
      </c>
    </row>
    <row r="47" spans="1:21" ht="14.4" customHeight="1" x14ac:dyDescent="0.3">
      <c r="A47" s="356">
        <v>19</v>
      </c>
      <c r="B47" s="357" t="s">
        <v>360</v>
      </c>
      <c r="C47" s="357">
        <v>89301192</v>
      </c>
      <c r="D47" s="402" t="s">
        <v>814</v>
      </c>
      <c r="E47" s="403" t="s">
        <v>500</v>
      </c>
      <c r="F47" s="357" t="s">
        <v>494</v>
      </c>
      <c r="G47" s="357" t="s">
        <v>638</v>
      </c>
      <c r="H47" s="357" t="s">
        <v>815</v>
      </c>
      <c r="I47" s="357" t="s">
        <v>639</v>
      </c>
      <c r="J47" s="357" t="s">
        <v>640</v>
      </c>
      <c r="K47" s="357" t="s">
        <v>641</v>
      </c>
      <c r="L47" s="358">
        <v>100.04</v>
      </c>
      <c r="M47" s="358">
        <v>200.08</v>
      </c>
      <c r="N47" s="357">
        <v>2</v>
      </c>
      <c r="O47" s="404">
        <v>1.5</v>
      </c>
      <c r="P47" s="358"/>
      <c r="Q47" s="384">
        <v>0</v>
      </c>
      <c r="R47" s="357"/>
      <c r="S47" s="384">
        <v>0</v>
      </c>
      <c r="T47" s="404"/>
      <c r="U47" s="385">
        <v>0</v>
      </c>
    </row>
    <row r="48" spans="1:21" ht="14.4" customHeight="1" x14ac:dyDescent="0.3">
      <c r="A48" s="356">
        <v>19</v>
      </c>
      <c r="B48" s="357" t="s">
        <v>360</v>
      </c>
      <c r="C48" s="357">
        <v>89301192</v>
      </c>
      <c r="D48" s="402" t="s">
        <v>814</v>
      </c>
      <c r="E48" s="403" t="s">
        <v>500</v>
      </c>
      <c r="F48" s="357" t="s">
        <v>494</v>
      </c>
      <c r="G48" s="357" t="s">
        <v>638</v>
      </c>
      <c r="H48" s="357" t="s">
        <v>359</v>
      </c>
      <c r="I48" s="357" t="s">
        <v>642</v>
      </c>
      <c r="J48" s="357" t="s">
        <v>643</v>
      </c>
      <c r="K48" s="357" t="s">
        <v>644</v>
      </c>
      <c r="L48" s="358">
        <v>149.62</v>
      </c>
      <c r="M48" s="358">
        <v>149.62</v>
      </c>
      <c r="N48" s="357">
        <v>1</v>
      </c>
      <c r="O48" s="404">
        <v>1</v>
      </c>
      <c r="P48" s="358"/>
      <c r="Q48" s="384">
        <v>0</v>
      </c>
      <c r="R48" s="357"/>
      <c r="S48" s="384">
        <v>0</v>
      </c>
      <c r="T48" s="404"/>
      <c r="U48" s="385">
        <v>0</v>
      </c>
    </row>
    <row r="49" spans="1:21" ht="14.4" customHeight="1" x14ac:dyDescent="0.3">
      <c r="A49" s="356">
        <v>19</v>
      </c>
      <c r="B49" s="357" t="s">
        <v>360</v>
      </c>
      <c r="C49" s="357">
        <v>89301192</v>
      </c>
      <c r="D49" s="402" t="s">
        <v>814</v>
      </c>
      <c r="E49" s="403" t="s">
        <v>500</v>
      </c>
      <c r="F49" s="357" t="s">
        <v>494</v>
      </c>
      <c r="G49" s="357" t="s">
        <v>638</v>
      </c>
      <c r="H49" s="357" t="s">
        <v>359</v>
      </c>
      <c r="I49" s="357" t="s">
        <v>645</v>
      </c>
      <c r="J49" s="357" t="s">
        <v>646</v>
      </c>
      <c r="K49" s="357" t="s">
        <v>647</v>
      </c>
      <c r="L49" s="358">
        <v>200.07</v>
      </c>
      <c r="M49" s="358">
        <v>400.14</v>
      </c>
      <c r="N49" s="357">
        <v>2</v>
      </c>
      <c r="O49" s="404">
        <v>1</v>
      </c>
      <c r="P49" s="358"/>
      <c r="Q49" s="384">
        <v>0</v>
      </c>
      <c r="R49" s="357"/>
      <c r="S49" s="384">
        <v>0</v>
      </c>
      <c r="T49" s="404"/>
      <c r="U49" s="385">
        <v>0</v>
      </c>
    </row>
    <row r="50" spans="1:21" ht="14.4" customHeight="1" x14ac:dyDescent="0.3">
      <c r="A50" s="356">
        <v>19</v>
      </c>
      <c r="B50" s="357" t="s">
        <v>360</v>
      </c>
      <c r="C50" s="357">
        <v>89301192</v>
      </c>
      <c r="D50" s="402" t="s">
        <v>814</v>
      </c>
      <c r="E50" s="403" t="s">
        <v>500</v>
      </c>
      <c r="F50" s="357" t="s">
        <v>494</v>
      </c>
      <c r="G50" s="357" t="s">
        <v>648</v>
      </c>
      <c r="H50" s="357" t="s">
        <v>359</v>
      </c>
      <c r="I50" s="357" t="s">
        <v>649</v>
      </c>
      <c r="J50" s="357" t="s">
        <v>650</v>
      </c>
      <c r="K50" s="357" t="s">
        <v>651</v>
      </c>
      <c r="L50" s="358">
        <v>153.52000000000001</v>
      </c>
      <c r="M50" s="358">
        <v>153.52000000000001</v>
      </c>
      <c r="N50" s="357">
        <v>1</v>
      </c>
      <c r="O50" s="404">
        <v>1</v>
      </c>
      <c r="P50" s="358">
        <v>153.52000000000001</v>
      </c>
      <c r="Q50" s="384">
        <v>1</v>
      </c>
      <c r="R50" s="357">
        <v>1</v>
      </c>
      <c r="S50" s="384">
        <v>1</v>
      </c>
      <c r="T50" s="404">
        <v>1</v>
      </c>
      <c r="U50" s="385">
        <v>1</v>
      </c>
    </row>
    <row r="51" spans="1:21" ht="14.4" customHeight="1" x14ac:dyDescent="0.3">
      <c r="A51" s="356">
        <v>19</v>
      </c>
      <c r="B51" s="357" t="s">
        <v>360</v>
      </c>
      <c r="C51" s="357">
        <v>89301192</v>
      </c>
      <c r="D51" s="402" t="s">
        <v>814</v>
      </c>
      <c r="E51" s="403" t="s">
        <v>500</v>
      </c>
      <c r="F51" s="357" t="s">
        <v>494</v>
      </c>
      <c r="G51" s="357" t="s">
        <v>530</v>
      </c>
      <c r="H51" s="357" t="s">
        <v>359</v>
      </c>
      <c r="I51" s="357" t="s">
        <v>531</v>
      </c>
      <c r="J51" s="357" t="s">
        <v>532</v>
      </c>
      <c r="K51" s="357" t="s">
        <v>533</v>
      </c>
      <c r="L51" s="358">
        <v>0</v>
      </c>
      <c r="M51" s="358">
        <v>0</v>
      </c>
      <c r="N51" s="357">
        <v>1</v>
      </c>
      <c r="O51" s="404">
        <v>1</v>
      </c>
      <c r="P51" s="358">
        <v>0</v>
      </c>
      <c r="Q51" s="384"/>
      <c r="R51" s="357">
        <v>1</v>
      </c>
      <c r="S51" s="384">
        <v>1</v>
      </c>
      <c r="T51" s="404">
        <v>1</v>
      </c>
      <c r="U51" s="385">
        <v>1</v>
      </c>
    </row>
    <row r="52" spans="1:21" ht="14.4" customHeight="1" x14ac:dyDescent="0.3">
      <c r="A52" s="356">
        <v>19</v>
      </c>
      <c r="B52" s="357" t="s">
        <v>360</v>
      </c>
      <c r="C52" s="357">
        <v>89301192</v>
      </c>
      <c r="D52" s="402" t="s">
        <v>814</v>
      </c>
      <c r="E52" s="403" t="s">
        <v>500</v>
      </c>
      <c r="F52" s="357" t="s">
        <v>494</v>
      </c>
      <c r="G52" s="357" t="s">
        <v>538</v>
      </c>
      <c r="H52" s="357" t="s">
        <v>359</v>
      </c>
      <c r="I52" s="357" t="s">
        <v>539</v>
      </c>
      <c r="J52" s="357" t="s">
        <v>540</v>
      </c>
      <c r="K52" s="357" t="s">
        <v>541</v>
      </c>
      <c r="L52" s="358">
        <v>0</v>
      </c>
      <c r="M52" s="358">
        <v>0</v>
      </c>
      <c r="N52" s="357">
        <v>4</v>
      </c>
      <c r="O52" s="404">
        <v>2</v>
      </c>
      <c r="P52" s="358">
        <v>0</v>
      </c>
      <c r="Q52" s="384"/>
      <c r="R52" s="357">
        <v>4</v>
      </c>
      <c r="S52" s="384">
        <v>1</v>
      </c>
      <c r="T52" s="404">
        <v>2</v>
      </c>
      <c r="U52" s="385">
        <v>1</v>
      </c>
    </row>
    <row r="53" spans="1:21" ht="14.4" customHeight="1" x14ac:dyDescent="0.3">
      <c r="A53" s="356">
        <v>19</v>
      </c>
      <c r="B53" s="357" t="s">
        <v>360</v>
      </c>
      <c r="C53" s="357">
        <v>89301192</v>
      </c>
      <c r="D53" s="402" t="s">
        <v>814</v>
      </c>
      <c r="E53" s="403" t="s">
        <v>500</v>
      </c>
      <c r="F53" s="357" t="s">
        <v>494</v>
      </c>
      <c r="G53" s="357" t="s">
        <v>538</v>
      </c>
      <c r="H53" s="357" t="s">
        <v>359</v>
      </c>
      <c r="I53" s="357" t="s">
        <v>542</v>
      </c>
      <c r="J53" s="357" t="s">
        <v>540</v>
      </c>
      <c r="K53" s="357" t="s">
        <v>541</v>
      </c>
      <c r="L53" s="358">
        <v>0</v>
      </c>
      <c r="M53" s="358">
        <v>0</v>
      </c>
      <c r="N53" s="357">
        <v>2</v>
      </c>
      <c r="O53" s="404">
        <v>1</v>
      </c>
      <c r="P53" s="358">
        <v>0</v>
      </c>
      <c r="Q53" s="384"/>
      <c r="R53" s="357">
        <v>2</v>
      </c>
      <c r="S53" s="384">
        <v>1</v>
      </c>
      <c r="T53" s="404">
        <v>1</v>
      </c>
      <c r="U53" s="385">
        <v>1</v>
      </c>
    </row>
    <row r="54" spans="1:21" ht="14.4" customHeight="1" x14ac:dyDescent="0.3">
      <c r="A54" s="356">
        <v>19</v>
      </c>
      <c r="B54" s="357" t="s">
        <v>360</v>
      </c>
      <c r="C54" s="357">
        <v>89301192</v>
      </c>
      <c r="D54" s="402" t="s">
        <v>814</v>
      </c>
      <c r="E54" s="403" t="s">
        <v>500</v>
      </c>
      <c r="F54" s="357" t="s">
        <v>494</v>
      </c>
      <c r="G54" s="357" t="s">
        <v>543</v>
      </c>
      <c r="H54" s="357" t="s">
        <v>359</v>
      </c>
      <c r="I54" s="357" t="s">
        <v>652</v>
      </c>
      <c r="J54" s="357" t="s">
        <v>545</v>
      </c>
      <c r="K54" s="357" t="s">
        <v>653</v>
      </c>
      <c r="L54" s="358">
        <v>0</v>
      </c>
      <c r="M54" s="358">
        <v>0</v>
      </c>
      <c r="N54" s="357">
        <v>2</v>
      </c>
      <c r="O54" s="404">
        <v>1</v>
      </c>
      <c r="P54" s="358"/>
      <c r="Q54" s="384"/>
      <c r="R54" s="357"/>
      <c r="S54" s="384">
        <v>0</v>
      </c>
      <c r="T54" s="404"/>
      <c r="U54" s="385">
        <v>0</v>
      </c>
    </row>
    <row r="55" spans="1:21" ht="14.4" customHeight="1" x14ac:dyDescent="0.3">
      <c r="A55" s="356">
        <v>19</v>
      </c>
      <c r="B55" s="357" t="s">
        <v>360</v>
      </c>
      <c r="C55" s="357">
        <v>89301192</v>
      </c>
      <c r="D55" s="402" t="s">
        <v>814</v>
      </c>
      <c r="E55" s="403" t="s">
        <v>500</v>
      </c>
      <c r="F55" s="357" t="s">
        <v>494</v>
      </c>
      <c r="G55" s="357" t="s">
        <v>543</v>
      </c>
      <c r="H55" s="357" t="s">
        <v>359</v>
      </c>
      <c r="I55" s="357" t="s">
        <v>544</v>
      </c>
      <c r="J55" s="357" t="s">
        <v>545</v>
      </c>
      <c r="K55" s="357" t="s">
        <v>546</v>
      </c>
      <c r="L55" s="358">
        <v>56.69</v>
      </c>
      <c r="M55" s="358">
        <v>170.07</v>
      </c>
      <c r="N55" s="357">
        <v>3</v>
      </c>
      <c r="O55" s="404">
        <v>2.5</v>
      </c>
      <c r="P55" s="358">
        <v>113.38</v>
      </c>
      <c r="Q55" s="384">
        <v>0.66666666666666663</v>
      </c>
      <c r="R55" s="357">
        <v>2</v>
      </c>
      <c r="S55" s="384">
        <v>0.66666666666666663</v>
      </c>
      <c r="T55" s="404">
        <v>2</v>
      </c>
      <c r="U55" s="385">
        <v>0.8</v>
      </c>
    </row>
    <row r="56" spans="1:21" ht="14.4" customHeight="1" x14ac:dyDescent="0.3">
      <c r="A56" s="356">
        <v>19</v>
      </c>
      <c r="B56" s="357" t="s">
        <v>360</v>
      </c>
      <c r="C56" s="357">
        <v>89301192</v>
      </c>
      <c r="D56" s="402" t="s">
        <v>814</v>
      </c>
      <c r="E56" s="403" t="s">
        <v>500</v>
      </c>
      <c r="F56" s="357" t="s">
        <v>494</v>
      </c>
      <c r="G56" s="357" t="s">
        <v>559</v>
      </c>
      <c r="H56" s="357" t="s">
        <v>815</v>
      </c>
      <c r="I56" s="357" t="s">
        <v>654</v>
      </c>
      <c r="J56" s="357" t="s">
        <v>655</v>
      </c>
      <c r="K56" s="357" t="s">
        <v>574</v>
      </c>
      <c r="L56" s="358">
        <v>134.84</v>
      </c>
      <c r="M56" s="358">
        <v>269.68</v>
      </c>
      <c r="N56" s="357">
        <v>2</v>
      </c>
      <c r="O56" s="404">
        <v>1</v>
      </c>
      <c r="P56" s="358"/>
      <c r="Q56" s="384">
        <v>0</v>
      </c>
      <c r="R56" s="357"/>
      <c r="S56" s="384">
        <v>0</v>
      </c>
      <c r="T56" s="404"/>
      <c r="U56" s="385">
        <v>0</v>
      </c>
    </row>
    <row r="57" spans="1:21" ht="14.4" customHeight="1" x14ac:dyDescent="0.3">
      <c r="A57" s="356">
        <v>19</v>
      </c>
      <c r="B57" s="357" t="s">
        <v>360</v>
      </c>
      <c r="C57" s="357">
        <v>89301192</v>
      </c>
      <c r="D57" s="402" t="s">
        <v>814</v>
      </c>
      <c r="E57" s="403" t="s">
        <v>500</v>
      </c>
      <c r="F57" s="357" t="s">
        <v>494</v>
      </c>
      <c r="G57" s="357" t="s">
        <v>656</v>
      </c>
      <c r="H57" s="357" t="s">
        <v>359</v>
      </c>
      <c r="I57" s="357" t="s">
        <v>657</v>
      </c>
      <c r="J57" s="357" t="s">
        <v>658</v>
      </c>
      <c r="K57" s="357" t="s">
        <v>659</v>
      </c>
      <c r="L57" s="358">
        <v>126.26</v>
      </c>
      <c r="M57" s="358">
        <v>378.78000000000003</v>
      </c>
      <c r="N57" s="357">
        <v>3</v>
      </c>
      <c r="O57" s="404">
        <v>1.5</v>
      </c>
      <c r="P57" s="358">
        <v>378.78000000000003</v>
      </c>
      <c r="Q57" s="384">
        <v>1</v>
      </c>
      <c r="R57" s="357">
        <v>3</v>
      </c>
      <c r="S57" s="384">
        <v>1</v>
      </c>
      <c r="T57" s="404">
        <v>1.5</v>
      </c>
      <c r="U57" s="385">
        <v>1</v>
      </c>
    </row>
    <row r="58" spans="1:21" ht="14.4" customHeight="1" x14ac:dyDescent="0.3">
      <c r="A58" s="356">
        <v>19</v>
      </c>
      <c r="B58" s="357" t="s">
        <v>360</v>
      </c>
      <c r="C58" s="357">
        <v>89301192</v>
      </c>
      <c r="D58" s="402" t="s">
        <v>814</v>
      </c>
      <c r="E58" s="403" t="s">
        <v>500</v>
      </c>
      <c r="F58" s="357" t="s">
        <v>494</v>
      </c>
      <c r="G58" s="357" t="s">
        <v>656</v>
      </c>
      <c r="H58" s="357" t="s">
        <v>815</v>
      </c>
      <c r="I58" s="357" t="s">
        <v>660</v>
      </c>
      <c r="J58" s="357" t="s">
        <v>661</v>
      </c>
      <c r="K58" s="357" t="s">
        <v>662</v>
      </c>
      <c r="L58" s="358">
        <v>42.08</v>
      </c>
      <c r="M58" s="358">
        <v>210.39999999999998</v>
      </c>
      <c r="N58" s="357">
        <v>5</v>
      </c>
      <c r="O58" s="404">
        <v>3</v>
      </c>
      <c r="P58" s="358">
        <v>210.39999999999998</v>
      </c>
      <c r="Q58" s="384">
        <v>1</v>
      </c>
      <c r="R58" s="357">
        <v>5</v>
      </c>
      <c r="S58" s="384">
        <v>1</v>
      </c>
      <c r="T58" s="404">
        <v>3</v>
      </c>
      <c r="U58" s="385">
        <v>1</v>
      </c>
    </row>
    <row r="59" spans="1:21" ht="14.4" customHeight="1" x14ac:dyDescent="0.3">
      <c r="A59" s="356">
        <v>19</v>
      </c>
      <c r="B59" s="357" t="s">
        <v>360</v>
      </c>
      <c r="C59" s="357">
        <v>89301192</v>
      </c>
      <c r="D59" s="402" t="s">
        <v>814</v>
      </c>
      <c r="E59" s="403" t="s">
        <v>500</v>
      </c>
      <c r="F59" s="357" t="s">
        <v>494</v>
      </c>
      <c r="G59" s="357" t="s">
        <v>663</v>
      </c>
      <c r="H59" s="357" t="s">
        <v>359</v>
      </c>
      <c r="I59" s="357" t="s">
        <v>664</v>
      </c>
      <c r="J59" s="357" t="s">
        <v>665</v>
      </c>
      <c r="K59" s="357" t="s">
        <v>666</v>
      </c>
      <c r="L59" s="358">
        <v>0</v>
      </c>
      <c r="M59" s="358">
        <v>0</v>
      </c>
      <c r="N59" s="357">
        <v>1</v>
      </c>
      <c r="O59" s="404">
        <v>1</v>
      </c>
      <c r="P59" s="358"/>
      <c r="Q59" s="384"/>
      <c r="R59" s="357"/>
      <c r="S59" s="384">
        <v>0</v>
      </c>
      <c r="T59" s="404"/>
      <c r="U59" s="385">
        <v>0</v>
      </c>
    </row>
    <row r="60" spans="1:21" ht="14.4" customHeight="1" x14ac:dyDescent="0.3">
      <c r="A60" s="356">
        <v>19</v>
      </c>
      <c r="B60" s="357" t="s">
        <v>360</v>
      </c>
      <c r="C60" s="357">
        <v>89301192</v>
      </c>
      <c r="D60" s="402" t="s">
        <v>814</v>
      </c>
      <c r="E60" s="403" t="s">
        <v>500</v>
      </c>
      <c r="F60" s="357" t="s">
        <v>494</v>
      </c>
      <c r="G60" s="357" t="s">
        <v>663</v>
      </c>
      <c r="H60" s="357" t="s">
        <v>359</v>
      </c>
      <c r="I60" s="357" t="s">
        <v>667</v>
      </c>
      <c r="J60" s="357" t="s">
        <v>668</v>
      </c>
      <c r="K60" s="357" t="s">
        <v>669</v>
      </c>
      <c r="L60" s="358">
        <v>0</v>
      </c>
      <c r="M60" s="358">
        <v>0</v>
      </c>
      <c r="N60" s="357">
        <v>1</v>
      </c>
      <c r="O60" s="404">
        <v>1</v>
      </c>
      <c r="P60" s="358">
        <v>0</v>
      </c>
      <c r="Q60" s="384"/>
      <c r="R60" s="357">
        <v>1</v>
      </c>
      <c r="S60" s="384">
        <v>1</v>
      </c>
      <c r="T60" s="404">
        <v>1</v>
      </c>
      <c r="U60" s="385">
        <v>1</v>
      </c>
    </row>
    <row r="61" spans="1:21" ht="14.4" customHeight="1" x14ac:dyDescent="0.3">
      <c r="A61" s="356">
        <v>19</v>
      </c>
      <c r="B61" s="357" t="s">
        <v>360</v>
      </c>
      <c r="C61" s="357">
        <v>89301192</v>
      </c>
      <c r="D61" s="402" t="s">
        <v>814</v>
      </c>
      <c r="E61" s="403" t="s">
        <v>500</v>
      </c>
      <c r="F61" s="357" t="s">
        <v>494</v>
      </c>
      <c r="G61" s="357" t="s">
        <v>670</v>
      </c>
      <c r="H61" s="357" t="s">
        <v>359</v>
      </c>
      <c r="I61" s="357" t="s">
        <v>671</v>
      </c>
      <c r="J61" s="357" t="s">
        <v>672</v>
      </c>
      <c r="K61" s="357" t="s">
        <v>673</v>
      </c>
      <c r="L61" s="358">
        <v>0</v>
      </c>
      <c r="M61" s="358">
        <v>0</v>
      </c>
      <c r="N61" s="357">
        <v>4</v>
      </c>
      <c r="O61" s="404">
        <v>4</v>
      </c>
      <c r="P61" s="358">
        <v>0</v>
      </c>
      <c r="Q61" s="384"/>
      <c r="R61" s="357">
        <v>3</v>
      </c>
      <c r="S61" s="384">
        <v>0.75</v>
      </c>
      <c r="T61" s="404">
        <v>3</v>
      </c>
      <c r="U61" s="385">
        <v>0.75</v>
      </c>
    </row>
    <row r="62" spans="1:21" ht="14.4" customHeight="1" x14ac:dyDescent="0.3">
      <c r="A62" s="356">
        <v>19</v>
      </c>
      <c r="B62" s="357" t="s">
        <v>360</v>
      </c>
      <c r="C62" s="357">
        <v>89301192</v>
      </c>
      <c r="D62" s="402" t="s">
        <v>814</v>
      </c>
      <c r="E62" s="403" t="s">
        <v>501</v>
      </c>
      <c r="F62" s="357" t="s">
        <v>494</v>
      </c>
      <c r="G62" s="357" t="s">
        <v>577</v>
      </c>
      <c r="H62" s="357" t="s">
        <v>359</v>
      </c>
      <c r="I62" s="357" t="s">
        <v>578</v>
      </c>
      <c r="J62" s="357" t="s">
        <v>579</v>
      </c>
      <c r="K62" s="357" t="s">
        <v>580</v>
      </c>
      <c r="L62" s="358">
        <v>333.31</v>
      </c>
      <c r="M62" s="358">
        <v>333.31</v>
      </c>
      <c r="N62" s="357">
        <v>1</v>
      </c>
      <c r="O62" s="404">
        <v>0.5</v>
      </c>
      <c r="P62" s="358">
        <v>333.31</v>
      </c>
      <c r="Q62" s="384">
        <v>1</v>
      </c>
      <c r="R62" s="357">
        <v>1</v>
      </c>
      <c r="S62" s="384">
        <v>1</v>
      </c>
      <c r="T62" s="404">
        <v>0.5</v>
      </c>
      <c r="U62" s="385">
        <v>1</v>
      </c>
    </row>
    <row r="63" spans="1:21" ht="14.4" customHeight="1" x14ac:dyDescent="0.3">
      <c r="A63" s="356">
        <v>19</v>
      </c>
      <c r="B63" s="357" t="s">
        <v>360</v>
      </c>
      <c r="C63" s="357">
        <v>89301192</v>
      </c>
      <c r="D63" s="402" t="s">
        <v>814</v>
      </c>
      <c r="E63" s="403" t="s">
        <v>501</v>
      </c>
      <c r="F63" s="357" t="s">
        <v>494</v>
      </c>
      <c r="G63" s="357" t="s">
        <v>674</v>
      </c>
      <c r="H63" s="357" t="s">
        <v>815</v>
      </c>
      <c r="I63" s="357" t="s">
        <v>675</v>
      </c>
      <c r="J63" s="357" t="s">
        <v>676</v>
      </c>
      <c r="K63" s="357" t="s">
        <v>677</v>
      </c>
      <c r="L63" s="358">
        <v>41.89</v>
      </c>
      <c r="M63" s="358">
        <v>83.78</v>
      </c>
      <c r="N63" s="357">
        <v>2</v>
      </c>
      <c r="O63" s="404">
        <v>1</v>
      </c>
      <c r="P63" s="358">
        <v>83.78</v>
      </c>
      <c r="Q63" s="384">
        <v>1</v>
      </c>
      <c r="R63" s="357">
        <v>2</v>
      </c>
      <c r="S63" s="384">
        <v>1</v>
      </c>
      <c r="T63" s="404">
        <v>1</v>
      </c>
      <c r="U63" s="385">
        <v>1</v>
      </c>
    </row>
    <row r="64" spans="1:21" ht="14.4" customHeight="1" x14ac:dyDescent="0.3">
      <c r="A64" s="356">
        <v>19</v>
      </c>
      <c r="B64" s="357" t="s">
        <v>360</v>
      </c>
      <c r="C64" s="357">
        <v>89301192</v>
      </c>
      <c r="D64" s="402" t="s">
        <v>814</v>
      </c>
      <c r="E64" s="403" t="s">
        <v>501</v>
      </c>
      <c r="F64" s="357" t="s">
        <v>494</v>
      </c>
      <c r="G64" s="357" t="s">
        <v>674</v>
      </c>
      <c r="H64" s="357" t="s">
        <v>815</v>
      </c>
      <c r="I64" s="357" t="s">
        <v>678</v>
      </c>
      <c r="J64" s="357" t="s">
        <v>676</v>
      </c>
      <c r="K64" s="357" t="s">
        <v>679</v>
      </c>
      <c r="L64" s="358">
        <v>146.63</v>
      </c>
      <c r="M64" s="358">
        <v>146.63</v>
      </c>
      <c r="N64" s="357">
        <v>1</v>
      </c>
      <c r="O64" s="404">
        <v>0.5</v>
      </c>
      <c r="P64" s="358">
        <v>146.63</v>
      </c>
      <c r="Q64" s="384">
        <v>1</v>
      </c>
      <c r="R64" s="357">
        <v>1</v>
      </c>
      <c r="S64" s="384">
        <v>1</v>
      </c>
      <c r="T64" s="404">
        <v>0.5</v>
      </c>
      <c r="U64" s="385">
        <v>1</v>
      </c>
    </row>
    <row r="65" spans="1:21" ht="14.4" customHeight="1" x14ac:dyDescent="0.3">
      <c r="A65" s="356">
        <v>19</v>
      </c>
      <c r="B65" s="357" t="s">
        <v>360</v>
      </c>
      <c r="C65" s="357">
        <v>89301192</v>
      </c>
      <c r="D65" s="402" t="s">
        <v>814</v>
      </c>
      <c r="E65" s="403" t="s">
        <v>501</v>
      </c>
      <c r="F65" s="357" t="s">
        <v>494</v>
      </c>
      <c r="G65" s="357" t="s">
        <v>587</v>
      </c>
      <c r="H65" s="357" t="s">
        <v>359</v>
      </c>
      <c r="I65" s="357" t="s">
        <v>680</v>
      </c>
      <c r="J65" s="357" t="s">
        <v>589</v>
      </c>
      <c r="K65" s="357" t="s">
        <v>590</v>
      </c>
      <c r="L65" s="358">
        <v>0</v>
      </c>
      <c r="M65" s="358">
        <v>0</v>
      </c>
      <c r="N65" s="357">
        <v>2</v>
      </c>
      <c r="O65" s="404">
        <v>0.5</v>
      </c>
      <c r="P65" s="358"/>
      <c r="Q65" s="384"/>
      <c r="R65" s="357"/>
      <c r="S65" s="384">
        <v>0</v>
      </c>
      <c r="T65" s="404"/>
      <c r="U65" s="385">
        <v>0</v>
      </c>
    </row>
    <row r="66" spans="1:21" ht="14.4" customHeight="1" x14ac:dyDescent="0.3">
      <c r="A66" s="356">
        <v>19</v>
      </c>
      <c r="B66" s="357" t="s">
        <v>360</v>
      </c>
      <c r="C66" s="357">
        <v>89301192</v>
      </c>
      <c r="D66" s="402" t="s">
        <v>814</v>
      </c>
      <c r="E66" s="403" t="s">
        <v>501</v>
      </c>
      <c r="F66" s="357" t="s">
        <v>494</v>
      </c>
      <c r="G66" s="357" t="s">
        <v>681</v>
      </c>
      <c r="H66" s="357" t="s">
        <v>359</v>
      </c>
      <c r="I66" s="357" t="s">
        <v>682</v>
      </c>
      <c r="J66" s="357" t="s">
        <v>683</v>
      </c>
      <c r="K66" s="357" t="s">
        <v>525</v>
      </c>
      <c r="L66" s="358">
        <v>0</v>
      </c>
      <c r="M66" s="358">
        <v>0</v>
      </c>
      <c r="N66" s="357">
        <v>1</v>
      </c>
      <c r="O66" s="404">
        <v>1</v>
      </c>
      <c r="P66" s="358">
        <v>0</v>
      </c>
      <c r="Q66" s="384"/>
      <c r="R66" s="357">
        <v>1</v>
      </c>
      <c r="S66" s="384">
        <v>1</v>
      </c>
      <c r="T66" s="404">
        <v>1</v>
      </c>
      <c r="U66" s="385">
        <v>1</v>
      </c>
    </row>
    <row r="67" spans="1:21" ht="14.4" customHeight="1" x14ac:dyDescent="0.3">
      <c r="A67" s="356">
        <v>19</v>
      </c>
      <c r="B67" s="357" t="s">
        <v>360</v>
      </c>
      <c r="C67" s="357">
        <v>89301192</v>
      </c>
      <c r="D67" s="402" t="s">
        <v>814</v>
      </c>
      <c r="E67" s="403" t="s">
        <v>501</v>
      </c>
      <c r="F67" s="357" t="s">
        <v>494</v>
      </c>
      <c r="G67" s="357" t="s">
        <v>601</v>
      </c>
      <c r="H67" s="357" t="s">
        <v>359</v>
      </c>
      <c r="I67" s="357" t="s">
        <v>602</v>
      </c>
      <c r="J67" s="357" t="s">
        <v>603</v>
      </c>
      <c r="K67" s="357" t="s">
        <v>604</v>
      </c>
      <c r="L67" s="358">
        <v>83.09</v>
      </c>
      <c r="M67" s="358">
        <v>166.18</v>
      </c>
      <c r="N67" s="357">
        <v>2</v>
      </c>
      <c r="O67" s="404">
        <v>1</v>
      </c>
      <c r="P67" s="358">
        <v>166.18</v>
      </c>
      <c r="Q67" s="384">
        <v>1</v>
      </c>
      <c r="R67" s="357">
        <v>2</v>
      </c>
      <c r="S67" s="384">
        <v>1</v>
      </c>
      <c r="T67" s="404">
        <v>1</v>
      </c>
      <c r="U67" s="385">
        <v>1</v>
      </c>
    </row>
    <row r="68" spans="1:21" ht="14.4" customHeight="1" x14ac:dyDescent="0.3">
      <c r="A68" s="356">
        <v>19</v>
      </c>
      <c r="B68" s="357" t="s">
        <v>360</v>
      </c>
      <c r="C68" s="357">
        <v>89301192</v>
      </c>
      <c r="D68" s="402" t="s">
        <v>814</v>
      </c>
      <c r="E68" s="403" t="s">
        <v>501</v>
      </c>
      <c r="F68" s="357" t="s">
        <v>494</v>
      </c>
      <c r="G68" s="357" t="s">
        <v>621</v>
      </c>
      <c r="H68" s="357" t="s">
        <v>359</v>
      </c>
      <c r="I68" s="357" t="s">
        <v>437</v>
      </c>
      <c r="J68" s="357" t="s">
        <v>438</v>
      </c>
      <c r="K68" s="357" t="s">
        <v>533</v>
      </c>
      <c r="L68" s="358">
        <v>31.64</v>
      </c>
      <c r="M68" s="358">
        <v>63.28</v>
      </c>
      <c r="N68" s="357">
        <v>2</v>
      </c>
      <c r="O68" s="404"/>
      <c r="P68" s="358">
        <v>63.28</v>
      </c>
      <c r="Q68" s="384">
        <v>1</v>
      </c>
      <c r="R68" s="357">
        <v>2</v>
      </c>
      <c r="S68" s="384">
        <v>1</v>
      </c>
      <c r="T68" s="404"/>
      <c r="U68" s="385"/>
    </row>
    <row r="69" spans="1:21" ht="14.4" customHeight="1" x14ac:dyDescent="0.3">
      <c r="A69" s="356">
        <v>19</v>
      </c>
      <c r="B69" s="357" t="s">
        <v>360</v>
      </c>
      <c r="C69" s="357">
        <v>89301192</v>
      </c>
      <c r="D69" s="402" t="s">
        <v>814</v>
      </c>
      <c r="E69" s="403" t="s">
        <v>501</v>
      </c>
      <c r="F69" s="357" t="s">
        <v>494</v>
      </c>
      <c r="G69" s="357" t="s">
        <v>684</v>
      </c>
      <c r="H69" s="357" t="s">
        <v>359</v>
      </c>
      <c r="I69" s="357" t="s">
        <v>685</v>
      </c>
      <c r="J69" s="357" t="s">
        <v>686</v>
      </c>
      <c r="K69" s="357" t="s">
        <v>687</v>
      </c>
      <c r="L69" s="358">
        <v>1492.58</v>
      </c>
      <c r="M69" s="358">
        <v>1492.58</v>
      </c>
      <c r="N69" s="357">
        <v>1</v>
      </c>
      <c r="O69" s="404">
        <v>0.5</v>
      </c>
      <c r="P69" s="358">
        <v>1492.58</v>
      </c>
      <c r="Q69" s="384">
        <v>1</v>
      </c>
      <c r="R69" s="357">
        <v>1</v>
      </c>
      <c r="S69" s="384">
        <v>1</v>
      </c>
      <c r="T69" s="404">
        <v>0.5</v>
      </c>
      <c r="U69" s="385">
        <v>1</v>
      </c>
    </row>
    <row r="70" spans="1:21" ht="14.4" customHeight="1" x14ac:dyDescent="0.3">
      <c r="A70" s="356">
        <v>19</v>
      </c>
      <c r="B70" s="357" t="s">
        <v>360</v>
      </c>
      <c r="C70" s="357">
        <v>89301192</v>
      </c>
      <c r="D70" s="402" t="s">
        <v>814</v>
      </c>
      <c r="E70" s="403" t="s">
        <v>501</v>
      </c>
      <c r="F70" s="357" t="s">
        <v>494</v>
      </c>
      <c r="G70" s="357" t="s">
        <v>684</v>
      </c>
      <c r="H70" s="357" t="s">
        <v>359</v>
      </c>
      <c r="I70" s="357" t="s">
        <v>688</v>
      </c>
      <c r="J70" s="357" t="s">
        <v>689</v>
      </c>
      <c r="K70" s="357" t="s">
        <v>687</v>
      </c>
      <c r="L70" s="358">
        <v>1492.58</v>
      </c>
      <c r="M70" s="358">
        <v>1492.58</v>
      </c>
      <c r="N70" s="357">
        <v>1</v>
      </c>
      <c r="O70" s="404">
        <v>0.5</v>
      </c>
      <c r="P70" s="358">
        <v>1492.58</v>
      </c>
      <c r="Q70" s="384">
        <v>1</v>
      </c>
      <c r="R70" s="357">
        <v>1</v>
      </c>
      <c r="S70" s="384">
        <v>1</v>
      </c>
      <c r="T70" s="404">
        <v>0.5</v>
      </c>
      <c r="U70" s="385">
        <v>1</v>
      </c>
    </row>
    <row r="71" spans="1:21" ht="14.4" customHeight="1" x14ac:dyDescent="0.3">
      <c r="A71" s="356">
        <v>19</v>
      </c>
      <c r="B71" s="357" t="s">
        <v>360</v>
      </c>
      <c r="C71" s="357">
        <v>89301192</v>
      </c>
      <c r="D71" s="402" t="s">
        <v>814</v>
      </c>
      <c r="E71" s="403" t="s">
        <v>501</v>
      </c>
      <c r="F71" s="357" t="s">
        <v>494</v>
      </c>
      <c r="G71" s="357" t="s">
        <v>690</v>
      </c>
      <c r="H71" s="357" t="s">
        <v>359</v>
      </c>
      <c r="I71" s="357" t="s">
        <v>691</v>
      </c>
      <c r="J71" s="357" t="s">
        <v>692</v>
      </c>
      <c r="K71" s="357" t="s">
        <v>693</v>
      </c>
      <c r="L71" s="358">
        <v>38.65</v>
      </c>
      <c r="M71" s="358">
        <v>77.3</v>
      </c>
      <c r="N71" s="357">
        <v>2</v>
      </c>
      <c r="O71" s="404">
        <v>1</v>
      </c>
      <c r="P71" s="358">
        <v>77.3</v>
      </c>
      <c r="Q71" s="384">
        <v>1</v>
      </c>
      <c r="R71" s="357">
        <v>2</v>
      </c>
      <c r="S71" s="384">
        <v>1</v>
      </c>
      <c r="T71" s="404">
        <v>1</v>
      </c>
      <c r="U71" s="385">
        <v>1</v>
      </c>
    </row>
    <row r="72" spans="1:21" ht="14.4" customHeight="1" x14ac:dyDescent="0.3">
      <c r="A72" s="356">
        <v>19</v>
      </c>
      <c r="B72" s="357" t="s">
        <v>360</v>
      </c>
      <c r="C72" s="357">
        <v>89301192</v>
      </c>
      <c r="D72" s="402" t="s">
        <v>814</v>
      </c>
      <c r="E72" s="403" t="s">
        <v>501</v>
      </c>
      <c r="F72" s="357" t="s">
        <v>494</v>
      </c>
      <c r="G72" s="357" t="s">
        <v>694</v>
      </c>
      <c r="H72" s="357" t="s">
        <v>815</v>
      </c>
      <c r="I72" s="357" t="s">
        <v>695</v>
      </c>
      <c r="J72" s="357" t="s">
        <v>696</v>
      </c>
      <c r="K72" s="357" t="s">
        <v>697</v>
      </c>
      <c r="L72" s="358">
        <v>50.57</v>
      </c>
      <c r="M72" s="358">
        <v>50.57</v>
      </c>
      <c r="N72" s="357">
        <v>1</v>
      </c>
      <c r="O72" s="404">
        <v>1</v>
      </c>
      <c r="P72" s="358">
        <v>50.57</v>
      </c>
      <c r="Q72" s="384">
        <v>1</v>
      </c>
      <c r="R72" s="357">
        <v>1</v>
      </c>
      <c r="S72" s="384">
        <v>1</v>
      </c>
      <c r="T72" s="404">
        <v>1</v>
      </c>
      <c r="U72" s="385">
        <v>1</v>
      </c>
    </row>
    <row r="73" spans="1:21" ht="14.4" customHeight="1" x14ac:dyDescent="0.3">
      <c r="A73" s="356">
        <v>19</v>
      </c>
      <c r="B73" s="357" t="s">
        <v>360</v>
      </c>
      <c r="C73" s="357">
        <v>89301192</v>
      </c>
      <c r="D73" s="402" t="s">
        <v>814</v>
      </c>
      <c r="E73" s="403" t="s">
        <v>501</v>
      </c>
      <c r="F73" s="357" t="s">
        <v>494</v>
      </c>
      <c r="G73" s="357" t="s">
        <v>698</v>
      </c>
      <c r="H73" s="357" t="s">
        <v>359</v>
      </c>
      <c r="I73" s="357" t="s">
        <v>699</v>
      </c>
      <c r="J73" s="357" t="s">
        <v>700</v>
      </c>
      <c r="K73" s="357" t="s">
        <v>701</v>
      </c>
      <c r="L73" s="358">
        <v>0</v>
      </c>
      <c r="M73" s="358">
        <v>0</v>
      </c>
      <c r="N73" s="357">
        <v>1</v>
      </c>
      <c r="O73" s="404">
        <v>0.5</v>
      </c>
      <c r="P73" s="358">
        <v>0</v>
      </c>
      <c r="Q73" s="384"/>
      <c r="R73" s="357">
        <v>1</v>
      </c>
      <c r="S73" s="384">
        <v>1</v>
      </c>
      <c r="T73" s="404">
        <v>0.5</v>
      </c>
      <c r="U73" s="385">
        <v>1</v>
      </c>
    </row>
    <row r="74" spans="1:21" ht="14.4" customHeight="1" x14ac:dyDescent="0.3">
      <c r="A74" s="356">
        <v>19</v>
      </c>
      <c r="B74" s="357" t="s">
        <v>360</v>
      </c>
      <c r="C74" s="357">
        <v>89301192</v>
      </c>
      <c r="D74" s="402" t="s">
        <v>814</v>
      </c>
      <c r="E74" s="403" t="s">
        <v>501</v>
      </c>
      <c r="F74" s="357" t="s">
        <v>494</v>
      </c>
      <c r="G74" s="357" t="s">
        <v>698</v>
      </c>
      <c r="H74" s="357" t="s">
        <v>359</v>
      </c>
      <c r="I74" s="357" t="s">
        <v>702</v>
      </c>
      <c r="J74" s="357" t="s">
        <v>700</v>
      </c>
      <c r="K74" s="357" t="s">
        <v>703</v>
      </c>
      <c r="L74" s="358">
        <v>96.63</v>
      </c>
      <c r="M74" s="358">
        <v>193.26</v>
      </c>
      <c r="N74" s="357">
        <v>2</v>
      </c>
      <c r="O74" s="404">
        <v>1</v>
      </c>
      <c r="P74" s="358"/>
      <c r="Q74" s="384">
        <v>0</v>
      </c>
      <c r="R74" s="357"/>
      <c r="S74" s="384">
        <v>0</v>
      </c>
      <c r="T74" s="404"/>
      <c r="U74" s="385">
        <v>0</v>
      </c>
    </row>
    <row r="75" spans="1:21" ht="14.4" customHeight="1" x14ac:dyDescent="0.3">
      <c r="A75" s="356">
        <v>19</v>
      </c>
      <c r="B75" s="357" t="s">
        <v>360</v>
      </c>
      <c r="C75" s="357">
        <v>89301192</v>
      </c>
      <c r="D75" s="402" t="s">
        <v>814</v>
      </c>
      <c r="E75" s="403" t="s">
        <v>501</v>
      </c>
      <c r="F75" s="357" t="s">
        <v>494</v>
      </c>
      <c r="G75" s="357" t="s">
        <v>704</v>
      </c>
      <c r="H75" s="357" t="s">
        <v>359</v>
      </c>
      <c r="I75" s="357" t="s">
        <v>705</v>
      </c>
      <c r="J75" s="357" t="s">
        <v>706</v>
      </c>
      <c r="K75" s="357" t="s">
        <v>707</v>
      </c>
      <c r="L75" s="358">
        <v>126.54</v>
      </c>
      <c r="M75" s="358">
        <v>759.24</v>
      </c>
      <c r="N75" s="357">
        <v>6</v>
      </c>
      <c r="O75" s="404">
        <v>2</v>
      </c>
      <c r="P75" s="358">
        <v>759.24</v>
      </c>
      <c r="Q75" s="384">
        <v>1</v>
      </c>
      <c r="R75" s="357">
        <v>6</v>
      </c>
      <c r="S75" s="384">
        <v>1</v>
      </c>
      <c r="T75" s="404">
        <v>2</v>
      </c>
      <c r="U75" s="385">
        <v>1</v>
      </c>
    </row>
    <row r="76" spans="1:21" ht="14.4" customHeight="1" x14ac:dyDescent="0.3">
      <c r="A76" s="356">
        <v>19</v>
      </c>
      <c r="B76" s="357" t="s">
        <v>360</v>
      </c>
      <c r="C76" s="357">
        <v>89301192</v>
      </c>
      <c r="D76" s="402" t="s">
        <v>814</v>
      </c>
      <c r="E76" s="403" t="s">
        <v>501</v>
      </c>
      <c r="F76" s="357" t="s">
        <v>494</v>
      </c>
      <c r="G76" s="357" t="s">
        <v>708</v>
      </c>
      <c r="H76" s="357" t="s">
        <v>359</v>
      </c>
      <c r="I76" s="357" t="s">
        <v>709</v>
      </c>
      <c r="J76" s="357" t="s">
        <v>710</v>
      </c>
      <c r="K76" s="357" t="s">
        <v>711</v>
      </c>
      <c r="L76" s="358">
        <v>0</v>
      </c>
      <c r="M76" s="358">
        <v>0</v>
      </c>
      <c r="N76" s="357">
        <v>1</v>
      </c>
      <c r="O76" s="404">
        <v>0.5</v>
      </c>
      <c r="P76" s="358">
        <v>0</v>
      </c>
      <c r="Q76" s="384"/>
      <c r="R76" s="357">
        <v>1</v>
      </c>
      <c r="S76" s="384">
        <v>1</v>
      </c>
      <c r="T76" s="404">
        <v>0.5</v>
      </c>
      <c r="U76" s="385">
        <v>1</v>
      </c>
    </row>
    <row r="77" spans="1:21" ht="14.4" customHeight="1" x14ac:dyDescent="0.3">
      <c r="A77" s="356">
        <v>19</v>
      </c>
      <c r="B77" s="357" t="s">
        <v>360</v>
      </c>
      <c r="C77" s="357">
        <v>89301192</v>
      </c>
      <c r="D77" s="402" t="s">
        <v>814</v>
      </c>
      <c r="E77" s="403" t="s">
        <v>501</v>
      </c>
      <c r="F77" s="357" t="s">
        <v>494</v>
      </c>
      <c r="G77" s="357" t="s">
        <v>670</v>
      </c>
      <c r="H77" s="357" t="s">
        <v>359</v>
      </c>
      <c r="I77" s="357" t="s">
        <v>712</v>
      </c>
      <c r="J77" s="357" t="s">
        <v>713</v>
      </c>
      <c r="K77" s="357" t="s">
        <v>673</v>
      </c>
      <c r="L77" s="358">
        <v>0</v>
      </c>
      <c r="M77" s="358">
        <v>0</v>
      </c>
      <c r="N77" s="357">
        <v>2</v>
      </c>
      <c r="O77" s="404">
        <v>0.5</v>
      </c>
      <c r="P77" s="358"/>
      <c r="Q77" s="384"/>
      <c r="R77" s="357"/>
      <c r="S77" s="384">
        <v>0</v>
      </c>
      <c r="T77" s="404"/>
      <c r="U77" s="385">
        <v>0</v>
      </c>
    </row>
    <row r="78" spans="1:21" ht="14.4" customHeight="1" x14ac:dyDescent="0.3">
      <c r="A78" s="356">
        <v>19</v>
      </c>
      <c r="B78" s="357" t="s">
        <v>360</v>
      </c>
      <c r="C78" s="357">
        <v>89301192</v>
      </c>
      <c r="D78" s="402" t="s">
        <v>814</v>
      </c>
      <c r="E78" s="403" t="s">
        <v>501</v>
      </c>
      <c r="F78" s="357" t="s">
        <v>494</v>
      </c>
      <c r="G78" s="357" t="s">
        <v>670</v>
      </c>
      <c r="H78" s="357" t="s">
        <v>359</v>
      </c>
      <c r="I78" s="357" t="s">
        <v>714</v>
      </c>
      <c r="J78" s="357" t="s">
        <v>715</v>
      </c>
      <c r="K78" s="357" t="s">
        <v>716</v>
      </c>
      <c r="L78" s="358">
        <v>0</v>
      </c>
      <c r="M78" s="358">
        <v>0</v>
      </c>
      <c r="N78" s="357">
        <v>1</v>
      </c>
      <c r="O78" s="404">
        <v>1</v>
      </c>
      <c r="P78" s="358"/>
      <c r="Q78" s="384"/>
      <c r="R78" s="357"/>
      <c r="S78" s="384">
        <v>0</v>
      </c>
      <c r="T78" s="404"/>
      <c r="U78" s="385">
        <v>0</v>
      </c>
    </row>
    <row r="79" spans="1:21" ht="14.4" customHeight="1" x14ac:dyDescent="0.3">
      <c r="A79" s="356">
        <v>19</v>
      </c>
      <c r="B79" s="357" t="s">
        <v>360</v>
      </c>
      <c r="C79" s="357">
        <v>89301192</v>
      </c>
      <c r="D79" s="402" t="s">
        <v>814</v>
      </c>
      <c r="E79" s="403" t="s">
        <v>502</v>
      </c>
      <c r="F79" s="357" t="s">
        <v>494</v>
      </c>
      <c r="G79" s="357" t="s">
        <v>594</v>
      </c>
      <c r="H79" s="357" t="s">
        <v>359</v>
      </c>
      <c r="I79" s="357" t="s">
        <v>717</v>
      </c>
      <c r="J79" s="357" t="s">
        <v>599</v>
      </c>
      <c r="K79" s="357" t="s">
        <v>718</v>
      </c>
      <c r="L79" s="358">
        <v>0</v>
      </c>
      <c r="M79" s="358">
        <v>0</v>
      </c>
      <c r="N79" s="357">
        <v>1</v>
      </c>
      <c r="O79" s="404">
        <v>0.5</v>
      </c>
      <c r="P79" s="358">
        <v>0</v>
      </c>
      <c r="Q79" s="384"/>
      <c r="R79" s="357">
        <v>1</v>
      </c>
      <c r="S79" s="384">
        <v>1</v>
      </c>
      <c r="T79" s="404">
        <v>0.5</v>
      </c>
      <c r="U79" s="385">
        <v>1</v>
      </c>
    </row>
    <row r="80" spans="1:21" ht="14.4" customHeight="1" x14ac:dyDescent="0.3">
      <c r="A80" s="356">
        <v>19</v>
      </c>
      <c r="B80" s="357" t="s">
        <v>360</v>
      </c>
      <c r="C80" s="357">
        <v>89301192</v>
      </c>
      <c r="D80" s="402" t="s">
        <v>814</v>
      </c>
      <c r="E80" s="403" t="s">
        <v>502</v>
      </c>
      <c r="F80" s="357" t="s">
        <v>494</v>
      </c>
      <c r="G80" s="357" t="s">
        <v>594</v>
      </c>
      <c r="H80" s="357" t="s">
        <v>359</v>
      </c>
      <c r="I80" s="357" t="s">
        <v>719</v>
      </c>
      <c r="J80" s="357" t="s">
        <v>599</v>
      </c>
      <c r="K80" s="357" t="s">
        <v>720</v>
      </c>
      <c r="L80" s="358">
        <v>188.41</v>
      </c>
      <c r="M80" s="358">
        <v>753.64</v>
      </c>
      <c r="N80" s="357">
        <v>4</v>
      </c>
      <c r="O80" s="404">
        <v>1.5</v>
      </c>
      <c r="P80" s="358">
        <v>188.41</v>
      </c>
      <c r="Q80" s="384">
        <v>0.25</v>
      </c>
      <c r="R80" s="357">
        <v>1</v>
      </c>
      <c r="S80" s="384">
        <v>0.25</v>
      </c>
      <c r="T80" s="404">
        <v>0.5</v>
      </c>
      <c r="U80" s="385">
        <v>0.33333333333333331</v>
      </c>
    </row>
    <row r="81" spans="1:21" ht="14.4" customHeight="1" x14ac:dyDescent="0.3">
      <c r="A81" s="356">
        <v>19</v>
      </c>
      <c r="B81" s="357" t="s">
        <v>360</v>
      </c>
      <c r="C81" s="357">
        <v>89301192</v>
      </c>
      <c r="D81" s="402" t="s">
        <v>814</v>
      </c>
      <c r="E81" s="403" t="s">
        <v>502</v>
      </c>
      <c r="F81" s="357" t="s">
        <v>494</v>
      </c>
      <c r="G81" s="357" t="s">
        <v>594</v>
      </c>
      <c r="H81" s="357" t="s">
        <v>359</v>
      </c>
      <c r="I81" s="357" t="s">
        <v>721</v>
      </c>
      <c r="J81" s="357" t="s">
        <v>599</v>
      </c>
      <c r="K81" s="357" t="s">
        <v>722</v>
      </c>
      <c r="L81" s="358">
        <v>376.81</v>
      </c>
      <c r="M81" s="358">
        <v>753.62</v>
      </c>
      <c r="N81" s="357">
        <v>2</v>
      </c>
      <c r="O81" s="404">
        <v>0.5</v>
      </c>
      <c r="P81" s="358"/>
      <c r="Q81" s="384">
        <v>0</v>
      </c>
      <c r="R81" s="357"/>
      <c r="S81" s="384">
        <v>0</v>
      </c>
      <c r="T81" s="404"/>
      <c r="U81" s="385">
        <v>0</v>
      </c>
    </row>
    <row r="82" spans="1:21" ht="14.4" customHeight="1" x14ac:dyDescent="0.3">
      <c r="A82" s="356">
        <v>19</v>
      </c>
      <c r="B82" s="357" t="s">
        <v>360</v>
      </c>
      <c r="C82" s="357">
        <v>89301192</v>
      </c>
      <c r="D82" s="402" t="s">
        <v>814</v>
      </c>
      <c r="E82" s="403" t="s">
        <v>502</v>
      </c>
      <c r="F82" s="357" t="s">
        <v>494</v>
      </c>
      <c r="G82" s="357" t="s">
        <v>526</v>
      </c>
      <c r="H82" s="357" t="s">
        <v>359</v>
      </c>
      <c r="I82" s="357" t="s">
        <v>385</v>
      </c>
      <c r="J82" s="357" t="s">
        <v>529</v>
      </c>
      <c r="K82" s="357" t="s">
        <v>528</v>
      </c>
      <c r="L82" s="358">
        <v>41.83</v>
      </c>
      <c r="M82" s="358">
        <v>1338.5599999999997</v>
      </c>
      <c r="N82" s="357">
        <v>32</v>
      </c>
      <c r="O82" s="404">
        <v>16</v>
      </c>
      <c r="P82" s="358">
        <v>752.93999999999983</v>
      </c>
      <c r="Q82" s="384">
        <v>0.5625</v>
      </c>
      <c r="R82" s="357">
        <v>18</v>
      </c>
      <c r="S82" s="384">
        <v>0.5625</v>
      </c>
      <c r="T82" s="404">
        <v>9</v>
      </c>
      <c r="U82" s="385">
        <v>0.5625</v>
      </c>
    </row>
    <row r="83" spans="1:21" ht="14.4" customHeight="1" x14ac:dyDescent="0.3">
      <c r="A83" s="356">
        <v>19</v>
      </c>
      <c r="B83" s="357" t="s">
        <v>360</v>
      </c>
      <c r="C83" s="357">
        <v>89301192</v>
      </c>
      <c r="D83" s="402" t="s">
        <v>814</v>
      </c>
      <c r="E83" s="403" t="s">
        <v>502</v>
      </c>
      <c r="F83" s="357" t="s">
        <v>494</v>
      </c>
      <c r="G83" s="357" t="s">
        <v>526</v>
      </c>
      <c r="H83" s="357" t="s">
        <v>359</v>
      </c>
      <c r="I83" s="357" t="s">
        <v>625</v>
      </c>
      <c r="J83" s="357" t="s">
        <v>626</v>
      </c>
      <c r="K83" s="357" t="s">
        <v>627</v>
      </c>
      <c r="L83" s="358">
        <v>49.76</v>
      </c>
      <c r="M83" s="358">
        <v>99.52</v>
      </c>
      <c r="N83" s="357">
        <v>2</v>
      </c>
      <c r="O83" s="404">
        <v>1</v>
      </c>
      <c r="P83" s="358">
        <v>99.52</v>
      </c>
      <c r="Q83" s="384">
        <v>1</v>
      </c>
      <c r="R83" s="357">
        <v>2</v>
      </c>
      <c r="S83" s="384">
        <v>1</v>
      </c>
      <c r="T83" s="404">
        <v>1</v>
      </c>
      <c r="U83" s="385">
        <v>1</v>
      </c>
    </row>
    <row r="84" spans="1:21" ht="14.4" customHeight="1" x14ac:dyDescent="0.3">
      <c r="A84" s="356">
        <v>19</v>
      </c>
      <c r="B84" s="357" t="s">
        <v>360</v>
      </c>
      <c r="C84" s="357">
        <v>89301192</v>
      </c>
      <c r="D84" s="402" t="s">
        <v>814</v>
      </c>
      <c r="E84" s="403" t="s">
        <v>502</v>
      </c>
      <c r="F84" s="357" t="s">
        <v>494</v>
      </c>
      <c r="G84" s="357" t="s">
        <v>723</v>
      </c>
      <c r="H84" s="357" t="s">
        <v>815</v>
      </c>
      <c r="I84" s="357" t="s">
        <v>724</v>
      </c>
      <c r="J84" s="357" t="s">
        <v>725</v>
      </c>
      <c r="K84" s="357" t="s">
        <v>726</v>
      </c>
      <c r="L84" s="358">
        <v>38.130000000000003</v>
      </c>
      <c r="M84" s="358">
        <v>114.39000000000001</v>
      </c>
      <c r="N84" s="357">
        <v>3</v>
      </c>
      <c r="O84" s="404">
        <v>0.5</v>
      </c>
      <c r="P84" s="358"/>
      <c r="Q84" s="384">
        <v>0</v>
      </c>
      <c r="R84" s="357"/>
      <c r="S84" s="384">
        <v>0</v>
      </c>
      <c r="T84" s="404"/>
      <c r="U84" s="385">
        <v>0</v>
      </c>
    </row>
    <row r="85" spans="1:21" ht="14.4" customHeight="1" x14ac:dyDescent="0.3">
      <c r="A85" s="356">
        <v>19</v>
      </c>
      <c r="B85" s="357" t="s">
        <v>360</v>
      </c>
      <c r="C85" s="357">
        <v>89301192</v>
      </c>
      <c r="D85" s="402" t="s">
        <v>814</v>
      </c>
      <c r="E85" s="403" t="s">
        <v>502</v>
      </c>
      <c r="F85" s="357" t="s">
        <v>494</v>
      </c>
      <c r="G85" s="357" t="s">
        <v>638</v>
      </c>
      <c r="H85" s="357" t="s">
        <v>359</v>
      </c>
      <c r="I85" s="357" t="s">
        <v>727</v>
      </c>
      <c r="J85" s="357" t="s">
        <v>728</v>
      </c>
      <c r="K85" s="357" t="s">
        <v>647</v>
      </c>
      <c r="L85" s="358">
        <v>200.07</v>
      </c>
      <c r="M85" s="358">
        <v>200.07</v>
      </c>
      <c r="N85" s="357">
        <v>1</v>
      </c>
      <c r="O85" s="404">
        <v>0.5</v>
      </c>
      <c r="P85" s="358"/>
      <c r="Q85" s="384">
        <v>0</v>
      </c>
      <c r="R85" s="357"/>
      <c r="S85" s="384">
        <v>0</v>
      </c>
      <c r="T85" s="404"/>
      <c r="U85" s="385">
        <v>0</v>
      </c>
    </row>
    <row r="86" spans="1:21" ht="14.4" customHeight="1" x14ac:dyDescent="0.3">
      <c r="A86" s="356">
        <v>19</v>
      </c>
      <c r="B86" s="357" t="s">
        <v>360</v>
      </c>
      <c r="C86" s="357">
        <v>89301192</v>
      </c>
      <c r="D86" s="402" t="s">
        <v>814</v>
      </c>
      <c r="E86" s="403" t="s">
        <v>502</v>
      </c>
      <c r="F86" s="357" t="s">
        <v>494</v>
      </c>
      <c r="G86" s="357" t="s">
        <v>638</v>
      </c>
      <c r="H86" s="357" t="s">
        <v>359</v>
      </c>
      <c r="I86" s="357" t="s">
        <v>729</v>
      </c>
      <c r="J86" s="357" t="s">
        <v>728</v>
      </c>
      <c r="K86" s="357" t="s">
        <v>730</v>
      </c>
      <c r="L86" s="358">
        <v>60.02</v>
      </c>
      <c r="M86" s="358">
        <v>180.06</v>
      </c>
      <c r="N86" s="357">
        <v>3</v>
      </c>
      <c r="O86" s="404">
        <v>0.5</v>
      </c>
      <c r="P86" s="358"/>
      <c r="Q86" s="384">
        <v>0</v>
      </c>
      <c r="R86" s="357"/>
      <c r="S86" s="384">
        <v>0</v>
      </c>
      <c r="T86" s="404"/>
      <c r="U86" s="385">
        <v>0</v>
      </c>
    </row>
    <row r="87" spans="1:21" ht="14.4" customHeight="1" x14ac:dyDescent="0.3">
      <c r="A87" s="356">
        <v>19</v>
      </c>
      <c r="B87" s="357" t="s">
        <v>360</v>
      </c>
      <c r="C87" s="357">
        <v>89301192</v>
      </c>
      <c r="D87" s="402" t="s">
        <v>814</v>
      </c>
      <c r="E87" s="403" t="s">
        <v>502</v>
      </c>
      <c r="F87" s="357" t="s">
        <v>494</v>
      </c>
      <c r="G87" s="357" t="s">
        <v>731</v>
      </c>
      <c r="H87" s="357" t="s">
        <v>359</v>
      </c>
      <c r="I87" s="357" t="s">
        <v>732</v>
      </c>
      <c r="J87" s="357" t="s">
        <v>733</v>
      </c>
      <c r="K87" s="357" t="s">
        <v>734</v>
      </c>
      <c r="L87" s="358">
        <v>0</v>
      </c>
      <c r="M87" s="358">
        <v>0</v>
      </c>
      <c r="N87" s="357">
        <v>1</v>
      </c>
      <c r="O87" s="404">
        <v>1</v>
      </c>
      <c r="P87" s="358"/>
      <c r="Q87" s="384"/>
      <c r="R87" s="357"/>
      <c r="S87" s="384">
        <v>0</v>
      </c>
      <c r="T87" s="404"/>
      <c r="U87" s="385">
        <v>0</v>
      </c>
    </row>
    <row r="88" spans="1:21" ht="14.4" customHeight="1" x14ac:dyDescent="0.3">
      <c r="A88" s="356">
        <v>19</v>
      </c>
      <c r="B88" s="357" t="s">
        <v>360</v>
      </c>
      <c r="C88" s="357">
        <v>89301192</v>
      </c>
      <c r="D88" s="402" t="s">
        <v>814</v>
      </c>
      <c r="E88" s="403" t="s">
        <v>502</v>
      </c>
      <c r="F88" s="357" t="s">
        <v>494</v>
      </c>
      <c r="G88" s="357" t="s">
        <v>538</v>
      </c>
      <c r="H88" s="357" t="s">
        <v>359</v>
      </c>
      <c r="I88" s="357" t="s">
        <v>539</v>
      </c>
      <c r="J88" s="357" t="s">
        <v>540</v>
      </c>
      <c r="K88" s="357" t="s">
        <v>541</v>
      </c>
      <c r="L88" s="358">
        <v>0</v>
      </c>
      <c r="M88" s="358">
        <v>0</v>
      </c>
      <c r="N88" s="357">
        <v>6</v>
      </c>
      <c r="O88" s="404">
        <v>3</v>
      </c>
      <c r="P88" s="358">
        <v>0</v>
      </c>
      <c r="Q88" s="384"/>
      <c r="R88" s="357">
        <v>6</v>
      </c>
      <c r="S88" s="384">
        <v>1</v>
      </c>
      <c r="T88" s="404">
        <v>3</v>
      </c>
      <c r="U88" s="385">
        <v>1</v>
      </c>
    </row>
    <row r="89" spans="1:21" ht="14.4" customHeight="1" x14ac:dyDescent="0.3">
      <c r="A89" s="356">
        <v>19</v>
      </c>
      <c r="B89" s="357" t="s">
        <v>360</v>
      </c>
      <c r="C89" s="357">
        <v>89301192</v>
      </c>
      <c r="D89" s="402" t="s">
        <v>814</v>
      </c>
      <c r="E89" s="403" t="s">
        <v>502</v>
      </c>
      <c r="F89" s="357" t="s">
        <v>494</v>
      </c>
      <c r="G89" s="357" t="s">
        <v>538</v>
      </c>
      <c r="H89" s="357" t="s">
        <v>359</v>
      </c>
      <c r="I89" s="357" t="s">
        <v>542</v>
      </c>
      <c r="J89" s="357" t="s">
        <v>540</v>
      </c>
      <c r="K89" s="357" t="s">
        <v>541</v>
      </c>
      <c r="L89" s="358">
        <v>0</v>
      </c>
      <c r="M89" s="358">
        <v>0</v>
      </c>
      <c r="N89" s="357">
        <v>4</v>
      </c>
      <c r="O89" s="404">
        <v>2</v>
      </c>
      <c r="P89" s="358">
        <v>0</v>
      </c>
      <c r="Q89" s="384"/>
      <c r="R89" s="357">
        <v>4</v>
      </c>
      <c r="S89" s="384">
        <v>1</v>
      </c>
      <c r="T89" s="404">
        <v>2</v>
      </c>
      <c r="U89" s="385">
        <v>1</v>
      </c>
    </row>
    <row r="90" spans="1:21" ht="14.4" customHeight="1" x14ac:dyDescent="0.3">
      <c r="A90" s="356">
        <v>19</v>
      </c>
      <c r="B90" s="357" t="s">
        <v>360</v>
      </c>
      <c r="C90" s="357">
        <v>89301192</v>
      </c>
      <c r="D90" s="402" t="s">
        <v>814</v>
      </c>
      <c r="E90" s="403" t="s">
        <v>502</v>
      </c>
      <c r="F90" s="357" t="s">
        <v>494</v>
      </c>
      <c r="G90" s="357" t="s">
        <v>543</v>
      </c>
      <c r="H90" s="357" t="s">
        <v>359</v>
      </c>
      <c r="I90" s="357" t="s">
        <v>544</v>
      </c>
      <c r="J90" s="357" t="s">
        <v>545</v>
      </c>
      <c r="K90" s="357" t="s">
        <v>546</v>
      </c>
      <c r="L90" s="358">
        <v>56.69</v>
      </c>
      <c r="M90" s="358">
        <v>56.69</v>
      </c>
      <c r="N90" s="357">
        <v>1</v>
      </c>
      <c r="O90" s="404">
        <v>1</v>
      </c>
      <c r="P90" s="358"/>
      <c r="Q90" s="384">
        <v>0</v>
      </c>
      <c r="R90" s="357"/>
      <c r="S90" s="384">
        <v>0</v>
      </c>
      <c r="T90" s="404"/>
      <c r="U90" s="385">
        <v>0</v>
      </c>
    </row>
    <row r="91" spans="1:21" ht="14.4" customHeight="1" x14ac:dyDescent="0.3">
      <c r="A91" s="356">
        <v>19</v>
      </c>
      <c r="B91" s="357" t="s">
        <v>360</v>
      </c>
      <c r="C91" s="357">
        <v>89301192</v>
      </c>
      <c r="D91" s="402" t="s">
        <v>814</v>
      </c>
      <c r="E91" s="403" t="s">
        <v>502</v>
      </c>
      <c r="F91" s="357" t="s">
        <v>494</v>
      </c>
      <c r="G91" s="357" t="s">
        <v>656</v>
      </c>
      <c r="H91" s="357" t="s">
        <v>815</v>
      </c>
      <c r="I91" s="357" t="s">
        <v>660</v>
      </c>
      <c r="J91" s="357" t="s">
        <v>661</v>
      </c>
      <c r="K91" s="357" t="s">
        <v>662</v>
      </c>
      <c r="L91" s="358">
        <v>42.08</v>
      </c>
      <c r="M91" s="358">
        <v>168.32</v>
      </c>
      <c r="N91" s="357">
        <v>4</v>
      </c>
      <c r="O91" s="404">
        <v>1.5</v>
      </c>
      <c r="P91" s="358">
        <v>168.32</v>
      </c>
      <c r="Q91" s="384">
        <v>1</v>
      </c>
      <c r="R91" s="357">
        <v>4</v>
      </c>
      <c r="S91" s="384">
        <v>1</v>
      </c>
      <c r="T91" s="404">
        <v>1.5</v>
      </c>
      <c r="U91" s="385">
        <v>1</v>
      </c>
    </row>
    <row r="92" spans="1:21" ht="14.4" customHeight="1" x14ac:dyDescent="0.3">
      <c r="A92" s="356">
        <v>19</v>
      </c>
      <c r="B92" s="357" t="s">
        <v>360</v>
      </c>
      <c r="C92" s="357">
        <v>89301192</v>
      </c>
      <c r="D92" s="402" t="s">
        <v>814</v>
      </c>
      <c r="E92" s="403" t="s">
        <v>502</v>
      </c>
      <c r="F92" s="357" t="s">
        <v>494</v>
      </c>
      <c r="G92" s="357" t="s">
        <v>735</v>
      </c>
      <c r="H92" s="357" t="s">
        <v>359</v>
      </c>
      <c r="I92" s="357" t="s">
        <v>736</v>
      </c>
      <c r="J92" s="357" t="s">
        <v>737</v>
      </c>
      <c r="K92" s="357" t="s">
        <v>707</v>
      </c>
      <c r="L92" s="358">
        <v>129.94999999999999</v>
      </c>
      <c r="M92" s="358">
        <v>1169.55</v>
      </c>
      <c r="N92" s="357">
        <v>9</v>
      </c>
      <c r="O92" s="404">
        <v>2</v>
      </c>
      <c r="P92" s="358"/>
      <c r="Q92" s="384">
        <v>0</v>
      </c>
      <c r="R92" s="357"/>
      <c r="S92" s="384">
        <v>0</v>
      </c>
      <c r="T92" s="404"/>
      <c r="U92" s="385">
        <v>0</v>
      </c>
    </row>
    <row r="93" spans="1:21" ht="14.4" customHeight="1" x14ac:dyDescent="0.3">
      <c r="A93" s="356">
        <v>19</v>
      </c>
      <c r="B93" s="357" t="s">
        <v>360</v>
      </c>
      <c r="C93" s="357">
        <v>89301192</v>
      </c>
      <c r="D93" s="402" t="s">
        <v>814</v>
      </c>
      <c r="E93" s="403" t="s">
        <v>502</v>
      </c>
      <c r="F93" s="357" t="s">
        <v>494</v>
      </c>
      <c r="G93" s="357" t="s">
        <v>738</v>
      </c>
      <c r="H93" s="357" t="s">
        <v>359</v>
      </c>
      <c r="I93" s="357" t="s">
        <v>739</v>
      </c>
      <c r="J93" s="357" t="s">
        <v>740</v>
      </c>
      <c r="K93" s="357" t="s">
        <v>741</v>
      </c>
      <c r="L93" s="358">
        <v>85.49</v>
      </c>
      <c r="M93" s="358">
        <v>85.49</v>
      </c>
      <c r="N93" s="357">
        <v>1</v>
      </c>
      <c r="O93" s="404">
        <v>0.5</v>
      </c>
      <c r="P93" s="358">
        <v>85.49</v>
      </c>
      <c r="Q93" s="384">
        <v>1</v>
      </c>
      <c r="R93" s="357">
        <v>1</v>
      </c>
      <c r="S93" s="384">
        <v>1</v>
      </c>
      <c r="T93" s="404">
        <v>0.5</v>
      </c>
      <c r="U93" s="385">
        <v>1</v>
      </c>
    </row>
    <row r="94" spans="1:21" ht="14.4" customHeight="1" x14ac:dyDescent="0.3">
      <c r="A94" s="356">
        <v>19</v>
      </c>
      <c r="B94" s="357" t="s">
        <v>360</v>
      </c>
      <c r="C94" s="357">
        <v>89301192</v>
      </c>
      <c r="D94" s="402" t="s">
        <v>814</v>
      </c>
      <c r="E94" s="403" t="s">
        <v>503</v>
      </c>
      <c r="F94" s="357" t="s">
        <v>494</v>
      </c>
      <c r="G94" s="357" t="s">
        <v>742</v>
      </c>
      <c r="H94" s="357" t="s">
        <v>359</v>
      </c>
      <c r="I94" s="357" t="s">
        <v>743</v>
      </c>
      <c r="J94" s="357" t="s">
        <v>744</v>
      </c>
      <c r="K94" s="357" t="s">
        <v>745</v>
      </c>
      <c r="L94" s="358">
        <v>43.23</v>
      </c>
      <c r="M94" s="358">
        <v>43.23</v>
      </c>
      <c r="N94" s="357">
        <v>1</v>
      </c>
      <c r="O94" s="404">
        <v>1</v>
      </c>
      <c r="P94" s="358">
        <v>43.23</v>
      </c>
      <c r="Q94" s="384">
        <v>1</v>
      </c>
      <c r="R94" s="357">
        <v>1</v>
      </c>
      <c r="S94" s="384">
        <v>1</v>
      </c>
      <c r="T94" s="404">
        <v>1</v>
      </c>
      <c r="U94" s="385">
        <v>1</v>
      </c>
    </row>
    <row r="95" spans="1:21" ht="14.4" customHeight="1" x14ac:dyDescent="0.3">
      <c r="A95" s="356">
        <v>19</v>
      </c>
      <c r="B95" s="357" t="s">
        <v>360</v>
      </c>
      <c r="C95" s="357">
        <v>89301192</v>
      </c>
      <c r="D95" s="402" t="s">
        <v>814</v>
      </c>
      <c r="E95" s="403" t="s">
        <v>503</v>
      </c>
      <c r="F95" s="357" t="s">
        <v>494</v>
      </c>
      <c r="G95" s="357" t="s">
        <v>746</v>
      </c>
      <c r="H95" s="357" t="s">
        <v>359</v>
      </c>
      <c r="I95" s="357" t="s">
        <v>747</v>
      </c>
      <c r="J95" s="357" t="s">
        <v>748</v>
      </c>
      <c r="K95" s="357" t="s">
        <v>749</v>
      </c>
      <c r="L95" s="358">
        <v>184.8</v>
      </c>
      <c r="M95" s="358">
        <v>184.8</v>
      </c>
      <c r="N95" s="357">
        <v>1</v>
      </c>
      <c r="O95" s="404">
        <v>0.5</v>
      </c>
      <c r="P95" s="358">
        <v>184.8</v>
      </c>
      <c r="Q95" s="384">
        <v>1</v>
      </c>
      <c r="R95" s="357">
        <v>1</v>
      </c>
      <c r="S95" s="384">
        <v>1</v>
      </c>
      <c r="T95" s="404">
        <v>0.5</v>
      </c>
      <c r="U95" s="385">
        <v>1</v>
      </c>
    </row>
    <row r="96" spans="1:21" ht="14.4" customHeight="1" x14ac:dyDescent="0.3">
      <c r="A96" s="356">
        <v>19</v>
      </c>
      <c r="B96" s="357" t="s">
        <v>360</v>
      </c>
      <c r="C96" s="357">
        <v>89301192</v>
      </c>
      <c r="D96" s="402" t="s">
        <v>814</v>
      </c>
      <c r="E96" s="403" t="s">
        <v>503</v>
      </c>
      <c r="F96" s="357" t="s">
        <v>494</v>
      </c>
      <c r="G96" s="357" t="s">
        <v>750</v>
      </c>
      <c r="H96" s="357" t="s">
        <v>815</v>
      </c>
      <c r="I96" s="357" t="s">
        <v>751</v>
      </c>
      <c r="J96" s="357" t="s">
        <v>752</v>
      </c>
      <c r="K96" s="357" t="s">
        <v>753</v>
      </c>
      <c r="L96" s="358">
        <v>887.05</v>
      </c>
      <c r="M96" s="358">
        <v>887.05</v>
      </c>
      <c r="N96" s="357">
        <v>1</v>
      </c>
      <c r="O96" s="404">
        <v>1</v>
      </c>
      <c r="P96" s="358"/>
      <c r="Q96" s="384">
        <v>0</v>
      </c>
      <c r="R96" s="357"/>
      <c r="S96" s="384">
        <v>0</v>
      </c>
      <c r="T96" s="404"/>
      <c r="U96" s="385">
        <v>0</v>
      </c>
    </row>
    <row r="97" spans="1:21" ht="14.4" customHeight="1" x14ac:dyDescent="0.3">
      <c r="A97" s="356">
        <v>19</v>
      </c>
      <c r="B97" s="357" t="s">
        <v>360</v>
      </c>
      <c r="C97" s="357">
        <v>89301192</v>
      </c>
      <c r="D97" s="402" t="s">
        <v>814</v>
      </c>
      <c r="E97" s="403" t="s">
        <v>503</v>
      </c>
      <c r="F97" s="357" t="s">
        <v>494</v>
      </c>
      <c r="G97" s="357" t="s">
        <v>754</v>
      </c>
      <c r="H97" s="357" t="s">
        <v>359</v>
      </c>
      <c r="I97" s="357" t="s">
        <v>755</v>
      </c>
      <c r="J97" s="357" t="s">
        <v>756</v>
      </c>
      <c r="K97" s="357" t="s">
        <v>757</v>
      </c>
      <c r="L97" s="358">
        <v>153.37</v>
      </c>
      <c r="M97" s="358">
        <v>153.37</v>
      </c>
      <c r="N97" s="357">
        <v>1</v>
      </c>
      <c r="O97" s="404">
        <v>1</v>
      </c>
      <c r="P97" s="358">
        <v>153.37</v>
      </c>
      <c r="Q97" s="384">
        <v>1</v>
      </c>
      <c r="R97" s="357">
        <v>1</v>
      </c>
      <c r="S97" s="384">
        <v>1</v>
      </c>
      <c r="T97" s="404">
        <v>1</v>
      </c>
      <c r="U97" s="385">
        <v>1</v>
      </c>
    </row>
    <row r="98" spans="1:21" ht="14.4" customHeight="1" x14ac:dyDescent="0.3">
      <c r="A98" s="356">
        <v>19</v>
      </c>
      <c r="B98" s="357" t="s">
        <v>360</v>
      </c>
      <c r="C98" s="357">
        <v>89301192</v>
      </c>
      <c r="D98" s="402" t="s">
        <v>814</v>
      </c>
      <c r="E98" s="403" t="s">
        <v>503</v>
      </c>
      <c r="F98" s="357" t="s">
        <v>494</v>
      </c>
      <c r="G98" s="357" t="s">
        <v>526</v>
      </c>
      <c r="H98" s="357" t="s">
        <v>359</v>
      </c>
      <c r="I98" s="357" t="s">
        <v>385</v>
      </c>
      <c r="J98" s="357" t="s">
        <v>529</v>
      </c>
      <c r="K98" s="357" t="s">
        <v>528</v>
      </c>
      <c r="L98" s="358">
        <v>41.83</v>
      </c>
      <c r="M98" s="358">
        <v>752.93999999999983</v>
      </c>
      <c r="N98" s="357">
        <v>18</v>
      </c>
      <c r="O98" s="404">
        <v>8.5</v>
      </c>
      <c r="P98" s="358">
        <v>669.27999999999986</v>
      </c>
      <c r="Q98" s="384">
        <v>0.88888888888888895</v>
      </c>
      <c r="R98" s="357">
        <v>16</v>
      </c>
      <c r="S98" s="384">
        <v>0.88888888888888884</v>
      </c>
      <c r="T98" s="404">
        <v>8</v>
      </c>
      <c r="U98" s="385">
        <v>0.94117647058823528</v>
      </c>
    </row>
    <row r="99" spans="1:21" ht="14.4" customHeight="1" x14ac:dyDescent="0.3">
      <c r="A99" s="356">
        <v>19</v>
      </c>
      <c r="B99" s="357" t="s">
        <v>360</v>
      </c>
      <c r="C99" s="357">
        <v>89301192</v>
      </c>
      <c r="D99" s="402" t="s">
        <v>814</v>
      </c>
      <c r="E99" s="403" t="s">
        <v>503</v>
      </c>
      <c r="F99" s="357" t="s">
        <v>494</v>
      </c>
      <c r="G99" s="357" t="s">
        <v>526</v>
      </c>
      <c r="H99" s="357" t="s">
        <v>359</v>
      </c>
      <c r="I99" s="357" t="s">
        <v>625</v>
      </c>
      <c r="J99" s="357" t="s">
        <v>626</v>
      </c>
      <c r="K99" s="357" t="s">
        <v>627</v>
      </c>
      <c r="L99" s="358">
        <v>49.76</v>
      </c>
      <c r="M99" s="358">
        <v>398.08</v>
      </c>
      <c r="N99" s="357">
        <v>8</v>
      </c>
      <c r="O99" s="404">
        <v>4</v>
      </c>
      <c r="P99" s="358">
        <v>298.56</v>
      </c>
      <c r="Q99" s="384">
        <v>0.75</v>
      </c>
      <c r="R99" s="357">
        <v>6</v>
      </c>
      <c r="S99" s="384">
        <v>0.75</v>
      </c>
      <c r="T99" s="404">
        <v>3</v>
      </c>
      <c r="U99" s="385">
        <v>0.75</v>
      </c>
    </row>
    <row r="100" spans="1:21" ht="14.4" customHeight="1" x14ac:dyDescent="0.3">
      <c r="A100" s="356">
        <v>19</v>
      </c>
      <c r="B100" s="357" t="s">
        <v>360</v>
      </c>
      <c r="C100" s="357">
        <v>89301192</v>
      </c>
      <c r="D100" s="402" t="s">
        <v>814</v>
      </c>
      <c r="E100" s="403" t="s">
        <v>503</v>
      </c>
      <c r="F100" s="357" t="s">
        <v>494</v>
      </c>
      <c r="G100" s="357" t="s">
        <v>758</v>
      </c>
      <c r="H100" s="357" t="s">
        <v>359</v>
      </c>
      <c r="I100" s="357" t="s">
        <v>759</v>
      </c>
      <c r="J100" s="357" t="s">
        <v>760</v>
      </c>
      <c r="K100" s="357" t="s">
        <v>761</v>
      </c>
      <c r="L100" s="358">
        <v>413.22</v>
      </c>
      <c r="M100" s="358">
        <v>1652.88</v>
      </c>
      <c r="N100" s="357">
        <v>4</v>
      </c>
      <c r="O100" s="404">
        <v>1.5</v>
      </c>
      <c r="P100" s="358">
        <v>1652.88</v>
      </c>
      <c r="Q100" s="384">
        <v>1</v>
      </c>
      <c r="R100" s="357">
        <v>4</v>
      </c>
      <c r="S100" s="384">
        <v>1</v>
      </c>
      <c r="T100" s="404">
        <v>1.5</v>
      </c>
      <c r="U100" s="385">
        <v>1</v>
      </c>
    </row>
    <row r="101" spans="1:21" ht="14.4" customHeight="1" x14ac:dyDescent="0.3">
      <c r="A101" s="356">
        <v>19</v>
      </c>
      <c r="B101" s="357" t="s">
        <v>360</v>
      </c>
      <c r="C101" s="357">
        <v>89301192</v>
      </c>
      <c r="D101" s="402" t="s">
        <v>814</v>
      </c>
      <c r="E101" s="403" t="s">
        <v>503</v>
      </c>
      <c r="F101" s="357" t="s">
        <v>494</v>
      </c>
      <c r="G101" s="357" t="s">
        <v>538</v>
      </c>
      <c r="H101" s="357" t="s">
        <v>359</v>
      </c>
      <c r="I101" s="357" t="s">
        <v>539</v>
      </c>
      <c r="J101" s="357" t="s">
        <v>540</v>
      </c>
      <c r="K101" s="357" t="s">
        <v>541</v>
      </c>
      <c r="L101" s="358">
        <v>0</v>
      </c>
      <c r="M101" s="358">
        <v>0</v>
      </c>
      <c r="N101" s="357">
        <v>2</v>
      </c>
      <c r="O101" s="404">
        <v>0.5</v>
      </c>
      <c r="P101" s="358"/>
      <c r="Q101" s="384"/>
      <c r="R101" s="357"/>
      <c r="S101" s="384">
        <v>0</v>
      </c>
      <c r="T101" s="404"/>
      <c r="U101" s="385">
        <v>0</v>
      </c>
    </row>
    <row r="102" spans="1:21" ht="14.4" customHeight="1" x14ac:dyDescent="0.3">
      <c r="A102" s="356">
        <v>19</v>
      </c>
      <c r="B102" s="357" t="s">
        <v>360</v>
      </c>
      <c r="C102" s="357">
        <v>89301192</v>
      </c>
      <c r="D102" s="402" t="s">
        <v>814</v>
      </c>
      <c r="E102" s="403" t="s">
        <v>504</v>
      </c>
      <c r="F102" s="357" t="s">
        <v>494</v>
      </c>
      <c r="G102" s="357" t="s">
        <v>577</v>
      </c>
      <c r="H102" s="357" t="s">
        <v>815</v>
      </c>
      <c r="I102" s="357" t="s">
        <v>581</v>
      </c>
      <c r="J102" s="357" t="s">
        <v>582</v>
      </c>
      <c r="K102" s="357" t="s">
        <v>580</v>
      </c>
      <c r="L102" s="358">
        <v>333.31</v>
      </c>
      <c r="M102" s="358">
        <v>333.31</v>
      </c>
      <c r="N102" s="357">
        <v>1</v>
      </c>
      <c r="O102" s="404">
        <v>0.5</v>
      </c>
      <c r="P102" s="358">
        <v>333.31</v>
      </c>
      <c r="Q102" s="384">
        <v>1</v>
      </c>
      <c r="R102" s="357">
        <v>1</v>
      </c>
      <c r="S102" s="384">
        <v>1</v>
      </c>
      <c r="T102" s="404">
        <v>0.5</v>
      </c>
      <c r="U102" s="385">
        <v>1</v>
      </c>
    </row>
    <row r="103" spans="1:21" ht="14.4" customHeight="1" x14ac:dyDescent="0.3">
      <c r="A103" s="356">
        <v>19</v>
      </c>
      <c r="B103" s="357" t="s">
        <v>360</v>
      </c>
      <c r="C103" s="357">
        <v>89301192</v>
      </c>
      <c r="D103" s="402" t="s">
        <v>814</v>
      </c>
      <c r="E103" s="403" t="s">
        <v>504</v>
      </c>
      <c r="F103" s="357" t="s">
        <v>494</v>
      </c>
      <c r="G103" s="357" t="s">
        <v>591</v>
      </c>
      <c r="H103" s="357" t="s">
        <v>815</v>
      </c>
      <c r="I103" s="357" t="s">
        <v>592</v>
      </c>
      <c r="J103" s="357" t="s">
        <v>593</v>
      </c>
      <c r="K103" s="357" t="s">
        <v>566</v>
      </c>
      <c r="L103" s="358">
        <v>413.22</v>
      </c>
      <c r="M103" s="358">
        <v>413.22</v>
      </c>
      <c r="N103" s="357">
        <v>1</v>
      </c>
      <c r="O103" s="404">
        <v>1</v>
      </c>
      <c r="P103" s="358">
        <v>413.22</v>
      </c>
      <c r="Q103" s="384">
        <v>1</v>
      </c>
      <c r="R103" s="357">
        <v>1</v>
      </c>
      <c r="S103" s="384">
        <v>1</v>
      </c>
      <c r="T103" s="404">
        <v>1</v>
      </c>
      <c r="U103" s="385">
        <v>1</v>
      </c>
    </row>
    <row r="104" spans="1:21" ht="14.4" customHeight="1" x14ac:dyDescent="0.3">
      <c r="A104" s="356">
        <v>19</v>
      </c>
      <c r="B104" s="357" t="s">
        <v>360</v>
      </c>
      <c r="C104" s="357">
        <v>89301192</v>
      </c>
      <c r="D104" s="402" t="s">
        <v>814</v>
      </c>
      <c r="E104" s="403" t="s">
        <v>504</v>
      </c>
      <c r="F104" s="357" t="s">
        <v>494</v>
      </c>
      <c r="G104" s="357" t="s">
        <v>762</v>
      </c>
      <c r="H104" s="357" t="s">
        <v>359</v>
      </c>
      <c r="I104" s="357" t="s">
        <v>763</v>
      </c>
      <c r="J104" s="357" t="s">
        <v>764</v>
      </c>
      <c r="K104" s="357" t="s">
        <v>765</v>
      </c>
      <c r="L104" s="358">
        <v>115.3</v>
      </c>
      <c r="M104" s="358">
        <v>115.3</v>
      </c>
      <c r="N104" s="357">
        <v>1</v>
      </c>
      <c r="O104" s="404">
        <v>0.5</v>
      </c>
      <c r="P104" s="358">
        <v>115.3</v>
      </c>
      <c r="Q104" s="384">
        <v>1</v>
      </c>
      <c r="R104" s="357">
        <v>1</v>
      </c>
      <c r="S104" s="384">
        <v>1</v>
      </c>
      <c r="T104" s="404">
        <v>0.5</v>
      </c>
      <c r="U104" s="385">
        <v>1</v>
      </c>
    </row>
    <row r="105" spans="1:21" ht="14.4" customHeight="1" x14ac:dyDescent="0.3">
      <c r="A105" s="356">
        <v>19</v>
      </c>
      <c r="B105" s="357" t="s">
        <v>360</v>
      </c>
      <c r="C105" s="357">
        <v>89301192</v>
      </c>
      <c r="D105" s="402" t="s">
        <v>814</v>
      </c>
      <c r="E105" s="403" t="s">
        <v>504</v>
      </c>
      <c r="F105" s="357" t="s">
        <v>494</v>
      </c>
      <c r="G105" s="357" t="s">
        <v>766</v>
      </c>
      <c r="H105" s="357" t="s">
        <v>359</v>
      </c>
      <c r="I105" s="357" t="s">
        <v>767</v>
      </c>
      <c r="J105" s="357" t="s">
        <v>768</v>
      </c>
      <c r="K105" s="357" t="s">
        <v>769</v>
      </c>
      <c r="L105" s="358">
        <v>120.46</v>
      </c>
      <c r="M105" s="358">
        <v>120.46</v>
      </c>
      <c r="N105" s="357">
        <v>1</v>
      </c>
      <c r="O105" s="404">
        <v>0.5</v>
      </c>
      <c r="P105" s="358">
        <v>120.46</v>
      </c>
      <c r="Q105" s="384">
        <v>1</v>
      </c>
      <c r="R105" s="357">
        <v>1</v>
      </c>
      <c r="S105" s="384">
        <v>1</v>
      </c>
      <c r="T105" s="404">
        <v>0.5</v>
      </c>
      <c r="U105" s="385">
        <v>1</v>
      </c>
    </row>
    <row r="106" spans="1:21" ht="14.4" customHeight="1" x14ac:dyDescent="0.3">
      <c r="A106" s="356">
        <v>19</v>
      </c>
      <c r="B106" s="357" t="s">
        <v>360</v>
      </c>
      <c r="C106" s="357">
        <v>89301192</v>
      </c>
      <c r="D106" s="402" t="s">
        <v>814</v>
      </c>
      <c r="E106" s="403" t="s">
        <v>504</v>
      </c>
      <c r="F106" s="357" t="s">
        <v>494</v>
      </c>
      <c r="G106" s="357" t="s">
        <v>770</v>
      </c>
      <c r="H106" s="357" t="s">
        <v>359</v>
      </c>
      <c r="I106" s="357" t="s">
        <v>771</v>
      </c>
      <c r="J106" s="357" t="s">
        <v>772</v>
      </c>
      <c r="K106" s="357" t="s">
        <v>773</v>
      </c>
      <c r="L106" s="358">
        <v>96.91</v>
      </c>
      <c r="M106" s="358">
        <v>290.73</v>
      </c>
      <c r="N106" s="357">
        <v>3</v>
      </c>
      <c r="O106" s="404">
        <v>0.5</v>
      </c>
      <c r="P106" s="358">
        <v>290.73</v>
      </c>
      <c r="Q106" s="384">
        <v>1</v>
      </c>
      <c r="R106" s="357">
        <v>3</v>
      </c>
      <c r="S106" s="384">
        <v>1</v>
      </c>
      <c r="T106" s="404">
        <v>0.5</v>
      </c>
      <c r="U106" s="385">
        <v>1</v>
      </c>
    </row>
    <row r="107" spans="1:21" ht="14.4" customHeight="1" x14ac:dyDescent="0.3">
      <c r="A107" s="356">
        <v>19</v>
      </c>
      <c r="B107" s="357" t="s">
        <v>360</v>
      </c>
      <c r="C107" s="357">
        <v>89301192</v>
      </c>
      <c r="D107" s="402" t="s">
        <v>814</v>
      </c>
      <c r="E107" s="403" t="s">
        <v>504</v>
      </c>
      <c r="F107" s="357" t="s">
        <v>494</v>
      </c>
      <c r="G107" s="357" t="s">
        <v>770</v>
      </c>
      <c r="H107" s="357" t="s">
        <v>359</v>
      </c>
      <c r="I107" s="357" t="s">
        <v>774</v>
      </c>
      <c r="J107" s="357" t="s">
        <v>772</v>
      </c>
      <c r="K107" s="357" t="s">
        <v>775</v>
      </c>
      <c r="L107" s="358">
        <v>342.02</v>
      </c>
      <c r="M107" s="358">
        <v>342.02</v>
      </c>
      <c r="N107" s="357">
        <v>1</v>
      </c>
      <c r="O107" s="404">
        <v>0.5</v>
      </c>
      <c r="P107" s="358">
        <v>342.02</v>
      </c>
      <c r="Q107" s="384">
        <v>1</v>
      </c>
      <c r="R107" s="357">
        <v>1</v>
      </c>
      <c r="S107" s="384">
        <v>1</v>
      </c>
      <c r="T107" s="404">
        <v>0.5</v>
      </c>
      <c r="U107" s="385">
        <v>1</v>
      </c>
    </row>
    <row r="108" spans="1:21" ht="14.4" customHeight="1" x14ac:dyDescent="0.3">
      <c r="A108" s="356">
        <v>19</v>
      </c>
      <c r="B108" s="357" t="s">
        <v>360</v>
      </c>
      <c r="C108" s="357">
        <v>89301192</v>
      </c>
      <c r="D108" s="402" t="s">
        <v>814</v>
      </c>
      <c r="E108" s="403" t="s">
        <v>504</v>
      </c>
      <c r="F108" s="357" t="s">
        <v>494</v>
      </c>
      <c r="G108" s="357" t="s">
        <v>776</v>
      </c>
      <c r="H108" s="357" t="s">
        <v>359</v>
      </c>
      <c r="I108" s="357" t="s">
        <v>777</v>
      </c>
      <c r="J108" s="357" t="s">
        <v>778</v>
      </c>
      <c r="K108" s="357"/>
      <c r="L108" s="358">
        <v>0</v>
      </c>
      <c r="M108" s="358">
        <v>0</v>
      </c>
      <c r="N108" s="357">
        <v>1</v>
      </c>
      <c r="O108" s="404">
        <v>1</v>
      </c>
      <c r="P108" s="358"/>
      <c r="Q108" s="384"/>
      <c r="R108" s="357"/>
      <c r="S108" s="384">
        <v>0</v>
      </c>
      <c r="T108" s="404"/>
      <c r="U108" s="385">
        <v>0</v>
      </c>
    </row>
    <row r="109" spans="1:21" ht="14.4" customHeight="1" x14ac:dyDescent="0.3">
      <c r="A109" s="356">
        <v>19</v>
      </c>
      <c r="B109" s="357" t="s">
        <v>360</v>
      </c>
      <c r="C109" s="357">
        <v>89301192</v>
      </c>
      <c r="D109" s="402" t="s">
        <v>814</v>
      </c>
      <c r="E109" s="403" t="s">
        <v>504</v>
      </c>
      <c r="F109" s="357" t="s">
        <v>494</v>
      </c>
      <c r="G109" s="357" t="s">
        <v>621</v>
      </c>
      <c r="H109" s="357" t="s">
        <v>359</v>
      </c>
      <c r="I109" s="357" t="s">
        <v>437</v>
      </c>
      <c r="J109" s="357" t="s">
        <v>438</v>
      </c>
      <c r="K109" s="357" t="s">
        <v>533</v>
      </c>
      <c r="L109" s="358">
        <v>31.64</v>
      </c>
      <c r="M109" s="358">
        <v>63.28</v>
      </c>
      <c r="N109" s="357">
        <v>2</v>
      </c>
      <c r="O109" s="404">
        <v>1</v>
      </c>
      <c r="P109" s="358">
        <v>63.28</v>
      </c>
      <c r="Q109" s="384">
        <v>1</v>
      </c>
      <c r="R109" s="357">
        <v>2</v>
      </c>
      <c r="S109" s="384">
        <v>1</v>
      </c>
      <c r="T109" s="404">
        <v>1</v>
      </c>
      <c r="U109" s="385">
        <v>1</v>
      </c>
    </row>
    <row r="110" spans="1:21" ht="14.4" customHeight="1" x14ac:dyDescent="0.3">
      <c r="A110" s="356">
        <v>19</v>
      </c>
      <c r="B110" s="357" t="s">
        <v>360</v>
      </c>
      <c r="C110" s="357">
        <v>89301192</v>
      </c>
      <c r="D110" s="402" t="s">
        <v>814</v>
      </c>
      <c r="E110" s="403" t="s">
        <v>504</v>
      </c>
      <c r="F110" s="357" t="s">
        <v>494</v>
      </c>
      <c r="G110" s="357" t="s">
        <v>522</v>
      </c>
      <c r="H110" s="357" t="s">
        <v>815</v>
      </c>
      <c r="I110" s="357" t="s">
        <v>523</v>
      </c>
      <c r="J110" s="357" t="s">
        <v>524</v>
      </c>
      <c r="K110" s="357" t="s">
        <v>525</v>
      </c>
      <c r="L110" s="358">
        <v>116.8</v>
      </c>
      <c r="M110" s="358">
        <v>116.8</v>
      </c>
      <c r="N110" s="357">
        <v>1</v>
      </c>
      <c r="O110" s="404">
        <v>1</v>
      </c>
      <c r="P110" s="358">
        <v>116.8</v>
      </c>
      <c r="Q110" s="384">
        <v>1</v>
      </c>
      <c r="R110" s="357">
        <v>1</v>
      </c>
      <c r="S110" s="384">
        <v>1</v>
      </c>
      <c r="T110" s="404">
        <v>1</v>
      </c>
      <c r="U110" s="385">
        <v>1</v>
      </c>
    </row>
    <row r="111" spans="1:21" ht="14.4" customHeight="1" x14ac:dyDescent="0.3">
      <c r="A111" s="356">
        <v>19</v>
      </c>
      <c r="B111" s="357" t="s">
        <v>360</v>
      </c>
      <c r="C111" s="357">
        <v>89301192</v>
      </c>
      <c r="D111" s="402" t="s">
        <v>814</v>
      </c>
      <c r="E111" s="403" t="s">
        <v>504</v>
      </c>
      <c r="F111" s="357" t="s">
        <v>494</v>
      </c>
      <c r="G111" s="357" t="s">
        <v>526</v>
      </c>
      <c r="H111" s="357" t="s">
        <v>359</v>
      </c>
      <c r="I111" s="357" t="s">
        <v>385</v>
      </c>
      <c r="J111" s="357" t="s">
        <v>529</v>
      </c>
      <c r="K111" s="357" t="s">
        <v>528</v>
      </c>
      <c r="L111" s="358">
        <v>41.83</v>
      </c>
      <c r="M111" s="358">
        <v>2760.78</v>
      </c>
      <c r="N111" s="357">
        <v>66</v>
      </c>
      <c r="O111" s="404">
        <v>32</v>
      </c>
      <c r="P111" s="358">
        <v>2091.5000000000005</v>
      </c>
      <c r="Q111" s="384">
        <v>0.75757575757575768</v>
      </c>
      <c r="R111" s="357">
        <v>50</v>
      </c>
      <c r="S111" s="384">
        <v>0.75757575757575757</v>
      </c>
      <c r="T111" s="404">
        <v>24</v>
      </c>
      <c r="U111" s="385">
        <v>0.75</v>
      </c>
    </row>
    <row r="112" spans="1:21" ht="14.4" customHeight="1" x14ac:dyDescent="0.3">
      <c r="A112" s="356">
        <v>19</v>
      </c>
      <c r="B112" s="357" t="s">
        <v>360</v>
      </c>
      <c r="C112" s="357">
        <v>89301192</v>
      </c>
      <c r="D112" s="402" t="s">
        <v>814</v>
      </c>
      <c r="E112" s="403" t="s">
        <v>504</v>
      </c>
      <c r="F112" s="357" t="s">
        <v>494</v>
      </c>
      <c r="G112" s="357" t="s">
        <v>779</v>
      </c>
      <c r="H112" s="357" t="s">
        <v>359</v>
      </c>
      <c r="I112" s="357" t="s">
        <v>780</v>
      </c>
      <c r="J112" s="357" t="s">
        <v>781</v>
      </c>
      <c r="K112" s="357" t="s">
        <v>782</v>
      </c>
      <c r="L112" s="358">
        <v>12.26</v>
      </c>
      <c r="M112" s="358">
        <v>12.26</v>
      </c>
      <c r="N112" s="357">
        <v>1</v>
      </c>
      <c r="O112" s="404">
        <v>0.5</v>
      </c>
      <c r="P112" s="358"/>
      <c r="Q112" s="384">
        <v>0</v>
      </c>
      <c r="R112" s="357"/>
      <c r="S112" s="384">
        <v>0</v>
      </c>
      <c r="T112" s="404"/>
      <c r="U112" s="385">
        <v>0</v>
      </c>
    </row>
    <row r="113" spans="1:21" ht="14.4" customHeight="1" x14ac:dyDescent="0.3">
      <c r="A113" s="356">
        <v>19</v>
      </c>
      <c r="B113" s="357" t="s">
        <v>360</v>
      </c>
      <c r="C113" s="357">
        <v>89301192</v>
      </c>
      <c r="D113" s="402" t="s">
        <v>814</v>
      </c>
      <c r="E113" s="403" t="s">
        <v>504</v>
      </c>
      <c r="F113" s="357" t="s">
        <v>494</v>
      </c>
      <c r="G113" s="357" t="s">
        <v>779</v>
      </c>
      <c r="H113" s="357" t="s">
        <v>359</v>
      </c>
      <c r="I113" s="357" t="s">
        <v>783</v>
      </c>
      <c r="J113" s="357" t="s">
        <v>781</v>
      </c>
      <c r="K113" s="357" t="s">
        <v>784</v>
      </c>
      <c r="L113" s="358">
        <v>61.29</v>
      </c>
      <c r="M113" s="358">
        <v>183.87</v>
      </c>
      <c r="N113" s="357">
        <v>3</v>
      </c>
      <c r="O113" s="404">
        <v>1.5</v>
      </c>
      <c r="P113" s="358">
        <v>183.87</v>
      </c>
      <c r="Q113" s="384">
        <v>1</v>
      </c>
      <c r="R113" s="357">
        <v>3</v>
      </c>
      <c r="S113" s="384">
        <v>1</v>
      </c>
      <c r="T113" s="404">
        <v>1.5</v>
      </c>
      <c r="U113" s="385">
        <v>1</v>
      </c>
    </row>
    <row r="114" spans="1:21" ht="14.4" customHeight="1" x14ac:dyDescent="0.3">
      <c r="A114" s="356">
        <v>19</v>
      </c>
      <c r="B114" s="357" t="s">
        <v>360</v>
      </c>
      <c r="C114" s="357">
        <v>89301192</v>
      </c>
      <c r="D114" s="402" t="s">
        <v>814</v>
      </c>
      <c r="E114" s="403" t="s">
        <v>504</v>
      </c>
      <c r="F114" s="357" t="s">
        <v>494</v>
      </c>
      <c r="G114" s="357" t="s">
        <v>785</v>
      </c>
      <c r="H114" s="357" t="s">
        <v>359</v>
      </c>
      <c r="I114" s="357" t="s">
        <v>786</v>
      </c>
      <c r="J114" s="357" t="s">
        <v>787</v>
      </c>
      <c r="K114" s="357" t="s">
        <v>788</v>
      </c>
      <c r="L114" s="358">
        <v>95.08</v>
      </c>
      <c r="M114" s="358">
        <v>95.08</v>
      </c>
      <c r="N114" s="357">
        <v>1</v>
      </c>
      <c r="O114" s="404">
        <v>1</v>
      </c>
      <c r="P114" s="358">
        <v>95.08</v>
      </c>
      <c r="Q114" s="384">
        <v>1</v>
      </c>
      <c r="R114" s="357">
        <v>1</v>
      </c>
      <c r="S114" s="384">
        <v>1</v>
      </c>
      <c r="T114" s="404">
        <v>1</v>
      </c>
      <c r="U114" s="385">
        <v>1</v>
      </c>
    </row>
    <row r="115" spans="1:21" ht="14.4" customHeight="1" x14ac:dyDescent="0.3">
      <c r="A115" s="356">
        <v>19</v>
      </c>
      <c r="B115" s="357" t="s">
        <v>360</v>
      </c>
      <c r="C115" s="357">
        <v>89301192</v>
      </c>
      <c r="D115" s="402" t="s">
        <v>814</v>
      </c>
      <c r="E115" s="403" t="s">
        <v>504</v>
      </c>
      <c r="F115" s="357" t="s">
        <v>494</v>
      </c>
      <c r="G115" s="357" t="s">
        <v>789</v>
      </c>
      <c r="H115" s="357" t="s">
        <v>359</v>
      </c>
      <c r="I115" s="357" t="s">
        <v>790</v>
      </c>
      <c r="J115" s="357" t="s">
        <v>791</v>
      </c>
      <c r="K115" s="357" t="s">
        <v>792</v>
      </c>
      <c r="L115" s="358">
        <v>526.17999999999995</v>
      </c>
      <c r="M115" s="358">
        <v>1052.3599999999999</v>
      </c>
      <c r="N115" s="357">
        <v>2</v>
      </c>
      <c r="O115" s="404">
        <v>0.5</v>
      </c>
      <c r="P115" s="358"/>
      <c r="Q115" s="384">
        <v>0</v>
      </c>
      <c r="R115" s="357"/>
      <c r="S115" s="384">
        <v>0</v>
      </c>
      <c r="T115" s="404"/>
      <c r="U115" s="385">
        <v>0</v>
      </c>
    </row>
    <row r="116" spans="1:21" ht="14.4" customHeight="1" x14ac:dyDescent="0.3">
      <c r="A116" s="356">
        <v>19</v>
      </c>
      <c r="B116" s="357" t="s">
        <v>360</v>
      </c>
      <c r="C116" s="357">
        <v>89301192</v>
      </c>
      <c r="D116" s="402" t="s">
        <v>814</v>
      </c>
      <c r="E116" s="403" t="s">
        <v>504</v>
      </c>
      <c r="F116" s="357" t="s">
        <v>494</v>
      </c>
      <c r="G116" s="357" t="s">
        <v>789</v>
      </c>
      <c r="H116" s="357" t="s">
        <v>359</v>
      </c>
      <c r="I116" s="357" t="s">
        <v>790</v>
      </c>
      <c r="J116" s="357" t="s">
        <v>791</v>
      </c>
      <c r="K116" s="357" t="s">
        <v>792</v>
      </c>
      <c r="L116" s="358">
        <v>503.4</v>
      </c>
      <c r="M116" s="358">
        <v>503.4</v>
      </c>
      <c r="N116" s="357">
        <v>1</v>
      </c>
      <c r="O116" s="404">
        <v>1</v>
      </c>
      <c r="P116" s="358">
        <v>503.4</v>
      </c>
      <c r="Q116" s="384">
        <v>1</v>
      </c>
      <c r="R116" s="357">
        <v>1</v>
      </c>
      <c r="S116" s="384">
        <v>1</v>
      </c>
      <c r="T116" s="404">
        <v>1</v>
      </c>
      <c r="U116" s="385">
        <v>1</v>
      </c>
    </row>
    <row r="117" spans="1:21" ht="14.4" customHeight="1" x14ac:dyDescent="0.3">
      <c r="A117" s="356">
        <v>19</v>
      </c>
      <c r="B117" s="357" t="s">
        <v>360</v>
      </c>
      <c r="C117" s="357">
        <v>89301192</v>
      </c>
      <c r="D117" s="402" t="s">
        <v>814</v>
      </c>
      <c r="E117" s="403" t="s">
        <v>504</v>
      </c>
      <c r="F117" s="357" t="s">
        <v>494</v>
      </c>
      <c r="G117" s="357" t="s">
        <v>731</v>
      </c>
      <c r="H117" s="357" t="s">
        <v>359</v>
      </c>
      <c r="I117" s="357" t="s">
        <v>732</v>
      </c>
      <c r="J117" s="357" t="s">
        <v>733</v>
      </c>
      <c r="K117" s="357" t="s">
        <v>734</v>
      </c>
      <c r="L117" s="358">
        <v>0</v>
      </c>
      <c r="M117" s="358">
        <v>0</v>
      </c>
      <c r="N117" s="357">
        <v>3</v>
      </c>
      <c r="O117" s="404">
        <v>1.5</v>
      </c>
      <c r="P117" s="358">
        <v>0</v>
      </c>
      <c r="Q117" s="384"/>
      <c r="R117" s="357">
        <v>3</v>
      </c>
      <c r="S117" s="384">
        <v>1</v>
      </c>
      <c r="T117" s="404">
        <v>1.5</v>
      </c>
      <c r="U117" s="385">
        <v>1</v>
      </c>
    </row>
    <row r="118" spans="1:21" ht="14.4" customHeight="1" x14ac:dyDescent="0.3">
      <c r="A118" s="356">
        <v>19</v>
      </c>
      <c r="B118" s="357" t="s">
        <v>360</v>
      </c>
      <c r="C118" s="357">
        <v>89301192</v>
      </c>
      <c r="D118" s="402" t="s">
        <v>814</v>
      </c>
      <c r="E118" s="403" t="s">
        <v>504</v>
      </c>
      <c r="F118" s="357" t="s">
        <v>494</v>
      </c>
      <c r="G118" s="357" t="s">
        <v>731</v>
      </c>
      <c r="H118" s="357" t="s">
        <v>359</v>
      </c>
      <c r="I118" s="357" t="s">
        <v>793</v>
      </c>
      <c r="J118" s="357" t="s">
        <v>733</v>
      </c>
      <c r="K118" s="357" t="s">
        <v>734</v>
      </c>
      <c r="L118" s="358">
        <v>0</v>
      </c>
      <c r="M118" s="358">
        <v>0</v>
      </c>
      <c r="N118" s="357">
        <v>7</v>
      </c>
      <c r="O118" s="404">
        <v>3.5</v>
      </c>
      <c r="P118" s="358">
        <v>0</v>
      </c>
      <c r="Q118" s="384"/>
      <c r="R118" s="357">
        <v>2</v>
      </c>
      <c r="S118" s="384">
        <v>0.2857142857142857</v>
      </c>
      <c r="T118" s="404">
        <v>1</v>
      </c>
      <c r="U118" s="385">
        <v>0.2857142857142857</v>
      </c>
    </row>
    <row r="119" spans="1:21" ht="14.4" customHeight="1" x14ac:dyDescent="0.3">
      <c r="A119" s="356">
        <v>19</v>
      </c>
      <c r="B119" s="357" t="s">
        <v>360</v>
      </c>
      <c r="C119" s="357">
        <v>89301192</v>
      </c>
      <c r="D119" s="402" t="s">
        <v>814</v>
      </c>
      <c r="E119" s="403" t="s">
        <v>504</v>
      </c>
      <c r="F119" s="357" t="s">
        <v>494</v>
      </c>
      <c r="G119" s="357" t="s">
        <v>538</v>
      </c>
      <c r="H119" s="357" t="s">
        <v>359</v>
      </c>
      <c r="I119" s="357" t="s">
        <v>539</v>
      </c>
      <c r="J119" s="357" t="s">
        <v>540</v>
      </c>
      <c r="K119" s="357" t="s">
        <v>541</v>
      </c>
      <c r="L119" s="358">
        <v>0</v>
      </c>
      <c r="M119" s="358">
        <v>0</v>
      </c>
      <c r="N119" s="357">
        <v>10</v>
      </c>
      <c r="O119" s="404">
        <v>4.5</v>
      </c>
      <c r="P119" s="358">
        <v>0</v>
      </c>
      <c r="Q119" s="384"/>
      <c r="R119" s="357">
        <v>10</v>
      </c>
      <c r="S119" s="384">
        <v>1</v>
      </c>
      <c r="T119" s="404">
        <v>4.5</v>
      </c>
      <c r="U119" s="385">
        <v>1</v>
      </c>
    </row>
    <row r="120" spans="1:21" ht="14.4" customHeight="1" x14ac:dyDescent="0.3">
      <c r="A120" s="356">
        <v>19</v>
      </c>
      <c r="B120" s="357" t="s">
        <v>360</v>
      </c>
      <c r="C120" s="357">
        <v>89301192</v>
      </c>
      <c r="D120" s="402" t="s">
        <v>814</v>
      </c>
      <c r="E120" s="403" t="s">
        <v>504</v>
      </c>
      <c r="F120" s="357" t="s">
        <v>494</v>
      </c>
      <c r="G120" s="357" t="s">
        <v>538</v>
      </c>
      <c r="H120" s="357" t="s">
        <v>359</v>
      </c>
      <c r="I120" s="357" t="s">
        <v>542</v>
      </c>
      <c r="J120" s="357" t="s">
        <v>540</v>
      </c>
      <c r="K120" s="357" t="s">
        <v>541</v>
      </c>
      <c r="L120" s="358">
        <v>0</v>
      </c>
      <c r="M120" s="358">
        <v>0</v>
      </c>
      <c r="N120" s="357">
        <v>2</v>
      </c>
      <c r="O120" s="404">
        <v>0.5</v>
      </c>
      <c r="P120" s="358">
        <v>0</v>
      </c>
      <c r="Q120" s="384"/>
      <c r="R120" s="357">
        <v>2</v>
      </c>
      <c r="S120" s="384">
        <v>1</v>
      </c>
      <c r="T120" s="404">
        <v>0.5</v>
      </c>
      <c r="U120" s="385">
        <v>1</v>
      </c>
    </row>
    <row r="121" spans="1:21" ht="14.4" customHeight="1" x14ac:dyDescent="0.3">
      <c r="A121" s="356">
        <v>19</v>
      </c>
      <c r="B121" s="357" t="s">
        <v>360</v>
      </c>
      <c r="C121" s="357">
        <v>89301192</v>
      </c>
      <c r="D121" s="402" t="s">
        <v>814</v>
      </c>
      <c r="E121" s="403" t="s">
        <v>504</v>
      </c>
      <c r="F121" s="357" t="s">
        <v>494</v>
      </c>
      <c r="G121" s="357" t="s">
        <v>538</v>
      </c>
      <c r="H121" s="357" t="s">
        <v>359</v>
      </c>
      <c r="I121" s="357" t="s">
        <v>794</v>
      </c>
      <c r="J121" s="357" t="s">
        <v>795</v>
      </c>
      <c r="K121" s="357" t="s">
        <v>796</v>
      </c>
      <c r="L121" s="358">
        <v>0</v>
      </c>
      <c r="M121" s="358">
        <v>0</v>
      </c>
      <c r="N121" s="357">
        <v>4</v>
      </c>
      <c r="O121" s="404">
        <v>2</v>
      </c>
      <c r="P121" s="358">
        <v>0</v>
      </c>
      <c r="Q121" s="384"/>
      <c r="R121" s="357">
        <v>4</v>
      </c>
      <c r="S121" s="384">
        <v>1</v>
      </c>
      <c r="T121" s="404">
        <v>2</v>
      </c>
      <c r="U121" s="385">
        <v>1</v>
      </c>
    </row>
    <row r="122" spans="1:21" ht="14.4" customHeight="1" x14ac:dyDescent="0.3">
      <c r="A122" s="356">
        <v>19</v>
      </c>
      <c r="B122" s="357" t="s">
        <v>360</v>
      </c>
      <c r="C122" s="357">
        <v>89301192</v>
      </c>
      <c r="D122" s="402" t="s">
        <v>814</v>
      </c>
      <c r="E122" s="403" t="s">
        <v>504</v>
      </c>
      <c r="F122" s="357" t="s">
        <v>494</v>
      </c>
      <c r="G122" s="357" t="s">
        <v>797</v>
      </c>
      <c r="H122" s="357" t="s">
        <v>359</v>
      </c>
      <c r="I122" s="357" t="s">
        <v>798</v>
      </c>
      <c r="J122" s="357" t="s">
        <v>799</v>
      </c>
      <c r="K122" s="357" t="s">
        <v>800</v>
      </c>
      <c r="L122" s="358">
        <v>0</v>
      </c>
      <c r="M122" s="358">
        <v>0</v>
      </c>
      <c r="N122" s="357">
        <v>4</v>
      </c>
      <c r="O122" s="404">
        <v>1</v>
      </c>
      <c r="P122" s="358">
        <v>0</v>
      </c>
      <c r="Q122" s="384"/>
      <c r="R122" s="357">
        <v>4</v>
      </c>
      <c r="S122" s="384">
        <v>1</v>
      </c>
      <c r="T122" s="404">
        <v>1</v>
      </c>
      <c r="U122" s="385">
        <v>1</v>
      </c>
    </row>
    <row r="123" spans="1:21" ht="14.4" customHeight="1" x14ac:dyDescent="0.3">
      <c r="A123" s="356">
        <v>19</v>
      </c>
      <c r="B123" s="357" t="s">
        <v>360</v>
      </c>
      <c r="C123" s="357">
        <v>89301192</v>
      </c>
      <c r="D123" s="402" t="s">
        <v>814</v>
      </c>
      <c r="E123" s="403" t="s">
        <v>504</v>
      </c>
      <c r="F123" s="357" t="s">
        <v>494</v>
      </c>
      <c r="G123" s="357" t="s">
        <v>547</v>
      </c>
      <c r="H123" s="357" t="s">
        <v>359</v>
      </c>
      <c r="I123" s="357" t="s">
        <v>548</v>
      </c>
      <c r="J123" s="357" t="s">
        <v>549</v>
      </c>
      <c r="K123" s="357" t="s">
        <v>550</v>
      </c>
      <c r="L123" s="358">
        <v>0</v>
      </c>
      <c r="M123" s="358">
        <v>0</v>
      </c>
      <c r="N123" s="357">
        <v>18</v>
      </c>
      <c r="O123" s="404">
        <v>12.5</v>
      </c>
      <c r="P123" s="358">
        <v>0</v>
      </c>
      <c r="Q123" s="384"/>
      <c r="R123" s="357">
        <v>7</v>
      </c>
      <c r="S123" s="384">
        <v>0.3888888888888889</v>
      </c>
      <c r="T123" s="404">
        <v>4.5</v>
      </c>
      <c r="U123" s="385">
        <v>0.36</v>
      </c>
    </row>
    <row r="124" spans="1:21" ht="14.4" customHeight="1" x14ac:dyDescent="0.3">
      <c r="A124" s="356">
        <v>19</v>
      </c>
      <c r="B124" s="357" t="s">
        <v>360</v>
      </c>
      <c r="C124" s="357">
        <v>89301192</v>
      </c>
      <c r="D124" s="402" t="s">
        <v>814</v>
      </c>
      <c r="E124" s="403" t="s">
        <v>504</v>
      </c>
      <c r="F124" s="357" t="s">
        <v>494</v>
      </c>
      <c r="G124" s="357" t="s">
        <v>559</v>
      </c>
      <c r="H124" s="357" t="s">
        <v>815</v>
      </c>
      <c r="I124" s="357" t="s">
        <v>801</v>
      </c>
      <c r="J124" s="357" t="s">
        <v>802</v>
      </c>
      <c r="K124" s="357" t="s">
        <v>803</v>
      </c>
      <c r="L124" s="358">
        <v>56.95</v>
      </c>
      <c r="M124" s="358">
        <v>170.85000000000002</v>
      </c>
      <c r="N124" s="357">
        <v>3</v>
      </c>
      <c r="O124" s="404">
        <v>0.5</v>
      </c>
      <c r="P124" s="358">
        <v>170.85000000000002</v>
      </c>
      <c r="Q124" s="384">
        <v>1</v>
      </c>
      <c r="R124" s="357">
        <v>3</v>
      </c>
      <c r="S124" s="384">
        <v>1</v>
      </c>
      <c r="T124" s="404">
        <v>0.5</v>
      </c>
      <c r="U124" s="385">
        <v>1</v>
      </c>
    </row>
    <row r="125" spans="1:21" ht="14.4" customHeight="1" x14ac:dyDescent="0.3">
      <c r="A125" s="356">
        <v>19</v>
      </c>
      <c r="B125" s="357" t="s">
        <v>360</v>
      </c>
      <c r="C125" s="357">
        <v>89301192</v>
      </c>
      <c r="D125" s="402" t="s">
        <v>814</v>
      </c>
      <c r="E125" s="403" t="s">
        <v>504</v>
      </c>
      <c r="F125" s="357" t="s">
        <v>494</v>
      </c>
      <c r="G125" s="357" t="s">
        <v>559</v>
      </c>
      <c r="H125" s="357" t="s">
        <v>815</v>
      </c>
      <c r="I125" s="357" t="s">
        <v>804</v>
      </c>
      <c r="J125" s="357" t="s">
        <v>561</v>
      </c>
      <c r="K125" s="357" t="s">
        <v>805</v>
      </c>
      <c r="L125" s="358">
        <v>75.86</v>
      </c>
      <c r="M125" s="358">
        <v>455.15999999999997</v>
      </c>
      <c r="N125" s="357">
        <v>6</v>
      </c>
      <c r="O125" s="404">
        <v>1</v>
      </c>
      <c r="P125" s="358">
        <v>227.57999999999998</v>
      </c>
      <c r="Q125" s="384">
        <v>0.5</v>
      </c>
      <c r="R125" s="357">
        <v>3</v>
      </c>
      <c r="S125" s="384">
        <v>0.5</v>
      </c>
      <c r="T125" s="404">
        <v>0.5</v>
      </c>
      <c r="U125" s="385">
        <v>0.5</v>
      </c>
    </row>
    <row r="126" spans="1:21" ht="14.4" customHeight="1" x14ac:dyDescent="0.3">
      <c r="A126" s="356">
        <v>19</v>
      </c>
      <c r="B126" s="357" t="s">
        <v>360</v>
      </c>
      <c r="C126" s="357">
        <v>89301192</v>
      </c>
      <c r="D126" s="402" t="s">
        <v>814</v>
      </c>
      <c r="E126" s="403" t="s">
        <v>504</v>
      </c>
      <c r="F126" s="357" t="s">
        <v>494</v>
      </c>
      <c r="G126" s="357" t="s">
        <v>563</v>
      </c>
      <c r="H126" s="357" t="s">
        <v>815</v>
      </c>
      <c r="I126" s="357" t="s">
        <v>564</v>
      </c>
      <c r="J126" s="357" t="s">
        <v>565</v>
      </c>
      <c r="K126" s="357" t="s">
        <v>566</v>
      </c>
      <c r="L126" s="358">
        <v>391.77</v>
      </c>
      <c r="M126" s="358">
        <v>391.77</v>
      </c>
      <c r="N126" s="357">
        <v>1</v>
      </c>
      <c r="O126" s="404">
        <v>0.5</v>
      </c>
      <c r="P126" s="358">
        <v>391.77</v>
      </c>
      <c r="Q126" s="384">
        <v>1</v>
      </c>
      <c r="R126" s="357">
        <v>1</v>
      </c>
      <c r="S126" s="384">
        <v>1</v>
      </c>
      <c r="T126" s="404">
        <v>0.5</v>
      </c>
      <c r="U126" s="385">
        <v>1</v>
      </c>
    </row>
    <row r="127" spans="1:21" ht="14.4" customHeight="1" x14ac:dyDescent="0.3">
      <c r="A127" s="356">
        <v>19</v>
      </c>
      <c r="B127" s="357" t="s">
        <v>360</v>
      </c>
      <c r="C127" s="357">
        <v>89301192</v>
      </c>
      <c r="D127" s="402" t="s">
        <v>814</v>
      </c>
      <c r="E127" s="403" t="s">
        <v>504</v>
      </c>
      <c r="F127" s="357" t="s">
        <v>494</v>
      </c>
      <c r="G127" s="357" t="s">
        <v>806</v>
      </c>
      <c r="H127" s="357" t="s">
        <v>359</v>
      </c>
      <c r="I127" s="357" t="s">
        <v>807</v>
      </c>
      <c r="J127" s="357" t="s">
        <v>808</v>
      </c>
      <c r="K127" s="357" t="s">
        <v>809</v>
      </c>
      <c r="L127" s="358">
        <v>0</v>
      </c>
      <c r="M127" s="358">
        <v>0</v>
      </c>
      <c r="N127" s="357">
        <v>1</v>
      </c>
      <c r="O127" s="404">
        <v>0.5</v>
      </c>
      <c r="P127" s="358">
        <v>0</v>
      </c>
      <c r="Q127" s="384"/>
      <c r="R127" s="357">
        <v>1</v>
      </c>
      <c r="S127" s="384">
        <v>1</v>
      </c>
      <c r="T127" s="404">
        <v>0.5</v>
      </c>
      <c r="U127" s="385">
        <v>1</v>
      </c>
    </row>
    <row r="128" spans="1:21" ht="14.4" customHeight="1" x14ac:dyDescent="0.3">
      <c r="A128" s="356">
        <v>19</v>
      </c>
      <c r="B128" s="357" t="s">
        <v>360</v>
      </c>
      <c r="C128" s="357">
        <v>89301192</v>
      </c>
      <c r="D128" s="402" t="s">
        <v>814</v>
      </c>
      <c r="E128" s="403" t="s">
        <v>505</v>
      </c>
      <c r="F128" s="357" t="s">
        <v>494</v>
      </c>
      <c r="G128" s="357" t="s">
        <v>776</v>
      </c>
      <c r="H128" s="357" t="s">
        <v>359</v>
      </c>
      <c r="I128" s="357" t="s">
        <v>777</v>
      </c>
      <c r="J128" s="357" t="s">
        <v>778</v>
      </c>
      <c r="K128" s="357"/>
      <c r="L128" s="358">
        <v>0</v>
      </c>
      <c r="M128" s="358">
        <v>0</v>
      </c>
      <c r="N128" s="357">
        <v>8</v>
      </c>
      <c r="O128" s="404">
        <v>3</v>
      </c>
      <c r="P128" s="358">
        <v>0</v>
      </c>
      <c r="Q128" s="384"/>
      <c r="R128" s="357">
        <v>1</v>
      </c>
      <c r="S128" s="384">
        <v>0.125</v>
      </c>
      <c r="T128" s="404">
        <v>1</v>
      </c>
      <c r="U128" s="385">
        <v>0.33333333333333331</v>
      </c>
    </row>
    <row r="129" spans="1:21" ht="14.4" customHeight="1" x14ac:dyDescent="0.3">
      <c r="A129" s="356">
        <v>19</v>
      </c>
      <c r="B129" s="357" t="s">
        <v>360</v>
      </c>
      <c r="C129" s="357">
        <v>89301192</v>
      </c>
      <c r="D129" s="402" t="s">
        <v>814</v>
      </c>
      <c r="E129" s="403" t="s">
        <v>505</v>
      </c>
      <c r="F129" s="357" t="s">
        <v>494</v>
      </c>
      <c r="G129" s="357" t="s">
        <v>789</v>
      </c>
      <c r="H129" s="357" t="s">
        <v>359</v>
      </c>
      <c r="I129" s="357" t="s">
        <v>790</v>
      </c>
      <c r="J129" s="357" t="s">
        <v>791</v>
      </c>
      <c r="K129" s="357" t="s">
        <v>792</v>
      </c>
      <c r="L129" s="358">
        <v>526.17999999999995</v>
      </c>
      <c r="M129" s="358">
        <v>2104.7199999999998</v>
      </c>
      <c r="N129" s="357">
        <v>4</v>
      </c>
      <c r="O129" s="404">
        <v>1.5</v>
      </c>
      <c r="P129" s="358">
        <v>526.17999999999995</v>
      </c>
      <c r="Q129" s="384">
        <v>0.25</v>
      </c>
      <c r="R129" s="357">
        <v>1</v>
      </c>
      <c r="S129" s="384">
        <v>0.25</v>
      </c>
      <c r="T129" s="404">
        <v>0.5</v>
      </c>
      <c r="U129" s="385">
        <v>0.33333333333333331</v>
      </c>
    </row>
    <row r="130" spans="1:21" ht="14.4" customHeight="1" x14ac:dyDescent="0.3">
      <c r="A130" s="356">
        <v>19</v>
      </c>
      <c r="B130" s="357" t="s">
        <v>360</v>
      </c>
      <c r="C130" s="357">
        <v>89301192</v>
      </c>
      <c r="D130" s="402" t="s">
        <v>814</v>
      </c>
      <c r="E130" s="403" t="s">
        <v>505</v>
      </c>
      <c r="F130" s="357" t="s">
        <v>494</v>
      </c>
      <c r="G130" s="357" t="s">
        <v>731</v>
      </c>
      <c r="H130" s="357" t="s">
        <v>359</v>
      </c>
      <c r="I130" s="357" t="s">
        <v>732</v>
      </c>
      <c r="J130" s="357" t="s">
        <v>733</v>
      </c>
      <c r="K130" s="357" t="s">
        <v>734</v>
      </c>
      <c r="L130" s="358">
        <v>0</v>
      </c>
      <c r="M130" s="358">
        <v>0</v>
      </c>
      <c r="N130" s="357">
        <v>10</v>
      </c>
      <c r="O130" s="404">
        <v>5</v>
      </c>
      <c r="P130" s="358">
        <v>0</v>
      </c>
      <c r="Q130" s="384"/>
      <c r="R130" s="357">
        <v>4</v>
      </c>
      <c r="S130" s="384">
        <v>0.4</v>
      </c>
      <c r="T130" s="404">
        <v>1.5</v>
      </c>
      <c r="U130" s="385">
        <v>0.3</v>
      </c>
    </row>
    <row r="131" spans="1:21" ht="14.4" customHeight="1" x14ac:dyDescent="0.3">
      <c r="A131" s="356">
        <v>19</v>
      </c>
      <c r="B131" s="357" t="s">
        <v>360</v>
      </c>
      <c r="C131" s="357">
        <v>89301192</v>
      </c>
      <c r="D131" s="402" t="s">
        <v>814</v>
      </c>
      <c r="E131" s="403" t="s">
        <v>505</v>
      </c>
      <c r="F131" s="357" t="s">
        <v>494</v>
      </c>
      <c r="G131" s="357" t="s">
        <v>731</v>
      </c>
      <c r="H131" s="357" t="s">
        <v>359</v>
      </c>
      <c r="I131" s="357" t="s">
        <v>793</v>
      </c>
      <c r="J131" s="357" t="s">
        <v>733</v>
      </c>
      <c r="K131" s="357" t="s">
        <v>734</v>
      </c>
      <c r="L131" s="358">
        <v>0</v>
      </c>
      <c r="M131" s="358">
        <v>0</v>
      </c>
      <c r="N131" s="357">
        <v>8</v>
      </c>
      <c r="O131" s="404">
        <v>4.5</v>
      </c>
      <c r="P131" s="358"/>
      <c r="Q131" s="384"/>
      <c r="R131" s="357"/>
      <c r="S131" s="384">
        <v>0</v>
      </c>
      <c r="T131" s="404"/>
      <c r="U131" s="385">
        <v>0</v>
      </c>
    </row>
    <row r="132" spans="1:21" ht="14.4" customHeight="1" thickBot="1" x14ac:dyDescent="0.35">
      <c r="A132" s="362">
        <v>19</v>
      </c>
      <c r="B132" s="363" t="s">
        <v>360</v>
      </c>
      <c r="C132" s="363">
        <v>89301192</v>
      </c>
      <c r="D132" s="405" t="s">
        <v>814</v>
      </c>
      <c r="E132" s="406" t="s">
        <v>505</v>
      </c>
      <c r="F132" s="363" t="s">
        <v>494</v>
      </c>
      <c r="G132" s="363" t="s">
        <v>810</v>
      </c>
      <c r="H132" s="363" t="s">
        <v>359</v>
      </c>
      <c r="I132" s="363" t="s">
        <v>811</v>
      </c>
      <c r="J132" s="363" t="s">
        <v>812</v>
      </c>
      <c r="K132" s="363" t="s">
        <v>813</v>
      </c>
      <c r="L132" s="364">
        <v>0</v>
      </c>
      <c r="M132" s="364">
        <v>0</v>
      </c>
      <c r="N132" s="363">
        <v>1</v>
      </c>
      <c r="O132" s="407">
        <v>1</v>
      </c>
      <c r="P132" s="364"/>
      <c r="Q132" s="386"/>
      <c r="R132" s="363"/>
      <c r="S132" s="386">
        <v>0</v>
      </c>
      <c r="T132" s="407"/>
      <c r="U132" s="387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34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65" customWidth="1"/>
    <col min="2" max="2" width="10" style="94" customWidth="1"/>
    <col min="3" max="3" width="5.5546875" style="87" customWidth="1"/>
    <col min="4" max="4" width="10" style="94" customWidth="1"/>
    <col min="5" max="5" width="5.5546875" style="87" customWidth="1"/>
    <col min="6" max="6" width="10" style="94" customWidth="1"/>
    <col min="7" max="7" width="8.88671875" style="65" customWidth="1"/>
    <col min="8" max="16384" width="8.88671875" style="65"/>
  </cols>
  <sheetData>
    <row r="1" spans="1:6" ht="18.600000000000001" customHeight="1" thickBot="1" x14ac:dyDescent="0.4">
      <c r="A1" s="275" t="s">
        <v>816</v>
      </c>
      <c r="B1" s="275"/>
      <c r="C1" s="275"/>
      <c r="D1" s="275"/>
      <c r="E1" s="275"/>
      <c r="F1" s="275"/>
    </row>
    <row r="2" spans="1:6" ht="14.4" customHeight="1" thickBot="1" x14ac:dyDescent="0.35">
      <c r="A2" s="318" t="s">
        <v>193</v>
      </c>
      <c r="B2" s="89"/>
      <c r="C2" s="90"/>
      <c r="D2" s="91"/>
      <c r="E2" s="90"/>
      <c r="F2" s="91"/>
    </row>
    <row r="3" spans="1:6" ht="14.4" customHeight="1" thickBot="1" x14ac:dyDescent="0.35">
      <c r="A3" s="161"/>
      <c r="B3" s="276" t="s">
        <v>160</v>
      </c>
      <c r="C3" s="277"/>
      <c r="D3" s="278" t="s">
        <v>159</v>
      </c>
      <c r="E3" s="277"/>
      <c r="F3" s="117" t="s">
        <v>6</v>
      </c>
    </row>
    <row r="4" spans="1:6" ht="14.4" customHeight="1" thickBot="1" x14ac:dyDescent="0.35">
      <c r="A4" s="408" t="s">
        <v>178</v>
      </c>
      <c r="B4" s="409" t="s">
        <v>17</v>
      </c>
      <c r="C4" s="410" t="s">
        <v>5</v>
      </c>
      <c r="D4" s="409" t="s">
        <v>17</v>
      </c>
      <c r="E4" s="410" t="s">
        <v>5</v>
      </c>
      <c r="F4" s="411" t="s">
        <v>17</v>
      </c>
    </row>
    <row r="5" spans="1:6" ht="14.4" customHeight="1" x14ac:dyDescent="0.3">
      <c r="A5" s="419" t="s">
        <v>501</v>
      </c>
      <c r="B5" s="354">
        <v>4270.9699999999993</v>
      </c>
      <c r="C5" s="382">
        <v>0.93827260844253568</v>
      </c>
      <c r="D5" s="354">
        <v>280.98</v>
      </c>
      <c r="E5" s="382">
        <v>6.1727391557464401E-2</v>
      </c>
      <c r="F5" s="355">
        <v>4551.9499999999989</v>
      </c>
    </row>
    <row r="6" spans="1:6" ht="14.4" customHeight="1" x14ac:dyDescent="0.3">
      <c r="A6" s="420" t="s">
        <v>503</v>
      </c>
      <c r="B6" s="360">
        <v>1652.88</v>
      </c>
      <c r="C6" s="384">
        <v>0.65075809175843424</v>
      </c>
      <c r="D6" s="360">
        <v>887.05</v>
      </c>
      <c r="E6" s="384">
        <v>0.34924190824156565</v>
      </c>
      <c r="F6" s="361">
        <v>2539.9300000000003</v>
      </c>
    </row>
    <row r="7" spans="1:6" ht="14.4" customHeight="1" x14ac:dyDescent="0.3">
      <c r="A7" s="420" t="s">
        <v>500</v>
      </c>
      <c r="B7" s="360">
        <v>712.09</v>
      </c>
      <c r="C7" s="384">
        <v>0.13215068470270783</v>
      </c>
      <c r="D7" s="360">
        <v>4676.38</v>
      </c>
      <c r="E7" s="384">
        <v>0.86784931529729215</v>
      </c>
      <c r="F7" s="361">
        <v>5388.47</v>
      </c>
    </row>
    <row r="8" spans="1:6" ht="14.4" customHeight="1" x14ac:dyDescent="0.3">
      <c r="A8" s="420" t="s">
        <v>502</v>
      </c>
      <c r="B8" s="360">
        <v>380.13</v>
      </c>
      <c r="C8" s="384">
        <v>0.57348681431416326</v>
      </c>
      <c r="D8" s="360">
        <v>282.71000000000004</v>
      </c>
      <c r="E8" s="384">
        <v>0.42651318568583674</v>
      </c>
      <c r="F8" s="361">
        <v>662.84</v>
      </c>
    </row>
    <row r="9" spans="1:6" ht="14.4" customHeight="1" x14ac:dyDescent="0.3">
      <c r="A9" s="420" t="s">
        <v>498</v>
      </c>
      <c r="B9" s="360"/>
      <c r="C9" s="384">
        <v>0</v>
      </c>
      <c r="D9" s="360">
        <v>633.52</v>
      </c>
      <c r="E9" s="384">
        <v>1</v>
      </c>
      <c r="F9" s="361">
        <v>633.52</v>
      </c>
    </row>
    <row r="10" spans="1:6" ht="14.4" customHeight="1" x14ac:dyDescent="0.3">
      <c r="A10" s="420" t="s">
        <v>499</v>
      </c>
      <c r="B10" s="360"/>
      <c r="C10" s="384">
        <v>0</v>
      </c>
      <c r="D10" s="360">
        <v>842.86999999999989</v>
      </c>
      <c r="E10" s="384">
        <v>1</v>
      </c>
      <c r="F10" s="361">
        <v>842.86999999999989</v>
      </c>
    </row>
    <row r="11" spans="1:6" ht="14.4" customHeight="1" thickBot="1" x14ac:dyDescent="0.35">
      <c r="A11" s="421" t="s">
        <v>504</v>
      </c>
      <c r="B11" s="412"/>
      <c r="C11" s="413">
        <v>0</v>
      </c>
      <c r="D11" s="412">
        <v>1881.11</v>
      </c>
      <c r="E11" s="413">
        <v>1</v>
      </c>
      <c r="F11" s="414">
        <v>1881.11</v>
      </c>
    </row>
    <row r="12" spans="1:6" ht="14.4" customHeight="1" thickBot="1" x14ac:dyDescent="0.35">
      <c r="A12" s="415" t="s">
        <v>6</v>
      </c>
      <c r="B12" s="416">
        <v>7016.07</v>
      </c>
      <c r="C12" s="417">
        <v>0.42519858260472748</v>
      </c>
      <c r="D12" s="416">
        <v>9484.619999999999</v>
      </c>
      <c r="E12" s="417">
        <v>0.57480141739527257</v>
      </c>
      <c r="F12" s="418">
        <v>16500.689999999999</v>
      </c>
    </row>
    <row r="13" spans="1:6" ht="14.4" customHeight="1" thickBot="1" x14ac:dyDescent="0.35"/>
    <row r="14" spans="1:6" ht="14.4" customHeight="1" x14ac:dyDescent="0.3">
      <c r="A14" s="419" t="s">
        <v>817</v>
      </c>
      <c r="B14" s="354">
        <v>2985.16</v>
      </c>
      <c r="C14" s="382">
        <v>1</v>
      </c>
      <c r="D14" s="354"/>
      <c r="E14" s="382">
        <v>0</v>
      </c>
      <c r="F14" s="355">
        <v>2985.16</v>
      </c>
    </row>
    <row r="15" spans="1:6" ht="14.4" customHeight="1" x14ac:dyDescent="0.3">
      <c r="A15" s="420" t="s">
        <v>818</v>
      </c>
      <c r="B15" s="360">
        <v>1652.88</v>
      </c>
      <c r="C15" s="384">
        <v>1</v>
      </c>
      <c r="D15" s="360"/>
      <c r="E15" s="384">
        <v>0</v>
      </c>
      <c r="F15" s="361">
        <v>1652.88</v>
      </c>
    </row>
    <row r="16" spans="1:6" ht="14.4" customHeight="1" x14ac:dyDescent="0.3">
      <c r="A16" s="420" t="s">
        <v>819</v>
      </c>
      <c r="B16" s="360">
        <v>759.24</v>
      </c>
      <c r="C16" s="384">
        <v>1</v>
      </c>
      <c r="D16" s="360"/>
      <c r="E16" s="384">
        <v>0</v>
      </c>
      <c r="F16" s="361">
        <v>759.24</v>
      </c>
    </row>
    <row r="17" spans="1:6" ht="14.4" customHeight="1" x14ac:dyDescent="0.3">
      <c r="A17" s="420" t="s">
        <v>820</v>
      </c>
      <c r="B17" s="360">
        <v>666.62</v>
      </c>
      <c r="C17" s="384">
        <v>0.5</v>
      </c>
      <c r="D17" s="360">
        <v>666.62</v>
      </c>
      <c r="E17" s="384">
        <v>0.5</v>
      </c>
      <c r="F17" s="361">
        <v>1333.24</v>
      </c>
    </row>
    <row r="18" spans="1:6" ht="14.4" customHeight="1" x14ac:dyDescent="0.3">
      <c r="A18" s="420" t="s">
        <v>821</v>
      </c>
      <c r="B18" s="360">
        <v>380.13</v>
      </c>
      <c r="C18" s="384">
        <v>0.65515933886006783</v>
      </c>
      <c r="D18" s="360">
        <v>200.08</v>
      </c>
      <c r="E18" s="384">
        <v>0.34484066113993211</v>
      </c>
      <c r="F18" s="361">
        <v>580.21</v>
      </c>
    </row>
    <row r="19" spans="1:6" ht="14.4" customHeight="1" x14ac:dyDescent="0.3">
      <c r="A19" s="420" t="s">
        <v>822</v>
      </c>
      <c r="B19" s="360">
        <v>378.78000000000003</v>
      </c>
      <c r="C19" s="384">
        <v>0.50003960396039604</v>
      </c>
      <c r="D19" s="360">
        <v>378.71999999999991</v>
      </c>
      <c r="E19" s="384">
        <v>0.49996039603960385</v>
      </c>
      <c r="F19" s="361">
        <v>757.5</v>
      </c>
    </row>
    <row r="20" spans="1:6" ht="14.4" customHeight="1" x14ac:dyDescent="0.3">
      <c r="A20" s="420" t="s">
        <v>823</v>
      </c>
      <c r="B20" s="360">
        <v>193.26</v>
      </c>
      <c r="C20" s="384">
        <v>1</v>
      </c>
      <c r="D20" s="360"/>
      <c r="E20" s="384">
        <v>0</v>
      </c>
      <c r="F20" s="361">
        <v>193.26</v>
      </c>
    </row>
    <row r="21" spans="1:6" ht="14.4" customHeight="1" x14ac:dyDescent="0.3">
      <c r="A21" s="420" t="s">
        <v>824</v>
      </c>
      <c r="B21" s="360">
        <v>0</v>
      </c>
      <c r="C21" s="384"/>
      <c r="D21" s="360"/>
      <c r="E21" s="384"/>
      <c r="F21" s="361">
        <v>0</v>
      </c>
    </row>
    <row r="22" spans="1:6" ht="14.4" customHeight="1" x14ac:dyDescent="0.3">
      <c r="A22" s="420" t="s">
        <v>825</v>
      </c>
      <c r="B22" s="360">
        <v>0</v>
      </c>
      <c r="C22" s="384"/>
      <c r="D22" s="360"/>
      <c r="E22" s="384"/>
      <c r="F22" s="361">
        <v>0</v>
      </c>
    </row>
    <row r="23" spans="1:6" ht="14.4" customHeight="1" x14ac:dyDescent="0.3">
      <c r="A23" s="420" t="s">
        <v>826</v>
      </c>
      <c r="B23" s="360"/>
      <c r="C23" s="384">
        <v>0</v>
      </c>
      <c r="D23" s="360">
        <v>433.11</v>
      </c>
      <c r="E23" s="384">
        <v>1</v>
      </c>
      <c r="F23" s="361">
        <v>433.11</v>
      </c>
    </row>
    <row r="24" spans="1:6" ht="14.4" customHeight="1" x14ac:dyDescent="0.3">
      <c r="A24" s="420" t="s">
        <v>827</v>
      </c>
      <c r="B24" s="360"/>
      <c r="C24" s="384">
        <v>0</v>
      </c>
      <c r="D24" s="360">
        <v>1108.1999999999998</v>
      </c>
      <c r="E24" s="384">
        <v>1</v>
      </c>
      <c r="F24" s="361">
        <v>1108.1999999999998</v>
      </c>
    </row>
    <row r="25" spans="1:6" ht="14.4" customHeight="1" x14ac:dyDescent="0.3">
      <c r="A25" s="420" t="s">
        <v>828</v>
      </c>
      <c r="B25" s="360"/>
      <c r="C25" s="384">
        <v>0</v>
      </c>
      <c r="D25" s="360">
        <v>1950.08</v>
      </c>
      <c r="E25" s="384">
        <v>1</v>
      </c>
      <c r="F25" s="361">
        <v>1950.08</v>
      </c>
    </row>
    <row r="26" spans="1:6" ht="14.4" customHeight="1" x14ac:dyDescent="0.3">
      <c r="A26" s="420" t="s">
        <v>829</v>
      </c>
      <c r="B26" s="360"/>
      <c r="C26" s="384">
        <v>0</v>
      </c>
      <c r="D26" s="360">
        <v>1185.9099999999999</v>
      </c>
      <c r="E26" s="384">
        <v>1</v>
      </c>
      <c r="F26" s="361">
        <v>1185.9099999999999</v>
      </c>
    </row>
    <row r="27" spans="1:6" ht="14.4" customHeight="1" x14ac:dyDescent="0.3">
      <c r="A27" s="420" t="s">
        <v>830</v>
      </c>
      <c r="B27" s="360"/>
      <c r="C27" s="384">
        <v>0</v>
      </c>
      <c r="D27" s="360">
        <v>887.05</v>
      </c>
      <c r="E27" s="384">
        <v>1</v>
      </c>
      <c r="F27" s="361">
        <v>887.05</v>
      </c>
    </row>
    <row r="28" spans="1:6" ht="14.4" customHeight="1" x14ac:dyDescent="0.3">
      <c r="A28" s="420" t="s">
        <v>831</v>
      </c>
      <c r="B28" s="360"/>
      <c r="C28" s="384">
        <v>0</v>
      </c>
      <c r="D28" s="360">
        <v>1239.6600000000001</v>
      </c>
      <c r="E28" s="384">
        <v>1</v>
      </c>
      <c r="F28" s="361">
        <v>1239.6600000000001</v>
      </c>
    </row>
    <row r="29" spans="1:6" ht="14.4" customHeight="1" x14ac:dyDescent="0.3">
      <c r="A29" s="420" t="s">
        <v>832</v>
      </c>
      <c r="B29" s="360"/>
      <c r="C29" s="384">
        <v>0</v>
      </c>
      <c r="D29" s="360">
        <v>17.690000000000001</v>
      </c>
      <c r="E29" s="384">
        <v>1</v>
      </c>
      <c r="F29" s="361">
        <v>17.690000000000001</v>
      </c>
    </row>
    <row r="30" spans="1:6" ht="14.4" customHeight="1" x14ac:dyDescent="0.3">
      <c r="A30" s="420" t="s">
        <v>833</v>
      </c>
      <c r="B30" s="360"/>
      <c r="C30" s="384">
        <v>0</v>
      </c>
      <c r="D30" s="360">
        <v>230.41</v>
      </c>
      <c r="E30" s="384">
        <v>1</v>
      </c>
      <c r="F30" s="361">
        <v>230.41</v>
      </c>
    </row>
    <row r="31" spans="1:6" ht="14.4" customHeight="1" x14ac:dyDescent="0.3">
      <c r="A31" s="420" t="s">
        <v>834</v>
      </c>
      <c r="B31" s="360"/>
      <c r="C31" s="384">
        <v>0</v>
      </c>
      <c r="D31" s="360">
        <v>1022.1299999999999</v>
      </c>
      <c r="E31" s="384">
        <v>1</v>
      </c>
      <c r="F31" s="361">
        <v>1022.1299999999999</v>
      </c>
    </row>
    <row r="32" spans="1:6" ht="14.4" customHeight="1" x14ac:dyDescent="0.3">
      <c r="A32" s="420" t="s">
        <v>835</v>
      </c>
      <c r="B32" s="360"/>
      <c r="C32" s="384">
        <v>0</v>
      </c>
      <c r="D32" s="360">
        <v>50.57</v>
      </c>
      <c r="E32" s="384">
        <v>1</v>
      </c>
      <c r="F32" s="361">
        <v>50.57</v>
      </c>
    </row>
    <row r="33" spans="1:6" ht="14.4" customHeight="1" thickBot="1" x14ac:dyDescent="0.35">
      <c r="A33" s="421" t="s">
        <v>836</v>
      </c>
      <c r="B33" s="412"/>
      <c r="C33" s="413">
        <v>0</v>
      </c>
      <c r="D33" s="412">
        <v>114.39000000000001</v>
      </c>
      <c r="E33" s="413">
        <v>1</v>
      </c>
      <c r="F33" s="414">
        <v>114.39000000000001</v>
      </c>
    </row>
    <row r="34" spans="1:6" ht="14.4" customHeight="1" thickBot="1" x14ac:dyDescent="0.35">
      <c r="A34" s="415" t="s">
        <v>6</v>
      </c>
      <c r="B34" s="416">
        <v>7016.07</v>
      </c>
      <c r="C34" s="417">
        <v>0.42519858260472748</v>
      </c>
      <c r="D34" s="416">
        <v>9484.6200000000008</v>
      </c>
      <c r="E34" s="417">
        <v>0.57480141739527268</v>
      </c>
      <c r="F34" s="418">
        <v>16500.689999999999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11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{5C354E86-5672-47DE-88FA-B0A66AFDA164}</x14:id>
        </ext>
      </extLst>
    </cfRule>
  </conditionalFormatting>
  <conditionalFormatting sqref="F14:F33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{52076ADC-C728-461A-A5F2-C1E2E5B220DB}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C354E86-5672-47DE-88FA-B0A66AFDA16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F5:F11</xm:sqref>
        </x14:conditionalFormatting>
        <x14:conditionalFormatting xmlns:xm="http://schemas.microsoft.com/office/excel/2006/main">
          <x14:cfRule type="dataBar" id="{52076ADC-C728-461A-A5F2-C1E2E5B220D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F14:F33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44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65" customWidth="1"/>
    <col min="2" max="2" width="8.88671875" style="65" bestFit="1" customWidth="1"/>
    <col min="3" max="3" width="7" style="65" bestFit="1" customWidth="1"/>
    <col min="4" max="5" width="22.21875" style="65" customWidth="1"/>
    <col min="6" max="6" width="6.6640625" style="94" customWidth="1"/>
    <col min="7" max="7" width="10" style="94" customWidth="1"/>
    <col min="8" max="8" width="6.77734375" style="87" customWidth="1"/>
    <col min="9" max="9" width="6.6640625" style="94" customWidth="1"/>
    <col min="10" max="10" width="10" style="94" customWidth="1"/>
    <col min="11" max="11" width="6.77734375" style="87" customWidth="1"/>
    <col min="12" max="12" width="6.6640625" style="94" customWidth="1"/>
    <col min="13" max="13" width="10" style="94" customWidth="1"/>
    <col min="14" max="16384" width="8.88671875" style="65"/>
  </cols>
  <sheetData>
    <row r="1" spans="1:13" ht="18.600000000000001" customHeight="1" thickBot="1" x14ac:dyDescent="0.4">
      <c r="A1" s="275" t="s">
        <v>166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41"/>
      <c r="M1" s="241"/>
    </row>
    <row r="2" spans="1:13" ht="14.4" customHeight="1" thickBot="1" x14ac:dyDescent="0.35">
      <c r="A2" s="318" t="s">
        <v>193</v>
      </c>
      <c r="B2" s="92"/>
      <c r="C2" s="92"/>
      <c r="D2" s="92"/>
      <c r="E2" s="92"/>
      <c r="F2" s="93"/>
      <c r="G2" s="93"/>
      <c r="H2" s="162"/>
      <c r="I2" s="93"/>
      <c r="J2" s="93"/>
      <c r="K2" s="162"/>
      <c r="L2" s="93"/>
    </row>
    <row r="3" spans="1:13" ht="14.4" customHeight="1" thickBot="1" x14ac:dyDescent="0.35">
      <c r="E3" s="116" t="s">
        <v>158</v>
      </c>
      <c r="F3" s="52">
        <f>SUBTOTAL(9,F6:F1048576)</f>
        <v>26</v>
      </c>
      <c r="G3" s="52">
        <f>SUBTOTAL(9,G6:G1048576)</f>
        <v>7016.0700000000006</v>
      </c>
      <c r="H3" s="53">
        <f>IF(M3=0,0,G3/M3)</f>
        <v>0.42519858260472759</v>
      </c>
      <c r="I3" s="52">
        <f>SUBTOTAL(9,I6:I1048576)</f>
        <v>54</v>
      </c>
      <c r="J3" s="52">
        <f>SUBTOTAL(9,J6:J1048576)</f>
        <v>9484.6199999999972</v>
      </c>
      <c r="K3" s="53">
        <f>IF(M3=0,0,J3/M3)</f>
        <v>0.57480141739527257</v>
      </c>
      <c r="L3" s="52">
        <f>SUBTOTAL(9,L6:L1048576)</f>
        <v>80</v>
      </c>
      <c r="M3" s="54">
        <f>SUBTOTAL(9,M6:M1048576)</f>
        <v>16500.689999999995</v>
      </c>
    </row>
    <row r="4" spans="1:13" ht="14.4" customHeight="1" thickBot="1" x14ac:dyDescent="0.35">
      <c r="A4" s="50"/>
      <c r="B4" s="50"/>
      <c r="C4" s="50"/>
      <c r="D4" s="50"/>
      <c r="E4" s="51"/>
      <c r="F4" s="279" t="s">
        <v>160</v>
      </c>
      <c r="G4" s="280"/>
      <c r="H4" s="281"/>
      <c r="I4" s="282" t="s">
        <v>159</v>
      </c>
      <c r="J4" s="280"/>
      <c r="K4" s="281"/>
      <c r="L4" s="283" t="s">
        <v>6</v>
      </c>
      <c r="M4" s="284"/>
    </row>
    <row r="5" spans="1:13" ht="14.4" customHeight="1" thickBot="1" x14ac:dyDescent="0.35">
      <c r="A5" s="408" t="s">
        <v>165</v>
      </c>
      <c r="B5" s="422" t="s">
        <v>161</v>
      </c>
      <c r="C5" s="422" t="s">
        <v>92</v>
      </c>
      <c r="D5" s="422" t="s">
        <v>162</v>
      </c>
      <c r="E5" s="422" t="s">
        <v>163</v>
      </c>
      <c r="F5" s="423" t="s">
        <v>31</v>
      </c>
      <c r="G5" s="423" t="s">
        <v>17</v>
      </c>
      <c r="H5" s="410" t="s">
        <v>164</v>
      </c>
      <c r="I5" s="409" t="s">
        <v>31</v>
      </c>
      <c r="J5" s="423" t="s">
        <v>17</v>
      </c>
      <c r="K5" s="410" t="s">
        <v>164</v>
      </c>
      <c r="L5" s="409" t="s">
        <v>31</v>
      </c>
      <c r="M5" s="424" t="s">
        <v>17</v>
      </c>
    </row>
    <row r="6" spans="1:13" ht="14.4" customHeight="1" x14ac:dyDescent="0.3">
      <c r="A6" s="350" t="s">
        <v>498</v>
      </c>
      <c r="B6" s="351" t="s">
        <v>837</v>
      </c>
      <c r="C6" s="351" t="s">
        <v>523</v>
      </c>
      <c r="D6" s="351" t="s">
        <v>524</v>
      </c>
      <c r="E6" s="351" t="s">
        <v>525</v>
      </c>
      <c r="F6" s="354"/>
      <c r="G6" s="354"/>
      <c r="H6" s="382">
        <v>0</v>
      </c>
      <c r="I6" s="354">
        <v>3</v>
      </c>
      <c r="J6" s="354">
        <v>633.52</v>
      </c>
      <c r="K6" s="382">
        <v>1</v>
      </c>
      <c r="L6" s="354">
        <v>3</v>
      </c>
      <c r="M6" s="355">
        <v>633.52</v>
      </c>
    </row>
    <row r="7" spans="1:13" ht="14.4" customHeight="1" x14ac:dyDescent="0.3">
      <c r="A7" s="356" t="s">
        <v>499</v>
      </c>
      <c r="B7" s="357" t="s">
        <v>838</v>
      </c>
      <c r="C7" s="357" t="s">
        <v>560</v>
      </c>
      <c r="D7" s="357" t="s">
        <v>561</v>
      </c>
      <c r="E7" s="357" t="s">
        <v>562</v>
      </c>
      <c r="F7" s="360"/>
      <c r="G7" s="360"/>
      <c r="H7" s="384">
        <v>0</v>
      </c>
      <c r="I7" s="360">
        <v>1</v>
      </c>
      <c r="J7" s="360">
        <v>126.44</v>
      </c>
      <c r="K7" s="384">
        <v>1</v>
      </c>
      <c r="L7" s="360">
        <v>1</v>
      </c>
      <c r="M7" s="361">
        <v>126.44</v>
      </c>
    </row>
    <row r="8" spans="1:13" ht="14.4" customHeight="1" x14ac:dyDescent="0.3">
      <c r="A8" s="356" t="s">
        <v>499</v>
      </c>
      <c r="B8" s="357" t="s">
        <v>839</v>
      </c>
      <c r="C8" s="357" t="s">
        <v>564</v>
      </c>
      <c r="D8" s="357" t="s">
        <v>565</v>
      </c>
      <c r="E8" s="357" t="s">
        <v>566</v>
      </c>
      <c r="F8" s="360"/>
      <c r="G8" s="360"/>
      <c r="H8" s="384">
        <v>0</v>
      </c>
      <c r="I8" s="360">
        <v>1</v>
      </c>
      <c r="J8" s="360">
        <v>716.43</v>
      </c>
      <c r="K8" s="384">
        <v>1</v>
      </c>
      <c r="L8" s="360">
        <v>1</v>
      </c>
      <c r="M8" s="361">
        <v>716.43</v>
      </c>
    </row>
    <row r="9" spans="1:13" ht="14.4" customHeight="1" x14ac:dyDescent="0.3">
      <c r="A9" s="356" t="s">
        <v>500</v>
      </c>
      <c r="B9" s="357" t="s">
        <v>840</v>
      </c>
      <c r="C9" s="357" t="s">
        <v>639</v>
      </c>
      <c r="D9" s="357" t="s">
        <v>640</v>
      </c>
      <c r="E9" s="357" t="s">
        <v>641</v>
      </c>
      <c r="F9" s="360"/>
      <c r="G9" s="360"/>
      <c r="H9" s="384">
        <v>0</v>
      </c>
      <c r="I9" s="360">
        <v>2</v>
      </c>
      <c r="J9" s="360">
        <v>200.08</v>
      </c>
      <c r="K9" s="384">
        <v>1</v>
      </c>
      <c r="L9" s="360">
        <v>2</v>
      </c>
      <c r="M9" s="361">
        <v>200.08</v>
      </c>
    </row>
    <row r="10" spans="1:13" ht="14.4" customHeight="1" x14ac:dyDescent="0.3">
      <c r="A10" s="356" t="s">
        <v>500</v>
      </c>
      <c r="B10" s="357" t="s">
        <v>841</v>
      </c>
      <c r="C10" s="357" t="s">
        <v>572</v>
      </c>
      <c r="D10" s="357" t="s">
        <v>573</v>
      </c>
      <c r="E10" s="357" t="s">
        <v>574</v>
      </c>
      <c r="F10" s="360"/>
      <c r="G10" s="360"/>
      <c r="H10" s="384">
        <v>0</v>
      </c>
      <c r="I10" s="360">
        <v>2</v>
      </c>
      <c r="J10" s="360">
        <v>162.41999999999999</v>
      </c>
      <c r="K10" s="384">
        <v>1</v>
      </c>
      <c r="L10" s="360">
        <v>2</v>
      </c>
      <c r="M10" s="361">
        <v>162.41999999999999</v>
      </c>
    </row>
    <row r="11" spans="1:13" ht="14.4" customHeight="1" x14ac:dyDescent="0.3">
      <c r="A11" s="356" t="s">
        <v>500</v>
      </c>
      <c r="B11" s="357" t="s">
        <v>841</v>
      </c>
      <c r="C11" s="357" t="s">
        <v>575</v>
      </c>
      <c r="D11" s="357" t="s">
        <v>573</v>
      </c>
      <c r="E11" s="357" t="s">
        <v>576</v>
      </c>
      <c r="F11" s="360"/>
      <c r="G11" s="360"/>
      <c r="H11" s="384">
        <v>0</v>
      </c>
      <c r="I11" s="360">
        <v>1</v>
      </c>
      <c r="J11" s="360">
        <v>270.69</v>
      </c>
      <c r="K11" s="384">
        <v>1</v>
      </c>
      <c r="L11" s="360">
        <v>1</v>
      </c>
      <c r="M11" s="361">
        <v>270.69</v>
      </c>
    </row>
    <row r="12" spans="1:13" ht="14.4" customHeight="1" x14ac:dyDescent="0.3">
      <c r="A12" s="356" t="s">
        <v>500</v>
      </c>
      <c r="B12" s="357" t="s">
        <v>838</v>
      </c>
      <c r="C12" s="357" t="s">
        <v>654</v>
      </c>
      <c r="D12" s="357" t="s">
        <v>655</v>
      </c>
      <c r="E12" s="357" t="s">
        <v>574</v>
      </c>
      <c r="F12" s="360"/>
      <c r="G12" s="360"/>
      <c r="H12" s="384">
        <v>0</v>
      </c>
      <c r="I12" s="360">
        <v>2</v>
      </c>
      <c r="J12" s="360">
        <v>269.68</v>
      </c>
      <c r="K12" s="384">
        <v>1</v>
      </c>
      <c r="L12" s="360">
        <v>2</v>
      </c>
      <c r="M12" s="361">
        <v>269.68</v>
      </c>
    </row>
    <row r="13" spans="1:13" ht="14.4" customHeight="1" x14ac:dyDescent="0.3">
      <c r="A13" s="356" t="s">
        <v>500</v>
      </c>
      <c r="B13" s="357" t="s">
        <v>842</v>
      </c>
      <c r="C13" s="357" t="s">
        <v>629</v>
      </c>
      <c r="D13" s="357" t="s">
        <v>630</v>
      </c>
      <c r="E13" s="357" t="s">
        <v>631</v>
      </c>
      <c r="F13" s="360"/>
      <c r="G13" s="360"/>
      <c r="H13" s="384">
        <v>0</v>
      </c>
      <c r="I13" s="360">
        <v>3</v>
      </c>
      <c r="J13" s="360">
        <v>970.29</v>
      </c>
      <c r="K13" s="384">
        <v>1</v>
      </c>
      <c r="L13" s="360">
        <v>3</v>
      </c>
      <c r="M13" s="361">
        <v>970.29</v>
      </c>
    </row>
    <row r="14" spans="1:13" ht="14.4" customHeight="1" x14ac:dyDescent="0.3">
      <c r="A14" s="356" t="s">
        <v>500</v>
      </c>
      <c r="B14" s="357" t="s">
        <v>842</v>
      </c>
      <c r="C14" s="357" t="s">
        <v>632</v>
      </c>
      <c r="D14" s="357" t="s">
        <v>630</v>
      </c>
      <c r="E14" s="357" t="s">
        <v>633</v>
      </c>
      <c r="F14" s="360"/>
      <c r="G14" s="360"/>
      <c r="H14" s="384">
        <v>0</v>
      </c>
      <c r="I14" s="360">
        <v>2</v>
      </c>
      <c r="J14" s="360">
        <v>215.62</v>
      </c>
      <c r="K14" s="384">
        <v>1</v>
      </c>
      <c r="L14" s="360">
        <v>2</v>
      </c>
      <c r="M14" s="361">
        <v>215.62</v>
      </c>
    </row>
    <row r="15" spans="1:13" ht="14.4" customHeight="1" x14ac:dyDescent="0.3">
      <c r="A15" s="356" t="s">
        <v>500</v>
      </c>
      <c r="B15" s="357" t="s">
        <v>843</v>
      </c>
      <c r="C15" s="357" t="s">
        <v>578</v>
      </c>
      <c r="D15" s="357" t="s">
        <v>579</v>
      </c>
      <c r="E15" s="357" t="s">
        <v>580</v>
      </c>
      <c r="F15" s="360">
        <v>1</v>
      </c>
      <c r="G15" s="360">
        <v>333.31</v>
      </c>
      <c r="H15" s="384">
        <v>1</v>
      </c>
      <c r="I15" s="360"/>
      <c r="J15" s="360"/>
      <c r="K15" s="384">
        <v>0</v>
      </c>
      <c r="L15" s="360">
        <v>1</v>
      </c>
      <c r="M15" s="361">
        <v>333.31</v>
      </c>
    </row>
    <row r="16" spans="1:13" ht="14.4" customHeight="1" x14ac:dyDescent="0.3">
      <c r="A16" s="356" t="s">
        <v>500</v>
      </c>
      <c r="B16" s="357" t="s">
        <v>843</v>
      </c>
      <c r="C16" s="357" t="s">
        <v>581</v>
      </c>
      <c r="D16" s="357" t="s">
        <v>582</v>
      </c>
      <c r="E16" s="357" t="s">
        <v>580</v>
      </c>
      <c r="F16" s="360"/>
      <c r="G16" s="360"/>
      <c r="H16" s="384">
        <v>0</v>
      </c>
      <c r="I16" s="360">
        <v>1</v>
      </c>
      <c r="J16" s="360">
        <v>333.31</v>
      </c>
      <c r="K16" s="384">
        <v>1</v>
      </c>
      <c r="L16" s="360">
        <v>1</v>
      </c>
      <c r="M16" s="361">
        <v>333.31</v>
      </c>
    </row>
    <row r="17" spans="1:13" ht="14.4" customHeight="1" x14ac:dyDescent="0.3">
      <c r="A17" s="356" t="s">
        <v>500</v>
      </c>
      <c r="B17" s="357" t="s">
        <v>837</v>
      </c>
      <c r="C17" s="357" t="s">
        <v>523</v>
      </c>
      <c r="D17" s="357" t="s">
        <v>524</v>
      </c>
      <c r="E17" s="357" t="s">
        <v>525</v>
      </c>
      <c r="F17" s="360"/>
      <c r="G17" s="360"/>
      <c r="H17" s="384">
        <v>0</v>
      </c>
      <c r="I17" s="360">
        <v>3</v>
      </c>
      <c r="J17" s="360">
        <v>1199.76</v>
      </c>
      <c r="K17" s="384">
        <v>1</v>
      </c>
      <c r="L17" s="360">
        <v>3</v>
      </c>
      <c r="M17" s="361">
        <v>1199.76</v>
      </c>
    </row>
    <row r="18" spans="1:13" ht="14.4" customHeight="1" x14ac:dyDescent="0.3">
      <c r="A18" s="356" t="s">
        <v>500</v>
      </c>
      <c r="B18" s="357" t="s">
        <v>844</v>
      </c>
      <c r="C18" s="357" t="s">
        <v>657</v>
      </c>
      <c r="D18" s="357" t="s">
        <v>658</v>
      </c>
      <c r="E18" s="357" t="s">
        <v>659</v>
      </c>
      <c r="F18" s="360">
        <v>3</v>
      </c>
      <c r="G18" s="360">
        <v>378.78000000000003</v>
      </c>
      <c r="H18" s="384">
        <v>1</v>
      </c>
      <c r="I18" s="360"/>
      <c r="J18" s="360"/>
      <c r="K18" s="384">
        <v>0</v>
      </c>
      <c r="L18" s="360">
        <v>3</v>
      </c>
      <c r="M18" s="361">
        <v>378.78000000000003</v>
      </c>
    </row>
    <row r="19" spans="1:13" ht="14.4" customHeight="1" x14ac:dyDescent="0.3">
      <c r="A19" s="356" t="s">
        <v>500</v>
      </c>
      <c r="B19" s="357" t="s">
        <v>844</v>
      </c>
      <c r="C19" s="357" t="s">
        <v>660</v>
      </c>
      <c r="D19" s="357" t="s">
        <v>661</v>
      </c>
      <c r="E19" s="357" t="s">
        <v>662</v>
      </c>
      <c r="F19" s="360"/>
      <c r="G19" s="360"/>
      <c r="H19" s="384">
        <v>0</v>
      </c>
      <c r="I19" s="360">
        <v>5</v>
      </c>
      <c r="J19" s="360">
        <v>210.39999999999998</v>
      </c>
      <c r="K19" s="384">
        <v>1</v>
      </c>
      <c r="L19" s="360">
        <v>5</v>
      </c>
      <c r="M19" s="361">
        <v>210.39999999999998</v>
      </c>
    </row>
    <row r="20" spans="1:13" ht="14.4" customHeight="1" x14ac:dyDescent="0.3">
      <c r="A20" s="356" t="s">
        <v>500</v>
      </c>
      <c r="B20" s="357" t="s">
        <v>845</v>
      </c>
      <c r="C20" s="357" t="s">
        <v>568</v>
      </c>
      <c r="D20" s="357" t="s">
        <v>569</v>
      </c>
      <c r="E20" s="357" t="s">
        <v>570</v>
      </c>
      <c r="F20" s="360"/>
      <c r="G20" s="360"/>
      <c r="H20" s="384">
        <v>0</v>
      </c>
      <c r="I20" s="360">
        <v>1</v>
      </c>
      <c r="J20" s="360">
        <v>17.690000000000001</v>
      </c>
      <c r="K20" s="384">
        <v>1</v>
      </c>
      <c r="L20" s="360">
        <v>1</v>
      </c>
      <c r="M20" s="361">
        <v>17.690000000000001</v>
      </c>
    </row>
    <row r="21" spans="1:13" ht="14.4" customHeight="1" x14ac:dyDescent="0.3">
      <c r="A21" s="356" t="s">
        <v>500</v>
      </c>
      <c r="B21" s="357" t="s">
        <v>846</v>
      </c>
      <c r="C21" s="357" t="s">
        <v>592</v>
      </c>
      <c r="D21" s="357" t="s">
        <v>593</v>
      </c>
      <c r="E21" s="357" t="s">
        <v>566</v>
      </c>
      <c r="F21" s="360"/>
      <c r="G21" s="360"/>
      <c r="H21" s="384">
        <v>0</v>
      </c>
      <c r="I21" s="360">
        <v>2</v>
      </c>
      <c r="J21" s="360">
        <v>826.44</v>
      </c>
      <c r="K21" s="384">
        <v>1</v>
      </c>
      <c r="L21" s="360">
        <v>2</v>
      </c>
      <c r="M21" s="361">
        <v>826.44</v>
      </c>
    </row>
    <row r="22" spans="1:13" ht="14.4" customHeight="1" x14ac:dyDescent="0.3">
      <c r="A22" s="356" t="s">
        <v>501</v>
      </c>
      <c r="B22" s="357" t="s">
        <v>847</v>
      </c>
      <c r="C22" s="357" t="s">
        <v>685</v>
      </c>
      <c r="D22" s="357" t="s">
        <v>686</v>
      </c>
      <c r="E22" s="357" t="s">
        <v>687</v>
      </c>
      <c r="F22" s="360">
        <v>1</v>
      </c>
      <c r="G22" s="360">
        <v>1492.58</v>
      </c>
      <c r="H22" s="384">
        <v>1</v>
      </c>
      <c r="I22" s="360"/>
      <c r="J22" s="360"/>
      <c r="K22" s="384">
        <v>0</v>
      </c>
      <c r="L22" s="360">
        <v>1</v>
      </c>
      <c r="M22" s="361">
        <v>1492.58</v>
      </c>
    </row>
    <row r="23" spans="1:13" ht="14.4" customHeight="1" x14ac:dyDescent="0.3">
      <c r="A23" s="356" t="s">
        <v>501</v>
      </c>
      <c r="B23" s="357" t="s">
        <v>847</v>
      </c>
      <c r="C23" s="357" t="s">
        <v>688</v>
      </c>
      <c r="D23" s="357" t="s">
        <v>686</v>
      </c>
      <c r="E23" s="357" t="s">
        <v>687</v>
      </c>
      <c r="F23" s="360">
        <v>1</v>
      </c>
      <c r="G23" s="360">
        <v>1492.58</v>
      </c>
      <c r="H23" s="384">
        <v>1</v>
      </c>
      <c r="I23" s="360"/>
      <c r="J23" s="360"/>
      <c r="K23" s="384">
        <v>0</v>
      </c>
      <c r="L23" s="360">
        <v>1</v>
      </c>
      <c r="M23" s="361">
        <v>1492.58</v>
      </c>
    </row>
    <row r="24" spans="1:13" ht="14.4" customHeight="1" x14ac:dyDescent="0.3">
      <c r="A24" s="356" t="s">
        <v>501</v>
      </c>
      <c r="B24" s="357" t="s">
        <v>848</v>
      </c>
      <c r="C24" s="357" t="s">
        <v>675</v>
      </c>
      <c r="D24" s="357" t="s">
        <v>676</v>
      </c>
      <c r="E24" s="357" t="s">
        <v>677</v>
      </c>
      <c r="F24" s="360"/>
      <c r="G24" s="360"/>
      <c r="H24" s="384">
        <v>0</v>
      </c>
      <c r="I24" s="360">
        <v>2</v>
      </c>
      <c r="J24" s="360">
        <v>83.78</v>
      </c>
      <c r="K24" s="384">
        <v>1</v>
      </c>
      <c r="L24" s="360">
        <v>2</v>
      </c>
      <c r="M24" s="361">
        <v>83.78</v>
      </c>
    </row>
    <row r="25" spans="1:13" ht="14.4" customHeight="1" x14ac:dyDescent="0.3">
      <c r="A25" s="356" t="s">
        <v>501</v>
      </c>
      <c r="B25" s="357" t="s">
        <v>848</v>
      </c>
      <c r="C25" s="357" t="s">
        <v>678</v>
      </c>
      <c r="D25" s="357" t="s">
        <v>676</v>
      </c>
      <c r="E25" s="357" t="s">
        <v>679</v>
      </c>
      <c r="F25" s="360"/>
      <c r="G25" s="360"/>
      <c r="H25" s="384">
        <v>0</v>
      </c>
      <c r="I25" s="360">
        <v>1</v>
      </c>
      <c r="J25" s="360">
        <v>146.63</v>
      </c>
      <c r="K25" s="384">
        <v>1</v>
      </c>
      <c r="L25" s="360">
        <v>1</v>
      </c>
      <c r="M25" s="361">
        <v>146.63</v>
      </c>
    </row>
    <row r="26" spans="1:13" ht="14.4" customHeight="1" x14ac:dyDescent="0.3">
      <c r="A26" s="356" t="s">
        <v>501</v>
      </c>
      <c r="B26" s="357" t="s">
        <v>849</v>
      </c>
      <c r="C26" s="357" t="s">
        <v>705</v>
      </c>
      <c r="D26" s="357" t="s">
        <v>706</v>
      </c>
      <c r="E26" s="357" t="s">
        <v>707</v>
      </c>
      <c r="F26" s="360">
        <v>6</v>
      </c>
      <c r="G26" s="360">
        <v>759.24</v>
      </c>
      <c r="H26" s="384">
        <v>1</v>
      </c>
      <c r="I26" s="360"/>
      <c r="J26" s="360"/>
      <c r="K26" s="384">
        <v>0</v>
      </c>
      <c r="L26" s="360">
        <v>6</v>
      </c>
      <c r="M26" s="361">
        <v>759.24</v>
      </c>
    </row>
    <row r="27" spans="1:13" ht="14.4" customHeight="1" x14ac:dyDescent="0.3">
      <c r="A27" s="356" t="s">
        <v>501</v>
      </c>
      <c r="B27" s="357" t="s">
        <v>850</v>
      </c>
      <c r="C27" s="357" t="s">
        <v>709</v>
      </c>
      <c r="D27" s="357" t="s">
        <v>710</v>
      </c>
      <c r="E27" s="357" t="s">
        <v>711</v>
      </c>
      <c r="F27" s="360">
        <v>1</v>
      </c>
      <c r="G27" s="360">
        <v>0</v>
      </c>
      <c r="H27" s="384"/>
      <c r="I27" s="360"/>
      <c r="J27" s="360"/>
      <c r="K27" s="384"/>
      <c r="L27" s="360">
        <v>1</v>
      </c>
      <c r="M27" s="361">
        <v>0</v>
      </c>
    </row>
    <row r="28" spans="1:13" ht="14.4" customHeight="1" x14ac:dyDescent="0.3">
      <c r="A28" s="356" t="s">
        <v>501</v>
      </c>
      <c r="B28" s="357" t="s">
        <v>851</v>
      </c>
      <c r="C28" s="357" t="s">
        <v>695</v>
      </c>
      <c r="D28" s="357" t="s">
        <v>696</v>
      </c>
      <c r="E28" s="357" t="s">
        <v>697</v>
      </c>
      <c r="F28" s="360"/>
      <c r="G28" s="360"/>
      <c r="H28" s="384">
        <v>0</v>
      </c>
      <c r="I28" s="360">
        <v>1</v>
      </c>
      <c r="J28" s="360">
        <v>50.57</v>
      </c>
      <c r="K28" s="384">
        <v>1</v>
      </c>
      <c r="L28" s="360">
        <v>1</v>
      </c>
      <c r="M28" s="361">
        <v>50.57</v>
      </c>
    </row>
    <row r="29" spans="1:13" ht="14.4" customHeight="1" x14ac:dyDescent="0.3">
      <c r="A29" s="356" t="s">
        <v>501</v>
      </c>
      <c r="B29" s="357" t="s">
        <v>843</v>
      </c>
      <c r="C29" s="357" t="s">
        <v>578</v>
      </c>
      <c r="D29" s="357" t="s">
        <v>579</v>
      </c>
      <c r="E29" s="357" t="s">
        <v>580</v>
      </c>
      <c r="F29" s="360">
        <v>1</v>
      </c>
      <c r="G29" s="360">
        <v>333.31</v>
      </c>
      <c r="H29" s="384">
        <v>1</v>
      </c>
      <c r="I29" s="360"/>
      <c r="J29" s="360"/>
      <c r="K29" s="384">
        <v>0</v>
      </c>
      <c r="L29" s="360">
        <v>1</v>
      </c>
      <c r="M29" s="361">
        <v>333.31</v>
      </c>
    </row>
    <row r="30" spans="1:13" ht="14.4" customHeight="1" x14ac:dyDescent="0.3">
      <c r="A30" s="356" t="s">
        <v>501</v>
      </c>
      <c r="B30" s="357" t="s">
        <v>852</v>
      </c>
      <c r="C30" s="357" t="s">
        <v>682</v>
      </c>
      <c r="D30" s="357" t="s">
        <v>683</v>
      </c>
      <c r="E30" s="357" t="s">
        <v>525</v>
      </c>
      <c r="F30" s="360">
        <v>1</v>
      </c>
      <c r="G30" s="360">
        <v>0</v>
      </c>
      <c r="H30" s="384"/>
      <c r="I30" s="360"/>
      <c r="J30" s="360"/>
      <c r="K30" s="384"/>
      <c r="L30" s="360">
        <v>1</v>
      </c>
      <c r="M30" s="361">
        <v>0</v>
      </c>
    </row>
    <row r="31" spans="1:13" ht="14.4" customHeight="1" x14ac:dyDescent="0.3">
      <c r="A31" s="356" t="s">
        <v>501</v>
      </c>
      <c r="B31" s="357" t="s">
        <v>853</v>
      </c>
      <c r="C31" s="357" t="s">
        <v>699</v>
      </c>
      <c r="D31" s="357" t="s">
        <v>700</v>
      </c>
      <c r="E31" s="357" t="s">
        <v>701</v>
      </c>
      <c r="F31" s="360">
        <v>1</v>
      </c>
      <c r="G31" s="360">
        <v>0</v>
      </c>
      <c r="H31" s="384"/>
      <c r="I31" s="360"/>
      <c r="J31" s="360"/>
      <c r="K31" s="384"/>
      <c r="L31" s="360">
        <v>1</v>
      </c>
      <c r="M31" s="361">
        <v>0</v>
      </c>
    </row>
    <row r="32" spans="1:13" ht="14.4" customHeight="1" x14ac:dyDescent="0.3">
      <c r="A32" s="356" t="s">
        <v>501</v>
      </c>
      <c r="B32" s="357" t="s">
        <v>853</v>
      </c>
      <c r="C32" s="357" t="s">
        <v>702</v>
      </c>
      <c r="D32" s="357" t="s">
        <v>700</v>
      </c>
      <c r="E32" s="357" t="s">
        <v>703</v>
      </c>
      <c r="F32" s="360">
        <v>2</v>
      </c>
      <c r="G32" s="360">
        <v>193.26</v>
      </c>
      <c r="H32" s="384">
        <v>1</v>
      </c>
      <c r="I32" s="360"/>
      <c r="J32" s="360"/>
      <c r="K32" s="384">
        <v>0</v>
      </c>
      <c r="L32" s="360">
        <v>2</v>
      </c>
      <c r="M32" s="361">
        <v>193.26</v>
      </c>
    </row>
    <row r="33" spans="1:13" ht="14.4" customHeight="1" x14ac:dyDescent="0.3">
      <c r="A33" s="356" t="s">
        <v>502</v>
      </c>
      <c r="B33" s="357" t="s">
        <v>840</v>
      </c>
      <c r="C33" s="357" t="s">
        <v>727</v>
      </c>
      <c r="D33" s="357" t="s">
        <v>728</v>
      </c>
      <c r="E33" s="357" t="s">
        <v>647</v>
      </c>
      <c r="F33" s="360">
        <v>1</v>
      </c>
      <c r="G33" s="360">
        <v>200.07</v>
      </c>
      <c r="H33" s="384">
        <v>1</v>
      </c>
      <c r="I33" s="360"/>
      <c r="J33" s="360"/>
      <c r="K33" s="384">
        <v>0</v>
      </c>
      <c r="L33" s="360">
        <v>1</v>
      </c>
      <c r="M33" s="361">
        <v>200.07</v>
      </c>
    </row>
    <row r="34" spans="1:13" ht="14.4" customHeight="1" x14ac:dyDescent="0.3">
      <c r="A34" s="356" t="s">
        <v>502</v>
      </c>
      <c r="B34" s="357" t="s">
        <v>840</v>
      </c>
      <c r="C34" s="357" t="s">
        <v>729</v>
      </c>
      <c r="D34" s="357" t="s">
        <v>728</v>
      </c>
      <c r="E34" s="357" t="s">
        <v>730</v>
      </c>
      <c r="F34" s="360">
        <v>3</v>
      </c>
      <c r="G34" s="360">
        <v>180.06</v>
      </c>
      <c r="H34" s="384">
        <v>1</v>
      </c>
      <c r="I34" s="360"/>
      <c r="J34" s="360"/>
      <c r="K34" s="384">
        <v>0</v>
      </c>
      <c r="L34" s="360">
        <v>3</v>
      </c>
      <c r="M34" s="361">
        <v>180.06</v>
      </c>
    </row>
    <row r="35" spans="1:13" ht="14.4" customHeight="1" x14ac:dyDescent="0.3">
      <c r="A35" s="356" t="s">
        <v>502</v>
      </c>
      <c r="B35" s="357" t="s">
        <v>854</v>
      </c>
      <c r="C35" s="357" t="s">
        <v>724</v>
      </c>
      <c r="D35" s="357" t="s">
        <v>725</v>
      </c>
      <c r="E35" s="357" t="s">
        <v>726</v>
      </c>
      <c r="F35" s="360"/>
      <c r="G35" s="360"/>
      <c r="H35" s="384">
        <v>0</v>
      </c>
      <c r="I35" s="360">
        <v>3</v>
      </c>
      <c r="J35" s="360">
        <v>114.39000000000001</v>
      </c>
      <c r="K35" s="384">
        <v>1</v>
      </c>
      <c r="L35" s="360">
        <v>3</v>
      </c>
      <c r="M35" s="361">
        <v>114.39000000000001</v>
      </c>
    </row>
    <row r="36" spans="1:13" ht="14.4" customHeight="1" x14ac:dyDescent="0.3">
      <c r="A36" s="356" t="s">
        <v>502</v>
      </c>
      <c r="B36" s="357" t="s">
        <v>844</v>
      </c>
      <c r="C36" s="357" t="s">
        <v>660</v>
      </c>
      <c r="D36" s="357" t="s">
        <v>661</v>
      </c>
      <c r="E36" s="357" t="s">
        <v>662</v>
      </c>
      <c r="F36" s="360"/>
      <c r="G36" s="360"/>
      <c r="H36" s="384">
        <v>0</v>
      </c>
      <c r="I36" s="360">
        <v>4</v>
      </c>
      <c r="J36" s="360">
        <v>168.32</v>
      </c>
      <c r="K36" s="384">
        <v>1</v>
      </c>
      <c r="L36" s="360">
        <v>4</v>
      </c>
      <c r="M36" s="361">
        <v>168.32</v>
      </c>
    </row>
    <row r="37" spans="1:13" ht="14.4" customHeight="1" x14ac:dyDescent="0.3">
      <c r="A37" s="356" t="s">
        <v>503</v>
      </c>
      <c r="B37" s="357" t="s">
        <v>855</v>
      </c>
      <c r="C37" s="357" t="s">
        <v>751</v>
      </c>
      <c r="D37" s="357" t="s">
        <v>752</v>
      </c>
      <c r="E37" s="357" t="s">
        <v>753</v>
      </c>
      <c r="F37" s="360"/>
      <c r="G37" s="360"/>
      <c r="H37" s="384">
        <v>0</v>
      </c>
      <c r="I37" s="360">
        <v>1</v>
      </c>
      <c r="J37" s="360">
        <v>887.05</v>
      </c>
      <c r="K37" s="384">
        <v>1</v>
      </c>
      <c r="L37" s="360">
        <v>1</v>
      </c>
      <c r="M37" s="361">
        <v>887.05</v>
      </c>
    </row>
    <row r="38" spans="1:13" ht="14.4" customHeight="1" x14ac:dyDescent="0.3">
      <c r="A38" s="356" t="s">
        <v>503</v>
      </c>
      <c r="B38" s="357" t="s">
        <v>856</v>
      </c>
      <c r="C38" s="357" t="s">
        <v>759</v>
      </c>
      <c r="D38" s="357" t="s">
        <v>760</v>
      </c>
      <c r="E38" s="357" t="s">
        <v>761</v>
      </c>
      <c r="F38" s="360">
        <v>4</v>
      </c>
      <c r="G38" s="360">
        <v>1652.88</v>
      </c>
      <c r="H38" s="384">
        <v>1</v>
      </c>
      <c r="I38" s="360"/>
      <c r="J38" s="360"/>
      <c r="K38" s="384">
        <v>0</v>
      </c>
      <c r="L38" s="360">
        <v>4</v>
      </c>
      <c r="M38" s="361">
        <v>1652.88</v>
      </c>
    </row>
    <row r="39" spans="1:13" ht="14.4" customHeight="1" x14ac:dyDescent="0.3">
      <c r="A39" s="356" t="s">
        <v>504</v>
      </c>
      <c r="B39" s="357" t="s">
        <v>838</v>
      </c>
      <c r="C39" s="357" t="s">
        <v>801</v>
      </c>
      <c r="D39" s="357" t="s">
        <v>802</v>
      </c>
      <c r="E39" s="357" t="s">
        <v>803</v>
      </c>
      <c r="F39" s="360"/>
      <c r="G39" s="360"/>
      <c r="H39" s="384">
        <v>0</v>
      </c>
      <c r="I39" s="360">
        <v>3</v>
      </c>
      <c r="J39" s="360">
        <v>170.85000000000002</v>
      </c>
      <c r="K39" s="384">
        <v>1</v>
      </c>
      <c r="L39" s="360">
        <v>3</v>
      </c>
      <c r="M39" s="361">
        <v>170.85000000000002</v>
      </c>
    </row>
    <row r="40" spans="1:13" ht="14.4" customHeight="1" x14ac:dyDescent="0.3">
      <c r="A40" s="356" t="s">
        <v>504</v>
      </c>
      <c r="B40" s="357" t="s">
        <v>838</v>
      </c>
      <c r="C40" s="357" t="s">
        <v>804</v>
      </c>
      <c r="D40" s="357" t="s">
        <v>561</v>
      </c>
      <c r="E40" s="357" t="s">
        <v>805</v>
      </c>
      <c r="F40" s="360"/>
      <c r="G40" s="360"/>
      <c r="H40" s="384">
        <v>0</v>
      </c>
      <c r="I40" s="360">
        <v>6</v>
      </c>
      <c r="J40" s="360">
        <v>455.15999999999997</v>
      </c>
      <c r="K40" s="384">
        <v>1</v>
      </c>
      <c r="L40" s="360">
        <v>6</v>
      </c>
      <c r="M40" s="361">
        <v>455.15999999999997</v>
      </c>
    </row>
    <row r="41" spans="1:13" ht="14.4" customHeight="1" x14ac:dyDescent="0.3">
      <c r="A41" s="356" t="s">
        <v>504</v>
      </c>
      <c r="B41" s="357" t="s">
        <v>839</v>
      </c>
      <c r="C41" s="357" t="s">
        <v>564</v>
      </c>
      <c r="D41" s="357" t="s">
        <v>565</v>
      </c>
      <c r="E41" s="357" t="s">
        <v>566</v>
      </c>
      <c r="F41" s="360"/>
      <c r="G41" s="360"/>
      <c r="H41" s="384">
        <v>0</v>
      </c>
      <c r="I41" s="360">
        <v>1</v>
      </c>
      <c r="J41" s="360">
        <v>391.77</v>
      </c>
      <c r="K41" s="384">
        <v>1</v>
      </c>
      <c r="L41" s="360">
        <v>1</v>
      </c>
      <c r="M41" s="361">
        <v>391.77</v>
      </c>
    </row>
    <row r="42" spans="1:13" ht="14.4" customHeight="1" x14ac:dyDescent="0.3">
      <c r="A42" s="356" t="s">
        <v>504</v>
      </c>
      <c r="B42" s="357" t="s">
        <v>843</v>
      </c>
      <c r="C42" s="357" t="s">
        <v>581</v>
      </c>
      <c r="D42" s="357" t="s">
        <v>582</v>
      </c>
      <c r="E42" s="357" t="s">
        <v>580</v>
      </c>
      <c r="F42" s="360"/>
      <c r="G42" s="360"/>
      <c r="H42" s="384">
        <v>0</v>
      </c>
      <c r="I42" s="360">
        <v>1</v>
      </c>
      <c r="J42" s="360">
        <v>333.31</v>
      </c>
      <c r="K42" s="384">
        <v>1</v>
      </c>
      <c r="L42" s="360">
        <v>1</v>
      </c>
      <c r="M42" s="361">
        <v>333.31</v>
      </c>
    </row>
    <row r="43" spans="1:13" ht="14.4" customHeight="1" x14ac:dyDescent="0.3">
      <c r="A43" s="356" t="s">
        <v>504</v>
      </c>
      <c r="B43" s="357" t="s">
        <v>837</v>
      </c>
      <c r="C43" s="357" t="s">
        <v>523</v>
      </c>
      <c r="D43" s="357" t="s">
        <v>524</v>
      </c>
      <c r="E43" s="357" t="s">
        <v>525</v>
      </c>
      <c r="F43" s="360"/>
      <c r="G43" s="360"/>
      <c r="H43" s="384">
        <v>0</v>
      </c>
      <c r="I43" s="360">
        <v>1</v>
      </c>
      <c r="J43" s="360">
        <v>116.8</v>
      </c>
      <c r="K43" s="384">
        <v>1</v>
      </c>
      <c r="L43" s="360">
        <v>1</v>
      </c>
      <c r="M43" s="361">
        <v>116.8</v>
      </c>
    </row>
    <row r="44" spans="1:13" ht="14.4" customHeight="1" thickBot="1" x14ac:dyDescent="0.35">
      <c r="A44" s="362" t="s">
        <v>504</v>
      </c>
      <c r="B44" s="363" t="s">
        <v>846</v>
      </c>
      <c r="C44" s="363" t="s">
        <v>592</v>
      </c>
      <c r="D44" s="363" t="s">
        <v>593</v>
      </c>
      <c r="E44" s="363" t="s">
        <v>566</v>
      </c>
      <c r="F44" s="366"/>
      <c r="G44" s="366"/>
      <c r="H44" s="386">
        <v>0</v>
      </c>
      <c r="I44" s="366">
        <v>1</v>
      </c>
      <c r="J44" s="366">
        <v>413.22</v>
      </c>
      <c r="K44" s="386">
        <v>1</v>
      </c>
      <c r="L44" s="366">
        <v>1</v>
      </c>
      <c r="M44" s="367">
        <v>413.22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3">
    <tabColor theme="3" tint="0.39997558519241921"/>
    <pageSetUpPr fitToPage="1"/>
  </sheetPr>
  <dimension ref="A1:H29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85" bestFit="1" customWidth="1"/>
    <col min="2" max="2" width="9.33203125" style="85" customWidth="1"/>
    <col min="3" max="3" width="28.88671875" style="65" bestFit="1" customWidth="1"/>
    <col min="4" max="5" width="11.109375" style="86" customWidth="1"/>
    <col min="6" max="6" width="6.6640625" style="87" customWidth="1"/>
    <col min="7" max="7" width="12.21875" style="94" bestFit="1" customWidth="1"/>
    <col min="8" max="8" width="0" style="65" hidden="1" customWidth="1"/>
    <col min="9" max="16384" width="8.88671875" style="65"/>
  </cols>
  <sheetData>
    <row r="1" spans="1:8" ht="18.600000000000001" customHeight="1" thickBot="1" x14ac:dyDescent="0.4">
      <c r="A1" s="268" t="s">
        <v>172</v>
      </c>
      <c r="B1" s="269"/>
      <c r="C1" s="269"/>
      <c r="D1" s="269"/>
      <c r="E1" s="269"/>
      <c r="F1" s="269"/>
      <c r="G1" s="242"/>
    </row>
    <row r="2" spans="1:8" ht="14.4" customHeight="1" thickBot="1" x14ac:dyDescent="0.35">
      <c r="A2" s="318" t="s">
        <v>193</v>
      </c>
      <c r="B2" s="92"/>
      <c r="C2" s="92"/>
      <c r="D2" s="92"/>
      <c r="E2" s="92"/>
      <c r="F2" s="92"/>
    </row>
    <row r="3" spans="1:8" ht="14.4" customHeight="1" thickBot="1" x14ac:dyDescent="0.35">
      <c r="A3" s="118" t="s">
        <v>0</v>
      </c>
      <c r="B3" s="119" t="s">
        <v>1</v>
      </c>
      <c r="C3" s="144" t="s">
        <v>2</v>
      </c>
      <c r="D3" s="145" t="s">
        <v>3</v>
      </c>
      <c r="E3" s="145" t="s">
        <v>4</v>
      </c>
      <c r="F3" s="145" t="s">
        <v>5</v>
      </c>
      <c r="G3" s="146" t="s">
        <v>176</v>
      </c>
    </row>
    <row r="4" spans="1:8" ht="14.4" customHeight="1" x14ac:dyDescent="0.3">
      <c r="A4" s="341" t="s">
        <v>358</v>
      </c>
      <c r="B4" s="342" t="s">
        <v>359</v>
      </c>
      <c r="C4" s="343" t="s">
        <v>360</v>
      </c>
      <c r="D4" s="343" t="s">
        <v>359</v>
      </c>
      <c r="E4" s="343" t="s">
        <v>359</v>
      </c>
      <c r="F4" s="344" t="s">
        <v>359</v>
      </c>
      <c r="G4" s="343" t="s">
        <v>359</v>
      </c>
      <c r="H4" s="343" t="s">
        <v>90</v>
      </c>
    </row>
    <row r="5" spans="1:8" ht="14.4" customHeight="1" x14ac:dyDescent="0.3">
      <c r="A5" s="341" t="s">
        <v>358</v>
      </c>
      <c r="B5" s="342" t="s">
        <v>857</v>
      </c>
      <c r="C5" s="343" t="s">
        <v>858</v>
      </c>
      <c r="D5" s="343">
        <v>7000</v>
      </c>
      <c r="E5" s="343">
        <v>11950.693718654747</v>
      </c>
      <c r="F5" s="344">
        <v>1.707241959807821</v>
      </c>
      <c r="G5" s="343">
        <v>4950.6937186547475</v>
      </c>
      <c r="H5" s="343" t="s">
        <v>2</v>
      </c>
    </row>
    <row r="6" spans="1:8" ht="14.4" customHeight="1" x14ac:dyDescent="0.3">
      <c r="A6" s="341" t="s">
        <v>358</v>
      </c>
      <c r="B6" s="342" t="s">
        <v>859</v>
      </c>
      <c r="C6" s="343" t="s">
        <v>860</v>
      </c>
      <c r="D6" s="343">
        <v>3049.4912279405494</v>
      </c>
      <c r="E6" s="343">
        <v>2381.09</v>
      </c>
      <c r="F6" s="344">
        <v>0.78081549413344309</v>
      </c>
      <c r="G6" s="343">
        <v>-668.40122794054923</v>
      </c>
      <c r="H6" s="343" t="s">
        <v>2</v>
      </c>
    </row>
    <row r="7" spans="1:8" ht="14.4" customHeight="1" x14ac:dyDescent="0.3">
      <c r="A7" s="341" t="s">
        <v>358</v>
      </c>
      <c r="B7" s="342" t="s">
        <v>861</v>
      </c>
      <c r="C7" s="343" t="s">
        <v>862</v>
      </c>
      <c r="D7" s="343">
        <v>32914.959169918773</v>
      </c>
      <c r="E7" s="343">
        <v>31546.33</v>
      </c>
      <c r="F7" s="344">
        <v>0.95841923537400064</v>
      </c>
      <c r="G7" s="343">
        <v>-1368.6291699187714</v>
      </c>
      <c r="H7" s="343" t="s">
        <v>2</v>
      </c>
    </row>
    <row r="8" spans="1:8" ht="14.4" customHeight="1" x14ac:dyDescent="0.3">
      <c r="A8" s="341" t="s">
        <v>358</v>
      </c>
      <c r="B8" s="342" t="s">
        <v>863</v>
      </c>
      <c r="C8" s="343" t="s">
        <v>864</v>
      </c>
      <c r="D8" s="343">
        <v>38666.712446882098</v>
      </c>
      <c r="E8" s="343">
        <v>31576</v>
      </c>
      <c r="F8" s="344">
        <v>0.81661972280103012</v>
      </c>
      <c r="G8" s="343">
        <v>-7090.7124468820984</v>
      </c>
      <c r="H8" s="343" t="s">
        <v>2</v>
      </c>
    </row>
    <row r="9" spans="1:8" ht="14.4" customHeight="1" x14ac:dyDescent="0.3">
      <c r="A9" s="341" t="s">
        <v>358</v>
      </c>
      <c r="B9" s="342" t="s">
        <v>865</v>
      </c>
      <c r="C9" s="343" t="s">
        <v>866</v>
      </c>
      <c r="D9" s="343">
        <v>3000</v>
      </c>
      <c r="E9" s="343">
        <v>1463.3600000000001</v>
      </c>
      <c r="F9" s="344">
        <v>0.4877866666666667</v>
      </c>
      <c r="G9" s="343">
        <v>-1536.6399999999999</v>
      </c>
      <c r="H9" s="343" t="s">
        <v>2</v>
      </c>
    </row>
    <row r="10" spans="1:8" ht="14.4" customHeight="1" x14ac:dyDescent="0.3">
      <c r="A10" s="341" t="s">
        <v>358</v>
      </c>
      <c r="B10" s="342" t="s">
        <v>867</v>
      </c>
      <c r="C10" s="343" t="s">
        <v>868</v>
      </c>
      <c r="D10" s="343">
        <v>1950.2251591302941</v>
      </c>
      <c r="E10" s="343">
        <v>2627</v>
      </c>
      <c r="F10" s="344">
        <v>1.347023951414674</v>
      </c>
      <c r="G10" s="343">
        <v>676.77484086970594</v>
      </c>
      <c r="H10" s="343" t="s">
        <v>2</v>
      </c>
    </row>
    <row r="11" spans="1:8" ht="14.4" customHeight="1" x14ac:dyDescent="0.3">
      <c r="A11" s="341" t="s">
        <v>358</v>
      </c>
      <c r="B11" s="342" t="s">
        <v>6</v>
      </c>
      <c r="C11" s="343" t="s">
        <v>360</v>
      </c>
      <c r="D11" s="343">
        <v>86581.388003871718</v>
      </c>
      <c r="E11" s="343">
        <v>81544.473718654757</v>
      </c>
      <c r="F11" s="344">
        <v>0.94182451446733884</v>
      </c>
      <c r="G11" s="343">
        <v>-5036.9142852169607</v>
      </c>
      <c r="H11" s="343" t="s">
        <v>365</v>
      </c>
    </row>
    <row r="13" spans="1:8" ht="14.4" customHeight="1" x14ac:dyDescent="0.3">
      <c r="A13" s="341" t="s">
        <v>358</v>
      </c>
      <c r="B13" s="342" t="s">
        <v>359</v>
      </c>
      <c r="C13" s="343" t="s">
        <v>360</v>
      </c>
      <c r="D13" s="343" t="s">
        <v>359</v>
      </c>
      <c r="E13" s="343" t="s">
        <v>359</v>
      </c>
      <c r="F13" s="344" t="s">
        <v>359</v>
      </c>
      <c r="G13" s="343" t="s">
        <v>359</v>
      </c>
      <c r="H13" s="343" t="s">
        <v>90</v>
      </c>
    </row>
    <row r="14" spans="1:8" ht="14.4" customHeight="1" x14ac:dyDescent="0.3">
      <c r="A14" s="341" t="s">
        <v>366</v>
      </c>
      <c r="B14" s="342" t="s">
        <v>857</v>
      </c>
      <c r="C14" s="343" t="s">
        <v>858</v>
      </c>
      <c r="D14" s="343">
        <v>7000</v>
      </c>
      <c r="E14" s="343">
        <v>11195.653718654748</v>
      </c>
      <c r="F14" s="344">
        <v>1.599379102664964</v>
      </c>
      <c r="G14" s="343">
        <v>4195.6537186547484</v>
      </c>
      <c r="H14" s="343" t="s">
        <v>2</v>
      </c>
    </row>
    <row r="15" spans="1:8" ht="14.4" customHeight="1" x14ac:dyDescent="0.3">
      <c r="A15" s="341" t="s">
        <v>366</v>
      </c>
      <c r="B15" s="342" t="s">
        <v>859</v>
      </c>
      <c r="C15" s="343" t="s">
        <v>860</v>
      </c>
      <c r="D15" s="343">
        <v>1999.9857338763697</v>
      </c>
      <c r="E15" s="343">
        <v>1627.9699999999998</v>
      </c>
      <c r="F15" s="344">
        <v>0.81399080624673781</v>
      </c>
      <c r="G15" s="343">
        <v>-372.01573387636995</v>
      </c>
      <c r="H15" s="343" t="s">
        <v>2</v>
      </c>
    </row>
    <row r="16" spans="1:8" ht="14.4" customHeight="1" x14ac:dyDescent="0.3">
      <c r="A16" s="341" t="s">
        <v>366</v>
      </c>
      <c r="B16" s="342" t="s">
        <v>861</v>
      </c>
      <c r="C16" s="343" t="s">
        <v>862</v>
      </c>
      <c r="D16" s="343">
        <v>19998.343382087402</v>
      </c>
      <c r="E16" s="343">
        <v>19991.78</v>
      </c>
      <c r="F16" s="344">
        <v>0.9996718037108373</v>
      </c>
      <c r="G16" s="343">
        <v>-6.5633820874027151</v>
      </c>
      <c r="H16" s="343" t="s">
        <v>2</v>
      </c>
    </row>
    <row r="17" spans="1:8" ht="14.4" customHeight="1" x14ac:dyDescent="0.3">
      <c r="A17" s="341" t="s">
        <v>366</v>
      </c>
      <c r="B17" s="342" t="s">
        <v>863</v>
      </c>
      <c r="C17" s="343" t="s">
        <v>864</v>
      </c>
      <c r="D17" s="343">
        <v>38666.712446882098</v>
      </c>
      <c r="E17" s="343">
        <v>31576</v>
      </c>
      <c r="F17" s="344">
        <v>0.81661972280103012</v>
      </c>
      <c r="G17" s="343">
        <v>-7090.7124468820984</v>
      </c>
      <c r="H17" s="343" t="s">
        <v>2</v>
      </c>
    </row>
    <row r="18" spans="1:8" ht="14.4" customHeight="1" x14ac:dyDescent="0.3">
      <c r="A18" s="341" t="s">
        <v>366</v>
      </c>
      <c r="B18" s="342" t="s">
        <v>865</v>
      </c>
      <c r="C18" s="343" t="s">
        <v>866</v>
      </c>
      <c r="D18" s="343">
        <v>1000</v>
      </c>
      <c r="E18" s="343">
        <v>953.36</v>
      </c>
      <c r="F18" s="344">
        <v>0.95335999999999999</v>
      </c>
      <c r="G18" s="343">
        <v>-46.639999999999986</v>
      </c>
      <c r="H18" s="343" t="s">
        <v>2</v>
      </c>
    </row>
    <row r="19" spans="1:8" ht="14.4" customHeight="1" x14ac:dyDescent="0.3">
      <c r="A19" s="341" t="s">
        <v>366</v>
      </c>
      <c r="B19" s="342" t="s">
        <v>867</v>
      </c>
      <c r="C19" s="343" t="s">
        <v>868</v>
      </c>
      <c r="D19" s="343">
        <v>1000.1349853701</v>
      </c>
      <c r="E19" s="343">
        <v>1394</v>
      </c>
      <c r="F19" s="344">
        <v>1.3938118557907964</v>
      </c>
      <c r="G19" s="343">
        <v>393.86501462989997</v>
      </c>
      <c r="H19" s="343" t="s">
        <v>2</v>
      </c>
    </row>
    <row r="20" spans="1:8" ht="14.4" customHeight="1" x14ac:dyDescent="0.3">
      <c r="A20" s="341" t="s">
        <v>366</v>
      </c>
      <c r="B20" s="342" t="s">
        <v>6</v>
      </c>
      <c r="C20" s="343" t="s">
        <v>367</v>
      </c>
      <c r="D20" s="343">
        <v>69665.176548215968</v>
      </c>
      <c r="E20" s="343">
        <v>66738.763718654751</v>
      </c>
      <c r="F20" s="344">
        <v>0.95799317572193599</v>
      </c>
      <c r="G20" s="343">
        <v>-2926.4128295612172</v>
      </c>
      <c r="H20" s="343" t="s">
        <v>368</v>
      </c>
    </row>
    <row r="21" spans="1:8" ht="14.4" customHeight="1" x14ac:dyDescent="0.3">
      <c r="A21" s="341" t="s">
        <v>359</v>
      </c>
      <c r="B21" s="342" t="s">
        <v>359</v>
      </c>
      <c r="C21" s="343" t="s">
        <v>359</v>
      </c>
      <c r="D21" s="343" t="s">
        <v>359</v>
      </c>
      <c r="E21" s="343" t="s">
        <v>359</v>
      </c>
      <c r="F21" s="344" t="s">
        <v>359</v>
      </c>
      <c r="G21" s="343" t="s">
        <v>359</v>
      </c>
      <c r="H21" s="343" t="s">
        <v>369</v>
      </c>
    </row>
    <row r="22" spans="1:8" ht="14.4" customHeight="1" x14ac:dyDescent="0.3">
      <c r="A22" s="341" t="s">
        <v>869</v>
      </c>
      <c r="B22" s="342" t="s">
        <v>857</v>
      </c>
      <c r="C22" s="343" t="s">
        <v>858</v>
      </c>
      <c r="D22" s="343">
        <v>0</v>
      </c>
      <c r="E22" s="343">
        <v>755.04</v>
      </c>
      <c r="F22" s="344" t="s">
        <v>359</v>
      </c>
      <c r="G22" s="343">
        <v>755.04</v>
      </c>
      <c r="H22" s="343" t="s">
        <v>2</v>
      </c>
    </row>
    <row r="23" spans="1:8" ht="14.4" customHeight="1" x14ac:dyDescent="0.3">
      <c r="A23" s="341" t="s">
        <v>869</v>
      </c>
      <c r="B23" s="342" t="s">
        <v>859</v>
      </c>
      <c r="C23" s="343" t="s">
        <v>860</v>
      </c>
      <c r="D23" s="343">
        <v>1049.5054940641801</v>
      </c>
      <c r="E23" s="343">
        <v>753.11999999999989</v>
      </c>
      <c r="F23" s="344">
        <v>0.71759510003474514</v>
      </c>
      <c r="G23" s="343">
        <v>-296.38549406418019</v>
      </c>
      <c r="H23" s="343" t="s">
        <v>2</v>
      </c>
    </row>
    <row r="24" spans="1:8" ht="14.4" customHeight="1" x14ac:dyDescent="0.3">
      <c r="A24" s="341" t="s">
        <v>869</v>
      </c>
      <c r="B24" s="342" t="s">
        <v>861</v>
      </c>
      <c r="C24" s="343" t="s">
        <v>862</v>
      </c>
      <c r="D24" s="343">
        <v>11916.6183275312</v>
      </c>
      <c r="E24" s="343">
        <v>11554.55</v>
      </c>
      <c r="F24" s="344">
        <v>0.96961652059504944</v>
      </c>
      <c r="G24" s="343">
        <v>-362.06832753120034</v>
      </c>
      <c r="H24" s="343" t="s">
        <v>2</v>
      </c>
    </row>
    <row r="25" spans="1:8" ht="14.4" customHeight="1" x14ac:dyDescent="0.3">
      <c r="A25" s="341" t="s">
        <v>869</v>
      </c>
      <c r="B25" s="342" t="s">
        <v>865</v>
      </c>
      <c r="C25" s="343" t="s">
        <v>866</v>
      </c>
      <c r="D25" s="343">
        <v>1000</v>
      </c>
      <c r="E25" s="343">
        <v>510</v>
      </c>
      <c r="F25" s="344">
        <v>0.51</v>
      </c>
      <c r="G25" s="343">
        <v>-490</v>
      </c>
      <c r="H25" s="343" t="s">
        <v>2</v>
      </c>
    </row>
    <row r="26" spans="1:8" ht="14.4" customHeight="1" x14ac:dyDescent="0.3">
      <c r="A26" s="341" t="s">
        <v>869</v>
      </c>
      <c r="B26" s="342" t="s">
        <v>867</v>
      </c>
      <c r="C26" s="343" t="s">
        <v>868</v>
      </c>
      <c r="D26" s="343">
        <v>950.09017376019403</v>
      </c>
      <c r="E26" s="343">
        <v>1233</v>
      </c>
      <c r="F26" s="344">
        <v>1.2977715526939166</v>
      </c>
      <c r="G26" s="343">
        <v>282.90982623980597</v>
      </c>
      <c r="H26" s="343" t="s">
        <v>2</v>
      </c>
    </row>
    <row r="27" spans="1:8" ht="14.4" customHeight="1" x14ac:dyDescent="0.3">
      <c r="A27" s="341" t="s">
        <v>869</v>
      </c>
      <c r="B27" s="342" t="s">
        <v>6</v>
      </c>
      <c r="C27" s="343" t="s">
        <v>870</v>
      </c>
      <c r="D27" s="343">
        <v>14916.213995355574</v>
      </c>
      <c r="E27" s="343">
        <v>14805.71</v>
      </c>
      <c r="F27" s="344">
        <v>0.99259168610815163</v>
      </c>
      <c r="G27" s="343">
        <v>-110.50399535557517</v>
      </c>
      <c r="H27" s="343" t="s">
        <v>368</v>
      </c>
    </row>
    <row r="28" spans="1:8" ht="14.4" customHeight="1" x14ac:dyDescent="0.3">
      <c r="A28" s="341" t="s">
        <v>359</v>
      </c>
      <c r="B28" s="342" t="s">
        <v>359</v>
      </c>
      <c r="C28" s="343" t="s">
        <v>359</v>
      </c>
      <c r="D28" s="343" t="s">
        <v>359</v>
      </c>
      <c r="E28" s="343" t="s">
        <v>359</v>
      </c>
      <c r="F28" s="344" t="s">
        <v>359</v>
      </c>
      <c r="G28" s="343" t="s">
        <v>359</v>
      </c>
      <c r="H28" s="343" t="s">
        <v>369</v>
      </c>
    </row>
    <row r="29" spans="1:8" ht="14.4" customHeight="1" x14ac:dyDescent="0.3">
      <c r="A29" s="341" t="s">
        <v>358</v>
      </c>
      <c r="B29" s="342" t="s">
        <v>6</v>
      </c>
      <c r="C29" s="343" t="s">
        <v>360</v>
      </c>
      <c r="D29" s="343">
        <v>86581.388003871718</v>
      </c>
      <c r="E29" s="343">
        <v>81544.473718654743</v>
      </c>
      <c r="F29" s="344">
        <v>0.94182451446733872</v>
      </c>
      <c r="G29" s="343">
        <v>-5036.9142852169753</v>
      </c>
      <c r="H29" s="343" t="s">
        <v>365</v>
      </c>
    </row>
  </sheetData>
  <autoFilter ref="A3:G3"/>
  <mergeCells count="1">
    <mergeCell ref="A1:G1"/>
  </mergeCells>
  <conditionalFormatting sqref="F12 F30:F65536">
    <cfRule type="cellIs" dxfId="20" priority="19" stopIfTrue="1" operator="greaterThan">
      <formula>1</formula>
    </cfRule>
  </conditionalFormatting>
  <conditionalFormatting sqref="G4:G11">
    <cfRule type="cellIs" dxfId="19" priority="12" operator="greaterThan">
      <formula>0</formula>
    </cfRule>
  </conditionalFormatting>
  <conditionalFormatting sqref="F4:F11">
    <cfRule type="cellIs" dxfId="18" priority="14" operator="greaterThan">
      <formula>1</formula>
    </cfRule>
  </conditionalFormatting>
  <conditionalFormatting sqref="B4:B11">
    <cfRule type="expression" dxfId="17" priority="18">
      <formula>AND(LEFT(H4,6)&lt;&gt;"mezera",H4&lt;&gt;"")</formula>
    </cfRule>
  </conditionalFormatting>
  <conditionalFormatting sqref="A4:A11">
    <cfRule type="expression" dxfId="16" priority="15">
      <formula>AND(H4&lt;&gt;"",H4&lt;&gt;"mezeraKL")</formula>
    </cfRule>
  </conditionalFormatting>
  <conditionalFormatting sqref="B4:G11">
    <cfRule type="expression" dxfId="15" priority="16">
      <formula>$H4="SumaNS"</formula>
    </cfRule>
    <cfRule type="expression" dxfId="14" priority="17">
      <formula>OR($H4="KL",$H4="SumaKL")</formula>
    </cfRule>
  </conditionalFormatting>
  <conditionalFormatting sqref="A4:G11">
    <cfRule type="expression" dxfId="13" priority="13">
      <formula>$H4&lt;&gt;""</formula>
    </cfRule>
  </conditionalFormatting>
  <conditionalFormatting sqref="F4:F11">
    <cfRule type="cellIs" dxfId="12" priority="9" operator="greaterThan">
      <formula>1</formula>
    </cfRule>
  </conditionalFormatting>
  <conditionalFormatting sqref="F4:F11">
    <cfRule type="expression" dxfId="11" priority="10">
      <formula>$H4="SumaNS"</formula>
    </cfRule>
    <cfRule type="expression" dxfId="10" priority="11">
      <formula>OR($H4="KL",$H4="SumaKL")</formula>
    </cfRule>
  </conditionalFormatting>
  <conditionalFormatting sqref="F4:F11">
    <cfRule type="expression" dxfId="9" priority="8">
      <formula>$H4&lt;&gt;""</formula>
    </cfRule>
  </conditionalFormatting>
  <conditionalFormatting sqref="G13:G29">
    <cfRule type="cellIs" dxfId="8" priority="1" operator="greaterThan">
      <formula>0</formula>
    </cfRule>
  </conditionalFormatting>
  <conditionalFormatting sqref="F13:F29">
    <cfRule type="cellIs" dxfId="7" priority="3" operator="greaterThan">
      <formula>1</formula>
    </cfRule>
  </conditionalFormatting>
  <conditionalFormatting sqref="B13:B29">
    <cfRule type="expression" dxfId="6" priority="7">
      <formula>AND(LEFT(H13,6)&lt;&gt;"mezera",H13&lt;&gt;"")</formula>
    </cfRule>
  </conditionalFormatting>
  <conditionalFormatting sqref="A13:A29">
    <cfRule type="expression" dxfId="5" priority="4">
      <formula>AND(H13&lt;&gt;"",H13&lt;&gt;"mezeraKL")</formula>
    </cfRule>
  </conditionalFormatting>
  <conditionalFormatting sqref="B13:G29">
    <cfRule type="expression" dxfId="4" priority="5">
      <formula>$H13="SumaNS"</formula>
    </cfRule>
    <cfRule type="expression" dxfId="3" priority="6">
      <formula>OR($H13="KL",$H13="SumaKL")</formula>
    </cfRule>
  </conditionalFormatting>
  <conditionalFormatting sqref="A13:G29">
    <cfRule type="expression" dxfId="2" priority="2">
      <formula>$H13&lt;&gt;""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94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65" hidden="1" customWidth="1" outlineLevel="1"/>
    <col min="2" max="2" width="28.33203125" style="65" hidden="1" customWidth="1" outlineLevel="1"/>
    <col min="3" max="3" width="5.33203125" style="86" bestFit="1" customWidth="1" collapsed="1"/>
    <col min="4" max="4" width="18.77734375" style="88" customWidth="1"/>
    <col min="5" max="5" width="9" style="86" bestFit="1" customWidth="1"/>
    <col min="6" max="6" width="18.77734375" style="88" customWidth="1"/>
    <col min="7" max="7" width="12.44140625" style="86" hidden="1" customWidth="1" outlineLevel="1"/>
    <col min="8" max="8" width="25.77734375" style="86" customWidth="1" collapsed="1"/>
    <col min="9" max="9" width="7.77734375" style="94" customWidth="1"/>
    <col min="10" max="10" width="10" style="94" customWidth="1"/>
    <col min="11" max="11" width="11.109375" style="94" customWidth="1"/>
    <col min="12" max="16384" width="8.88671875" style="65"/>
  </cols>
  <sheetData>
    <row r="1" spans="1:11" ht="18.600000000000001" customHeight="1" thickBot="1" x14ac:dyDescent="0.4">
      <c r="A1" s="274" t="s">
        <v>173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</row>
    <row r="2" spans="1:11" ht="14.4" customHeight="1" thickBot="1" x14ac:dyDescent="0.35">
      <c r="A2" s="318" t="s">
        <v>193</v>
      </c>
      <c r="B2" s="84"/>
      <c r="C2" s="147"/>
      <c r="D2" s="147"/>
      <c r="E2" s="147"/>
      <c r="F2" s="147"/>
      <c r="G2" s="147"/>
      <c r="H2" s="147"/>
      <c r="I2" s="148"/>
      <c r="J2" s="148"/>
      <c r="K2" s="148"/>
    </row>
    <row r="3" spans="1:11" ht="14.4" customHeight="1" thickBot="1" x14ac:dyDescent="0.35">
      <c r="A3" s="84"/>
      <c r="B3" s="84"/>
      <c r="C3" s="270"/>
      <c r="D3" s="271"/>
      <c r="E3" s="271"/>
      <c r="F3" s="271"/>
      <c r="G3" s="271"/>
      <c r="H3" s="152" t="s">
        <v>158</v>
      </c>
      <c r="I3" s="149">
        <f>IF(J3&lt;&gt;0,K3/J3,0)</f>
        <v>2.9295661476074986</v>
      </c>
      <c r="J3" s="149">
        <f>SUBTOTAL(9,J5:J1048576)</f>
        <v>27835</v>
      </c>
      <c r="K3" s="150">
        <f>SUBTOTAL(9,K5:K1048576)</f>
        <v>81544.473718654728</v>
      </c>
    </row>
    <row r="4" spans="1:11" s="85" customFormat="1" ht="14.4" customHeight="1" thickBot="1" x14ac:dyDescent="0.35">
      <c r="A4" s="345" t="s">
        <v>7</v>
      </c>
      <c r="B4" s="346" t="s">
        <v>8</v>
      </c>
      <c r="C4" s="346" t="s">
        <v>0</v>
      </c>
      <c r="D4" s="346" t="s">
        <v>9</v>
      </c>
      <c r="E4" s="346" t="s">
        <v>10</v>
      </c>
      <c r="F4" s="346" t="s">
        <v>2</v>
      </c>
      <c r="G4" s="346" t="s">
        <v>92</v>
      </c>
      <c r="H4" s="347" t="s">
        <v>14</v>
      </c>
      <c r="I4" s="348" t="s">
        <v>177</v>
      </c>
      <c r="J4" s="348" t="s">
        <v>16</v>
      </c>
      <c r="K4" s="349" t="s">
        <v>192</v>
      </c>
    </row>
    <row r="5" spans="1:11" ht="14.4" customHeight="1" x14ac:dyDescent="0.3">
      <c r="A5" s="350" t="s">
        <v>358</v>
      </c>
      <c r="B5" s="351" t="s">
        <v>360</v>
      </c>
      <c r="C5" s="352" t="s">
        <v>366</v>
      </c>
      <c r="D5" s="353" t="s">
        <v>367</v>
      </c>
      <c r="E5" s="352" t="s">
        <v>859</v>
      </c>
      <c r="F5" s="353" t="s">
        <v>860</v>
      </c>
      <c r="G5" s="352" t="s">
        <v>871</v>
      </c>
      <c r="H5" s="352" t="s">
        <v>872</v>
      </c>
      <c r="I5" s="354">
        <v>129.26</v>
      </c>
      <c r="J5" s="354">
        <v>1</v>
      </c>
      <c r="K5" s="355">
        <v>129.26</v>
      </c>
    </row>
    <row r="6" spans="1:11" ht="14.4" customHeight="1" x14ac:dyDescent="0.3">
      <c r="A6" s="356" t="s">
        <v>358</v>
      </c>
      <c r="B6" s="357" t="s">
        <v>360</v>
      </c>
      <c r="C6" s="358" t="s">
        <v>366</v>
      </c>
      <c r="D6" s="359" t="s">
        <v>367</v>
      </c>
      <c r="E6" s="358" t="s">
        <v>859</v>
      </c>
      <c r="F6" s="359" t="s">
        <v>860</v>
      </c>
      <c r="G6" s="358" t="s">
        <v>873</v>
      </c>
      <c r="H6" s="358" t="s">
        <v>874</v>
      </c>
      <c r="I6" s="360">
        <v>4.3049999999999997</v>
      </c>
      <c r="J6" s="360">
        <v>25</v>
      </c>
      <c r="K6" s="361">
        <v>107.62</v>
      </c>
    </row>
    <row r="7" spans="1:11" ht="14.4" customHeight="1" x14ac:dyDescent="0.3">
      <c r="A7" s="356" t="s">
        <v>358</v>
      </c>
      <c r="B7" s="357" t="s">
        <v>360</v>
      </c>
      <c r="C7" s="358" t="s">
        <v>366</v>
      </c>
      <c r="D7" s="359" t="s">
        <v>367</v>
      </c>
      <c r="E7" s="358" t="s">
        <v>859</v>
      </c>
      <c r="F7" s="359" t="s">
        <v>860</v>
      </c>
      <c r="G7" s="358" t="s">
        <v>875</v>
      </c>
      <c r="H7" s="358" t="s">
        <v>876</v>
      </c>
      <c r="I7" s="360">
        <v>27.367500000000003</v>
      </c>
      <c r="J7" s="360">
        <v>9</v>
      </c>
      <c r="K7" s="361">
        <v>246.31</v>
      </c>
    </row>
    <row r="8" spans="1:11" ht="14.4" customHeight="1" x14ac:dyDescent="0.3">
      <c r="A8" s="356" t="s">
        <v>358</v>
      </c>
      <c r="B8" s="357" t="s">
        <v>360</v>
      </c>
      <c r="C8" s="358" t="s">
        <v>366</v>
      </c>
      <c r="D8" s="359" t="s">
        <v>367</v>
      </c>
      <c r="E8" s="358" t="s">
        <v>859</v>
      </c>
      <c r="F8" s="359" t="s">
        <v>860</v>
      </c>
      <c r="G8" s="358" t="s">
        <v>877</v>
      </c>
      <c r="H8" s="358" t="s">
        <v>878</v>
      </c>
      <c r="I8" s="360">
        <v>30.18</v>
      </c>
      <c r="J8" s="360">
        <v>15</v>
      </c>
      <c r="K8" s="361">
        <v>452.7</v>
      </c>
    </row>
    <row r="9" spans="1:11" ht="14.4" customHeight="1" x14ac:dyDescent="0.3">
      <c r="A9" s="356" t="s">
        <v>358</v>
      </c>
      <c r="B9" s="357" t="s">
        <v>360</v>
      </c>
      <c r="C9" s="358" t="s">
        <v>366</v>
      </c>
      <c r="D9" s="359" t="s">
        <v>367</v>
      </c>
      <c r="E9" s="358" t="s">
        <v>859</v>
      </c>
      <c r="F9" s="359" t="s">
        <v>860</v>
      </c>
      <c r="G9" s="358" t="s">
        <v>879</v>
      </c>
      <c r="H9" s="358" t="s">
        <v>880</v>
      </c>
      <c r="I9" s="360">
        <v>13.03</v>
      </c>
      <c r="J9" s="360">
        <v>34</v>
      </c>
      <c r="K9" s="361">
        <v>443.03</v>
      </c>
    </row>
    <row r="10" spans="1:11" ht="14.4" customHeight="1" x14ac:dyDescent="0.3">
      <c r="A10" s="356" t="s">
        <v>358</v>
      </c>
      <c r="B10" s="357" t="s">
        <v>360</v>
      </c>
      <c r="C10" s="358" t="s">
        <v>366</v>
      </c>
      <c r="D10" s="359" t="s">
        <v>367</v>
      </c>
      <c r="E10" s="358" t="s">
        <v>859</v>
      </c>
      <c r="F10" s="359" t="s">
        <v>860</v>
      </c>
      <c r="G10" s="358" t="s">
        <v>881</v>
      </c>
      <c r="H10" s="358" t="s">
        <v>882</v>
      </c>
      <c r="I10" s="360">
        <v>27.212</v>
      </c>
      <c r="J10" s="360">
        <v>6</v>
      </c>
      <c r="K10" s="361">
        <v>164</v>
      </c>
    </row>
    <row r="11" spans="1:11" ht="14.4" customHeight="1" x14ac:dyDescent="0.3">
      <c r="A11" s="356" t="s">
        <v>358</v>
      </c>
      <c r="B11" s="357" t="s">
        <v>360</v>
      </c>
      <c r="C11" s="358" t="s">
        <v>366</v>
      </c>
      <c r="D11" s="359" t="s">
        <v>367</v>
      </c>
      <c r="E11" s="358" t="s">
        <v>859</v>
      </c>
      <c r="F11" s="359" t="s">
        <v>860</v>
      </c>
      <c r="G11" s="358" t="s">
        <v>883</v>
      </c>
      <c r="H11" s="358" t="s">
        <v>884</v>
      </c>
      <c r="I11" s="360">
        <v>9.8699999999999992</v>
      </c>
      <c r="J11" s="360">
        <v>5</v>
      </c>
      <c r="K11" s="361">
        <v>49.35</v>
      </c>
    </row>
    <row r="12" spans="1:11" ht="14.4" customHeight="1" x14ac:dyDescent="0.3">
      <c r="A12" s="356" t="s">
        <v>358</v>
      </c>
      <c r="B12" s="357" t="s">
        <v>360</v>
      </c>
      <c r="C12" s="358" t="s">
        <v>366</v>
      </c>
      <c r="D12" s="359" t="s">
        <v>367</v>
      </c>
      <c r="E12" s="358" t="s">
        <v>859</v>
      </c>
      <c r="F12" s="359" t="s">
        <v>860</v>
      </c>
      <c r="G12" s="358" t="s">
        <v>885</v>
      </c>
      <c r="H12" s="358" t="s">
        <v>886</v>
      </c>
      <c r="I12" s="360">
        <v>0.86</v>
      </c>
      <c r="J12" s="360">
        <v>15</v>
      </c>
      <c r="K12" s="361">
        <v>12.9</v>
      </c>
    </row>
    <row r="13" spans="1:11" ht="14.4" customHeight="1" x14ac:dyDescent="0.3">
      <c r="A13" s="356" t="s">
        <v>358</v>
      </c>
      <c r="B13" s="357" t="s">
        <v>360</v>
      </c>
      <c r="C13" s="358" t="s">
        <v>366</v>
      </c>
      <c r="D13" s="359" t="s">
        <v>367</v>
      </c>
      <c r="E13" s="358" t="s">
        <v>859</v>
      </c>
      <c r="F13" s="359" t="s">
        <v>860</v>
      </c>
      <c r="G13" s="358" t="s">
        <v>887</v>
      </c>
      <c r="H13" s="358" t="s">
        <v>888</v>
      </c>
      <c r="I13" s="360">
        <v>1.52</v>
      </c>
      <c r="J13" s="360">
        <v>15</v>
      </c>
      <c r="K13" s="361">
        <v>22.8</v>
      </c>
    </row>
    <row r="14" spans="1:11" ht="14.4" customHeight="1" x14ac:dyDescent="0.3">
      <c r="A14" s="356" t="s">
        <v>358</v>
      </c>
      <c r="B14" s="357" t="s">
        <v>360</v>
      </c>
      <c r="C14" s="358" t="s">
        <v>366</v>
      </c>
      <c r="D14" s="359" t="s">
        <v>367</v>
      </c>
      <c r="E14" s="358" t="s">
        <v>861</v>
      </c>
      <c r="F14" s="359" t="s">
        <v>862</v>
      </c>
      <c r="G14" s="358" t="s">
        <v>889</v>
      </c>
      <c r="H14" s="358" t="s">
        <v>890</v>
      </c>
      <c r="I14" s="360">
        <v>0.215</v>
      </c>
      <c r="J14" s="360">
        <v>500</v>
      </c>
      <c r="K14" s="361">
        <v>108</v>
      </c>
    </row>
    <row r="15" spans="1:11" ht="14.4" customHeight="1" x14ac:dyDescent="0.3">
      <c r="A15" s="356" t="s">
        <v>358</v>
      </c>
      <c r="B15" s="357" t="s">
        <v>360</v>
      </c>
      <c r="C15" s="358" t="s">
        <v>366</v>
      </c>
      <c r="D15" s="359" t="s">
        <v>367</v>
      </c>
      <c r="E15" s="358" t="s">
        <v>861</v>
      </c>
      <c r="F15" s="359" t="s">
        <v>862</v>
      </c>
      <c r="G15" s="358" t="s">
        <v>891</v>
      </c>
      <c r="H15" s="358" t="s">
        <v>892</v>
      </c>
      <c r="I15" s="360">
        <v>16.28</v>
      </c>
      <c r="J15" s="360">
        <v>20</v>
      </c>
      <c r="K15" s="361">
        <v>325.7</v>
      </c>
    </row>
    <row r="16" spans="1:11" ht="14.4" customHeight="1" x14ac:dyDescent="0.3">
      <c r="A16" s="356" t="s">
        <v>358</v>
      </c>
      <c r="B16" s="357" t="s">
        <v>360</v>
      </c>
      <c r="C16" s="358" t="s">
        <v>366</v>
      </c>
      <c r="D16" s="359" t="s">
        <v>367</v>
      </c>
      <c r="E16" s="358" t="s">
        <v>861</v>
      </c>
      <c r="F16" s="359" t="s">
        <v>862</v>
      </c>
      <c r="G16" s="358" t="s">
        <v>893</v>
      </c>
      <c r="H16" s="358" t="s">
        <v>894</v>
      </c>
      <c r="I16" s="360">
        <v>1.4350000000000001</v>
      </c>
      <c r="J16" s="360">
        <v>200</v>
      </c>
      <c r="K16" s="361">
        <v>287</v>
      </c>
    </row>
    <row r="17" spans="1:11" ht="14.4" customHeight="1" x14ac:dyDescent="0.3">
      <c r="A17" s="356" t="s">
        <v>358</v>
      </c>
      <c r="B17" s="357" t="s">
        <v>360</v>
      </c>
      <c r="C17" s="358" t="s">
        <v>366</v>
      </c>
      <c r="D17" s="359" t="s">
        <v>367</v>
      </c>
      <c r="E17" s="358" t="s">
        <v>861</v>
      </c>
      <c r="F17" s="359" t="s">
        <v>862</v>
      </c>
      <c r="G17" s="358" t="s">
        <v>895</v>
      </c>
      <c r="H17" s="358" t="s">
        <v>896</v>
      </c>
      <c r="I17" s="360">
        <v>64.569999999999993</v>
      </c>
      <c r="J17" s="360">
        <v>2</v>
      </c>
      <c r="K17" s="361">
        <v>129.13999999999999</v>
      </c>
    </row>
    <row r="18" spans="1:11" ht="14.4" customHeight="1" x14ac:dyDescent="0.3">
      <c r="A18" s="356" t="s">
        <v>358</v>
      </c>
      <c r="B18" s="357" t="s">
        <v>360</v>
      </c>
      <c r="C18" s="358" t="s">
        <v>366</v>
      </c>
      <c r="D18" s="359" t="s">
        <v>367</v>
      </c>
      <c r="E18" s="358" t="s">
        <v>861</v>
      </c>
      <c r="F18" s="359" t="s">
        <v>862</v>
      </c>
      <c r="G18" s="358" t="s">
        <v>897</v>
      </c>
      <c r="H18" s="358" t="s">
        <v>898</v>
      </c>
      <c r="I18" s="360">
        <v>999</v>
      </c>
      <c r="J18" s="360">
        <v>4</v>
      </c>
      <c r="K18" s="361">
        <v>3996</v>
      </c>
    </row>
    <row r="19" spans="1:11" ht="14.4" customHeight="1" x14ac:dyDescent="0.3">
      <c r="A19" s="356" t="s">
        <v>358</v>
      </c>
      <c r="B19" s="357" t="s">
        <v>360</v>
      </c>
      <c r="C19" s="358" t="s">
        <v>366</v>
      </c>
      <c r="D19" s="359" t="s">
        <v>367</v>
      </c>
      <c r="E19" s="358" t="s">
        <v>861</v>
      </c>
      <c r="F19" s="359" t="s">
        <v>862</v>
      </c>
      <c r="G19" s="358" t="s">
        <v>899</v>
      </c>
      <c r="H19" s="358" t="s">
        <v>900</v>
      </c>
      <c r="I19" s="360">
        <v>1.798</v>
      </c>
      <c r="J19" s="360">
        <v>280</v>
      </c>
      <c r="K19" s="361">
        <v>504.6</v>
      </c>
    </row>
    <row r="20" spans="1:11" ht="14.4" customHeight="1" x14ac:dyDescent="0.3">
      <c r="A20" s="356" t="s">
        <v>358</v>
      </c>
      <c r="B20" s="357" t="s">
        <v>360</v>
      </c>
      <c r="C20" s="358" t="s">
        <v>366</v>
      </c>
      <c r="D20" s="359" t="s">
        <v>367</v>
      </c>
      <c r="E20" s="358" t="s">
        <v>861</v>
      </c>
      <c r="F20" s="359" t="s">
        <v>862</v>
      </c>
      <c r="G20" s="358" t="s">
        <v>901</v>
      </c>
      <c r="H20" s="358" t="s">
        <v>902</v>
      </c>
      <c r="I20" s="360">
        <v>1.8</v>
      </c>
      <c r="J20" s="360">
        <v>330</v>
      </c>
      <c r="K20" s="361">
        <v>594.4</v>
      </c>
    </row>
    <row r="21" spans="1:11" ht="14.4" customHeight="1" x14ac:dyDescent="0.3">
      <c r="A21" s="356" t="s">
        <v>358</v>
      </c>
      <c r="B21" s="357" t="s">
        <v>360</v>
      </c>
      <c r="C21" s="358" t="s">
        <v>366</v>
      </c>
      <c r="D21" s="359" t="s">
        <v>367</v>
      </c>
      <c r="E21" s="358" t="s">
        <v>861</v>
      </c>
      <c r="F21" s="359" t="s">
        <v>862</v>
      </c>
      <c r="G21" s="358" t="s">
        <v>903</v>
      </c>
      <c r="H21" s="358" t="s">
        <v>904</v>
      </c>
      <c r="I21" s="360">
        <v>1.7762499999999999</v>
      </c>
      <c r="J21" s="360">
        <v>1250</v>
      </c>
      <c r="K21" s="361">
        <v>2220.5</v>
      </c>
    </row>
    <row r="22" spans="1:11" ht="14.4" customHeight="1" x14ac:dyDescent="0.3">
      <c r="A22" s="356" t="s">
        <v>358</v>
      </c>
      <c r="B22" s="357" t="s">
        <v>360</v>
      </c>
      <c r="C22" s="358" t="s">
        <v>366</v>
      </c>
      <c r="D22" s="359" t="s">
        <v>367</v>
      </c>
      <c r="E22" s="358" t="s">
        <v>861</v>
      </c>
      <c r="F22" s="359" t="s">
        <v>862</v>
      </c>
      <c r="G22" s="358" t="s">
        <v>905</v>
      </c>
      <c r="H22" s="358" t="s">
        <v>906</v>
      </c>
      <c r="I22" s="360">
        <v>2.75</v>
      </c>
      <c r="J22" s="360">
        <v>10</v>
      </c>
      <c r="K22" s="361">
        <v>27.5</v>
      </c>
    </row>
    <row r="23" spans="1:11" ht="14.4" customHeight="1" x14ac:dyDescent="0.3">
      <c r="A23" s="356" t="s">
        <v>358</v>
      </c>
      <c r="B23" s="357" t="s">
        <v>360</v>
      </c>
      <c r="C23" s="358" t="s">
        <v>366</v>
      </c>
      <c r="D23" s="359" t="s">
        <v>367</v>
      </c>
      <c r="E23" s="358" t="s">
        <v>861</v>
      </c>
      <c r="F23" s="359" t="s">
        <v>862</v>
      </c>
      <c r="G23" s="358" t="s">
        <v>907</v>
      </c>
      <c r="H23" s="358" t="s">
        <v>908</v>
      </c>
      <c r="I23" s="360">
        <v>1.7633333333333334</v>
      </c>
      <c r="J23" s="360">
        <v>900</v>
      </c>
      <c r="K23" s="361">
        <v>1587</v>
      </c>
    </row>
    <row r="24" spans="1:11" ht="14.4" customHeight="1" x14ac:dyDescent="0.3">
      <c r="A24" s="356" t="s">
        <v>358</v>
      </c>
      <c r="B24" s="357" t="s">
        <v>360</v>
      </c>
      <c r="C24" s="358" t="s">
        <v>366</v>
      </c>
      <c r="D24" s="359" t="s">
        <v>367</v>
      </c>
      <c r="E24" s="358" t="s">
        <v>861</v>
      </c>
      <c r="F24" s="359" t="s">
        <v>862</v>
      </c>
      <c r="G24" s="358" t="s">
        <v>909</v>
      </c>
      <c r="H24" s="358" t="s">
        <v>910</v>
      </c>
      <c r="I24" s="360">
        <v>1.7650000000000001</v>
      </c>
      <c r="J24" s="360">
        <v>200</v>
      </c>
      <c r="K24" s="361">
        <v>353</v>
      </c>
    </row>
    <row r="25" spans="1:11" ht="14.4" customHeight="1" x14ac:dyDescent="0.3">
      <c r="A25" s="356" t="s">
        <v>358</v>
      </c>
      <c r="B25" s="357" t="s">
        <v>360</v>
      </c>
      <c r="C25" s="358" t="s">
        <v>366</v>
      </c>
      <c r="D25" s="359" t="s">
        <v>367</v>
      </c>
      <c r="E25" s="358" t="s">
        <v>861</v>
      </c>
      <c r="F25" s="359" t="s">
        <v>862</v>
      </c>
      <c r="G25" s="358" t="s">
        <v>911</v>
      </c>
      <c r="H25" s="358" t="s">
        <v>912</v>
      </c>
      <c r="I25" s="360">
        <v>1.7550000000000001</v>
      </c>
      <c r="J25" s="360">
        <v>1400</v>
      </c>
      <c r="K25" s="361">
        <v>2458</v>
      </c>
    </row>
    <row r="26" spans="1:11" ht="14.4" customHeight="1" x14ac:dyDescent="0.3">
      <c r="A26" s="356" t="s">
        <v>358</v>
      </c>
      <c r="B26" s="357" t="s">
        <v>360</v>
      </c>
      <c r="C26" s="358" t="s">
        <v>366</v>
      </c>
      <c r="D26" s="359" t="s">
        <v>367</v>
      </c>
      <c r="E26" s="358" t="s">
        <v>861</v>
      </c>
      <c r="F26" s="359" t="s">
        <v>862</v>
      </c>
      <c r="G26" s="358" t="s">
        <v>913</v>
      </c>
      <c r="H26" s="358" t="s">
        <v>914</v>
      </c>
      <c r="I26" s="360">
        <v>1.4999999999999999E-2</v>
      </c>
      <c r="J26" s="360">
        <v>1400</v>
      </c>
      <c r="K26" s="361">
        <v>22</v>
      </c>
    </row>
    <row r="27" spans="1:11" ht="14.4" customHeight="1" x14ac:dyDescent="0.3">
      <c r="A27" s="356" t="s">
        <v>358</v>
      </c>
      <c r="B27" s="357" t="s">
        <v>360</v>
      </c>
      <c r="C27" s="358" t="s">
        <v>366</v>
      </c>
      <c r="D27" s="359" t="s">
        <v>367</v>
      </c>
      <c r="E27" s="358" t="s">
        <v>861</v>
      </c>
      <c r="F27" s="359" t="s">
        <v>862</v>
      </c>
      <c r="G27" s="358" t="s">
        <v>915</v>
      </c>
      <c r="H27" s="358" t="s">
        <v>916</v>
      </c>
      <c r="I27" s="360">
        <v>1.9766666666666666</v>
      </c>
      <c r="J27" s="360">
        <v>25</v>
      </c>
      <c r="K27" s="361">
        <v>49.55</v>
      </c>
    </row>
    <row r="28" spans="1:11" ht="14.4" customHeight="1" x14ac:dyDescent="0.3">
      <c r="A28" s="356" t="s">
        <v>358</v>
      </c>
      <c r="B28" s="357" t="s">
        <v>360</v>
      </c>
      <c r="C28" s="358" t="s">
        <v>366</v>
      </c>
      <c r="D28" s="359" t="s">
        <v>367</v>
      </c>
      <c r="E28" s="358" t="s">
        <v>861</v>
      </c>
      <c r="F28" s="359" t="s">
        <v>862</v>
      </c>
      <c r="G28" s="358" t="s">
        <v>917</v>
      </c>
      <c r="H28" s="358" t="s">
        <v>918</v>
      </c>
      <c r="I28" s="360">
        <v>2.74</v>
      </c>
      <c r="J28" s="360">
        <v>150</v>
      </c>
      <c r="K28" s="361">
        <v>411</v>
      </c>
    </row>
    <row r="29" spans="1:11" ht="14.4" customHeight="1" x14ac:dyDescent="0.3">
      <c r="A29" s="356" t="s">
        <v>358</v>
      </c>
      <c r="B29" s="357" t="s">
        <v>360</v>
      </c>
      <c r="C29" s="358" t="s">
        <v>366</v>
      </c>
      <c r="D29" s="359" t="s">
        <v>367</v>
      </c>
      <c r="E29" s="358" t="s">
        <v>861</v>
      </c>
      <c r="F29" s="359" t="s">
        <v>862</v>
      </c>
      <c r="G29" s="358" t="s">
        <v>919</v>
      </c>
      <c r="H29" s="358" t="s">
        <v>920</v>
      </c>
      <c r="I29" s="360">
        <v>1.9850000000000001</v>
      </c>
      <c r="J29" s="360">
        <v>25</v>
      </c>
      <c r="K29" s="361">
        <v>49.649999999999991</v>
      </c>
    </row>
    <row r="30" spans="1:11" ht="14.4" customHeight="1" x14ac:dyDescent="0.3">
      <c r="A30" s="356" t="s">
        <v>358</v>
      </c>
      <c r="B30" s="357" t="s">
        <v>360</v>
      </c>
      <c r="C30" s="358" t="s">
        <v>366</v>
      </c>
      <c r="D30" s="359" t="s">
        <v>367</v>
      </c>
      <c r="E30" s="358" t="s">
        <v>861</v>
      </c>
      <c r="F30" s="359" t="s">
        <v>862</v>
      </c>
      <c r="G30" s="358" t="s">
        <v>921</v>
      </c>
      <c r="H30" s="358" t="s">
        <v>922</v>
      </c>
      <c r="I30" s="360">
        <v>2.4700000000000002</v>
      </c>
      <c r="J30" s="360">
        <v>10</v>
      </c>
      <c r="K30" s="361">
        <v>24.7</v>
      </c>
    </row>
    <row r="31" spans="1:11" ht="14.4" customHeight="1" x14ac:dyDescent="0.3">
      <c r="A31" s="356" t="s">
        <v>358</v>
      </c>
      <c r="B31" s="357" t="s">
        <v>360</v>
      </c>
      <c r="C31" s="358" t="s">
        <v>366</v>
      </c>
      <c r="D31" s="359" t="s">
        <v>367</v>
      </c>
      <c r="E31" s="358" t="s">
        <v>861</v>
      </c>
      <c r="F31" s="359" t="s">
        <v>862</v>
      </c>
      <c r="G31" s="358" t="s">
        <v>923</v>
      </c>
      <c r="H31" s="358" t="s">
        <v>924</v>
      </c>
      <c r="I31" s="360">
        <v>2.4016666666666668</v>
      </c>
      <c r="J31" s="360">
        <v>1000</v>
      </c>
      <c r="K31" s="361">
        <v>2402.5</v>
      </c>
    </row>
    <row r="32" spans="1:11" ht="14.4" customHeight="1" x14ac:dyDescent="0.3">
      <c r="A32" s="356" t="s">
        <v>358</v>
      </c>
      <c r="B32" s="357" t="s">
        <v>360</v>
      </c>
      <c r="C32" s="358" t="s">
        <v>366</v>
      </c>
      <c r="D32" s="359" t="s">
        <v>367</v>
      </c>
      <c r="E32" s="358" t="s">
        <v>861</v>
      </c>
      <c r="F32" s="359" t="s">
        <v>862</v>
      </c>
      <c r="G32" s="358" t="s">
        <v>925</v>
      </c>
      <c r="H32" s="358" t="s">
        <v>926</v>
      </c>
      <c r="I32" s="360">
        <v>9.5</v>
      </c>
      <c r="J32" s="360">
        <v>1</v>
      </c>
      <c r="K32" s="361">
        <v>9.5</v>
      </c>
    </row>
    <row r="33" spans="1:11" ht="14.4" customHeight="1" x14ac:dyDescent="0.3">
      <c r="A33" s="356" t="s">
        <v>358</v>
      </c>
      <c r="B33" s="357" t="s">
        <v>360</v>
      </c>
      <c r="C33" s="358" t="s">
        <v>366</v>
      </c>
      <c r="D33" s="359" t="s">
        <v>367</v>
      </c>
      <c r="E33" s="358" t="s">
        <v>861</v>
      </c>
      <c r="F33" s="359" t="s">
        <v>862</v>
      </c>
      <c r="G33" s="358" t="s">
        <v>927</v>
      </c>
      <c r="H33" s="358" t="s">
        <v>928</v>
      </c>
      <c r="I33" s="360">
        <v>193.84</v>
      </c>
      <c r="J33" s="360">
        <v>4</v>
      </c>
      <c r="K33" s="361">
        <v>775.36</v>
      </c>
    </row>
    <row r="34" spans="1:11" ht="14.4" customHeight="1" x14ac:dyDescent="0.3">
      <c r="A34" s="356" t="s">
        <v>358</v>
      </c>
      <c r="B34" s="357" t="s">
        <v>360</v>
      </c>
      <c r="C34" s="358" t="s">
        <v>366</v>
      </c>
      <c r="D34" s="359" t="s">
        <v>367</v>
      </c>
      <c r="E34" s="358" t="s">
        <v>861</v>
      </c>
      <c r="F34" s="359" t="s">
        <v>862</v>
      </c>
      <c r="G34" s="358" t="s">
        <v>929</v>
      </c>
      <c r="H34" s="358" t="s">
        <v>930</v>
      </c>
      <c r="I34" s="360">
        <v>123.31</v>
      </c>
      <c r="J34" s="360">
        <v>3</v>
      </c>
      <c r="K34" s="361">
        <v>369.93</v>
      </c>
    </row>
    <row r="35" spans="1:11" ht="14.4" customHeight="1" x14ac:dyDescent="0.3">
      <c r="A35" s="356" t="s">
        <v>358</v>
      </c>
      <c r="B35" s="357" t="s">
        <v>360</v>
      </c>
      <c r="C35" s="358" t="s">
        <v>366</v>
      </c>
      <c r="D35" s="359" t="s">
        <v>367</v>
      </c>
      <c r="E35" s="358" t="s">
        <v>861</v>
      </c>
      <c r="F35" s="359" t="s">
        <v>862</v>
      </c>
      <c r="G35" s="358" t="s">
        <v>931</v>
      </c>
      <c r="H35" s="358" t="s">
        <v>932</v>
      </c>
      <c r="I35" s="360">
        <v>1.68</v>
      </c>
      <c r="J35" s="360">
        <v>40</v>
      </c>
      <c r="K35" s="361">
        <v>67.2</v>
      </c>
    </row>
    <row r="36" spans="1:11" ht="14.4" customHeight="1" x14ac:dyDescent="0.3">
      <c r="A36" s="356" t="s">
        <v>358</v>
      </c>
      <c r="B36" s="357" t="s">
        <v>360</v>
      </c>
      <c r="C36" s="358" t="s">
        <v>366</v>
      </c>
      <c r="D36" s="359" t="s">
        <v>367</v>
      </c>
      <c r="E36" s="358" t="s">
        <v>861</v>
      </c>
      <c r="F36" s="359" t="s">
        <v>862</v>
      </c>
      <c r="G36" s="358" t="s">
        <v>933</v>
      </c>
      <c r="H36" s="358" t="s">
        <v>934</v>
      </c>
      <c r="I36" s="360">
        <v>12.1</v>
      </c>
      <c r="J36" s="360">
        <v>20</v>
      </c>
      <c r="K36" s="361">
        <v>242</v>
      </c>
    </row>
    <row r="37" spans="1:11" ht="14.4" customHeight="1" x14ac:dyDescent="0.3">
      <c r="A37" s="356" t="s">
        <v>358</v>
      </c>
      <c r="B37" s="357" t="s">
        <v>360</v>
      </c>
      <c r="C37" s="358" t="s">
        <v>366</v>
      </c>
      <c r="D37" s="359" t="s">
        <v>367</v>
      </c>
      <c r="E37" s="358" t="s">
        <v>861</v>
      </c>
      <c r="F37" s="359" t="s">
        <v>862</v>
      </c>
      <c r="G37" s="358" t="s">
        <v>935</v>
      </c>
      <c r="H37" s="358" t="s">
        <v>936</v>
      </c>
      <c r="I37" s="360">
        <v>2.82</v>
      </c>
      <c r="J37" s="360">
        <v>450</v>
      </c>
      <c r="K37" s="361">
        <v>1269.5</v>
      </c>
    </row>
    <row r="38" spans="1:11" ht="14.4" customHeight="1" x14ac:dyDescent="0.3">
      <c r="A38" s="356" t="s">
        <v>358</v>
      </c>
      <c r="B38" s="357" t="s">
        <v>360</v>
      </c>
      <c r="C38" s="358" t="s">
        <v>366</v>
      </c>
      <c r="D38" s="359" t="s">
        <v>367</v>
      </c>
      <c r="E38" s="358" t="s">
        <v>861</v>
      </c>
      <c r="F38" s="359" t="s">
        <v>862</v>
      </c>
      <c r="G38" s="358" t="s">
        <v>937</v>
      </c>
      <c r="H38" s="358" t="s">
        <v>938</v>
      </c>
      <c r="I38" s="360">
        <v>21.24</v>
      </c>
      <c r="J38" s="360">
        <v>5</v>
      </c>
      <c r="K38" s="361">
        <v>106.2</v>
      </c>
    </row>
    <row r="39" spans="1:11" ht="14.4" customHeight="1" x14ac:dyDescent="0.3">
      <c r="A39" s="356" t="s">
        <v>358</v>
      </c>
      <c r="B39" s="357" t="s">
        <v>360</v>
      </c>
      <c r="C39" s="358" t="s">
        <v>366</v>
      </c>
      <c r="D39" s="359" t="s">
        <v>367</v>
      </c>
      <c r="E39" s="358" t="s">
        <v>861</v>
      </c>
      <c r="F39" s="359" t="s">
        <v>862</v>
      </c>
      <c r="G39" s="358" t="s">
        <v>939</v>
      </c>
      <c r="H39" s="358" t="s">
        <v>940</v>
      </c>
      <c r="I39" s="360">
        <v>21.23</v>
      </c>
      <c r="J39" s="360">
        <v>5</v>
      </c>
      <c r="K39" s="361">
        <v>106.15</v>
      </c>
    </row>
    <row r="40" spans="1:11" ht="14.4" customHeight="1" x14ac:dyDescent="0.3">
      <c r="A40" s="356" t="s">
        <v>358</v>
      </c>
      <c r="B40" s="357" t="s">
        <v>360</v>
      </c>
      <c r="C40" s="358" t="s">
        <v>366</v>
      </c>
      <c r="D40" s="359" t="s">
        <v>367</v>
      </c>
      <c r="E40" s="358" t="s">
        <v>861</v>
      </c>
      <c r="F40" s="359" t="s">
        <v>862</v>
      </c>
      <c r="G40" s="358" t="s">
        <v>941</v>
      </c>
      <c r="H40" s="358" t="s">
        <v>942</v>
      </c>
      <c r="I40" s="360">
        <v>34.200000000000003</v>
      </c>
      <c r="J40" s="360">
        <v>1</v>
      </c>
      <c r="K40" s="361">
        <v>34.200000000000003</v>
      </c>
    </row>
    <row r="41" spans="1:11" ht="14.4" customHeight="1" x14ac:dyDescent="0.3">
      <c r="A41" s="356" t="s">
        <v>358</v>
      </c>
      <c r="B41" s="357" t="s">
        <v>360</v>
      </c>
      <c r="C41" s="358" t="s">
        <v>366</v>
      </c>
      <c r="D41" s="359" t="s">
        <v>367</v>
      </c>
      <c r="E41" s="358" t="s">
        <v>861</v>
      </c>
      <c r="F41" s="359" t="s">
        <v>862</v>
      </c>
      <c r="G41" s="358" t="s">
        <v>943</v>
      </c>
      <c r="H41" s="358" t="s">
        <v>944</v>
      </c>
      <c r="I41" s="360">
        <v>9.5</v>
      </c>
      <c r="J41" s="360">
        <v>1</v>
      </c>
      <c r="K41" s="361">
        <v>9.5</v>
      </c>
    </row>
    <row r="42" spans="1:11" ht="14.4" customHeight="1" x14ac:dyDescent="0.3">
      <c r="A42" s="356" t="s">
        <v>358</v>
      </c>
      <c r="B42" s="357" t="s">
        <v>360</v>
      </c>
      <c r="C42" s="358" t="s">
        <v>366</v>
      </c>
      <c r="D42" s="359" t="s">
        <v>367</v>
      </c>
      <c r="E42" s="358" t="s">
        <v>861</v>
      </c>
      <c r="F42" s="359" t="s">
        <v>862</v>
      </c>
      <c r="G42" s="358" t="s">
        <v>945</v>
      </c>
      <c r="H42" s="358" t="s">
        <v>946</v>
      </c>
      <c r="I42" s="360">
        <v>2.9566666666666666</v>
      </c>
      <c r="J42" s="360">
        <v>500</v>
      </c>
      <c r="K42" s="361">
        <v>1452</v>
      </c>
    </row>
    <row r="43" spans="1:11" ht="14.4" customHeight="1" x14ac:dyDescent="0.3">
      <c r="A43" s="356" t="s">
        <v>358</v>
      </c>
      <c r="B43" s="357" t="s">
        <v>360</v>
      </c>
      <c r="C43" s="358" t="s">
        <v>366</v>
      </c>
      <c r="D43" s="359" t="s">
        <v>367</v>
      </c>
      <c r="E43" s="358" t="s">
        <v>863</v>
      </c>
      <c r="F43" s="359" t="s">
        <v>864</v>
      </c>
      <c r="G43" s="358" t="s">
        <v>947</v>
      </c>
      <c r="H43" s="358" t="s">
        <v>948</v>
      </c>
      <c r="I43" s="360">
        <v>8.1083333333333343</v>
      </c>
      <c r="J43" s="360">
        <v>3900</v>
      </c>
      <c r="K43" s="361">
        <v>31576</v>
      </c>
    </row>
    <row r="44" spans="1:11" ht="14.4" customHeight="1" x14ac:dyDescent="0.3">
      <c r="A44" s="356" t="s">
        <v>358</v>
      </c>
      <c r="B44" s="357" t="s">
        <v>360</v>
      </c>
      <c r="C44" s="358" t="s">
        <v>366</v>
      </c>
      <c r="D44" s="359" t="s">
        <v>367</v>
      </c>
      <c r="E44" s="358" t="s">
        <v>865</v>
      </c>
      <c r="F44" s="359" t="s">
        <v>866</v>
      </c>
      <c r="G44" s="358" t="s">
        <v>949</v>
      </c>
      <c r="H44" s="358" t="s">
        <v>950</v>
      </c>
      <c r="I44" s="360">
        <v>0.29571428571428576</v>
      </c>
      <c r="J44" s="360">
        <v>2300</v>
      </c>
      <c r="K44" s="361">
        <v>678</v>
      </c>
    </row>
    <row r="45" spans="1:11" ht="14.4" customHeight="1" x14ac:dyDescent="0.3">
      <c r="A45" s="356" t="s">
        <v>358</v>
      </c>
      <c r="B45" s="357" t="s">
        <v>360</v>
      </c>
      <c r="C45" s="358" t="s">
        <v>366</v>
      </c>
      <c r="D45" s="359" t="s">
        <v>367</v>
      </c>
      <c r="E45" s="358" t="s">
        <v>865</v>
      </c>
      <c r="F45" s="359" t="s">
        <v>866</v>
      </c>
      <c r="G45" s="358" t="s">
        <v>951</v>
      </c>
      <c r="H45" s="358" t="s">
        <v>952</v>
      </c>
      <c r="I45" s="360">
        <v>0.3</v>
      </c>
      <c r="J45" s="360">
        <v>300</v>
      </c>
      <c r="K45" s="361">
        <v>91</v>
      </c>
    </row>
    <row r="46" spans="1:11" ht="14.4" customHeight="1" x14ac:dyDescent="0.3">
      <c r="A46" s="356" t="s">
        <v>358</v>
      </c>
      <c r="B46" s="357" t="s">
        <v>360</v>
      </c>
      <c r="C46" s="358" t="s">
        <v>366</v>
      </c>
      <c r="D46" s="359" t="s">
        <v>367</v>
      </c>
      <c r="E46" s="358" t="s">
        <v>865</v>
      </c>
      <c r="F46" s="359" t="s">
        <v>866</v>
      </c>
      <c r="G46" s="358" t="s">
        <v>953</v>
      </c>
      <c r="H46" s="358" t="s">
        <v>954</v>
      </c>
      <c r="I46" s="360">
        <v>0.3</v>
      </c>
      <c r="J46" s="360">
        <v>100</v>
      </c>
      <c r="K46" s="361">
        <v>30</v>
      </c>
    </row>
    <row r="47" spans="1:11" ht="14.4" customHeight="1" x14ac:dyDescent="0.3">
      <c r="A47" s="356" t="s">
        <v>358</v>
      </c>
      <c r="B47" s="357" t="s">
        <v>360</v>
      </c>
      <c r="C47" s="358" t="s">
        <v>366</v>
      </c>
      <c r="D47" s="359" t="s">
        <v>367</v>
      </c>
      <c r="E47" s="358" t="s">
        <v>865</v>
      </c>
      <c r="F47" s="359" t="s">
        <v>866</v>
      </c>
      <c r="G47" s="358" t="s">
        <v>955</v>
      </c>
      <c r="H47" s="358" t="s">
        <v>956</v>
      </c>
      <c r="I47" s="360">
        <v>0.31</v>
      </c>
      <c r="J47" s="360">
        <v>400</v>
      </c>
      <c r="K47" s="361">
        <v>124</v>
      </c>
    </row>
    <row r="48" spans="1:11" ht="14.4" customHeight="1" x14ac:dyDescent="0.3">
      <c r="A48" s="356" t="s">
        <v>358</v>
      </c>
      <c r="B48" s="357" t="s">
        <v>360</v>
      </c>
      <c r="C48" s="358" t="s">
        <v>366</v>
      </c>
      <c r="D48" s="359" t="s">
        <v>367</v>
      </c>
      <c r="E48" s="358" t="s">
        <v>865</v>
      </c>
      <c r="F48" s="359" t="s">
        <v>866</v>
      </c>
      <c r="G48" s="358" t="s">
        <v>957</v>
      </c>
      <c r="H48" s="358" t="s">
        <v>958</v>
      </c>
      <c r="I48" s="360">
        <v>0.3</v>
      </c>
      <c r="J48" s="360">
        <v>100</v>
      </c>
      <c r="K48" s="361">
        <v>30.36</v>
      </c>
    </row>
    <row r="49" spans="1:11" ht="14.4" customHeight="1" x14ac:dyDescent="0.3">
      <c r="A49" s="356" t="s">
        <v>358</v>
      </c>
      <c r="B49" s="357" t="s">
        <v>360</v>
      </c>
      <c r="C49" s="358" t="s">
        <v>366</v>
      </c>
      <c r="D49" s="359" t="s">
        <v>367</v>
      </c>
      <c r="E49" s="358" t="s">
        <v>867</v>
      </c>
      <c r="F49" s="359" t="s">
        <v>868</v>
      </c>
      <c r="G49" s="358" t="s">
        <v>959</v>
      </c>
      <c r="H49" s="358" t="s">
        <v>960</v>
      </c>
      <c r="I49" s="360">
        <v>0.72</v>
      </c>
      <c r="J49" s="360">
        <v>100</v>
      </c>
      <c r="K49" s="361">
        <v>72</v>
      </c>
    </row>
    <row r="50" spans="1:11" ht="14.4" customHeight="1" x14ac:dyDescent="0.3">
      <c r="A50" s="356" t="s">
        <v>358</v>
      </c>
      <c r="B50" s="357" t="s">
        <v>360</v>
      </c>
      <c r="C50" s="358" t="s">
        <v>366</v>
      </c>
      <c r="D50" s="359" t="s">
        <v>367</v>
      </c>
      <c r="E50" s="358" t="s">
        <v>867</v>
      </c>
      <c r="F50" s="359" t="s">
        <v>868</v>
      </c>
      <c r="G50" s="358" t="s">
        <v>961</v>
      </c>
      <c r="H50" s="358" t="s">
        <v>962</v>
      </c>
      <c r="I50" s="360">
        <v>0.69500000000000006</v>
      </c>
      <c r="J50" s="360">
        <v>1000</v>
      </c>
      <c r="K50" s="361">
        <v>686</v>
      </c>
    </row>
    <row r="51" spans="1:11" ht="14.4" customHeight="1" x14ac:dyDescent="0.3">
      <c r="A51" s="356" t="s">
        <v>358</v>
      </c>
      <c r="B51" s="357" t="s">
        <v>360</v>
      </c>
      <c r="C51" s="358" t="s">
        <v>366</v>
      </c>
      <c r="D51" s="359" t="s">
        <v>367</v>
      </c>
      <c r="E51" s="358" t="s">
        <v>867</v>
      </c>
      <c r="F51" s="359" t="s">
        <v>868</v>
      </c>
      <c r="G51" s="358" t="s">
        <v>963</v>
      </c>
      <c r="H51" s="358" t="s">
        <v>964</v>
      </c>
      <c r="I51" s="360">
        <v>0.82499999999999996</v>
      </c>
      <c r="J51" s="360">
        <v>300</v>
      </c>
      <c r="K51" s="361">
        <v>247</v>
      </c>
    </row>
    <row r="52" spans="1:11" ht="14.4" customHeight="1" x14ac:dyDescent="0.3">
      <c r="A52" s="356" t="s">
        <v>358</v>
      </c>
      <c r="B52" s="357" t="s">
        <v>360</v>
      </c>
      <c r="C52" s="358" t="s">
        <v>366</v>
      </c>
      <c r="D52" s="359" t="s">
        <v>367</v>
      </c>
      <c r="E52" s="358" t="s">
        <v>867</v>
      </c>
      <c r="F52" s="359" t="s">
        <v>868</v>
      </c>
      <c r="G52" s="358" t="s">
        <v>965</v>
      </c>
      <c r="H52" s="358" t="s">
        <v>966</v>
      </c>
      <c r="I52" s="360">
        <v>0.78</v>
      </c>
      <c r="J52" s="360">
        <v>400</v>
      </c>
      <c r="K52" s="361">
        <v>312</v>
      </c>
    </row>
    <row r="53" spans="1:11" ht="14.4" customHeight="1" x14ac:dyDescent="0.3">
      <c r="A53" s="356" t="s">
        <v>358</v>
      </c>
      <c r="B53" s="357" t="s">
        <v>360</v>
      </c>
      <c r="C53" s="358" t="s">
        <v>366</v>
      </c>
      <c r="D53" s="359" t="s">
        <v>367</v>
      </c>
      <c r="E53" s="358" t="s">
        <v>867</v>
      </c>
      <c r="F53" s="359" t="s">
        <v>868</v>
      </c>
      <c r="G53" s="358" t="s">
        <v>967</v>
      </c>
      <c r="H53" s="358" t="s">
        <v>968</v>
      </c>
      <c r="I53" s="360">
        <v>0.77</v>
      </c>
      <c r="J53" s="360">
        <v>100</v>
      </c>
      <c r="K53" s="361">
        <v>77</v>
      </c>
    </row>
    <row r="54" spans="1:11" ht="14.4" customHeight="1" x14ac:dyDescent="0.3">
      <c r="A54" s="356" t="s">
        <v>358</v>
      </c>
      <c r="B54" s="357" t="s">
        <v>360</v>
      </c>
      <c r="C54" s="358" t="s">
        <v>366</v>
      </c>
      <c r="D54" s="359" t="s">
        <v>367</v>
      </c>
      <c r="E54" s="358" t="s">
        <v>857</v>
      </c>
      <c r="F54" s="359" t="s">
        <v>858</v>
      </c>
      <c r="G54" s="358" t="s">
        <v>969</v>
      </c>
      <c r="H54" s="358" t="s">
        <v>970</v>
      </c>
      <c r="I54" s="360">
        <v>109.44</v>
      </c>
      <c r="J54" s="360">
        <v>3</v>
      </c>
      <c r="K54" s="361">
        <v>328.32</v>
      </c>
    </row>
    <row r="55" spans="1:11" ht="14.4" customHeight="1" x14ac:dyDescent="0.3">
      <c r="A55" s="356" t="s">
        <v>358</v>
      </c>
      <c r="B55" s="357" t="s">
        <v>360</v>
      </c>
      <c r="C55" s="358" t="s">
        <v>366</v>
      </c>
      <c r="D55" s="359" t="s">
        <v>367</v>
      </c>
      <c r="E55" s="358" t="s">
        <v>857</v>
      </c>
      <c r="F55" s="359" t="s">
        <v>858</v>
      </c>
      <c r="G55" s="358" t="s">
        <v>971</v>
      </c>
      <c r="H55" s="358" t="s">
        <v>972</v>
      </c>
      <c r="I55" s="360">
        <v>108.01371865474501</v>
      </c>
      <c r="J55" s="360">
        <v>1</v>
      </c>
      <c r="K55" s="361">
        <v>108.01371865474501</v>
      </c>
    </row>
    <row r="56" spans="1:11" ht="14.4" customHeight="1" x14ac:dyDescent="0.3">
      <c r="A56" s="356" t="s">
        <v>358</v>
      </c>
      <c r="B56" s="357" t="s">
        <v>360</v>
      </c>
      <c r="C56" s="358" t="s">
        <v>366</v>
      </c>
      <c r="D56" s="359" t="s">
        <v>367</v>
      </c>
      <c r="E56" s="358" t="s">
        <v>857</v>
      </c>
      <c r="F56" s="359" t="s">
        <v>858</v>
      </c>
      <c r="G56" s="358" t="s">
        <v>973</v>
      </c>
      <c r="H56" s="358" t="s">
        <v>974</v>
      </c>
      <c r="I56" s="360">
        <v>188.7600000000001</v>
      </c>
      <c r="J56" s="360">
        <v>57</v>
      </c>
      <c r="K56" s="361">
        <v>10759.320000000003</v>
      </c>
    </row>
    <row r="57" spans="1:11" ht="14.4" customHeight="1" x14ac:dyDescent="0.3">
      <c r="A57" s="356" t="s">
        <v>358</v>
      </c>
      <c r="B57" s="357" t="s">
        <v>360</v>
      </c>
      <c r="C57" s="358" t="s">
        <v>869</v>
      </c>
      <c r="D57" s="359" t="s">
        <v>870</v>
      </c>
      <c r="E57" s="358" t="s">
        <v>859</v>
      </c>
      <c r="F57" s="359" t="s">
        <v>860</v>
      </c>
      <c r="G57" s="358" t="s">
        <v>873</v>
      </c>
      <c r="H57" s="358" t="s">
        <v>874</v>
      </c>
      <c r="I57" s="360">
        <v>4.3066666666666666</v>
      </c>
      <c r="J57" s="360">
        <v>15</v>
      </c>
      <c r="K57" s="361">
        <v>64.62</v>
      </c>
    </row>
    <row r="58" spans="1:11" ht="14.4" customHeight="1" x14ac:dyDescent="0.3">
      <c r="A58" s="356" t="s">
        <v>358</v>
      </c>
      <c r="B58" s="357" t="s">
        <v>360</v>
      </c>
      <c r="C58" s="358" t="s">
        <v>869</v>
      </c>
      <c r="D58" s="359" t="s">
        <v>870</v>
      </c>
      <c r="E58" s="358" t="s">
        <v>859</v>
      </c>
      <c r="F58" s="359" t="s">
        <v>860</v>
      </c>
      <c r="G58" s="358" t="s">
        <v>875</v>
      </c>
      <c r="H58" s="358" t="s">
        <v>876</v>
      </c>
      <c r="I58" s="360">
        <v>27.36</v>
      </c>
      <c r="J58" s="360">
        <v>7</v>
      </c>
      <c r="K58" s="361">
        <v>191.52</v>
      </c>
    </row>
    <row r="59" spans="1:11" ht="14.4" customHeight="1" x14ac:dyDescent="0.3">
      <c r="A59" s="356" t="s">
        <v>358</v>
      </c>
      <c r="B59" s="357" t="s">
        <v>360</v>
      </c>
      <c r="C59" s="358" t="s">
        <v>869</v>
      </c>
      <c r="D59" s="359" t="s">
        <v>870</v>
      </c>
      <c r="E59" s="358" t="s">
        <v>859</v>
      </c>
      <c r="F59" s="359" t="s">
        <v>860</v>
      </c>
      <c r="G59" s="358" t="s">
        <v>877</v>
      </c>
      <c r="H59" s="358" t="s">
        <v>878</v>
      </c>
      <c r="I59" s="360">
        <v>30.17</v>
      </c>
      <c r="J59" s="360">
        <v>2</v>
      </c>
      <c r="K59" s="361">
        <v>60.34</v>
      </c>
    </row>
    <row r="60" spans="1:11" ht="14.4" customHeight="1" x14ac:dyDescent="0.3">
      <c r="A60" s="356" t="s">
        <v>358</v>
      </c>
      <c r="B60" s="357" t="s">
        <v>360</v>
      </c>
      <c r="C60" s="358" t="s">
        <v>869</v>
      </c>
      <c r="D60" s="359" t="s">
        <v>870</v>
      </c>
      <c r="E60" s="358" t="s">
        <v>859</v>
      </c>
      <c r="F60" s="359" t="s">
        <v>860</v>
      </c>
      <c r="G60" s="358" t="s">
        <v>879</v>
      </c>
      <c r="H60" s="358" t="s">
        <v>880</v>
      </c>
      <c r="I60" s="360">
        <v>13.041999999999998</v>
      </c>
      <c r="J60" s="360">
        <v>20</v>
      </c>
      <c r="K60" s="361">
        <v>260.88</v>
      </c>
    </row>
    <row r="61" spans="1:11" ht="14.4" customHeight="1" x14ac:dyDescent="0.3">
      <c r="A61" s="356" t="s">
        <v>358</v>
      </c>
      <c r="B61" s="357" t="s">
        <v>360</v>
      </c>
      <c r="C61" s="358" t="s">
        <v>869</v>
      </c>
      <c r="D61" s="359" t="s">
        <v>870</v>
      </c>
      <c r="E61" s="358" t="s">
        <v>859</v>
      </c>
      <c r="F61" s="359" t="s">
        <v>860</v>
      </c>
      <c r="G61" s="358" t="s">
        <v>881</v>
      </c>
      <c r="H61" s="358" t="s">
        <v>882</v>
      </c>
      <c r="I61" s="360">
        <v>27.127499999999998</v>
      </c>
      <c r="J61" s="360">
        <v>5</v>
      </c>
      <c r="K61" s="361">
        <v>136.45000000000002</v>
      </c>
    </row>
    <row r="62" spans="1:11" ht="14.4" customHeight="1" x14ac:dyDescent="0.3">
      <c r="A62" s="356" t="s">
        <v>358</v>
      </c>
      <c r="B62" s="357" t="s">
        <v>360</v>
      </c>
      <c r="C62" s="358" t="s">
        <v>869</v>
      </c>
      <c r="D62" s="359" t="s">
        <v>870</v>
      </c>
      <c r="E62" s="358" t="s">
        <v>859</v>
      </c>
      <c r="F62" s="359" t="s">
        <v>860</v>
      </c>
      <c r="G62" s="358" t="s">
        <v>883</v>
      </c>
      <c r="H62" s="358" t="s">
        <v>884</v>
      </c>
      <c r="I62" s="360">
        <v>9.8699999999999992</v>
      </c>
      <c r="J62" s="360">
        <v>2</v>
      </c>
      <c r="K62" s="361">
        <v>19.739999999999998</v>
      </c>
    </row>
    <row r="63" spans="1:11" ht="14.4" customHeight="1" x14ac:dyDescent="0.3">
      <c r="A63" s="356" t="s">
        <v>358</v>
      </c>
      <c r="B63" s="357" t="s">
        <v>360</v>
      </c>
      <c r="C63" s="358" t="s">
        <v>869</v>
      </c>
      <c r="D63" s="359" t="s">
        <v>870</v>
      </c>
      <c r="E63" s="358" t="s">
        <v>859</v>
      </c>
      <c r="F63" s="359" t="s">
        <v>860</v>
      </c>
      <c r="G63" s="358" t="s">
        <v>885</v>
      </c>
      <c r="H63" s="358" t="s">
        <v>886</v>
      </c>
      <c r="I63" s="360">
        <v>0.86</v>
      </c>
      <c r="J63" s="360">
        <v>5</v>
      </c>
      <c r="K63" s="361">
        <v>4.3</v>
      </c>
    </row>
    <row r="64" spans="1:11" ht="14.4" customHeight="1" x14ac:dyDescent="0.3">
      <c r="A64" s="356" t="s">
        <v>358</v>
      </c>
      <c r="B64" s="357" t="s">
        <v>360</v>
      </c>
      <c r="C64" s="358" t="s">
        <v>869</v>
      </c>
      <c r="D64" s="359" t="s">
        <v>870</v>
      </c>
      <c r="E64" s="358" t="s">
        <v>859</v>
      </c>
      <c r="F64" s="359" t="s">
        <v>860</v>
      </c>
      <c r="G64" s="358" t="s">
        <v>887</v>
      </c>
      <c r="H64" s="358" t="s">
        <v>888</v>
      </c>
      <c r="I64" s="360">
        <v>1.5150000000000001</v>
      </c>
      <c r="J64" s="360">
        <v>6</v>
      </c>
      <c r="K64" s="361">
        <v>9.09</v>
      </c>
    </row>
    <row r="65" spans="1:11" ht="14.4" customHeight="1" x14ac:dyDescent="0.3">
      <c r="A65" s="356" t="s">
        <v>358</v>
      </c>
      <c r="B65" s="357" t="s">
        <v>360</v>
      </c>
      <c r="C65" s="358" t="s">
        <v>869</v>
      </c>
      <c r="D65" s="359" t="s">
        <v>870</v>
      </c>
      <c r="E65" s="358" t="s">
        <v>859</v>
      </c>
      <c r="F65" s="359" t="s">
        <v>860</v>
      </c>
      <c r="G65" s="358" t="s">
        <v>975</v>
      </c>
      <c r="H65" s="358" t="s">
        <v>976</v>
      </c>
      <c r="I65" s="360">
        <v>2.06</v>
      </c>
      <c r="J65" s="360">
        <v>3</v>
      </c>
      <c r="K65" s="361">
        <v>6.18</v>
      </c>
    </row>
    <row r="66" spans="1:11" ht="14.4" customHeight="1" x14ac:dyDescent="0.3">
      <c r="A66" s="356" t="s">
        <v>358</v>
      </c>
      <c r="B66" s="357" t="s">
        <v>360</v>
      </c>
      <c r="C66" s="358" t="s">
        <v>869</v>
      </c>
      <c r="D66" s="359" t="s">
        <v>870</v>
      </c>
      <c r="E66" s="358" t="s">
        <v>861</v>
      </c>
      <c r="F66" s="359" t="s">
        <v>862</v>
      </c>
      <c r="G66" s="358" t="s">
        <v>889</v>
      </c>
      <c r="H66" s="358" t="s">
        <v>890</v>
      </c>
      <c r="I66" s="360">
        <v>0.21333333333333335</v>
      </c>
      <c r="J66" s="360">
        <v>400</v>
      </c>
      <c r="K66" s="361">
        <v>85</v>
      </c>
    </row>
    <row r="67" spans="1:11" ht="14.4" customHeight="1" x14ac:dyDescent="0.3">
      <c r="A67" s="356" t="s">
        <v>358</v>
      </c>
      <c r="B67" s="357" t="s">
        <v>360</v>
      </c>
      <c r="C67" s="358" t="s">
        <v>869</v>
      </c>
      <c r="D67" s="359" t="s">
        <v>870</v>
      </c>
      <c r="E67" s="358" t="s">
        <v>861</v>
      </c>
      <c r="F67" s="359" t="s">
        <v>862</v>
      </c>
      <c r="G67" s="358" t="s">
        <v>893</v>
      </c>
      <c r="H67" s="358" t="s">
        <v>894</v>
      </c>
      <c r="I67" s="360">
        <v>1.35</v>
      </c>
      <c r="J67" s="360">
        <v>100</v>
      </c>
      <c r="K67" s="361">
        <v>135</v>
      </c>
    </row>
    <row r="68" spans="1:11" ht="14.4" customHeight="1" x14ac:dyDescent="0.3">
      <c r="A68" s="356" t="s">
        <v>358</v>
      </c>
      <c r="B68" s="357" t="s">
        <v>360</v>
      </c>
      <c r="C68" s="358" t="s">
        <v>869</v>
      </c>
      <c r="D68" s="359" t="s">
        <v>870</v>
      </c>
      <c r="E68" s="358" t="s">
        <v>861</v>
      </c>
      <c r="F68" s="359" t="s">
        <v>862</v>
      </c>
      <c r="G68" s="358" t="s">
        <v>895</v>
      </c>
      <c r="H68" s="358" t="s">
        <v>896</v>
      </c>
      <c r="I68" s="360">
        <v>68.349999999999994</v>
      </c>
      <c r="J68" s="360">
        <v>1</v>
      </c>
      <c r="K68" s="361">
        <v>68.349999999999994</v>
      </c>
    </row>
    <row r="69" spans="1:11" ht="14.4" customHeight="1" x14ac:dyDescent="0.3">
      <c r="A69" s="356" t="s">
        <v>358</v>
      </c>
      <c r="B69" s="357" t="s">
        <v>360</v>
      </c>
      <c r="C69" s="358" t="s">
        <v>869</v>
      </c>
      <c r="D69" s="359" t="s">
        <v>870</v>
      </c>
      <c r="E69" s="358" t="s">
        <v>861</v>
      </c>
      <c r="F69" s="359" t="s">
        <v>862</v>
      </c>
      <c r="G69" s="358" t="s">
        <v>899</v>
      </c>
      <c r="H69" s="358" t="s">
        <v>900</v>
      </c>
      <c r="I69" s="360">
        <v>1.7983333333333336</v>
      </c>
      <c r="J69" s="360">
        <v>280</v>
      </c>
      <c r="K69" s="361">
        <v>503.7</v>
      </c>
    </row>
    <row r="70" spans="1:11" ht="14.4" customHeight="1" x14ac:dyDescent="0.3">
      <c r="A70" s="356" t="s">
        <v>358</v>
      </c>
      <c r="B70" s="357" t="s">
        <v>360</v>
      </c>
      <c r="C70" s="358" t="s">
        <v>869</v>
      </c>
      <c r="D70" s="359" t="s">
        <v>870</v>
      </c>
      <c r="E70" s="358" t="s">
        <v>861</v>
      </c>
      <c r="F70" s="359" t="s">
        <v>862</v>
      </c>
      <c r="G70" s="358" t="s">
        <v>901</v>
      </c>
      <c r="H70" s="358" t="s">
        <v>902</v>
      </c>
      <c r="I70" s="360">
        <v>1.782</v>
      </c>
      <c r="J70" s="360">
        <v>230</v>
      </c>
      <c r="K70" s="361">
        <v>412</v>
      </c>
    </row>
    <row r="71" spans="1:11" ht="14.4" customHeight="1" x14ac:dyDescent="0.3">
      <c r="A71" s="356" t="s">
        <v>358</v>
      </c>
      <c r="B71" s="357" t="s">
        <v>360</v>
      </c>
      <c r="C71" s="358" t="s">
        <v>869</v>
      </c>
      <c r="D71" s="359" t="s">
        <v>870</v>
      </c>
      <c r="E71" s="358" t="s">
        <v>861</v>
      </c>
      <c r="F71" s="359" t="s">
        <v>862</v>
      </c>
      <c r="G71" s="358" t="s">
        <v>903</v>
      </c>
      <c r="H71" s="358" t="s">
        <v>904</v>
      </c>
      <c r="I71" s="360">
        <v>1.778</v>
      </c>
      <c r="J71" s="360">
        <v>600</v>
      </c>
      <c r="K71" s="361">
        <v>1067</v>
      </c>
    </row>
    <row r="72" spans="1:11" ht="14.4" customHeight="1" x14ac:dyDescent="0.3">
      <c r="A72" s="356" t="s">
        <v>358</v>
      </c>
      <c r="B72" s="357" t="s">
        <v>360</v>
      </c>
      <c r="C72" s="358" t="s">
        <v>869</v>
      </c>
      <c r="D72" s="359" t="s">
        <v>870</v>
      </c>
      <c r="E72" s="358" t="s">
        <v>861</v>
      </c>
      <c r="F72" s="359" t="s">
        <v>862</v>
      </c>
      <c r="G72" s="358" t="s">
        <v>905</v>
      </c>
      <c r="H72" s="358" t="s">
        <v>906</v>
      </c>
      <c r="I72" s="360">
        <v>2.74</v>
      </c>
      <c r="J72" s="360">
        <v>40</v>
      </c>
      <c r="K72" s="361">
        <v>109.6</v>
      </c>
    </row>
    <row r="73" spans="1:11" ht="14.4" customHeight="1" x14ac:dyDescent="0.3">
      <c r="A73" s="356" t="s">
        <v>358</v>
      </c>
      <c r="B73" s="357" t="s">
        <v>360</v>
      </c>
      <c r="C73" s="358" t="s">
        <v>869</v>
      </c>
      <c r="D73" s="359" t="s">
        <v>870</v>
      </c>
      <c r="E73" s="358" t="s">
        <v>861</v>
      </c>
      <c r="F73" s="359" t="s">
        <v>862</v>
      </c>
      <c r="G73" s="358" t="s">
        <v>907</v>
      </c>
      <c r="H73" s="358" t="s">
        <v>908</v>
      </c>
      <c r="I73" s="360">
        <v>1.7625000000000002</v>
      </c>
      <c r="J73" s="360">
        <v>500</v>
      </c>
      <c r="K73" s="361">
        <v>880</v>
      </c>
    </row>
    <row r="74" spans="1:11" ht="14.4" customHeight="1" x14ac:dyDescent="0.3">
      <c r="A74" s="356" t="s">
        <v>358</v>
      </c>
      <c r="B74" s="357" t="s">
        <v>360</v>
      </c>
      <c r="C74" s="358" t="s">
        <v>869</v>
      </c>
      <c r="D74" s="359" t="s">
        <v>870</v>
      </c>
      <c r="E74" s="358" t="s">
        <v>861</v>
      </c>
      <c r="F74" s="359" t="s">
        <v>862</v>
      </c>
      <c r="G74" s="358" t="s">
        <v>909</v>
      </c>
      <c r="H74" s="358" t="s">
        <v>910</v>
      </c>
      <c r="I74" s="360">
        <v>1.76</v>
      </c>
      <c r="J74" s="360">
        <v>200</v>
      </c>
      <c r="K74" s="361">
        <v>352</v>
      </c>
    </row>
    <row r="75" spans="1:11" ht="14.4" customHeight="1" x14ac:dyDescent="0.3">
      <c r="A75" s="356" t="s">
        <v>358</v>
      </c>
      <c r="B75" s="357" t="s">
        <v>360</v>
      </c>
      <c r="C75" s="358" t="s">
        <v>869</v>
      </c>
      <c r="D75" s="359" t="s">
        <v>870</v>
      </c>
      <c r="E75" s="358" t="s">
        <v>861</v>
      </c>
      <c r="F75" s="359" t="s">
        <v>862</v>
      </c>
      <c r="G75" s="358" t="s">
        <v>977</v>
      </c>
      <c r="H75" s="358" t="s">
        <v>978</v>
      </c>
      <c r="I75" s="360">
        <v>1.67</v>
      </c>
      <c r="J75" s="360">
        <v>20</v>
      </c>
      <c r="K75" s="361">
        <v>33.4</v>
      </c>
    </row>
    <row r="76" spans="1:11" ht="14.4" customHeight="1" x14ac:dyDescent="0.3">
      <c r="A76" s="356" t="s">
        <v>358</v>
      </c>
      <c r="B76" s="357" t="s">
        <v>360</v>
      </c>
      <c r="C76" s="358" t="s">
        <v>869</v>
      </c>
      <c r="D76" s="359" t="s">
        <v>870</v>
      </c>
      <c r="E76" s="358" t="s">
        <v>861</v>
      </c>
      <c r="F76" s="359" t="s">
        <v>862</v>
      </c>
      <c r="G76" s="358" t="s">
        <v>911</v>
      </c>
      <c r="H76" s="358" t="s">
        <v>912</v>
      </c>
      <c r="I76" s="360">
        <v>1.7533333333333332</v>
      </c>
      <c r="J76" s="360">
        <v>1400</v>
      </c>
      <c r="K76" s="361">
        <v>2454</v>
      </c>
    </row>
    <row r="77" spans="1:11" ht="14.4" customHeight="1" x14ac:dyDescent="0.3">
      <c r="A77" s="356" t="s">
        <v>358</v>
      </c>
      <c r="B77" s="357" t="s">
        <v>360</v>
      </c>
      <c r="C77" s="358" t="s">
        <v>869</v>
      </c>
      <c r="D77" s="359" t="s">
        <v>870</v>
      </c>
      <c r="E77" s="358" t="s">
        <v>861</v>
      </c>
      <c r="F77" s="359" t="s">
        <v>862</v>
      </c>
      <c r="G77" s="358" t="s">
        <v>913</v>
      </c>
      <c r="H77" s="358" t="s">
        <v>914</v>
      </c>
      <c r="I77" s="360">
        <v>1.6666666666666666E-2</v>
      </c>
      <c r="J77" s="360">
        <v>1400</v>
      </c>
      <c r="K77" s="361">
        <v>22</v>
      </c>
    </row>
    <row r="78" spans="1:11" ht="14.4" customHeight="1" x14ac:dyDescent="0.3">
      <c r="A78" s="356" t="s">
        <v>358</v>
      </c>
      <c r="B78" s="357" t="s">
        <v>360</v>
      </c>
      <c r="C78" s="358" t="s">
        <v>869</v>
      </c>
      <c r="D78" s="359" t="s">
        <v>870</v>
      </c>
      <c r="E78" s="358" t="s">
        <v>861</v>
      </c>
      <c r="F78" s="359" t="s">
        <v>862</v>
      </c>
      <c r="G78" s="358" t="s">
        <v>915</v>
      </c>
      <c r="H78" s="358" t="s">
        <v>916</v>
      </c>
      <c r="I78" s="360">
        <v>2</v>
      </c>
      <c r="J78" s="360">
        <v>10</v>
      </c>
      <c r="K78" s="361">
        <v>20</v>
      </c>
    </row>
    <row r="79" spans="1:11" ht="14.4" customHeight="1" x14ac:dyDescent="0.3">
      <c r="A79" s="356" t="s">
        <v>358</v>
      </c>
      <c r="B79" s="357" t="s">
        <v>360</v>
      </c>
      <c r="C79" s="358" t="s">
        <v>869</v>
      </c>
      <c r="D79" s="359" t="s">
        <v>870</v>
      </c>
      <c r="E79" s="358" t="s">
        <v>861</v>
      </c>
      <c r="F79" s="359" t="s">
        <v>862</v>
      </c>
      <c r="G79" s="358" t="s">
        <v>917</v>
      </c>
      <c r="H79" s="358" t="s">
        <v>918</v>
      </c>
      <c r="I79" s="360">
        <v>2.7450000000000001</v>
      </c>
      <c r="J79" s="360">
        <v>150</v>
      </c>
      <c r="K79" s="361">
        <v>411.5</v>
      </c>
    </row>
    <row r="80" spans="1:11" ht="14.4" customHeight="1" x14ac:dyDescent="0.3">
      <c r="A80" s="356" t="s">
        <v>358</v>
      </c>
      <c r="B80" s="357" t="s">
        <v>360</v>
      </c>
      <c r="C80" s="358" t="s">
        <v>869</v>
      </c>
      <c r="D80" s="359" t="s">
        <v>870</v>
      </c>
      <c r="E80" s="358" t="s">
        <v>861</v>
      </c>
      <c r="F80" s="359" t="s">
        <v>862</v>
      </c>
      <c r="G80" s="358" t="s">
        <v>919</v>
      </c>
      <c r="H80" s="358" t="s">
        <v>920</v>
      </c>
      <c r="I80" s="360">
        <v>1.99</v>
      </c>
      <c r="J80" s="360">
        <v>5</v>
      </c>
      <c r="K80" s="361">
        <v>9.9499999999999993</v>
      </c>
    </row>
    <row r="81" spans="1:11" ht="14.4" customHeight="1" x14ac:dyDescent="0.3">
      <c r="A81" s="356" t="s">
        <v>358</v>
      </c>
      <c r="B81" s="357" t="s">
        <v>360</v>
      </c>
      <c r="C81" s="358" t="s">
        <v>869</v>
      </c>
      <c r="D81" s="359" t="s">
        <v>870</v>
      </c>
      <c r="E81" s="358" t="s">
        <v>861</v>
      </c>
      <c r="F81" s="359" t="s">
        <v>862</v>
      </c>
      <c r="G81" s="358" t="s">
        <v>921</v>
      </c>
      <c r="H81" s="358" t="s">
        <v>922</v>
      </c>
      <c r="I81" s="360">
        <v>3.15</v>
      </c>
      <c r="J81" s="360">
        <v>5</v>
      </c>
      <c r="K81" s="361">
        <v>15.75</v>
      </c>
    </row>
    <row r="82" spans="1:11" ht="14.4" customHeight="1" x14ac:dyDescent="0.3">
      <c r="A82" s="356" t="s">
        <v>358</v>
      </c>
      <c r="B82" s="357" t="s">
        <v>360</v>
      </c>
      <c r="C82" s="358" t="s">
        <v>869</v>
      </c>
      <c r="D82" s="359" t="s">
        <v>870</v>
      </c>
      <c r="E82" s="358" t="s">
        <v>861</v>
      </c>
      <c r="F82" s="359" t="s">
        <v>862</v>
      </c>
      <c r="G82" s="358" t="s">
        <v>923</v>
      </c>
      <c r="H82" s="358" t="s">
        <v>924</v>
      </c>
      <c r="I82" s="360">
        <v>2.4040000000000004</v>
      </c>
      <c r="J82" s="360">
        <v>750</v>
      </c>
      <c r="K82" s="361">
        <v>1802.5</v>
      </c>
    </row>
    <row r="83" spans="1:11" ht="14.4" customHeight="1" x14ac:dyDescent="0.3">
      <c r="A83" s="356" t="s">
        <v>358</v>
      </c>
      <c r="B83" s="357" t="s">
        <v>360</v>
      </c>
      <c r="C83" s="358" t="s">
        <v>869</v>
      </c>
      <c r="D83" s="359" t="s">
        <v>870</v>
      </c>
      <c r="E83" s="358" t="s">
        <v>861</v>
      </c>
      <c r="F83" s="359" t="s">
        <v>862</v>
      </c>
      <c r="G83" s="358" t="s">
        <v>927</v>
      </c>
      <c r="H83" s="358" t="s">
        <v>928</v>
      </c>
      <c r="I83" s="360">
        <v>193.83500000000001</v>
      </c>
      <c r="J83" s="360">
        <v>8</v>
      </c>
      <c r="K83" s="361">
        <v>1550.65</v>
      </c>
    </row>
    <row r="84" spans="1:11" ht="14.4" customHeight="1" x14ac:dyDescent="0.3">
      <c r="A84" s="356" t="s">
        <v>358</v>
      </c>
      <c r="B84" s="357" t="s">
        <v>360</v>
      </c>
      <c r="C84" s="358" t="s">
        <v>869</v>
      </c>
      <c r="D84" s="359" t="s">
        <v>870</v>
      </c>
      <c r="E84" s="358" t="s">
        <v>861</v>
      </c>
      <c r="F84" s="359" t="s">
        <v>862</v>
      </c>
      <c r="G84" s="358" t="s">
        <v>933</v>
      </c>
      <c r="H84" s="358" t="s">
        <v>934</v>
      </c>
      <c r="I84" s="360">
        <v>12.105</v>
      </c>
      <c r="J84" s="360">
        <v>20</v>
      </c>
      <c r="K84" s="361">
        <v>242.1</v>
      </c>
    </row>
    <row r="85" spans="1:11" ht="14.4" customHeight="1" x14ac:dyDescent="0.3">
      <c r="A85" s="356" t="s">
        <v>358</v>
      </c>
      <c r="B85" s="357" t="s">
        <v>360</v>
      </c>
      <c r="C85" s="358" t="s">
        <v>869</v>
      </c>
      <c r="D85" s="359" t="s">
        <v>870</v>
      </c>
      <c r="E85" s="358" t="s">
        <v>861</v>
      </c>
      <c r="F85" s="359" t="s">
        <v>862</v>
      </c>
      <c r="G85" s="358" t="s">
        <v>935</v>
      </c>
      <c r="H85" s="358" t="s">
        <v>936</v>
      </c>
      <c r="I85" s="360">
        <v>2.8333333333333335</v>
      </c>
      <c r="J85" s="360">
        <v>300</v>
      </c>
      <c r="K85" s="361">
        <v>850</v>
      </c>
    </row>
    <row r="86" spans="1:11" ht="14.4" customHeight="1" x14ac:dyDescent="0.3">
      <c r="A86" s="356" t="s">
        <v>358</v>
      </c>
      <c r="B86" s="357" t="s">
        <v>360</v>
      </c>
      <c r="C86" s="358" t="s">
        <v>869</v>
      </c>
      <c r="D86" s="359" t="s">
        <v>870</v>
      </c>
      <c r="E86" s="358" t="s">
        <v>861</v>
      </c>
      <c r="F86" s="359" t="s">
        <v>862</v>
      </c>
      <c r="G86" s="358" t="s">
        <v>937</v>
      </c>
      <c r="H86" s="358" t="s">
        <v>938</v>
      </c>
      <c r="I86" s="360">
        <v>21.195</v>
      </c>
      <c r="J86" s="360">
        <v>20</v>
      </c>
      <c r="K86" s="361">
        <v>423.9</v>
      </c>
    </row>
    <row r="87" spans="1:11" ht="14.4" customHeight="1" x14ac:dyDescent="0.3">
      <c r="A87" s="356" t="s">
        <v>358</v>
      </c>
      <c r="B87" s="357" t="s">
        <v>360</v>
      </c>
      <c r="C87" s="358" t="s">
        <v>869</v>
      </c>
      <c r="D87" s="359" t="s">
        <v>870</v>
      </c>
      <c r="E87" s="358" t="s">
        <v>861</v>
      </c>
      <c r="F87" s="359" t="s">
        <v>862</v>
      </c>
      <c r="G87" s="358" t="s">
        <v>939</v>
      </c>
      <c r="H87" s="358" t="s">
        <v>940</v>
      </c>
      <c r="I87" s="360">
        <v>21.23</v>
      </c>
      <c r="J87" s="360">
        <v>5</v>
      </c>
      <c r="K87" s="361">
        <v>106.15</v>
      </c>
    </row>
    <row r="88" spans="1:11" ht="14.4" customHeight="1" x14ac:dyDescent="0.3">
      <c r="A88" s="356" t="s">
        <v>358</v>
      </c>
      <c r="B88" s="357" t="s">
        <v>360</v>
      </c>
      <c r="C88" s="358" t="s">
        <v>869</v>
      </c>
      <c r="D88" s="359" t="s">
        <v>870</v>
      </c>
      <c r="E88" s="358" t="s">
        <v>865</v>
      </c>
      <c r="F88" s="359" t="s">
        <v>866</v>
      </c>
      <c r="G88" s="358" t="s">
        <v>949</v>
      </c>
      <c r="H88" s="358" t="s">
        <v>950</v>
      </c>
      <c r="I88" s="360">
        <v>0.29833333333333334</v>
      </c>
      <c r="J88" s="360">
        <v>1200</v>
      </c>
      <c r="K88" s="361">
        <v>358</v>
      </c>
    </row>
    <row r="89" spans="1:11" ht="14.4" customHeight="1" x14ac:dyDescent="0.3">
      <c r="A89" s="356" t="s">
        <v>358</v>
      </c>
      <c r="B89" s="357" t="s">
        <v>360</v>
      </c>
      <c r="C89" s="358" t="s">
        <v>869</v>
      </c>
      <c r="D89" s="359" t="s">
        <v>870</v>
      </c>
      <c r="E89" s="358" t="s">
        <v>865</v>
      </c>
      <c r="F89" s="359" t="s">
        <v>866</v>
      </c>
      <c r="G89" s="358" t="s">
        <v>953</v>
      </c>
      <c r="H89" s="358" t="s">
        <v>954</v>
      </c>
      <c r="I89" s="360">
        <v>0.3</v>
      </c>
      <c r="J89" s="360">
        <v>100</v>
      </c>
      <c r="K89" s="361">
        <v>30</v>
      </c>
    </row>
    <row r="90" spans="1:11" ht="14.4" customHeight="1" x14ac:dyDescent="0.3">
      <c r="A90" s="356" t="s">
        <v>358</v>
      </c>
      <c r="B90" s="357" t="s">
        <v>360</v>
      </c>
      <c r="C90" s="358" t="s">
        <v>869</v>
      </c>
      <c r="D90" s="359" t="s">
        <v>870</v>
      </c>
      <c r="E90" s="358" t="s">
        <v>865</v>
      </c>
      <c r="F90" s="359" t="s">
        <v>866</v>
      </c>
      <c r="G90" s="358" t="s">
        <v>955</v>
      </c>
      <c r="H90" s="358" t="s">
        <v>956</v>
      </c>
      <c r="I90" s="360">
        <v>0.3</v>
      </c>
      <c r="J90" s="360">
        <v>400</v>
      </c>
      <c r="K90" s="361">
        <v>122</v>
      </c>
    </row>
    <row r="91" spans="1:11" ht="14.4" customHeight="1" x14ac:dyDescent="0.3">
      <c r="A91" s="356" t="s">
        <v>358</v>
      </c>
      <c r="B91" s="357" t="s">
        <v>360</v>
      </c>
      <c r="C91" s="358" t="s">
        <v>869</v>
      </c>
      <c r="D91" s="359" t="s">
        <v>870</v>
      </c>
      <c r="E91" s="358" t="s">
        <v>867</v>
      </c>
      <c r="F91" s="359" t="s">
        <v>868</v>
      </c>
      <c r="G91" s="358" t="s">
        <v>959</v>
      </c>
      <c r="H91" s="358" t="s">
        <v>960</v>
      </c>
      <c r="I91" s="360">
        <v>0.68333333333333346</v>
      </c>
      <c r="J91" s="360">
        <v>400</v>
      </c>
      <c r="K91" s="361">
        <v>271</v>
      </c>
    </row>
    <row r="92" spans="1:11" ht="14.4" customHeight="1" x14ac:dyDescent="0.3">
      <c r="A92" s="356" t="s">
        <v>358</v>
      </c>
      <c r="B92" s="357" t="s">
        <v>360</v>
      </c>
      <c r="C92" s="358" t="s">
        <v>869</v>
      </c>
      <c r="D92" s="359" t="s">
        <v>870</v>
      </c>
      <c r="E92" s="358" t="s">
        <v>867</v>
      </c>
      <c r="F92" s="359" t="s">
        <v>868</v>
      </c>
      <c r="G92" s="358" t="s">
        <v>961</v>
      </c>
      <c r="H92" s="358" t="s">
        <v>962</v>
      </c>
      <c r="I92" s="360">
        <v>0.71749999999999992</v>
      </c>
      <c r="J92" s="360">
        <v>700</v>
      </c>
      <c r="K92" s="361">
        <v>500</v>
      </c>
    </row>
    <row r="93" spans="1:11" ht="14.4" customHeight="1" x14ac:dyDescent="0.3">
      <c r="A93" s="356" t="s">
        <v>358</v>
      </c>
      <c r="B93" s="357" t="s">
        <v>360</v>
      </c>
      <c r="C93" s="358" t="s">
        <v>869</v>
      </c>
      <c r="D93" s="359" t="s">
        <v>870</v>
      </c>
      <c r="E93" s="358" t="s">
        <v>867</v>
      </c>
      <c r="F93" s="359" t="s">
        <v>868</v>
      </c>
      <c r="G93" s="358" t="s">
        <v>965</v>
      </c>
      <c r="H93" s="358" t="s">
        <v>966</v>
      </c>
      <c r="I93" s="360">
        <v>0.77</v>
      </c>
      <c r="J93" s="360">
        <v>600</v>
      </c>
      <c r="K93" s="361">
        <v>462</v>
      </c>
    </row>
    <row r="94" spans="1:11" ht="14.4" customHeight="1" thickBot="1" x14ac:dyDescent="0.35">
      <c r="A94" s="362" t="s">
        <v>358</v>
      </c>
      <c r="B94" s="363" t="s">
        <v>360</v>
      </c>
      <c r="C94" s="364" t="s">
        <v>869</v>
      </c>
      <c r="D94" s="365" t="s">
        <v>870</v>
      </c>
      <c r="E94" s="364" t="s">
        <v>857</v>
      </c>
      <c r="F94" s="365" t="s">
        <v>858</v>
      </c>
      <c r="G94" s="364" t="s">
        <v>973</v>
      </c>
      <c r="H94" s="364" t="s">
        <v>974</v>
      </c>
      <c r="I94" s="366">
        <v>188.76</v>
      </c>
      <c r="J94" s="366">
        <v>4</v>
      </c>
      <c r="K94" s="367">
        <v>755.04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7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65" bestFit="1" customWidth="1"/>
    <col min="2" max="2" width="7.77734375" style="164" customWidth="1"/>
    <col min="3" max="3" width="5.44140625" style="65" hidden="1" customWidth="1"/>
    <col min="4" max="4" width="7.77734375" style="164" customWidth="1"/>
    <col min="5" max="5" width="5.44140625" style="65" hidden="1" customWidth="1"/>
    <col min="6" max="6" width="7.77734375" style="164" customWidth="1"/>
    <col min="7" max="7" width="7.77734375" style="87" customWidth="1"/>
    <col min="8" max="8" width="7.77734375" style="164" customWidth="1"/>
    <col min="9" max="9" width="5.44140625" style="65" hidden="1" customWidth="1"/>
    <col min="10" max="10" width="7.77734375" style="164" customWidth="1"/>
    <col min="11" max="11" width="5.44140625" style="65" hidden="1" customWidth="1"/>
    <col min="12" max="12" width="7.77734375" style="164" customWidth="1"/>
    <col min="13" max="13" width="7.77734375" style="87" customWidth="1"/>
    <col min="14" max="14" width="7.77734375" style="164" customWidth="1"/>
    <col min="15" max="15" width="5" style="65" hidden="1" customWidth="1"/>
    <col min="16" max="16" width="7.77734375" style="164" customWidth="1"/>
    <col min="17" max="17" width="5" style="65" hidden="1" customWidth="1"/>
    <col min="18" max="18" width="7.77734375" style="164" customWidth="1"/>
    <col min="19" max="19" width="7.77734375" style="87" customWidth="1"/>
    <col min="20" max="16384" width="8.88671875" style="65"/>
  </cols>
  <sheetData>
    <row r="1" spans="1:19" ht="18.600000000000001" customHeight="1" thickBot="1" x14ac:dyDescent="0.4">
      <c r="A1" s="301" t="s">
        <v>152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</row>
    <row r="2" spans="1:19" ht="14.4" customHeight="1" thickBot="1" x14ac:dyDescent="0.35">
      <c r="A2" s="318" t="s">
        <v>193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</row>
    <row r="3" spans="1:19" ht="14.4" customHeight="1" thickBot="1" x14ac:dyDescent="0.35">
      <c r="A3" s="230" t="s">
        <v>158</v>
      </c>
      <c r="B3" s="231">
        <f>SUBTOTAL(9,B6:B1048576)</f>
        <v>2464754</v>
      </c>
      <c r="C3" s="232">
        <f t="shared" ref="C3:R3" si="0">SUBTOTAL(9,C6:C1048576)</f>
        <v>1</v>
      </c>
      <c r="D3" s="232">
        <f t="shared" si="0"/>
        <v>1873658</v>
      </c>
      <c r="E3" s="232">
        <f t="shared" si="0"/>
        <v>0.76018052917248535</v>
      </c>
      <c r="F3" s="232">
        <f t="shared" si="0"/>
        <v>1840898</v>
      </c>
      <c r="G3" s="234">
        <f>IF(B3&lt;&gt;0,F3/B3,"")</f>
        <v>0.74688914187785072</v>
      </c>
      <c r="H3" s="235">
        <f t="shared" si="0"/>
        <v>47273.729999999989</v>
      </c>
      <c r="I3" s="232">
        <f t="shared" si="0"/>
        <v>1</v>
      </c>
      <c r="J3" s="232">
        <f t="shared" si="0"/>
        <v>94396.209999999963</v>
      </c>
      <c r="K3" s="232">
        <f t="shared" si="0"/>
        <v>1.9968005486345162</v>
      </c>
      <c r="L3" s="232">
        <f t="shared" si="0"/>
        <v>74812.14</v>
      </c>
      <c r="M3" s="233">
        <f>IF(H3&lt;&gt;0,L3/H3,"")</f>
        <v>1.582530932084268</v>
      </c>
      <c r="N3" s="231">
        <f t="shared" si="0"/>
        <v>0</v>
      </c>
      <c r="O3" s="232">
        <f t="shared" si="0"/>
        <v>0</v>
      </c>
      <c r="P3" s="232">
        <f t="shared" si="0"/>
        <v>0</v>
      </c>
      <c r="Q3" s="232">
        <f t="shared" si="0"/>
        <v>0</v>
      </c>
      <c r="R3" s="232">
        <f t="shared" si="0"/>
        <v>0</v>
      </c>
      <c r="S3" s="234" t="str">
        <f>IF(N3&lt;&gt;0,R3/N3,"")</f>
        <v/>
      </c>
    </row>
    <row r="4" spans="1:19" ht="14.4" customHeight="1" x14ac:dyDescent="0.3">
      <c r="A4" s="302" t="s">
        <v>121</v>
      </c>
      <c r="B4" s="303" t="s">
        <v>122</v>
      </c>
      <c r="C4" s="304"/>
      <c r="D4" s="304"/>
      <c r="E4" s="304"/>
      <c r="F4" s="304"/>
      <c r="G4" s="305"/>
      <c r="H4" s="303" t="s">
        <v>123</v>
      </c>
      <c r="I4" s="304"/>
      <c r="J4" s="304"/>
      <c r="K4" s="304"/>
      <c r="L4" s="304"/>
      <c r="M4" s="305"/>
      <c r="N4" s="303" t="s">
        <v>124</v>
      </c>
      <c r="O4" s="304"/>
      <c r="P4" s="304"/>
      <c r="Q4" s="304"/>
      <c r="R4" s="304"/>
      <c r="S4" s="305"/>
    </row>
    <row r="5" spans="1:19" ht="14.4" customHeight="1" thickBot="1" x14ac:dyDescent="0.35">
      <c r="A5" s="425"/>
      <c r="B5" s="426">
        <v>2011</v>
      </c>
      <c r="C5" s="427"/>
      <c r="D5" s="427">
        <v>2012</v>
      </c>
      <c r="E5" s="427"/>
      <c r="F5" s="427">
        <v>2013</v>
      </c>
      <c r="G5" s="428" t="s">
        <v>5</v>
      </c>
      <c r="H5" s="426">
        <v>2011</v>
      </c>
      <c r="I5" s="427"/>
      <c r="J5" s="427">
        <v>2012</v>
      </c>
      <c r="K5" s="427"/>
      <c r="L5" s="427">
        <v>2013</v>
      </c>
      <c r="M5" s="428" t="s">
        <v>5</v>
      </c>
      <c r="N5" s="426">
        <v>2011</v>
      </c>
      <c r="O5" s="427"/>
      <c r="P5" s="427">
        <v>2012</v>
      </c>
      <c r="Q5" s="427"/>
      <c r="R5" s="427">
        <v>2013</v>
      </c>
      <c r="S5" s="428" t="s">
        <v>5</v>
      </c>
    </row>
    <row r="6" spans="1:19" ht="14.4" customHeight="1" x14ac:dyDescent="0.3">
      <c r="A6" s="419" t="s">
        <v>979</v>
      </c>
      <c r="B6" s="429">
        <v>2464754</v>
      </c>
      <c r="C6" s="351">
        <v>1</v>
      </c>
      <c r="D6" s="429">
        <v>1873658</v>
      </c>
      <c r="E6" s="351">
        <v>0.76018052917248535</v>
      </c>
      <c r="F6" s="429">
        <v>1804511</v>
      </c>
      <c r="G6" s="382">
        <v>0.73212620813273865</v>
      </c>
      <c r="H6" s="429">
        <v>47273.729999999989</v>
      </c>
      <c r="I6" s="351">
        <v>1</v>
      </c>
      <c r="J6" s="429">
        <v>94396.209999999963</v>
      </c>
      <c r="K6" s="351">
        <v>1.9968005486345162</v>
      </c>
      <c r="L6" s="429">
        <v>74812.14</v>
      </c>
      <c r="M6" s="382">
        <v>1.582530932084268</v>
      </c>
      <c r="N6" s="429"/>
      <c r="O6" s="351"/>
      <c r="P6" s="429"/>
      <c r="Q6" s="351"/>
      <c r="R6" s="429"/>
      <c r="S6" s="383"/>
    </row>
    <row r="7" spans="1:19" ht="14.4" customHeight="1" thickBot="1" x14ac:dyDescent="0.35">
      <c r="A7" s="431" t="s">
        <v>980</v>
      </c>
      <c r="B7" s="430"/>
      <c r="C7" s="363"/>
      <c r="D7" s="430"/>
      <c r="E7" s="363"/>
      <c r="F7" s="430">
        <v>36387</v>
      </c>
      <c r="G7" s="386"/>
      <c r="H7" s="430"/>
      <c r="I7" s="363"/>
      <c r="J7" s="430"/>
      <c r="K7" s="363"/>
      <c r="L7" s="430"/>
      <c r="M7" s="386"/>
      <c r="N7" s="430"/>
      <c r="O7" s="363"/>
      <c r="P7" s="430"/>
      <c r="Q7" s="363"/>
      <c r="R7" s="430"/>
      <c r="S7" s="387"/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49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65" bestFit="1" customWidth="1"/>
    <col min="2" max="2" width="2.109375" style="65" bestFit="1" customWidth="1"/>
    <col min="3" max="3" width="8" style="65" bestFit="1" customWidth="1"/>
    <col min="4" max="4" width="50.88671875" style="65" bestFit="1" customWidth="1"/>
    <col min="5" max="6" width="11.109375" style="94" customWidth="1"/>
    <col min="7" max="8" width="9.33203125" style="65" hidden="1" customWidth="1"/>
    <col min="9" max="10" width="11.109375" style="94" customWidth="1"/>
    <col min="11" max="12" width="9.33203125" style="65" hidden="1" customWidth="1"/>
    <col min="13" max="14" width="11.109375" style="94" customWidth="1"/>
    <col min="15" max="15" width="11.109375" style="87" customWidth="1"/>
    <col min="16" max="16" width="11.109375" style="94" customWidth="1"/>
    <col min="17" max="16384" width="8.88671875" style="65"/>
  </cols>
  <sheetData>
    <row r="1" spans="1:16" ht="18.600000000000001" customHeight="1" thickBot="1" x14ac:dyDescent="0.4">
      <c r="A1" s="240" t="s">
        <v>153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</row>
    <row r="2" spans="1:16" ht="14.4" customHeight="1" thickBot="1" x14ac:dyDescent="0.4">
      <c r="A2" s="318" t="s">
        <v>193</v>
      </c>
      <c r="B2" s="106"/>
      <c r="C2" s="106"/>
      <c r="D2" s="106"/>
      <c r="E2" s="165"/>
      <c r="F2" s="165"/>
      <c r="G2" s="106"/>
      <c r="H2" s="106"/>
      <c r="I2" s="165"/>
      <c r="J2" s="165"/>
      <c r="K2" s="106"/>
      <c r="L2" s="106"/>
      <c r="M2" s="165"/>
      <c r="N2" s="165"/>
      <c r="O2" s="169"/>
      <c r="P2" s="165"/>
    </row>
    <row r="3" spans="1:16" ht="14.4" customHeight="1" thickBot="1" x14ac:dyDescent="0.35">
      <c r="D3" s="124" t="s">
        <v>158</v>
      </c>
      <c r="E3" s="166">
        <f t="shared" ref="E3:N3" si="0">SUBTOTAL(9,E6:E1048576)</f>
        <v>15891.5</v>
      </c>
      <c r="F3" s="167">
        <f t="shared" si="0"/>
        <v>2512027.73</v>
      </c>
      <c r="G3" s="107"/>
      <c r="H3" s="107"/>
      <c r="I3" s="167">
        <f t="shared" si="0"/>
        <v>15226.34</v>
      </c>
      <c r="J3" s="167">
        <f t="shared" si="0"/>
        <v>1968054.21</v>
      </c>
      <c r="K3" s="107"/>
      <c r="L3" s="107"/>
      <c r="M3" s="167">
        <f t="shared" si="0"/>
        <v>19097.099999999999</v>
      </c>
      <c r="N3" s="167">
        <f t="shared" si="0"/>
        <v>1915710.1400000001</v>
      </c>
      <c r="O3" s="108">
        <f>IF(F3=0,0,N3/F3)</f>
        <v>0.76261504485860121</v>
      </c>
      <c r="P3" s="168">
        <f>IF(M3=0,0,N3/M3)</f>
        <v>100.31419115991434</v>
      </c>
    </row>
    <row r="4" spans="1:16" ht="14.4" customHeight="1" x14ac:dyDescent="0.3">
      <c r="A4" s="307" t="s">
        <v>117</v>
      </c>
      <c r="B4" s="308" t="s">
        <v>118</v>
      </c>
      <c r="C4" s="309" t="s">
        <v>119</v>
      </c>
      <c r="D4" s="310" t="s">
        <v>91</v>
      </c>
      <c r="E4" s="311">
        <v>2011</v>
      </c>
      <c r="F4" s="312"/>
      <c r="G4" s="163"/>
      <c r="H4" s="163"/>
      <c r="I4" s="311">
        <v>2012</v>
      </c>
      <c r="J4" s="312"/>
      <c r="K4" s="163"/>
      <c r="L4" s="163"/>
      <c r="M4" s="311">
        <v>2013</v>
      </c>
      <c r="N4" s="312"/>
      <c r="O4" s="313" t="s">
        <v>5</v>
      </c>
      <c r="P4" s="306" t="s">
        <v>120</v>
      </c>
    </row>
    <row r="5" spans="1:16" ht="14.4" customHeight="1" thickBot="1" x14ac:dyDescent="0.35">
      <c r="A5" s="432"/>
      <c r="B5" s="433"/>
      <c r="C5" s="434"/>
      <c r="D5" s="435"/>
      <c r="E5" s="436" t="s">
        <v>93</v>
      </c>
      <c r="F5" s="437" t="s">
        <v>17</v>
      </c>
      <c r="G5" s="438"/>
      <c r="H5" s="438"/>
      <c r="I5" s="436" t="s">
        <v>93</v>
      </c>
      <c r="J5" s="437" t="s">
        <v>17</v>
      </c>
      <c r="K5" s="438"/>
      <c r="L5" s="438"/>
      <c r="M5" s="436" t="s">
        <v>93</v>
      </c>
      <c r="N5" s="437" t="s">
        <v>17</v>
      </c>
      <c r="O5" s="439"/>
      <c r="P5" s="440"/>
    </row>
    <row r="6" spans="1:16" ht="14.4" customHeight="1" x14ac:dyDescent="0.3">
      <c r="A6" s="350" t="s">
        <v>981</v>
      </c>
      <c r="B6" s="351" t="s">
        <v>982</v>
      </c>
      <c r="C6" s="351" t="s">
        <v>983</v>
      </c>
      <c r="D6" s="351" t="s">
        <v>984</v>
      </c>
      <c r="E6" s="354">
        <v>93.6</v>
      </c>
      <c r="F6" s="354">
        <v>8500.739999999998</v>
      </c>
      <c r="G6" s="351">
        <v>1</v>
      </c>
      <c r="H6" s="351">
        <v>90.819871794871773</v>
      </c>
      <c r="I6" s="354">
        <v>249.8</v>
      </c>
      <c r="J6" s="354">
        <v>22972.85</v>
      </c>
      <c r="K6" s="351">
        <v>2.7024529629185228</v>
      </c>
      <c r="L6" s="351">
        <v>91.964971977582053</v>
      </c>
      <c r="M6" s="354">
        <v>449.59999999999997</v>
      </c>
      <c r="N6" s="354">
        <v>36625.480000000003</v>
      </c>
      <c r="O6" s="382">
        <v>4.3085049066316596</v>
      </c>
      <c r="P6" s="355">
        <v>81.462366548042723</v>
      </c>
    </row>
    <row r="7" spans="1:16" ht="14.4" customHeight="1" x14ac:dyDescent="0.3">
      <c r="A7" s="356" t="s">
        <v>981</v>
      </c>
      <c r="B7" s="357" t="s">
        <v>982</v>
      </c>
      <c r="C7" s="357" t="s">
        <v>985</v>
      </c>
      <c r="D7" s="357" t="s">
        <v>986</v>
      </c>
      <c r="E7" s="360"/>
      <c r="F7" s="360"/>
      <c r="G7" s="357"/>
      <c r="H7" s="357"/>
      <c r="I7" s="360">
        <v>13.2</v>
      </c>
      <c r="J7" s="360">
        <v>1590.84</v>
      </c>
      <c r="K7" s="357"/>
      <c r="L7" s="357">
        <v>120.51818181818182</v>
      </c>
      <c r="M7" s="360">
        <v>4</v>
      </c>
      <c r="N7" s="360">
        <v>486.32</v>
      </c>
      <c r="O7" s="384"/>
      <c r="P7" s="361">
        <v>121.58</v>
      </c>
    </row>
    <row r="8" spans="1:16" ht="14.4" customHeight="1" x14ac:dyDescent="0.3">
      <c r="A8" s="356" t="s">
        <v>981</v>
      </c>
      <c r="B8" s="357" t="s">
        <v>982</v>
      </c>
      <c r="C8" s="357" t="s">
        <v>987</v>
      </c>
      <c r="D8" s="357" t="s">
        <v>988</v>
      </c>
      <c r="E8" s="360">
        <v>0.1</v>
      </c>
      <c r="F8" s="360">
        <v>13.02</v>
      </c>
      <c r="G8" s="357">
        <v>1</v>
      </c>
      <c r="H8" s="357">
        <v>130.19999999999999</v>
      </c>
      <c r="I8" s="360"/>
      <c r="J8" s="360"/>
      <c r="K8" s="357"/>
      <c r="L8" s="357"/>
      <c r="M8" s="360"/>
      <c r="N8" s="360"/>
      <c r="O8" s="384"/>
      <c r="P8" s="361"/>
    </row>
    <row r="9" spans="1:16" ht="14.4" customHeight="1" x14ac:dyDescent="0.3">
      <c r="A9" s="356" t="s">
        <v>981</v>
      </c>
      <c r="B9" s="357" t="s">
        <v>982</v>
      </c>
      <c r="C9" s="357" t="s">
        <v>989</v>
      </c>
      <c r="D9" s="357" t="s">
        <v>990</v>
      </c>
      <c r="E9" s="360">
        <v>2.1</v>
      </c>
      <c r="F9" s="360">
        <v>278.04000000000002</v>
      </c>
      <c r="G9" s="357">
        <v>1</v>
      </c>
      <c r="H9" s="357">
        <v>132.4</v>
      </c>
      <c r="I9" s="360">
        <v>3.9</v>
      </c>
      <c r="J9" s="360">
        <v>543.26</v>
      </c>
      <c r="K9" s="357">
        <v>1.953891526399079</v>
      </c>
      <c r="L9" s="357">
        <v>139.29743589743589</v>
      </c>
      <c r="M9" s="360"/>
      <c r="N9" s="360"/>
      <c r="O9" s="384"/>
      <c r="P9" s="361"/>
    </row>
    <row r="10" spans="1:16" ht="14.4" customHeight="1" x14ac:dyDescent="0.3">
      <c r="A10" s="356" t="s">
        <v>981</v>
      </c>
      <c r="B10" s="357" t="s">
        <v>982</v>
      </c>
      <c r="C10" s="357" t="s">
        <v>991</v>
      </c>
      <c r="D10" s="357" t="s">
        <v>992</v>
      </c>
      <c r="E10" s="360">
        <v>8.6999999999999993</v>
      </c>
      <c r="F10" s="360">
        <v>871.19</v>
      </c>
      <c r="G10" s="357">
        <v>1</v>
      </c>
      <c r="H10" s="357">
        <v>100.13678160919541</v>
      </c>
      <c r="I10" s="360">
        <v>22.2</v>
      </c>
      <c r="J10" s="360">
        <v>2320.7000000000003</v>
      </c>
      <c r="K10" s="357">
        <v>2.6638276380582884</v>
      </c>
      <c r="L10" s="357">
        <v>104.53603603603605</v>
      </c>
      <c r="M10" s="360">
        <v>22.9</v>
      </c>
      <c r="N10" s="360">
        <v>2414.98</v>
      </c>
      <c r="O10" s="384">
        <v>2.7720474293782065</v>
      </c>
      <c r="P10" s="361">
        <v>105.45764192139738</v>
      </c>
    </row>
    <row r="11" spans="1:16" ht="14.4" customHeight="1" x14ac:dyDescent="0.3">
      <c r="A11" s="356" t="s">
        <v>981</v>
      </c>
      <c r="B11" s="357" t="s">
        <v>982</v>
      </c>
      <c r="C11" s="357" t="s">
        <v>993</v>
      </c>
      <c r="D11" s="357" t="s">
        <v>994</v>
      </c>
      <c r="E11" s="360"/>
      <c r="F11" s="360"/>
      <c r="G11" s="357"/>
      <c r="H11" s="357"/>
      <c r="I11" s="360">
        <v>5</v>
      </c>
      <c r="J11" s="360">
        <v>548.35</v>
      </c>
      <c r="K11" s="357"/>
      <c r="L11" s="357">
        <v>109.67</v>
      </c>
      <c r="M11" s="360">
        <v>22.6</v>
      </c>
      <c r="N11" s="360">
        <v>2500.16</v>
      </c>
      <c r="O11" s="384"/>
      <c r="P11" s="361">
        <v>110.62654867256636</v>
      </c>
    </row>
    <row r="12" spans="1:16" ht="14.4" customHeight="1" x14ac:dyDescent="0.3">
      <c r="A12" s="356" t="s">
        <v>981</v>
      </c>
      <c r="B12" s="357" t="s">
        <v>982</v>
      </c>
      <c r="C12" s="357" t="s">
        <v>995</v>
      </c>
      <c r="D12" s="357" t="s">
        <v>996</v>
      </c>
      <c r="E12" s="360">
        <v>59</v>
      </c>
      <c r="F12" s="360">
        <v>945.07</v>
      </c>
      <c r="G12" s="357">
        <v>1</v>
      </c>
      <c r="H12" s="357">
        <v>16.01813559322034</v>
      </c>
      <c r="I12" s="360">
        <v>61</v>
      </c>
      <c r="J12" s="360">
        <v>732.33</v>
      </c>
      <c r="K12" s="357">
        <v>0.7748949813241347</v>
      </c>
      <c r="L12" s="357">
        <v>12.005409836065574</v>
      </c>
      <c r="M12" s="360">
        <v>24</v>
      </c>
      <c r="N12" s="360">
        <v>226.8</v>
      </c>
      <c r="O12" s="384">
        <v>0.23998222353899712</v>
      </c>
      <c r="P12" s="361">
        <v>9.4500000000000011</v>
      </c>
    </row>
    <row r="13" spans="1:16" ht="14.4" customHeight="1" x14ac:dyDescent="0.3">
      <c r="A13" s="356" t="s">
        <v>981</v>
      </c>
      <c r="B13" s="357" t="s">
        <v>982</v>
      </c>
      <c r="C13" s="357" t="s">
        <v>997</v>
      </c>
      <c r="D13" s="357" t="s">
        <v>996</v>
      </c>
      <c r="E13" s="360">
        <v>960</v>
      </c>
      <c r="F13" s="360">
        <v>12302.3</v>
      </c>
      <c r="G13" s="357">
        <v>1</v>
      </c>
      <c r="H13" s="357">
        <v>12.814895833333333</v>
      </c>
      <c r="I13" s="360">
        <v>1174</v>
      </c>
      <c r="J13" s="360">
        <v>9677.7800000000007</v>
      </c>
      <c r="K13" s="357">
        <v>0.7866642822886778</v>
      </c>
      <c r="L13" s="357">
        <v>8.2434241908006811</v>
      </c>
      <c r="M13" s="360">
        <v>2288</v>
      </c>
      <c r="N13" s="360">
        <v>8648.64</v>
      </c>
      <c r="O13" s="384">
        <v>0.70301000625899224</v>
      </c>
      <c r="P13" s="361">
        <v>3.78</v>
      </c>
    </row>
    <row r="14" spans="1:16" ht="14.4" customHeight="1" x14ac:dyDescent="0.3">
      <c r="A14" s="356" t="s">
        <v>981</v>
      </c>
      <c r="B14" s="357" t="s">
        <v>982</v>
      </c>
      <c r="C14" s="357" t="s">
        <v>998</v>
      </c>
      <c r="D14" s="357" t="s">
        <v>999</v>
      </c>
      <c r="E14" s="360">
        <v>462</v>
      </c>
      <c r="F14" s="360">
        <v>24289.23</v>
      </c>
      <c r="G14" s="357">
        <v>1</v>
      </c>
      <c r="H14" s="357">
        <v>52.574090909090906</v>
      </c>
      <c r="I14" s="360">
        <v>529</v>
      </c>
      <c r="J14" s="360">
        <v>55990.939999999995</v>
      </c>
      <c r="K14" s="357">
        <v>2.305175586051925</v>
      </c>
      <c r="L14" s="357">
        <v>105.84298676748581</v>
      </c>
      <c r="M14" s="360">
        <v>364</v>
      </c>
      <c r="N14" s="360">
        <v>23909.759999999998</v>
      </c>
      <c r="O14" s="384">
        <v>0.98437702636106617</v>
      </c>
      <c r="P14" s="361">
        <v>65.686153846153843</v>
      </c>
    </row>
    <row r="15" spans="1:16" ht="14.4" customHeight="1" x14ac:dyDescent="0.3">
      <c r="A15" s="356" t="s">
        <v>981</v>
      </c>
      <c r="B15" s="357" t="s">
        <v>982</v>
      </c>
      <c r="C15" s="357" t="s">
        <v>1000</v>
      </c>
      <c r="D15" s="357" t="s">
        <v>1001</v>
      </c>
      <c r="E15" s="360"/>
      <c r="F15" s="360"/>
      <c r="G15" s="357"/>
      <c r="H15" s="357"/>
      <c r="I15" s="360">
        <v>1</v>
      </c>
      <c r="J15" s="360">
        <v>19.16</v>
      </c>
      <c r="K15" s="357"/>
      <c r="L15" s="357">
        <v>19.16</v>
      </c>
      <c r="M15" s="360"/>
      <c r="N15" s="360"/>
      <c r="O15" s="384"/>
      <c r="P15" s="361"/>
    </row>
    <row r="16" spans="1:16" ht="14.4" customHeight="1" x14ac:dyDescent="0.3">
      <c r="A16" s="356" t="s">
        <v>981</v>
      </c>
      <c r="B16" s="357" t="s">
        <v>982</v>
      </c>
      <c r="C16" s="357" t="s">
        <v>1002</v>
      </c>
      <c r="D16" s="357" t="s">
        <v>1003</v>
      </c>
      <c r="E16" s="360">
        <v>5</v>
      </c>
      <c r="F16" s="360">
        <v>74.14</v>
      </c>
      <c r="G16" s="357">
        <v>1</v>
      </c>
      <c r="H16" s="357">
        <v>14.827999999999999</v>
      </c>
      <c r="I16" s="360"/>
      <c r="J16" s="360"/>
      <c r="K16" s="357"/>
      <c r="L16" s="357"/>
      <c r="M16" s="360"/>
      <c r="N16" s="360"/>
      <c r="O16" s="384"/>
      <c r="P16" s="361"/>
    </row>
    <row r="17" spans="1:16" ht="14.4" customHeight="1" x14ac:dyDescent="0.3">
      <c r="A17" s="356" t="s">
        <v>981</v>
      </c>
      <c r="B17" s="357" t="s">
        <v>982</v>
      </c>
      <c r="C17" s="357" t="s">
        <v>1004</v>
      </c>
      <c r="D17" s="357" t="s">
        <v>1005</v>
      </c>
      <c r="E17" s="360"/>
      <c r="F17" s="360"/>
      <c r="G17" s="357"/>
      <c r="H17" s="357"/>
      <c r="I17" s="360">
        <v>0.24000000000000002</v>
      </c>
      <c r="J17" s="360">
        <v>0</v>
      </c>
      <c r="K17" s="357"/>
      <c r="L17" s="357">
        <v>0</v>
      </c>
      <c r="M17" s="360"/>
      <c r="N17" s="360"/>
      <c r="O17" s="384"/>
      <c r="P17" s="361"/>
    </row>
    <row r="18" spans="1:16" ht="14.4" customHeight="1" x14ac:dyDescent="0.3">
      <c r="A18" s="356" t="s">
        <v>981</v>
      </c>
      <c r="B18" s="357" t="s">
        <v>1006</v>
      </c>
      <c r="C18" s="357" t="s">
        <v>1007</v>
      </c>
      <c r="D18" s="357" t="s">
        <v>1008</v>
      </c>
      <c r="E18" s="360">
        <v>103</v>
      </c>
      <c r="F18" s="360">
        <v>0</v>
      </c>
      <c r="G18" s="357"/>
      <c r="H18" s="357">
        <v>0</v>
      </c>
      <c r="I18" s="360">
        <v>5</v>
      </c>
      <c r="J18" s="360">
        <v>0</v>
      </c>
      <c r="K18" s="357"/>
      <c r="L18" s="357">
        <v>0</v>
      </c>
      <c r="M18" s="360">
        <v>10</v>
      </c>
      <c r="N18" s="360">
        <v>0</v>
      </c>
      <c r="O18" s="384"/>
      <c r="P18" s="361">
        <v>0</v>
      </c>
    </row>
    <row r="19" spans="1:16" ht="14.4" customHeight="1" x14ac:dyDescent="0.3">
      <c r="A19" s="356" t="s">
        <v>981</v>
      </c>
      <c r="B19" s="357" t="s">
        <v>1006</v>
      </c>
      <c r="C19" s="357" t="s">
        <v>1009</v>
      </c>
      <c r="D19" s="357" t="s">
        <v>1010</v>
      </c>
      <c r="E19" s="360">
        <v>569</v>
      </c>
      <c r="F19" s="360">
        <v>0</v>
      </c>
      <c r="G19" s="357"/>
      <c r="H19" s="357">
        <v>0</v>
      </c>
      <c r="I19" s="360">
        <v>894</v>
      </c>
      <c r="J19" s="360">
        <v>0</v>
      </c>
      <c r="K19" s="357"/>
      <c r="L19" s="357">
        <v>0</v>
      </c>
      <c r="M19" s="360">
        <v>1336</v>
      </c>
      <c r="N19" s="360">
        <v>0</v>
      </c>
      <c r="O19" s="384"/>
      <c r="P19" s="361">
        <v>0</v>
      </c>
    </row>
    <row r="20" spans="1:16" ht="14.4" customHeight="1" x14ac:dyDescent="0.3">
      <c r="A20" s="356" t="s">
        <v>981</v>
      </c>
      <c r="B20" s="357" t="s">
        <v>1006</v>
      </c>
      <c r="C20" s="357" t="s">
        <v>1011</v>
      </c>
      <c r="D20" s="357" t="s">
        <v>1012</v>
      </c>
      <c r="E20" s="360">
        <v>2184</v>
      </c>
      <c r="F20" s="360">
        <v>74256</v>
      </c>
      <c r="G20" s="357">
        <v>1</v>
      </c>
      <c r="H20" s="357">
        <v>34</v>
      </c>
      <c r="I20" s="360">
        <v>2477</v>
      </c>
      <c r="J20" s="360">
        <v>84218</v>
      </c>
      <c r="K20" s="357">
        <v>1.1341575091575091</v>
      </c>
      <c r="L20" s="357">
        <v>34</v>
      </c>
      <c r="M20" s="360">
        <v>3613</v>
      </c>
      <c r="N20" s="360">
        <v>122842</v>
      </c>
      <c r="O20" s="384">
        <v>1.6543040293040292</v>
      </c>
      <c r="P20" s="361">
        <v>34</v>
      </c>
    </row>
    <row r="21" spans="1:16" ht="14.4" customHeight="1" x14ac:dyDescent="0.3">
      <c r="A21" s="356" t="s">
        <v>981</v>
      </c>
      <c r="B21" s="357" t="s">
        <v>1006</v>
      </c>
      <c r="C21" s="357" t="s">
        <v>1013</v>
      </c>
      <c r="D21" s="357" t="s">
        <v>1014</v>
      </c>
      <c r="E21" s="360">
        <v>229</v>
      </c>
      <c r="F21" s="360">
        <v>5725</v>
      </c>
      <c r="G21" s="357">
        <v>1</v>
      </c>
      <c r="H21" s="357">
        <v>25</v>
      </c>
      <c r="I21" s="360">
        <v>377</v>
      </c>
      <c r="J21" s="360">
        <v>9425</v>
      </c>
      <c r="K21" s="357">
        <v>1.6462882096069869</v>
      </c>
      <c r="L21" s="357">
        <v>25</v>
      </c>
      <c r="M21" s="360">
        <v>610</v>
      </c>
      <c r="N21" s="360">
        <v>21350</v>
      </c>
      <c r="O21" s="384">
        <v>3.7292576419213974</v>
      </c>
      <c r="P21" s="361">
        <v>35</v>
      </c>
    </row>
    <row r="22" spans="1:16" ht="14.4" customHeight="1" x14ac:dyDescent="0.3">
      <c r="A22" s="356" t="s">
        <v>981</v>
      </c>
      <c r="B22" s="357" t="s">
        <v>1006</v>
      </c>
      <c r="C22" s="357" t="s">
        <v>1015</v>
      </c>
      <c r="D22" s="357" t="s">
        <v>1016</v>
      </c>
      <c r="E22" s="360">
        <v>1492</v>
      </c>
      <c r="F22" s="360">
        <v>207388</v>
      </c>
      <c r="G22" s="357">
        <v>1</v>
      </c>
      <c r="H22" s="357">
        <v>139</v>
      </c>
      <c r="I22" s="360">
        <v>1795</v>
      </c>
      <c r="J22" s="360">
        <v>253095</v>
      </c>
      <c r="K22" s="357">
        <v>1.2203936582637376</v>
      </c>
      <c r="L22" s="357">
        <v>141</v>
      </c>
      <c r="M22" s="360">
        <v>2689</v>
      </c>
      <c r="N22" s="360">
        <v>379149</v>
      </c>
      <c r="O22" s="384">
        <v>1.8282108897332536</v>
      </c>
      <c r="P22" s="361">
        <v>141</v>
      </c>
    </row>
    <row r="23" spans="1:16" ht="14.4" customHeight="1" x14ac:dyDescent="0.3">
      <c r="A23" s="356" t="s">
        <v>981</v>
      </c>
      <c r="B23" s="357" t="s">
        <v>1006</v>
      </c>
      <c r="C23" s="357" t="s">
        <v>1017</v>
      </c>
      <c r="D23" s="357" t="s">
        <v>1018</v>
      </c>
      <c r="E23" s="360">
        <v>653</v>
      </c>
      <c r="F23" s="360">
        <v>44404</v>
      </c>
      <c r="G23" s="357">
        <v>1</v>
      </c>
      <c r="H23" s="357">
        <v>68</v>
      </c>
      <c r="I23" s="360">
        <v>800</v>
      </c>
      <c r="J23" s="360">
        <v>54400</v>
      </c>
      <c r="K23" s="357">
        <v>1.2251148545176109</v>
      </c>
      <c r="L23" s="357">
        <v>68</v>
      </c>
      <c r="M23" s="360">
        <v>823</v>
      </c>
      <c r="N23" s="360">
        <v>56787</v>
      </c>
      <c r="O23" s="384">
        <v>1.2788712728583012</v>
      </c>
      <c r="P23" s="361">
        <v>69</v>
      </c>
    </row>
    <row r="24" spans="1:16" ht="14.4" customHeight="1" x14ac:dyDescent="0.3">
      <c r="A24" s="356" t="s">
        <v>981</v>
      </c>
      <c r="B24" s="357" t="s">
        <v>1006</v>
      </c>
      <c r="C24" s="357" t="s">
        <v>1019</v>
      </c>
      <c r="D24" s="357" t="s">
        <v>1020</v>
      </c>
      <c r="E24" s="360">
        <v>20</v>
      </c>
      <c r="F24" s="360">
        <v>1240</v>
      </c>
      <c r="G24" s="357">
        <v>1</v>
      </c>
      <c r="H24" s="357">
        <v>62</v>
      </c>
      <c r="I24" s="360">
        <v>20</v>
      </c>
      <c r="J24" s="360">
        <v>1240</v>
      </c>
      <c r="K24" s="357">
        <v>1</v>
      </c>
      <c r="L24" s="357">
        <v>62</v>
      </c>
      <c r="M24" s="360">
        <v>88</v>
      </c>
      <c r="N24" s="360">
        <v>9856</v>
      </c>
      <c r="O24" s="384">
        <v>7.9483870967741934</v>
      </c>
      <c r="P24" s="361">
        <v>112</v>
      </c>
    </row>
    <row r="25" spans="1:16" ht="14.4" customHeight="1" x14ac:dyDescent="0.3">
      <c r="A25" s="356" t="s">
        <v>981</v>
      </c>
      <c r="B25" s="357" t="s">
        <v>1006</v>
      </c>
      <c r="C25" s="357" t="s">
        <v>1021</v>
      </c>
      <c r="D25" s="357" t="s">
        <v>1022</v>
      </c>
      <c r="E25" s="360">
        <v>31</v>
      </c>
      <c r="F25" s="360">
        <v>589</v>
      </c>
      <c r="G25" s="357">
        <v>1</v>
      </c>
      <c r="H25" s="357">
        <v>19</v>
      </c>
      <c r="I25" s="360">
        <v>6</v>
      </c>
      <c r="J25" s="360">
        <v>114</v>
      </c>
      <c r="K25" s="357">
        <v>0.19354838709677419</v>
      </c>
      <c r="L25" s="357">
        <v>19</v>
      </c>
      <c r="M25" s="360"/>
      <c r="N25" s="360"/>
      <c r="O25" s="384"/>
      <c r="P25" s="361"/>
    </row>
    <row r="26" spans="1:16" ht="14.4" customHeight="1" x14ac:dyDescent="0.3">
      <c r="A26" s="356" t="s">
        <v>981</v>
      </c>
      <c r="B26" s="357" t="s">
        <v>1006</v>
      </c>
      <c r="C26" s="357" t="s">
        <v>1023</v>
      </c>
      <c r="D26" s="357" t="s">
        <v>1024</v>
      </c>
      <c r="E26" s="360">
        <v>181</v>
      </c>
      <c r="F26" s="360">
        <v>10317</v>
      </c>
      <c r="G26" s="357">
        <v>1</v>
      </c>
      <c r="H26" s="357">
        <v>57</v>
      </c>
      <c r="I26" s="360">
        <v>227</v>
      </c>
      <c r="J26" s="360">
        <v>12939</v>
      </c>
      <c r="K26" s="357">
        <v>1.2541436464088398</v>
      </c>
      <c r="L26" s="357">
        <v>57</v>
      </c>
      <c r="M26" s="360">
        <v>296</v>
      </c>
      <c r="N26" s="360">
        <v>16576</v>
      </c>
      <c r="O26" s="384">
        <v>1.6066686052146941</v>
      </c>
      <c r="P26" s="361">
        <v>56</v>
      </c>
    </row>
    <row r="27" spans="1:16" ht="14.4" customHeight="1" x14ac:dyDescent="0.3">
      <c r="A27" s="356" t="s">
        <v>981</v>
      </c>
      <c r="B27" s="357" t="s">
        <v>1006</v>
      </c>
      <c r="C27" s="357" t="s">
        <v>1025</v>
      </c>
      <c r="D27" s="357" t="s">
        <v>1026</v>
      </c>
      <c r="E27" s="360">
        <v>2</v>
      </c>
      <c r="F27" s="360">
        <v>28</v>
      </c>
      <c r="G27" s="357">
        <v>1</v>
      </c>
      <c r="H27" s="357">
        <v>14</v>
      </c>
      <c r="I27" s="360">
        <v>23</v>
      </c>
      <c r="J27" s="360">
        <v>322</v>
      </c>
      <c r="K27" s="357">
        <v>11.5</v>
      </c>
      <c r="L27" s="357">
        <v>14</v>
      </c>
      <c r="M27" s="360">
        <v>29</v>
      </c>
      <c r="N27" s="360">
        <v>754</v>
      </c>
      <c r="O27" s="384">
        <v>26.928571428571427</v>
      </c>
      <c r="P27" s="361">
        <v>26</v>
      </c>
    </row>
    <row r="28" spans="1:16" ht="14.4" customHeight="1" x14ac:dyDescent="0.3">
      <c r="A28" s="356" t="s">
        <v>981</v>
      </c>
      <c r="B28" s="357" t="s">
        <v>1006</v>
      </c>
      <c r="C28" s="357" t="s">
        <v>1027</v>
      </c>
      <c r="D28" s="357" t="s">
        <v>1028</v>
      </c>
      <c r="E28" s="360">
        <v>112</v>
      </c>
      <c r="F28" s="360">
        <v>1120</v>
      </c>
      <c r="G28" s="357">
        <v>1</v>
      </c>
      <c r="H28" s="357">
        <v>10</v>
      </c>
      <c r="I28" s="360">
        <v>272</v>
      </c>
      <c r="J28" s="360">
        <v>2720</v>
      </c>
      <c r="K28" s="357">
        <v>2.4285714285714284</v>
      </c>
      <c r="L28" s="357">
        <v>10</v>
      </c>
      <c r="M28" s="360">
        <v>641</v>
      </c>
      <c r="N28" s="360">
        <v>6410</v>
      </c>
      <c r="O28" s="384">
        <v>5.7232142857142856</v>
      </c>
      <c r="P28" s="361">
        <v>10</v>
      </c>
    </row>
    <row r="29" spans="1:16" ht="14.4" customHeight="1" x14ac:dyDescent="0.3">
      <c r="A29" s="356" t="s">
        <v>981</v>
      </c>
      <c r="B29" s="357" t="s">
        <v>1006</v>
      </c>
      <c r="C29" s="357" t="s">
        <v>1029</v>
      </c>
      <c r="D29" s="357" t="s">
        <v>1030</v>
      </c>
      <c r="E29" s="360">
        <v>3</v>
      </c>
      <c r="F29" s="360">
        <v>15</v>
      </c>
      <c r="G29" s="357">
        <v>1</v>
      </c>
      <c r="H29" s="357">
        <v>5</v>
      </c>
      <c r="I29" s="360">
        <v>13</v>
      </c>
      <c r="J29" s="360">
        <v>65</v>
      </c>
      <c r="K29" s="357">
        <v>4.333333333333333</v>
      </c>
      <c r="L29" s="357">
        <v>5</v>
      </c>
      <c r="M29" s="360">
        <v>30</v>
      </c>
      <c r="N29" s="360">
        <v>150</v>
      </c>
      <c r="O29" s="384">
        <v>10</v>
      </c>
      <c r="P29" s="361">
        <v>5</v>
      </c>
    </row>
    <row r="30" spans="1:16" ht="14.4" customHeight="1" x14ac:dyDescent="0.3">
      <c r="A30" s="356" t="s">
        <v>981</v>
      </c>
      <c r="B30" s="357" t="s">
        <v>1006</v>
      </c>
      <c r="C30" s="357" t="s">
        <v>1031</v>
      </c>
      <c r="D30" s="357" t="s">
        <v>1032</v>
      </c>
      <c r="E30" s="360">
        <v>27</v>
      </c>
      <c r="F30" s="360">
        <v>135</v>
      </c>
      <c r="G30" s="357">
        <v>1</v>
      </c>
      <c r="H30" s="357">
        <v>5</v>
      </c>
      <c r="I30" s="360">
        <v>50</v>
      </c>
      <c r="J30" s="360">
        <v>250</v>
      </c>
      <c r="K30" s="357">
        <v>1.8518518518518519</v>
      </c>
      <c r="L30" s="357">
        <v>5</v>
      </c>
      <c r="M30" s="360">
        <v>110</v>
      </c>
      <c r="N30" s="360">
        <v>550</v>
      </c>
      <c r="O30" s="384">
        <v>4.0740740740740744</v>
      </c>
      <c r="P30" s="361">
        <v>5</v>
      </c>
    </row>
    <row r="31" spans="1:16" ht="14.4" customHeight="1" x14ac:dyDescent="0.3">
      <c r="A31" s="356" t="s">
        <v>981</v>
      </c>
      <c r="B31" s="357" t="s">
        <v>1006</v>
      </c>
      <c r="C31" s="357" t="s">
        <v>1033</v>
      </c>
      <c r="D31" s="357" t="s">
        <v>1034</v>
      </c>
      <c r="E31" s="360">
        <v>1103</v>
      </c>
      <c r="F31" s="360">
        <v>83828</v>
      </c>
      <c r="G31" s="357">
        <v>1</v>
      </c>
      <c r="H31" s="357">
        <v>76</v>
      </c>
      <c r="I31" s="360">
        <v>680</v>
      </c>
      <c r="J31" s="360">
        <v>51680</v>
      </c>
      <c r="K31" s="357">
        <v>0.61650045330915682</v>
      </c>
      <c r="L31" s="357">
        <v>76</v>
      </c>
      <c r="M31" s="360">
        <v>565</v>
      </c>
      <c r="N31" s="360">
        <v>42940</v>
      </c>
      <c r="O31" s="384">
        <v>0.51223934723481412</v>
      </c>
      <c r="P31" s="361">
        <v>76</v>
      </c>
    </row>
    <row r="32" spans="1:16" ht="14.4" customHeight="1" x14ac:dyDescent="0.3">
      <c r="A32" s="356" t="s">
        <v>981</v>
      </c>
      <c r="B32" s="357" t="s">
        <v>1006</v>
      </c>
      <c r="C32" s="357" t="s">
        <v>1035</v>
      </c>
      <c r="D32" s="357" t="s">
        <v>1036</v>
      </c>
      <c r="E32" s="360">
        <v>9</v>
      </c>
      <c r="F32" s="360">
        <v>1827</v>
      </c>
      <c r="G32" s="357">
        <v>1</v>
      </c>
      <c r="H32" s="357">
        <v>203</v>
      </c>
      <c r="I32" s="360">
        <v>32</v>
      </c>
      <c r="J32" s="360">
        <v>6560</v>
      </c>
      <c r="K32" s="357">
        <v>3.5905856595511767</v>
      </c>
      <c r="L32" s="357">
        <v>205</v>
      </c>
      <c r="M32" s="360">
        <v>200</v>
      </c>
      <c r="N32" s="360">
        <v>41200</v>
      </c>
      <c r="O32" s="384">
        <v>22.550629447181173</v>
      </c>
      <c r="P32" s="361">
        <v>206</v>
      </c>
    </row>
    <row r="33" spans="1:16" ht="14.4" customHeight="1" x14ac:dyDescent="0.3">
      <c r="A33" s="356" t="s">
        <v>981</v>
      </c>
      <c r="B33" s="357" t="s">
        <v>1006</v>
      </c>
      <c r="C33" s="357" t="s">
        <v>1037</v>
      </c>
      <c r="D33" s="357" t="s">
        <v>1038</v>
      </c>
      <c r="E33" s="360">
        <v>418</v>
      </c>
      <c r="F33" s="360">
        <v>69388</v>
      </c>
      <c r="G33" s="357">
        <v>1</v>
      </c>
      <c r="H33" s="357">
        <v>166</v>
      </c>
      <c r="I33" s="360">
        <v>341</v>
      </c>
      <c r="J33" s="360">
        <v>56947</v>
      </c>
      <c r="K33" s="357">
        <v>0.82070386810399498</v>
      </c>
      <c r="L33" s="357">
        <v>167</v>
      </c>
      <c r="M33" s="360">
        <v>349</v>
      </c>
      <c r="N33" s="360">
        <v>58632</v>
      </c>
      <c r="O33" s="384">
        <v>0.84498760592609679</v>
      </c>
      <c r="P33" s="361">
        <v>168</v>
      </c>
    </row>
    <row r="34" spans="1:16" ht="14.4" customHeight="1" x14ac:dyDescent="0.3">
      <c r="A34" s="356" t="s">
        <v>981</v>
      </c>
      <c r="B34" s="357" t="s">
        <v>1006</v>
      </c>
      <c r="C34" s="357" t="s">
        <v>1039</v>
      </c>
      <c r="D34" s="357" t="s">
        <v>1040</v>
      </c>
      <c r="E34" s="360">
        <v>111</v>
      </c>
      <c r="F34" s="360">
        <v>18648</v>
      </c>
      <c r="G34" s="357">
        <v>1</v>
      </c>
      <c r="H34" s="357">
        <v>168</v>
      </c>
      <c r="I34" s="360">
        <v>35</v>
      </c>
      <c r="J34" s="360">
        <v>5880</v>
      </c>
      <c r="K34" s="357">
        <v>0.31531531531531531</v>
      </c>
      <c r="L34" s="357">
        <v>168</v>
      </c>
      <c r="M34" s="360"/>
      <c r="N34" s="360"/>
      <c r="O34" s="384"/>
      <c r="P34" s="361"/>
    </row>
    <row r="35" spans="1:16" ht="14.4" customHeight="1" x14ac:dyDescent="0.3">
      <c r="A35" s="356" t="s">
        <v>981</v>
      </c>
      <c r="B35" s="357" t="s">
        <v>1006</v>
      </c>
      <c r="C35" s="357" t="s">
        <v>1041</v>
      </c>
      <c r="D35" s="357" t="s">
        <v>1042</v>
      </c>
      <c r="E35" s="360">
        <v>1402</v>
      </c>
      <c r="F35" s="360">
        <v>333676</v>
      </c>
      <c r="G35" s="357">
        <v>1</v>
      </c>
      <c r="H35" s="357">
        <v>238</v>
      </c>
      <c r="I35" s="360">
        <v>673</v>
      </c>
      <c r="J35" s="360">
        <v>160847</v>
      </c>
      <c r="K35" s="357">
        <v>0.48204545726992654</v>
      </c>
      <c r="L35" s="357">
        <v>239</v>
      </c>
      <c r="M35" s="360">
        <v>263</v>
      </c>
      <c r="N35" s="360">
        <v>63120</v>
      </c>
      <c r="O35" s="384">
        <v>0.18916553782711373</v>
      </c>
      <c r="P35" s="361">
        <v>240</v>
      </c>
    </row>
    <row r="36" spans="1:16" ht="14.4" customHeight="1" x14ac:dyDescent="0.3">
      <c r="A36" s="356" t="s">
        <v>981</v>
      </c>
      <c r="B36" s="357" t="s">
        <v>1006</v>
      </c>
      <c r="C36" s="357" t="s">
        <v>1043</v>
      </c>
      <c r="D36" s="357" t="s">
        <v>1044</v>
      </c>
      <c r="E36" s="360">
        <v>381</v>
      </c>
      <c r="F36" s="360">
        <v>245364</v>
      </c>
      <c r="G36" s="357">
        <v>1</v>
      </c>
      <c r="H36" s="357">
        <v>644</v>
      </c>
      <c r="I36" s="360">
        <v>460</v>
      </c>
      <c r="J36" s="360">
        <v>297160</v>
      </c>
      <c r="K36" s="357">
        <v>1.2110986126734158</v>
      </c>
      <c r="L36" s="357">
        <v>646</v>
      </c>
      <c r="M36" s="360">
        <v>486</v>
      </c>
      <c r="N36" s="360">
        <v>313470</v>
      </c>
      <c r="O36" s="384">
        <v>1.2775712818506382</v>
      </c>
      <c r="P36" s="361">
        <v>645</v>
      </c>
    </row>
    <row r="37" spans="1:16" ht="14.4" customHeight="1" x14ac:dyDescent="0.3">
      <c r="A37" s="356" t="s">
        <v>981</v>
      </c>
      <c r="B37" s="357" t="s">
        <v>1006</v>
      </c>
      <c r="C37" s="357" t="s">
        <v>1045</v>
      </c>
      <c r="D37" s="357" t="s">
        <v>1046</v>
      </c>
      <c r="E37" s="360">
        <v>1981</v>
      </c>
      <c r="F37" s="360">
        <v>417991</v>
      </c>
      <c r="G37" s="357">
        <v>1</v>
      </c>
      <c r="H37" s="357">
        <v>211</v>
      </c>
      <c r="I37" s="360">
        <v>1224</v>
      </c>
      <c r="J37" s="360">
        <v>258264</v>
      </c>
      <c r="K37" s="357">
        <v>0.61786976274608785</v>
      </c>
      <c r="L37" s="357">
        <v>211</v>
      </c>
      <c r="M37" s="360">
        <v>1250</v>
      </c>
      <c r="N37" s="360">
        <v>265000</v>
      </c>
      <c r="O37" s="384">
        <v>0.63398494225952229</v>
      </c>
      <c r="P37" s="361">
        <v>212</v>
      </c>
    </row>
    <row r="38" spans="1:16" ht="14.4" customHeight="1" x14ac:dyDescent="0.3">
      <c r="A38" s="356" t="s">
        <v>981</v>
      </c>
      <c r="B38" s="357" t="s">
        <v>1006</v>
      </c>
      <c r="C38" s="357" t="s">
        <v>1047</v>
      </c>
      <c r="D38" s="357" t="s">
        <v>1048</v>
      </c>
      <c r="E38" s="360">
        <v>965</v>
      </c>
      <c r="F38" s="360">
        <v>111940</v>
      </c>
      <c r="G38" s="357">
        <v>1</v>
      </c>
      <c r="H38" s="357">
        <v>116</v>
      </c>
      <c r="I38" s="360">
        <v>1406</v>
      </c>
      <c r="J38" s="360">
        <v>163096</v>
      </c>
      <c r="K38" s="357">
        <v>1.4569948186528496</v>
      </c>
      <c r="L38" s="357">
        <v>116</v>
      </c>
      <c r="M38" s="360">
        <v>788</v>
      </c>
      <c r="N38" s="360">
        <v>92196</v>
      </c>
      <c r="O38" s="384">
        <v>0.82361979631945681</v>
      </c>
      <c r="P38" s="361">
        <v>117</v>
      </c>
    </row>
    <row r="39" spans="1:16" ht="14.4" customHeight="1" x14ac:dyDescent="0.3">
      <c r="A39" s="356" t="s">
        <v>981</v>
      </c>
      <c r="B39" s="357" t="s">
        <v>1006</v>
      </c>
      <c r="C39" s="357" t="s">
        <v>1049</v>
      </c>
      <c r="D39" s="357" t="s">
        <v>1050</v>
      </c>
      <c r="E39" s="360">
        <v>1335</v>
      </c>
      <c r="F39" s="360">
        <v>437880</v>
      </c>
      <c r="G39" s="357">
        <v>1</v>
      </c>
      <c r="H39" s="357">
        <v>328</v>
      </c>
      <c r="I39" s="360">
        <v>782</v>
      </c>
      <c r="J39" s="360">
        <v>258060</v>
      </c>
      <c r="K39" s="357">
        <v>0.58933954508084407</v>
      </c>
      <c r="L39" s="357">
        <v>330</v>
      </c>
      <c r="M39" s="360">
        <v>673</v>
      </c>
      <c r="N39" s="360">
        <v>220071</v>
      </c>
      <c r="O39" s="384">
        <v>0.50258289942449985</v>
      </c>
      <c r="P39" s="361">
        <v>327</v>
      </c>
    </row>
    <row r="40" spans="1:16" ht="14.4" customHeight="1" x14ac:dyDescent="0.3">
      <c r="A40" s="356" t="s">
        <v>981</v>
      </c>
      <c r="B40" s="357" t="s">
        <v>1006</v>
      </c>
      <c r="C40" s="357" t="s">
        <v>1051</v>
      </c>
      <c r="D40" s="357" t="s">
        <v>1040</v>
      </c>
      <c r="E40" s="360">
        <v>83</v>
      </c>
      <c r="F40" s="360">
        <v>13861</v>
      </c>
      <c r="G40" s="357">
        <v>1</v>
      </c>
      <c r="H40" s="357">
        <v>167</v>
      </c>
      <c r="I40" s="360">
        <v>20</v>
      </c>
      <c r="J40" s="360">
        <v>3340</v>
      </c>
      <c r="K40" s="357">
        <v>0.24096385542168675</v>
      </c>
      <c r="L40" s="357">
        <v>167</v>
      </c>
      <c r="M40" s="360"/>
      <c r="N40" s="360"/>
      <c r="O40" s="384"/>
      <c r="P40" s="361"/>
    </row>
    <row r="41" spans="1:16" ht="14.4" customHeight="1" x14ac:dyDescent="0.3">
      <c r="A41" s="356" t="s">
        <v>981</v>
      </c>
      <c r="B41" s="357" t="s">
        <v>1006</v>
      </c>
      <c r="C41" s="357" t="s">
        <v>1052</v>
      </c>
      <c r="D41" s="357" t="s">
        <v>1040</v>
      </c>
      <c r="E41" s="360">
        <v>893</v>
      </c>
      <c r="F41" s="360">
        <v>383990</v>
      </c>
      <c r="G41" s="357">
        <v>1</v>
      </c>
      <c r="H41" s="357">
        <v>430</v>
      </c>
      <c r="I41" s="360">
        <v>383</v>
      </c>
      <c r="J41" s="360">
        <v>165456</v>
      </c>
      <c r="K41" s="357">
        <v>0.43088622099533841</v>
      </c>
      <c r="L41" s="357">
        <v>432</v>
      </c>
      <c r="M41" s="360"/>
      <c r="N41" s="360"/>
      <c r="O41" s="384"/>
      <c r="P41" s="361"/>
    </row>
    <row r="42" spans="1:16" ht="14.4" customHeight="1" x14ac:dyDescent="0.3">
      <c r="A42" s="356" t="s">
        <v>981</v>
      </c>
      <c r="B42" s="357" t="s">
        <v>1006</v>
      </c>
      <c r="C42" s="357" t="s">
        <v>1053</v>
      </c>
      <c r="D42" s="357" t="s">
        <v>1054</v>
      </c>
      <c r="E42" s="360">
        <v>12</v>
      </c>
      <c r="F42" s="360">
        <v>816</v>
      </c>
      <c r="G42" s="357">
        <v>1</v>
      </c>
      <c r="H42" s="357">
        <v>68</v>
      </c>
      <c r="I42" s="360">
        <v>12</v>
      </c>
      <c r="J42" s="360">
        <v>816</v>
      </c>
      <c r="K42" s="357">
        <v>1</v>
      </c>
      <c r="L42" s="357">
        <v>68</v>
      </c>
      <c r="M42" s="360">
        <v>310</v>
      </c>
      <c r="N42" s="360">
        <v>21390</v>
      </c>
      <c r="O42" s="384">
        <v>26.213235294117649</v>
      </c>
      <c r="P42" s="361">
        <v>69</v>
      </c>
    </row>
    <row r="43" spans="1:16" ht="14.4" customHeight="1" x14ac:dyDescent="0.3">
      <c r="A43" s="356" t="s">
        <v>981</v>
      </c>
      <c r="B43" s="357" t="s">
        <v>1006</v>
      </c>
      <c r="C43" s="357" t="s">
        <v>1055</v>
      </c>
      <c r="D43" s="357" t="s">
        <v>1056</v>
      </c>
      <c r="E43" s="360">
        <v>2</v>
      </c>
      <c r="F43" s="360">
        <v>328</v>
      </c>
      <c r="G43" s="357">
        <v>1</v>
      </c>
      <c r="H43" s="357">
        <v>164</v>
      </c>
      <c r="I43" s="360">
        <v>29</v>
      </c>
      <c r="J43" s="360">
        <v>4756</v>
      </c>
      <c r="K43" s="357">
        <v>14.5</v>
      </c>
      <c r="L43" s="357">
        <v>164</v>
      </c>
      <c r="M43" s="360">
        <v>252</v>
      </c>
      <c r="N43" s="360">
        <v>41076</v>
      </c>
      <c r="O43" s="384">
        <v>125.23170731707317</v>
      </c>
      <c r="P43" s="361">
        <v>163</v>
      </c>
    </row>
    <row r="44" spans="1:16" ht="14.4" customHeight="1" x14ac:dyDescent="0.3">
      <c r="A44" s="356" t="s">
        <v>981</v>
      </c>
      <c r="B44" s="357" t="s">
        <v>1006</v>
      </c>
      <c r="C44" s="357" t="s">
        <v>1057</v>
      </c>
      <c r="D44" s="357" t="s">
        <v>1058</v>
      </c>
      <c r="E44" s="360"/>
      <c r="F44" s="360"/>
      <c r="G44" s="357"/>
      <c r="H44" s="357"/>
      <c r="I44" s="360">
        <v>131</v>
      </c>
      <c r="J44" s="360">
        <v>22008</v>
      </c>
      <c r="K44" s="357"/>
      <c r="L44" s="357">
        <v>168</v>
      </c>
      <c r="M44" s="360">
        <v>146</v>
      </c>
      <c r="N44" s="360">
        <v>24674</v>
      </c>
      <c r="O44" s="384"/>
      <c r="P44" s="361">
        <v>169</v>
      </c>
    </row>
    <row r="45" spans="1:16" ht="14.4" customHeight="1" x14ac:dyDescent="0.3">
      <c r="A45" s="356" t="s">
        <v>981</v>
      </c>
      <c r="B45" s="357" t="s">
        <v>1006</v>
      </c>
      <c r="C45" s="357" t="s">
        <v>1059</v>
      </c>
      <c r="D45" s="357" t="s">
        <v>1040</v>
      </c>
      <c r="E45" s="360"/>
      <c r="F45" s="360"/>
      <c r="G45" s="357"/>
      <c r="H45" s="357"/>
      <c r="I45" s="360">
        <v>0</v>
      </c>
      <c r="J45" s="360">
        <v>0</v>
      </c>
      <c r="K45" s="357"/>
      <c r="L45" s="357"/>
      <c r="M45" s="360"/>
      <c r="N45" s="360"/>
      <c r="O45" s="384"/>
      <c r="P45" s="361"/>
    </row>
    <row r="46" spans="1:16" ht="14.4" customHeight="1" x14ac:dyDescent="0.3">
      <c r="A46" s="356" t="s">
        <v>981</v>
      </c>
      <c r="B46" s="357" t="s">
        <v>1006</v>
      </c>
      <c r="C46" s="357" t="s">
        <v>1060</v>
      </c>
      <c r="D46" s="357" t="s">
        <v>1061</v>
      </c>
      <c r="E46" s="360"/>
      <c r="F46" s="360"/>
      <c r="G46" s="357"/>
      <c r="H46" s="357"/>
      <c r="I46" s="360"/>
      <c r="J46" s="360"/>
      <c r="K46" s="357"/>
      <c r="L46" s="357"/>
      <c r="M46" s="360">
        <v>54</v>
      </c>
      <c r="N46" s="360">
        <v>6318</v>
      </c>
      <c r="O46" s="384"/>
      <c r="P46" s="361">
        <v>117</v>
      </c>
    </row>
    <row r="47" spans="1:16" ht="14.4" customHeight="1" x14ac:dyDescent="0.3">
      <c r="A47" s="356" t="s">
        <v>1062</v>
      </c>
      <c r="B47" s="357" t="s">
        <v>1006</v>
      </c>
      <c r="C47" s="357" t="s">
        <v>1033</v>
      </c>
      <c r="D47" s="357" t="s">
        <v>1034</v>
      </c>
      <c r="E47" s="360"/>
      <c r="F47" s="360"/>
      <c r="G47" s="357"/>
      <c r="H47" s="357"/>
      <c r="I47" s="360"/>
      <c r="J47" s="360"/>
      <c r="K47" s="357"/>
      <c r="L47" s="357"/>
      <c r="M47" s="360">
        <v>0</v>
      </c>
      <c r="N47" s="360">
        <v>0</v>
      </c>
      <c r="O47" s="384"/>
      <c r="P47" s="361"/>
    </row>
    <row r="48" spans="1:16" ht="14.4" customHeight="1" x14ac:dyDescent="0.3">
      <c r="A48" s="356" t="s">
        <v>1062</v>
      </c>
      <c r="B48" s="357" t="s">
        <v>1006</v>
      </c>
      <c r="C48" s="357" t="s">
        <v>1041</v>
      </c>
      <c r="D48" s="357" t="s">
        <v>1042</v>
      </c>
      <c r="E48" s="360"/>
      <c r="F48" s="360"/>
      <c r="G48" s="357"/>
      <c r="H48" s="357"/>
      <c r="I48" s="360"/>
      <c r="J48" s="360"/>
      <c r="K48" s="357"/>
      <c r="L48" s="357"/>
      <c r="M48" s="360">
        <v>0</v>
      </c>
      <c r="N48" s="360">
        <v>0</v>
      </c>
      <c r="O48" s="384"/>
      <c r="P48" s="361"/>
    </row>
    <row r="49" spans="1:16" ht="14.4" customHeight="1" thickBot="1" x14ac:dyDescent="0.35">
      <c r="A49" s="362" t="s">
        <v>1062</v>
      </c>
      <c r="B49" s="363" t="s">
        <v>1006</v>
      </c>
      <c r="C49" s="363" t="s">
        <v>1047</v>
      </c>
      <c r="D49" s="363" t="s">
        <v>1048</v>
      </c>
      <c r="E49" s="366"/>
      <c r="F49" s="366"/>
      <c r="G49" s="363"/>
      <c r="H49" s="363"/>
      <c r="I49" s="366"/>
      <c r="J49" s="366"/>
      <c r="K49" s="363"/>
      <c r="L49" s="363"/>
      <c r="M49" s="366">
        <v>311</v>
      </c>
      <c r="N49" s="366">
        <v>36387</v>
      </c>
      <c r="O49" s="386"/>
      <c r="P49" s="367">
        <v>117</v>
      </c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13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65" bestFit="1" customWidth="1"/>
    <col min="2" max="2" width="7.77734375" style="164" customWidth="1"/>
    <col min="3" max="3" width="0.109375" style="65" hidden="1" customWidth="1"/>
    <col min="4" max="4" width="7.77734375" style="164" customWidth="1"/>
    <col min="5" max="5" width="5.44140625" style="65" hidden="1" customWidth="1"/>
    <col min="6" max="6" width="7.77734375" style="164" customWidth="1"/>
    <col min="7" max="7" width="7.77734375" style="87" customWidth="1"/>
    <col min="8" max="8" width="7.77734375" style="164" customWidth="1"/>
    <col min="9" max="9" width="5.44140625" style="65" hidden="1" customWidth="1"/>
    <col min="10" max="10" width="7.77734375" style="164" customWidth="1"/>
    <col min="11" max="11" width="5.44140625" style="65" hidden="1" customWidth="1"/>
    <col min="12" max="12" width="7.77734375" style="164" customWidth="1"/>
    <col min="13" max="13" width="7.77734375" style="87" customWidth="1"/>
    <col min="14" max="14" width="7.77734375" style="164" customWidth="1"/>
    <col min="15" max="15" width="5" style="65" hidden="1" customWidth="1"/>
    <col min="16" max="16" width="7.77734375" style="164" customWidth="1"/>
    <col min="17" max="17" width="5" style="65" hidden="1" customWidth="1"/>
    <col min="18" max="18" width="7.77734375" style="164" customWidth="1"/>
    <col min="19" max="19" width="7.77734375" style="87" customWidth="1"/>
    <col min="20" max="16384" width="8.88671875" style="65"/>
  </cols>
  <sheetData>
    <row r="1" spans="1:19" ht="18.600000000000001" customHeight="1" thickBot="1" x14ac:dyDescent="0.4">
      <c r="A1" s="252" t="s">
        <v>154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</row>
    <row r="2" spans="1:19" ht="14.4" customHeight="1" thickBot="1" x14ac:dyDescent="0.35">
      <c r="A2" s="318" t="s">
        <v>193</v>
      </c>
      <c r="B2" s="153"/>
      <c r="C2" s="109"/>
      <c r="D2" s="153"/>
      <c r="E2" s="109"/>
      <c r="F2" s="153"/>
      <c r="G2" s="142"/>
      <c r="H2" s="153"/>
      <c r="I2" s="109"/>
      <c r="J2" s="153"/>
      <c r="K2" s="109"/>
      <c r="L2" s="153"/>
      <c r="M2" s="142"/>
      <c r="N2" s="153"/>
      <c r="O2" s="109"/>
      <c r="P2" s="153"/>
      <c r="Q2" s="109"/>
      <c r="R2" s="153"/>
      <c r="S2" s="142"/>
    </row>
    <row r="3" spans="1:19" ht="14.4" customHeight="1" thickBot="1" x14ac:dyDescent="0.35">
      <c r="A3" s="230" t="s">
        <v>158</v>
      </c>
      <c r="B3" s="231">
        <f>SUBTOTAL(9,B6:B1048576)</f>
        <v>3911800</v>
      </c>
      <c r="C3" s="232">
        <f t="shared" ref="C3:R3" si="0">SUBTOTAL(9,C6:C1048576)</f>
        <v>6</v>
      </c>
      <c r="D3" s="232">
        <f t="shared" si="0"/>
        <v>4114520</v>
      </c>
      <c r="E3" s="232">
        <f t="shared" si="0"/>
        <v>3.027368871694688</v>
      </c>
      <c r="F3" s="232">
        <f t="shared" si="0"/>
        <v>11639</v>
      </c>
      <c r="G3" s="233">
        <f>IF(B3&lt;&gt;0,F3/B3,"")</f>
        <v>2.9753566133237895E-3</v>
      </c>
      <c r="H3" s="231">
        <f t="shared" si="0"/>
        <v>0</v>
      </c>
      <c r="I3" s="232">
        <f t="shared" si="0"/>
        <v>0</v>
      </c>
      <c r="J3" s="232">
        <f t="shared" si="0"/>
        <v>0</v>
      </c>
      <c r="K3" s="232">
        <f t="shared" si="0"/>
        <v>0</v>
      </c>
      <c r="L3" s="232">
        <f t="shared" si="0"/>
        <v>0</v>
      </c>
      <c r="M3" s="234" t="str">
        <f>IF(H3&lt;&gt;0,L3/H3,"")</f>
        <v/>
      </c>
      <c r="N3" s="235">
        <f t="shared" si="0"/>
        <v>0</v>
      </c>
      <c r="O3" s="232">
        <f t="shared" si="0"/>
        <v>0</v>
      </c>
      <c r="P3" s="232">
        <f t="shared" si="0"/>
        <v>0</v>
      </c>
      <c r="Q3" s="232">
        <f t="shared" si="0"/>
        <v>0</v>
      </c>
      <c r="R3" s="232">
        <f t="shared" si="0"/>
        <v>0</v>
      </c>
      <c r="S3" s="234" t="str">
        <f>IF(N3&lt;&gt;0,R3/N3,"")</f>
        <v/>
      </c>
    </row>
    <row r="4" spans="1:19" ht="14.4" customHeight="1" x14ac:dyDescent="0.3">
      <c r="A4" s="302" t="s">
        <v>130</v>
      </c>
      <c r="B4" s="303" t="s">
        <v>122</v>
      </c>
      <c r="C4" s="304"/>
      <c r="D4" s="304"/>
      <c r="E4" s="304"/>
      <c r="F4" s="304"/>
      <c r="G4" s="305"/>
      <c r="H4" s="303" t="s">
        <v>123</v>
      </c>
      <c r="I4" s="304"/>
      <c r="J4" s="304"/>
      <c r="K4" s="304"/>
      <c r="L4" s="304"/>
      <c r="M4" s="305"/>
      <c r="N4" s="303" t="s">
        <v>124</v>
      </c>
      <c r="O4" s="304"/>
      <c r="P4" s="304"/>
      <c r="Q4" s="304"/>
      <c r="R4" s="304"/>
      <c r="S4" s="305"/>
    </row>
    <row r="5" spans="1:19" ht="14.4" customHeight="1" thickBot="1" x14ac:dyDescent="0.35">
      <c r="A5" s="425"/>
      <c r="B5" s="426">
        <v>2011</v>
      </c>
      <c r="C5" s="427"/>
      <c r="D5" s="427">
        <v>2012</v>
      </c>
      <c r="E5" s="427"/>
      <c r="F5" s="427">
        <v>2013</v>
      </c>
      <c r="G5" s="428" t="s">
        <v>5</v>
      </c>
      <c r="H5" s="426">
        <v>2011</v>
      </c>
      <c r="I5" s="427"/>
      <c r="J5" s="427">
        <v>2012</v>
      </c>
      <c r="K5" s="427"/>
      <c r="L5" s="427">
        <v>2013</v>
      </c>
      <c r="M5" s="428" t="s">
        <v>5</v>
      </c>
      <c r="N5" s="426">
        <v>2011</v>
      </c>
      <c r="O5" s="427"/>
      <c r="P5" s="427">
        <v>2012</v>
      </c>
      <c r="Q5" s="427"/>
      <c r="R5" s="427">
        <v>2013</v>
      </c>
      <c r="S5" s="428" t="s">
        <v>5</v>
      </c>
    </row>
    <row r="6" spans="1:19" ht="14.4" customHeight="1" x14ac:dyDescent="0.3">
      <c r="A6" s="419" t="s">
        <v>1063</v>
      </c>
      <c r="B6" s="429"/>
      <c r="C6" s="351"/>
      <c r="D6" s="429">
        <v>211</v>
      </c>
      <c r="E6" s="351"/>
      <c r="F6" s="429">
        <v>714</v>
      </c>
      <c r="G6" s="382"/>
      <c r="H6" s="429"/>
      <c r="I6" s="351"/>
      <c r="J6" s="429"/>
      <c r="K6" s="351"/>
      <c r="L6" s="429"/>
      <c r="M6" s="382"/>
      <c r="N6" s="429"/>
      <c r="O6" s="351"/>
      <c r="P6" s="429"/>
      <c r="Q6" s="351"/>
      <c r="R6" s="429"/>
      <c r="S6" s="383"/>
    </row>
    <row r="7" spans="1:19" ht="14.4" customHeight="1" x14ac:dyDescent="0.3">
      <c r="A7" s="420" t="s">
        <v>1064</v>
      </c>
      <c r="B7" s="441">
        <v>1924</v>
      </c>
      <c r="C7" s="357">
        <v>1</v>
      </c>
      <c r="D7" s="441">
        <v>2390</v>
      </c>
      <c r="E7" s="357">
        <v>1.2422037422037422</v>
      </c>
      <c r="F7" s="441">
        <v>9635</v>
      </c>
      <c r="G7" s="384">
        <v>5.007796257796258</v>
      </c>
      <c r="H7" s="441"/>
      <c r="I7" s="357"/>
      <c r="J7" s="441"/>
      <c r="K7" s="357"/>
      <c r="L7" s="441"/>
      <c r="M7" s="384"/>
      <c r="N7" s="441"/>
      <c r="O7" s="357"/>
      <c r="P7" s="441"/>
      <c r="Q7" s="357"/>
      <c r="R7" s="441"/>
      <c r="S7" s="385"/>
    </row>
    <row r="8" spans="1:19" ht="14.4" customHeight="1" x14ac:dyDescent="0.3">
      <c r="A8" s="420" t="s">
        <v>1065</v>
      </c>
      <c r="B8" s="441">
        <v>900</v>
      </c>
      <c r="C8" s="357">
        <v>1</v>
      </c>
      <c r="D8" s="441"/>
      <c r="E8" s="357"/>
      <c r="F8" s="441"/>
      <c r="G8" s="384"/>
      <c r="H8" s="441"/>
      <c r="I8" s="357"/>
      <c r="J8" s="441"/>
      <c r="K8" s="357"/>
      <c r="L8" s="441"/>
      <c r="M8" s="384"/>
      <c r="N8" s="441"/>
      <c r="O8" s="357"/>
      <c r="P8" s="441"/>
      <c r="Q8" s="357"/>
      <c r="R8" s="441"/>
      <c r="S8" s="385"/>
    </row>
    <row r="9" spans="1:19" ht="14.4" customHeight="1" x14ac:dyDescent="0.3">
      <c r="A9" s="420" t="s">
        <v>1066</v>
      </c>
      <c r="B9" s="441"/>
      <c r="C9" s="357"/>
      <c r="D9" s="441">
        <v>34</v>
      </c>
      <c r="E9" s="357"/>
      <c r="F9" s="441"/>
      <c r="G9" s="384"/>
      <c r="H9" s="441"/>
      <c r="I9" s="357"/>
      <c r="J9" s="441"/>
      <c r="K9" s="357"/>
      <c r="L9" s="441"/>
      <c r="M9" s="384"/>
      <c r="N9" s="441"/>
      <c r="O9" s="357"/>
      <c r="P9" s="441"/>
      <c r="Q9" s="357"/>
      <c r="R9" s="441"/>
      <c r="S9" s="385"/>
    </row>
    <row r="10" spans="1:19" ht="14.4" customHeight="1" x14ac:dyDescent="0.3">
      <c r="A10" s="420" t="s">
        <v>1067</v>
      </c>
      <c r="B10" s="441">
        <v>2260</v>
      </c>
      <c r="C10" s="357">
        <v>1</v>
      </c>
      <c r="D10" s="441">
        <v>1656</v>
      </c>
      <c r="E10" s="357">
        <v>0.73274336283185837</v>
      </c>
      <c r="F10" s="441">
        <v>1290</v>
      </c>
      <c r="G10" s="384">
        <v>0.57079646017699115</v>
      </c>
      <c r="H10" s="441"/>
      <c r="I10" s="357"/>
      <c r="J10" s="441"/>
      <c r="K10" s="357"/>
      <c r="L10" s="441"/>
      <c r="M10" s="384"/>
      <c r="N10" s="441"/>
      <c r="O10" s="357"/>
      <c r="P10" s="441"/>
      <c r="Q10" s="357"/>
      <c r="R10" s="441"/>
      <c r="S10" s="385"/>
    </row>
    <row r="11" spans="1:19" ht="14.4" customHeight="1" x14ac:dyDescent="0.3">
      <c r="A11" s="420" t="s">
        <v>1068</v>
      </c>
      <c r="B11" s="441">
        <v>416</v>
      </c>
      <c r="C11" s="357">
        <v>1</v>
      </c>
      <c r="D11" s="441"/>
      <c r="E11" s="357"/>
      <c r="F11" s="441"/>
      <c r="G11" s="384"/>
      <c r="H11" s="441"/>
      <c r="I11" s="357"/>
      <c r="J11" s="441"/>
      <c r="K11" s="357"/>
      <c r="L11" s="441"/>
      <c r="M11" s="384"/>
      <c r="N11" s="441"/>
      <c r="O11" s="357"/>
      <c r="P11" s="441"/>
      <c r="Q11" s="357"/>
      <c r="R11" s="441"/>
      <c r="S11" s="385"/>
    </row>
    <row r="12" spans="1:19" ht="14.4" customHeight="1" x14ac:dyDescent="0.3">
      <c r="A12" s="420" t="s">
        <v>1069</v>
      </c>
      <c r="B12" s="441">
        <v>3905496</v>
      </c>
      <c r="C12" s="357">
        <v>1</v>
      </c>
      <c r="D12" s="441">
        <v>4110229</v>
      </c>
      <c r="E12" s="357">
        <v>1.0524217666590876</v>
      </c>
      <c r="F12" s="441"/>
      <c r="G12" s="384"/>
      <c r="H12" s="441"/>
      <c r="I12" s="357"/>
      <c r="J12" s="441"/>
      <c r="K12" s="357"/>
      <c r="L12" s="441"/>
      <c r="M12" s="384"/>
      <c r="N12" s="441"/>
      <c r="O12" s="357"/>
      <c r="P12" s="441"/>
      <c r="Q12" s="357"/>
      <c r="R12" s="441"/>
      <c r="S12" s="385"/>
    </row>
    <row r="13" spans="1:19" ht="14.4" customHeight="1" thickBot="1" x14ac:dyDescent="0.35">
      <c r="A13" s="431" t="s">
        <v>1070</v>
      </c>
      <c r="B13" s="430">
        <v>804</v>
      </c>
      <c r="C13" s="363">
        <v>1</v>
      </c>
      <c r="D13" s="430"/>
      <c r="E13" s="363"/>
      <c r="F13" s="430"/>
      <c r="G13" s="386"/>
      <c r="H13" s="430"/>
      <c r="I13" s="363"/>
      <c r="J13" s="430"/>
      <c r="K13" s="363"/>
      <c r="L13" s="430"/>
      <c r="M13" s="386"/>
      <c r="N13" s="430"/>
      <c r="O13" s="363"/>
      <c r="P13" s="430"/>
      <c r="Q13" s="363"/>
      <c r="R13" s="430"/>
      <c r="S13" s="387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45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65" bestFit="1" customWidth="1"/>
    <col min="2" max="2" width="8.6640625" style="65" bestFit="1" customWidth="1"/>
    <col min="3" max="3" width="2.109375" style="65" bestFit="1" customWidth="1"/>
    <col min="4" max="4" width="8" style="65" bestFit="1" customWidth="1"/>
    <col min="5" max="5" width="52.88671875" style="65" bestFit="1" customWidth="1"/>
    <col min="6" max="7" width="11.109375" style="94" customWidth="1"/>
    <col min="8" max="9" width="9.33203125" style="94" hidden="1" customWidth="1"/>
    <col min="10" max="11" width="11.109375" style="94" customWidth="1"/>
    <col min="12" max="13" width="9.33203125" style="94" hidden="1" customWidth="1"/>
    <col min="14" max="15" width="11.109375" style="94" customWidth="1"/>
    <col min="16" max="16" width="11.109375" style="87" customWidth="1"/>
    <col min="17" max="17" width="11.109375" style="94" customWidth="1"/>
    <col min="18" max="16384" width="8.88671875" style="65"/>
  </cols>
  <sheetData>
    <row r="1" spans="1:17" ht="18.600000000000001" customHeight="1" thickBot="1" x14ac:dyDescent="0.4">
      <c r="A1" s="240" t="s">
        <v>155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</row>
    <row r="2" spans="1:17" ht="14.4" customHeight="1" thickBot="1" x14ac:dyDescent="0.4">
      <c r="A2" s="318" t="s">
        <v>193</v>
      </c>
      <c r="B2" s="106"/>
      <c r="C2" s="106"/>
      <c r="D2" s="106"/>
      <c r="E2" s="106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9"/>
      <c r="Q2" s="165"/>
    </row>
    <row r="3" spans="1:17" ht="14.4" customHeight="1" thickBot="1" x14ac:dyDescent="0.35">
      <c r="E3" s="124" t="s">
        <v>158</v>
      </c>
      <c r="F3" s="166">
        <f t="shared" ref="F3:O3" si="0">SUBTOTAL(9,F6:F1048576)</f>
        <v>8558</v>
      </c>
      <c r="G3" s="167">
        <f t="shared" si="0"/>
        <v>3911800</v>
      </c>
      <c r="H3" s="167"/>
      <c r="I3" s="167"/>
      <c r="J3" s="167">
        <f t="shared" si="0"/>
        <v>8716</v>
      </c>
      <c r="K3" s="167">
        <f t="shared" si="0"/>
        <v>4114520</v>
      </c>
      <c r="L3" s="167"/>
      <c r="M3" s="167"/>
      <c r="N3" s="167">
        <f t="shared" si="0"/>
        <v>103</v>
      </c>
      <c r="O3" s="167">
        <f t="shared" si="0"/>
        <v>11639</v>
      </c>
      <c r="P3" s="108">
        <f>IF(G3=0,0,O3/G3)</f>
        <v>2.9753566133237895E-3</v>
      </c>
      <c r="Q3" s="168">
        <f>IF(N3=0,0,O3/N3)</f>
        <v>113</v>
      </c>
    </row>
    <row r="4" spans="1:17" ht="14.4" customHeight="1" x14ac:dyDescent="0.3">
      <c r="A4" s="308" t="s">
        <v>90</v>
      </c>
      <c r="B4" s="307" t="s">
        <v>117</v>
      </c>
      <c r="C4" s="308" t="s">
        <v>118</v>
      </c>
      <c r="D4" s="309" t="s">
        <v>119</v>
      </c>
      <c r="E4" s="310" t="s">
        <v>91</v>
      </c>
      <c r="F4" s="314">
        <v>2011</v>
      </c>
      <c r="G4" s="315"/>
      <c r="H4" s="170"/>
      <c r="I4" s="170"/>
      <c r="J4" s="314">
        <v>2012</v>
      </c>
      <c r="K4" s="315"/>
      <c r="L4" s="170"/>
      <c r="M4" s="170"/>
      <c r="N4" s="314">
        <v>2013</v>
      </c>
      <c r="O4" s="315"/>
      <c r="P4" s="316" t="s">
        <v>5</v>
      </c>
      <c r="Q4" s="306" t="s">
        <v>120</v>
      </c>
    </row>
    <row r="5" spans="1:17" ht="14.4" customHeight="1" thickBot="1" x14ac:dyDescent="0.35">
      <c r="A5" s="433"/>
      <c r="B5" s="432"/>
      <c r="C5" s="433"/>
      <c r="D5" s="434"/>
      <c r="E5" s="435"/>
      <c r="F5" s="442" t="s">
        <v>93</v>
      </c>
      <c r="G5" s="443" t="s">
        <v>17</v>
      </c>
      <c r="H5" s="444"/>
      <c r="I5" s="444"/>
      <c r="J5" s="442" t="s">
        <v>93</v>
      </c>
      <c r="K5" s="443" t="s">
        <v>17</v>
      </c>
      <c r="L5" s="444"/>
      <c r="M5" s="444"/>
      <c r="N5" s="442" t="s">
        <v>93</v>
      </c>
      <c r="O5" s="443" t="s">
        <v>17</v>
      </c>
      <c r="P5" s="445"/>
      <c r="Q5" s="440"/>
    </row>
    <row r="6" spans="1:17" ht="14.4" customHeight="1" x14ac:dyDescent="0.3">
      <c r="A6" s="350" t="s">
        <v>1071</v>
      </c>
      <c r="B6" s="351" t="s">
        <v>981</v>
      </c>
      <c r="C6" s="351" t="s">
        <v>1006</v>
      </c>
      <c r="D6" s="351" t="s">
        <v>1009</v>
      </c>
      <c r="E6" s="351" t="s">
        <v>1010</v>
      </c>
      <c r="F6" s="354"/>
      <c r="G6" s="354"/>
      <c r="H6" s="354"/>
      <c r="I6" s="354"/>
      <c r="J6" s="354"/>
      <c r="K6" s="354"/>
      <c r="L6" s="354"/>
      <c r="M6" s="354"/>
      <c r="N6" s="354">
        <v>1</v>
      </c>
      <c r="O6" s="354">
        <v>0</v>
      </c>
      <c r="P6" s="382"/>
      <c r="Q6" s="355">
        <v>0</v>
      </c>
    </row>
    <row r="7" spans="1:17" ht="14.4" customHeight="1" x14ac:dyDescent="0.3">
      <c r="A7" s="356" t="s">
        <v>1071</v>
      </c>
      <c r="B7" s="357" t="s">
        <v>981</v>
      </c>
      <c r="C7" s="357" t="s">
        <v>1006</v>
      </c>
      <c r="D7" s="357" t="s">
        <v>1043</v>
      </c>
      <c r="E7" s="357" t="s">
        <v>1044</v>
      </c>
      <c r="F7" s="360"/>
      <c r="G7" s="360"/>
      <c r="H7" s="360"/>
      <c r="I7" s="360"/>
      <c r="J7" s="360"/>
      <c r="K7" s="360"/>
      <c r="L7" s="360"/>
      <c r="M7" s="360"/>
      <c r="N7" s="360">
        <v>1</v>
      </c>
      <c r="O7" s="360">
        <v>645</v>
      </c>
      <c r="P7" s="384"/>
      <c r="Q7" s="361">
        <v>645</v>
      </c>
    </row>
    <row r="8" spans="1:17" ht="14.4" customHeight="1" x14ac:dyDescent="0.3">
      <c r="A8" s="356" t="s">
        <v>1071</v>
      </c>
      <c r="B8" s="357" t="s">
        <v>981</v>
      </c>
      <c r="C8" s="357" t="s">
        <v>1006</v>
      </c>
      <c r="D8" s="357" t="s">
        <v>1045</v>
      </c>
      <c r="E8" s="357" t="s">
        <v>1046</v>
      </c>
      <c r="F8" s="360"/>
      <c r="G8" s="360"/>
      <c r="H8" s="360"/>
      <c r="I8" s="360"/>
      <c r="J8" s="360">
        <v>1</v>
      </c>
      <c r="K8" s="360">
        <v>211</v>
      </c>
      <c r="L8" s="360"/>
      <c r="M8" s="360">
        <v>211</v>
      </c>
      <c r="N8" s="360"/>
      <c r="O8" s="360"/>
      <c r="P8" s="384"/>
      <c r="Q8" s="361"/>
    </row>
    <row r="9" spans="1:17" ht="14.4" customHeight="1" x14ac:dyDescent="0.3">
      <c r="A9" s="356" t="s">
        <v>1071</v>
      </c>
      <c r="B9" s="357" t="s">
        <v>981</v>
      </c>
      <c r="C9" s="357" t="s">
        <v>1006</v>
      </c>
      <c r="D9" s="357" t="s">
        <v>1053</v>
      </c>
      <c r="E9" s="357" t="s">
        <v>1054</v>
      </c>
      <c r="F9" s="360"/>
      <c r="G9" s="360"/>
      <c r="H9" s="360"/>
      <c r="I9" s="360"/>
      <c r="J9" s="360"/>
      <c r="K9" s="360"/>
      <c r="L9" s="360"/>
      <c r="M9" s="360"/>
      <c r="N9" s="360">
        <v>1</v>
      </c>
      <c r="O9" s="360">
        <v>69</v>
      </c>
      <c r="P9" s="384"/>
      <c r="Q9" s="361">
        <v>69</v>
      </c>
    </row>
    <row r="10" spans="1:17" ht="14.4" customHeight="1" x14ac:dyDescent="0.3">
      <c r="A10" s="356" t="s">
        <v>1072</v>
      </c>
      <c r="B10" s="357" t="s">
        <v>981</v>
      </c>
      <c r="C10" s="357" t="s">
        <v>1006</v>
      </c>
      <c r="D10" s="357" t="s">
        <v>1009</v>
      </c>
      <c r="E10" s="357" t="s">
        <v>1010</v>
      </c>
      <c r="F10" s="360"/>
      <c r="G10" s="360"/>
      <c r="H10" s="360"/>
      <c r="I10" s="360"/>
      <c r="J10" s="360"/>
      <c r="K10" s="360"/>
      <c r="L10" s="360"/>
      <c r="M10" s="360"/>
      <c r="N10" s="360">
        <v>2</v>
      </c>
      <c r="O10" s="360">
        <v>0</v>
      </c>
      <c r="P10" s="384"/>
      <c r="Q10" s="361">
        <v>0</v>
      </c>
    </row>
    <row r="11" spans="1:17" ht="14.4" customHeight="1" x14ac:dyDescent="0.3">
      <c r="A11" s="356" t="s">
        <v>1072</v>
      </c>
      <c r="B11" s="357" t="s">
        <v>981</v>
      </c>
      <c r="C11" s="357" t="s">
        <v>1006</v>
      </c>
      <c r="D11" s="357" t="s">
        <v>1011</v>
      </c>
      <c r="E11" s="357" t="s">
        <v>1012</v>
      </c>
      <c r="F11" s="360">
        <v>2</v>
      </c>
      <c r="G11" s="360">
        <v>68</v>
      </c>
      <c r="H11" s="360">
        <v>1</v>
      </c>
      <c r="I11" s="360">
        <v>34</v>
      </c>
      <c r="J11" s="360"/>
      <c r="K11" s="360"/>
      <c r="L11" s="360"/>
      <c r="M11" s="360"/>
      <c r="N11" s="360">
        <v>38</v>
      </c>
      <c r="O11" s="360">
        <v>1292</v>
      </c>
      <c r="P11" s="384">
        <v>19</v>
      </c>
      <c r="Q11" s="361">
        <v>34</v>
      </c>
    </row>
    <row r="12" spans="1:17" ht="14.4" customHeight="1" x14ac:dyDescent="0.3">
      <c r="A12" s="356" t="s">
        <v>1072</v>
      </c>
      <c r="B12" s="357" t="s">
        <v>981</v>
      </c>
      <c r="C12" s="357" t="s">
        <v>1006</v>
      </c>
      <c r="D12" s="357" t="s">
        <v>1041</v>
      </c>
      <c r="E12" s="357" t="s">
        <v>1042</v>
      </c>
      <c r="F12" s="360"/>
      <c r="G12" s="360"/>
      <c r="H12" s="360"/>
      <c r="I12" s="360"/>
      <c r="J12" s="360">
        <v>10</v>
      </c>
      <c r="K12" s="360">
        <v>2390</v>
      </c>
      <c r="L12" s="360"/>
      <c r="M12" s="360">
        <v>239</v>
      </c>
      <c r="N12" s="360">
        <v>8</v>
      </c>
      <c r="O12" s="360">
        <v>1920</v>
      </c>
      <c r="P12" s="384"/>
      <c r="Q12" s="361">
        <v>240</v>
      </c>
    </row>
    <row r="13" spans="1:17" ht="14.4" customHeight="1" x14ac:dyDescent="0.3">
      <c r="A13" s="356" t="s">
        <v>1072</v>
      </c>
      <c r="B13" s="357" t="s">
        <v>981</v>
      </c>
      <c r="C13" s="357" t="s">
        <v>1006</v>
      </c>
      <c r="D13" s="357" t="s">
        <v>1043</v>
      </c>
      <c r="E13" s="357" t="s">
        <v>1044</v>
      </c>
      <c r="F13" s="360"/>
      <c r="G13" s="360"/>
      <c r="H13" s="360"/>
      <c r="I13" s="360"/>
      <c r="J13" s="360"/>
      <c r="K13" s="360"/>
      <c r="L13" s="360"/>
      <c r="M13" s="360"/>
      <c r="N13" s="360">
        <v>1</v>
      </c>
      <c r="O13" s="360">
        <v>645</v>
      </c>
      <c r="P13" s="384"/>
      <c r="Q13" s="361">
        <v>645</v>
      </c>
    </row>
    <row r="14" spans="1:17" ht="14.4" customHeight="1" x14ac:dyDescent="0.3">
      <c r="A14" s="356" t="s">
        <v>1072</v>
      </c>
      <c r="B14" s="357" t="s">
        <v>981</v>
      </c>
      <c r="C14" s="357" t="s">
        <v>1006</v>
      </c>
      <c r="D14" s="357" t="s">
        <v>1047</v>
      </c>
      <c r="E14" s="357" t="s">
        <v>1048</v>
      </c>
      <c r="F14" s="360">
        <v>16</v>
      </c>
      <c r="G14" s="360">
        <v>1856</v>
      </c>
      <c r="H14" s="360">
        <v>1</v>
      </c>
      <c r="I14" s="360">
        <v>116</v>
      </c>
      <c r="J14" s="360"/>
      <c r="K14" s="360"/>
      <c r="L14" s="360"/>
      <c r="M14" s="360"/>
      <c r="N14" s="360">
        <v>46</v>
      </c>
      <c r="O14" s="360">
        <v>5382</v>
      </c>
      <c r="P14" s="384">
        <v>2.8997844827586206</v>
      </c>
      <c r="Q14" s="361">
        <v>117</v>
      </c>
    </row>
    <row r="15" spans="1:17" ht="14.4" customHeight="1" x14ac:dyDescent="0.3">
      <c r="A15" s="356" t="s">
        <v>1072</v>
      </c>
      <c r="B15" s="357" t="s">
        <v>981</v>
      </c>
      <c r="C15" s="357" t="s">
        <v>1006</v>
      </c>
      <c r="D15" s="357" t="s">
        <v>1049</v>
      </c>
      <c r="E15" s="357" t="s">
        <v>1050</v>
      </c>
      <c r="F15" s="360"/>
      <c r="G15" s="360"/>
      <c r="H15" s="360"/>
      <c r="I15" s="360"/>
      <c r="J15" s="360"/>
      <c r="K15" s="360"/>
      <c r="L15" s="360"/>
      <c r="M15" s="360"/>
      <c r="N15" s="360">
        <v>1</v>
      </c>
      <c r="O15" s="360">
        <v>327</v>
      </c>
      <c r="P15" s="384"/>
      <c r="Q15" s="361">
        <v>327</v>
      </c>
    </row>
    <row r="16" spans="1:17" ht="14.4" customHeight="1" x14ac:dyDescent="0.3">
      <c r="A16" s="356" t="s">
        <v>1072</v>
      </c>
      <c r="B16" s="357" t="s">
        <v>981</v>
      </c>
      <c r="C16" s="357" t="s">
        <v>1006</v>
      </c>
      <c r="D16" s="357" t="s">
        <v>1053</v>
      </c>
      <c r="E16" s="357" t="s">
        <v>1054</v>
      </c>
      <c r="F16" s="360"/>
      <c r="G16" s="360"/>
      <c r="H16" s="360"/>
      <c r="I16" s="360"/>
      <c r="J16" s="360"/>
      <c r="K16" s="360"/>
      <c r="L16" s="360"/>
      <c r="M16" s="360"/>
      <c r="N16" s="360">
        <v>1</v>
      </c>
      <c r="O16" s="360">
        <v>69</v>
      </c>
      <c r="P16" s="384"/>
      <c r="Q16" s="361">
        <v>69</v>
      </c>
    </row>
    <row r="17" spans="1:17" ht="14.4" customHeight="1" x14ac:dyDescent="0.3">
      <c r="A17" s="356" t="s">
        <v>1073</v>
      </c>
      <c r="B17" s="357" t="s">
        <v>981</v>
      </c>
      <c r="C17" s="357" t="s">
        <v>1006</v>
      </c>
      <c r="D17" s="357" t="s">
        <v>1011</v>
      </c>
      <c r="E17" s="357" t="s">
        <v>1012</v>
      </c>
      <c r="F17" s="360">
        <v>6</v>
      </c>
      <c r="G17" s="360">
        <v>204</v>
      </c>
      <c r="H17" s="360">
        <v>1</v>
      </c>
      <c r="I17" s="360">
        <v>34</v>
      </c>
      <c r="J17" s="360"/>
      <c r="K17" s="360"/>
      <c r="L17" s="360"/>
      <c r="M17" s="360"/>
      <c r="N17" s="360"/>
      <c r="O17" s="360"/>
      <c r="P17" s="384"/>
      <c r="Q17" s="361"/>
    </row>
    <row r="18" spans="1:17" ht="14.4" customHeight="1" x14ac:dyDescent="0.3">
      <c r="A18" s="356" t="s">
        <v>1073</v>
      </c>
      <c r="B18" s="357" t="s">
        <v>981</v>
      </c>
      <c r="C18" s="357" t="s">
        <v>1006</v>
      </c>
      <c r="D18" s="357" t="s">
        <v>1047</v>
      </c>
      <c r="E18" s="357" t="s">
        <v>1048</v>
      </c>
      <c r="F18" s="360">
        <v>6</v>
      </c>
      <c r="G18" s="360">
        <v>696</v>
      </c>
      <c r="H18" s="360">
        <v>1</v>
      </c>
      <c r="I18" s="360">
        <v>116</v>
      </c>
      <c r="J18" s="360"/>
      <c r="K18" s="360"/>
      <c r="L18" s="360"/>
      <c r="M18" s="360"/>
      <c r="N18" s="360"/>
      <c r="O18" s="360"/>
      <c r="P18" s="384"/>
      <c r="Q18" s="361"/>
    </row>
    <row r="19" spans="1:17" ht="14.4" customHeight="1" x14ac:dyDescent="0.3">
      <c r="A19" s="356" t="s">
        <v>1074</v>
      </c>
      <c r="B19" s="357" t="s">
        <v>981</v>
      </c>
      <c r="C19" s="357" t="s">
        <v>1006</v>
      </c>
      <c r="D19" s="357" t="s">
        <v>1011</v>
      </c>
      <c r="E19" s="357" t="s">
        <v>1012</v>
      </c>
      <c r="F19" s="360"/>
      <c r="G19" s="360"/>
      <c r="H19" s="360"/>
      <c r="I19" s="360"/>
      <c r="J19" s="360">
        <v>1</v>
      </c>
      <c r="K19" s="360">
        <v>34</v>
      </c>
      <c r="L19" s="360"/>
      <c r="M19" s="360">
        <v>34</v>
      </c>
      <c r="N19" s="360"/>
      <c r="O19" s="360"/>
      <c r="P19" s="384"/>
      <c r="Q19" s="361"/>
    </row>
    <row r="20" spans="1:17" ht="14.4" customHeight="1" x14ac:dyDescent="0.3">
      <c r="A20" s="356" t="s">
        <v>1075</v>
      </c>
      <c r="B20" s="357" t="s">
        <v>981</v>
      </c>
      <c r="C20" s="357" t="s">
        <v>1006</v>
      </c>
      <c r="D20" s="357" t="s">
        <v>1007</v>
      </c>
      <c r="E20" s="357" t="s">
        <v>1008</v>
      </c>
      <c r="F20" s="360"/>
      <c r="G20" s="360"/>
      <c r="H20" s="360"/>
      <c r="I20" s="360"/>
      <c r="J20" s="360">
        <v>3</v>
      </c>
      <c r="K20" s="360">
        <v>0</v>
      </c>
      <c r="L20" s="360"/>
      <c r="M20" s="360">
        <v>0</v>
      </c>
      <c r="N20" s="360">
        <v>1</v>
      </c>
      <c r="O20" s="360">
        <v>0</v>
      </c>
      <c r="P20" s="384"/>
      <c r="Q20" s="361">
        <v>0</v>
      </c>
    </row>
    <row r="21" spans="1:17" ht="14.4" customHeight="1" x14ac:dyDescent="0.3">
      <c r="A21" s="356" t="s">
        <v>1075</v>
      </c>
      <c r="B21" s="357" t="s">
        <v>981</v>
      </c>
      <c r="C21" s="357" t="s">
        <v>1006</v>
      </c>
      <c r="D21" s="357" t="s">
        <v>1011</v>
      </c>
      <c r="E21" s="357" t="s">
        <v>1012</v>
      </c>
      <c r="F21" s="360"/>
      <c r="G21" s="360"/>
      <c r="H21" s="360"/>
      <c r="I21" s="360"/>
      <c r="J21" s="360">
        <v>1</v>
      </c>
      <c r="K21" s="360">
        <v>34</v>
      </c>
      <c r="L21" s="360"/>
      <c r="M21" s="360">
        <v>34</v>
      </c>
      <c r="N21" s="360"/>
      <c r="O21" s="360"/>
      <c r="P21" s="384"/>
      <c r="Q21" s="361"/>
    </row>
    <row r="22" spans="1:17" ht="14.4" customHeight="1" x14ac:dyDescent="0.3">
      <c r="A22" s="356" t="s">
        <v>1075</v>
      </c>
      <c r="B22" s="357" t="s">
        <v>981</v>
      </c>
      <c r="C22" s="357" t="s">
        <v>1006</v>
      </c>
      <c r="D22" s="357" t="s">
        <v>1043</v>
      </c>
      <c r="E22" s="357" t="s">
        <v>1044</v>
      </c>
      <c r="F22" s="360">
        <v>3</v>
      </c>
      <c r="G22" s="360">
        <v>1932</v>
      </c>
      <c r="H22" s="360">
        <v>1</v>
      </c>
      <c r="I22" s="360">
        <v>644</v>
      </c>
      <c r="J22" s="360">
        <v>2</v>
      </c>
      <c r="K22" s="360">
        <v>1292</v>
      </c>
      <c r="L22" s="360">
        <v>0.66873706004140787</v>
      </c>
      <c r="M22" s="360">
        <v>646</v>
      </c>
      <c r="N22" s="360">
        <v>2</v>
      </c>
      <c r="O22" s="360">
        <v>1290</v>
      </c>
      <c r="P22" s="384">
        <v>0.66770186335403725</v>
      </c>
      <c r="Q22" s="361">
        <v>645</v>
      </c>
    </row>
    <row r="23" spans="1:17" ht="14.4" customHeight="1" x14ac:dyDescent="0.3">
      <c r="A23" s="356" t="s">
        <v>1075</v>
      </c>
      <c r="B23" s="357" t="s">
        <v>981</v>
      </c>
      <c r="C23" s="357" t="s">
        <v>1006</v>
      </c>
      <c r="D23" s="357" t="s">
        <v>1049</v>
      </c>
      <c r="E23" s="357" t="s">
        <v>1050</v>
      </c>
      <c r="F23" s="360">
        <v>1</v>
      </c>
      <c r="G23" s="360">
        <v>328</v>
      </c>
      <c r="H23" s="360">
        <v>1</v>
      </c>
      <c r="I23" s="360">
        <v>328</v>
      </c>
      <c r="J23" s="360">
        <v>1</v>
      </c>
      <c r="K23" s="360">
        <v>330</v>
      </c>
      <c r="L23" s="360">
        <v>1.0060975609756098</v>
      </c>
      <c r="M23" s="360">
        <v>330</v>
      </c>
      <c r="N23" s="360"/>
      <c r="O23" s="360"/>
      <c r="P23" s="384"/>
      <c r="Q23" s="361"/>
    </row>
    <row r="24" spans="1:17" ht="14.4" customHeight="1" x14ac:dyDescent="0.3">
      <c r="A24" s="356" t="s">
        <v>1076</v>
      </c>
      <c r="B24" s="357" t="s">
        <v>981</v>
      </c>
      <c r="C24" s="357" t="s">
        <v>1006</v>
      </c>
      <c r="D24" s="357" t="s">
        <v>1011</v>
      </c>
      <c r="E24" s="357" t="s">
        <v>1012</v>
      </c>
      <c r="F24" s="360">
        <v>2</v>
      </c>
      <c r="G24" s="360">
        <v>68</v>
      </c>
      <c r="H24" s="360">
        <v>1</v>
      </c>
      <c r="I24" s="360">
        <v>34</v>
      </c>
      <c r="J24" s="360"/>
      <c r="K24" s="360"/>
      <c r="L24" s="360"/>
      <c r="M24" s="360"/>
      <c r="N24" s="360"/>
      <c r="O24" s="360"/>
      <c r="P24" s="384"/>
      <c r="Q24" s="361"/>
    </row>
    <row r="25" spans="1:17" ht="14.4" customHeight="1" x14ac:dyDescent="0.3">
      <c r="A25" s="356" t="s">
        <v>1076</v>
      </c>
      <c r="B25" s="357" t="s">
        <v>981</v>
      </c>
      <c r="C25" s="357" t="s">
        <v>1006</v>
      </c>
      <c r="D25" s="357" t="s">
        <v>1047</v>
      </c>
      <c r="E25" s="357" t="s">
        <v>1048</v>
      </c>
      <c r="F25" s="360">
        <v>3</v>
      </c>
      <c r="G25" s="360">
        <v>348</v>
      </c>
      <c r="H25" s="360">
        <v>1</v>
      </c>
      <c r="I25" s="360">
        <v>116</v>
      </c>
      <c r="J25" s="360"/>
      <c r="K25" s="360"/>
      <c r="L25" s="360"/>
      <c r="M25" s="360"/>
      <c r="N25" s="360"/>
      <c r="O25" s="360"/>
      <c r="P25" s="384"/>
      <c r="Q25" s="361"/>
    </row>
    <row r="26" spans="1:17" ht="14.4" customHeight="1" x14ac:dyDescent="0.3">
      <c r="A26" s="356" t="s">
        <v>358</v>
      </c>
      <c r="B26" s="357" t="s">
        <v>981</v>
      </c>
      <c r="C26" s="357" t="s">
        <v>1006</v>
      </c>
      <c r="D26" s="357" t="s">
        <v>1011</v>
      </c>
      <c r="E26" s="357" t="s">
        <v>1012</v>
      </c>
      <c r="F26" s="360">
        <v>388</v>
      </c>
      <c r="G26" s="360">
        <v>13192</v>
      </c>
      <c r="H26" s="360">
        <v>1</v>
      </c>
      <c r="I26" s="360">
        <v>34</v>
      </c>
      <c r="J26" s="360">
        <v>456</v>
      </c>
      <c r="K26" s="360">
        <v>15504</v>
      </c>
      <c r="L26" s="360">
        <v>1.1752577319587629</v>
      </c>
      <c r="M26" s="360">
        <v>34</v>
      </c>
      <c r="N26" s="360"/>
      <c r="O26" s="360"/>
      <c r="P26" s="384"/>
      <c r="Q26" s="361"/>
    </row>
    <row r="27" spans="1:17" ht="14.4" customHeight="1" x14ac:dyDescent="0.3">
      <c r="A27" s="356" t="s">
        <v>358</v>
      </c>
      <c r="B27" s="357" t="s">
        <v>981</v>
      </c>
      <c r="C27" s="357" t="s">
        <v>1006</v>
      </c>
      <c r="D27" s="357" t="s">
        <v>1029</v>
      </c>
      <c r="E27" s="357" t="s">
        <v>1030</v>
      </c>
      <c r="F27" s="360">
        <v>3</v>
      </c>
      <c r="G27" s="360">
        <v>15</v>
      </c>
      <c r="H27" s="360">
        <v>1</v>
      </c>
      <c r="I27" s="360">
        <v>5</v>
      </c>
      <c r="J27" s="360"/>
      <c r="K27" s="360"/>
      <c r="L27" s="360"/>
      <c r="M27" s="360"/>
      <c r="N27" s="360"/>
      <c r="O27" s="360"/>
      <c r="P27" s="384"/>
      <c r="Q27" s="361"/>
    </row>
    <row r="28" spans="1:17" ht="14.4" customHeight="1" x14ac:dyDescent="0.3">
      <c r="A28" s="356" t="s">
        <v>358</v>
      </c>
      <c r="B28" s="357" t="s">
        <v>981</v>
      </c>
      <c r="C28" s="357" t="s">
        <v>1006</v>
      </c>
      <c r="D28" s="357" t="s">
        <v>1031</v>
      </c>
      <c r="E28" s="357" t="s">
        <v>1032</v>
      </c>
      <c r="F28" s="360">
        <v>108</v>
      </c>
      <c r="G28" s="360">
        <v>540</v>
      </c>
      <c r="H28" s="360">
        <v>1</v>
      </c>
      <c r="I28" s="360">
        <v>5</v>
      </c>
      <c r="J28" s="360">
        <v>167</v>
      </c>
      <c r="K28" s="360">
        <v>835</v>
      </c>
      <c r="L28" s="360">
        <v>1.5462962962962963</v>
      </c>
      <c r="M28" s="360">
        <v>5</v>
      </c>
      <c r="N28" s="360"/>
      <c r="O28" s="360"/>
      <c r="P28" s="384"/>
      <c r="Q28" s="361"/>
    </row>
    <row r="29" spans="1:17" ht="14.4" customHeight="1" x14ac:dyDescent="0.3">
      <c r="A29" s="356" t="s">
        <v>358</v>
      </c>
      <c r="B29" s="357" t="s">
        <v>981</v>
      </c>
      <c r="C29" s="357" t="s">
        <v>1006</v>
      </c>
      <c r="D29" s="357" t="s">
        <v>1037</v>
      </c>
      <c r="E29" s="357" t="s">
        <v>1038</v>
      </c>
      <c r="F29" s="360">
        <v>87</v>
      </c>
      <c r="G29" s="360">
        <v>14442</v>
      </c>
      <c r="H29" s="360">
        <v>1</v>
      </c>
      <c r="I29" s="360">
        <v>166</v>
      </c>
      <c r="J29" s="360">
        <v>37</v>
      </c>
      <c r="K29" s="360">
        <v>6179</v>
      </c>
      <c r="L29" s="360">
        <v>0.42784932834787426</v>
      </c>
      <c r="M29" s="360">
        <v>167</v>
      </c>
      <c r="N29" s="360"/>
      <c r="O29" s="360"/>
      <c r="P29" s="384"/>
      <c r="Q29" s="361"/>
    </row>
    <row r="30" spans="1:17" ht="14.4" customHeight="1" x14ac:dyDescent="0.3">
      <c r="A30" s="356" t="s">
        <v>358</v>
      </c>
      <c r="B30" s="357" t="s">
        <v>981</v>
      </c>
      <c r="C30" s="357" t="s">
        <v>1006</v>
      </c>
      <c r="D30" s="357" t="s">
        <v>1041</v>
      </c>
      <c r="E30" s="357" t="s">
        <v>1042</v>
      </c>
      <c r="F30" s="360">
        <v>88</v>
      </c>
      <c r="G30" s="360">
        <v>20944</v>
      </c>
      <c r="H30" s="360">
        <v>1</v>
      </c>
      <c r="I30" s="360">
        <v>238</v>
      </c>
      <c r="J30" s="360">
        <v>16</v>
      </c>
      <c r="K30" s="360">
        <v>3824</v>
      </c>
      <c r="L30" s="360">
        <v>0.18258212375859434</v>
      </c>
      <c r="M30" s="360">
        <v>239</v>
      </c>
      <c r="N30" s="360"/>
      <c r="O30" s="360"/>
      <c r="P30" s="384"/>
      <c r="Q30" s="361"/>
    </row>
    <row r="31" spans="1:17" ht="14.4" customHeight="1" x14ac:dyDescent="0.3">
      <c r="A31" s="356" t="s">
        <v>358</v>
      </c>
      <c r="B31" s="357" t="s">
        <v>981</v>
      </c>
      <c r="C31" s="357" t="s">
        <v>1006</v>
      </c>
      <c r="D31" s="357" t="s">
        <v>1045</v>
      </c>
      <c r="E31" s="357" t="s">
        <v>1046</v>
      </c>
      <c r="F31" s="360">
        <v>4</v>
      </c>
      <c r="G31" s="360">
        <v>844</v>
      </c>
      <c r="H31" s="360">
        <v>1</v>
      </c>
      <c r="I31" s="360">
        <v>211</v>
      </c>
      <c r="J31" s="360">
        <v>1</v>
      </c>
      <c r="K31" s="360">
        <v>211</v>
      </c>
      <c r="L31" s="360">
        <v>0.25</v>
      </c>
      <c r="M31" s="360">
        <v>211</v>
      </c>
      <c r="N31" s="360"/>
      <c r="O31" s="360"/>
      <c r="P31" s="384"/>
      <c r="Q31" s="361"/>
    </row>
    <row r="32" spans="1:17" ht="14.4" customHeight="1" x14ac:dyDescent="0.3">
      <c r="A32" s="356" t="s">
        <v>358</v>
      </c>
      <c r="B32" s="357" t="s">
        <v>981</v>
      </c>
      <c r="C32" s="357" t="s">
        <v>1006</v>
      </c>
      <c r="D32" s="357" t="s">
        <v>1047</v>
      </c>
      <c r="E32" s="357" t="s">
        <v>1048</v>
      </c>
      <c r="F32" s="360">
        <v>1</v>
      </c>
      <c r="G32" s="360">
        <v>116</v>
      </c>
      <c r="H32" s="360">
        <v>1</v>
      </c>
      <c r="I32" s="360">
        <v>116</v>
      </c>
      <c r="J32" s="360"/>
      <c r="K32" s="360"/>
      <c r="L32" s="360"/>
      <c r="M32" s="360"/>
      <c r="N32" s="360"/>
      <c r="O32" s="360"/>
      <c r="P32" s="384"/>
      <c r="Q32" s="361"/>
    </row>
    <row r="33" spans="1:17" ht="14.4" customHeight="1" x14ac:dyDescent="0.3">
      <c r="A33" s="356" t="s">
        <v>358</v>
      </c>
      <c r="B33" s="357" t="s">
        <v>1077</v>
      </c>
      <c r="C33" s="357" t="s">
        <v>1006</v>
      </c>
      <c r="D33" s="357" t="s">
        <v>1078</v>
      </c>
      <c r="E33" s="357" t="s">
        <v>1079</v>
      </c>
      <c r="F33" s="360">
        <v>2</v>
      </c>
      <c r="G33" s="360">
        <v>0</v>
      </c>
      <c r="H33" s="360"/>
      <c r="I33" s="360">
        <v>0</v>
      </c>
      <c r="J33" s="360"/>
      <c r="K33" s="360"/>
      <c r="L33" s="360"/>
      <c r="M33" s="360"/>
      <c r="N33" s="360"/>
      <c r="O33" s="360"/>
      <c r="P33" s="384"/>
      <c r="Q33" s="361"/>
    </row>
    <row r="34" spans="1:17" ht="14.4" customHeight="1" x14ac:dyDescent="0.3">
      <c r="A34" s="356" t="s">
        <v>358</v>
      </c>
      <c r="B34" s="357" t="s">
        <v>1077</v>
      </c>
      <c r="C34" s="357" t="s">
        <v>1006</v>
      </c>
      <c r="D34" s="357" t="s">
        <v>1080</v>
      </c>
      <c r="E34" s="357" t="s">
        <v>1081</v>
      </c>
      <c r="F34" s="360">
        <v>0</v>
      </c>
      <c r="G34" s="360">
        <v>0</v>
      </c>
      <c r="H34" s="360"/>
      <c r="I34" s="360"/>
      <c r="J34" s="360">
        <v>0</v>
      </c>
      <c r="K34" s="360">
        <v>0</v>
      </c>
      <c r="L34" s="360"/>
      <c r="M34" s="360"/>
      <c r="N34" s="360"/>
      <c r="O34" s="360"/>
      <c r="P34" s="384"/>
      <c r="Q34" s="361"/>
    </row>
    <row r="35" spans="1:17" ht="14.4" customHeight="1" x14ac:dyDescent="0.3">
      <c r="A35" s="356" t="s">
        <v>358</v>
      </c>
      <c r="B35" s="357" t="s">
        <v>1077</v>
      </c>
      <c r="C35" s="357" t="s">
        <v>1006</v>
      </c>
      <c r="D35" s="357" t="s">
        <v>1082</v>
      </c>
      <c r="E35" s="357" t="s">
        <v>1083</v>
      </c>
      <c r="F35" s="360">
        <v>2897</v>
      </c>
      <c r="G35" s="360">
        <v>3299688</v>
      </c>
      <c r="H35" s="360">
        <v>1</v>
      </c>
      <c r="I35" s="360">
        <v>1139.0017259233689</v>
      </c>
      <c r="J35" s="360">
        <v>3053</v>
      </c>
      <c r="K35" s="360">
        <v>3516330</v>
      </c>
      <c r="L35" s="360">
        <v>1.0656552983191139</v>
      </c>
      <c r="M35" s="360">
        <v>1151.7622011136586</v>
      </c>
      <c r="N35" s="360"/>
      <c r="O35" s="360"/>
      <c r="P35" s="384"/>
      <c r="Q35" s="361"/>
    </row>
    <row r="36" spans="1:17" ht="14.4" customHeight="1" x14ac:dyDescent="0.3">
      <c r="A36" s="356" t="s">
        <v>358</v>
      </c>
      <c r="B36" s="357" t="s">
        <v>1077</v>
      </c>
      <c r="C36" s="357" t="s">
        <v>1006</v>
      </c>
      <c r="D36" s="357" t="s">
        <v>1084</v>
      </c>
      <c r="E36" s="357" t="s">
        <v>1085</v>
      </c>
      <c r="F36" s="360">
        <v>3</v>
      </c>
      <c r="G36" s="360">
        <v>0</v>
      </c>
      <c r="H36" s="360"/>
      <c r="I36" s="360">
        <v>0</v>
      </c>
      <c r="J36" s="360">
        <v>17</v>
      </c>
      <c r="K36" s="360">
        <v>0</v>
      </c>
      <c r="L36" s="360"/>
      <c r="M36" s="360">
        <v>0</v>
      </c>
      <c r="N36" s="360"/>
      <c r="O36" s="360"/>
      <c r="P36" s="384"/>
      <c r="Q36" s="361"/>
    </row>
    <row r="37" spans="1:17" ht="14.4" customHeight="1" x14ac:dyDescent="0.3">
      <c r="A37" s="356" t="s">
        <v>358</v>
      </c>
      <c r="B37" s="357" t="s">
        <v>1077</v>
      </c>
      <c r="C37" s="357" t="s">
        <v>1006</v>
      </c>
      <c r="D37" s="357" t="s">
        <v>1007</v>
      </c>
      <c r="E37" s="357" t="s">
        <v>1008</v>
      </c>
      <c r="F37" s="360">
        <v>7</v>
      </c>
      <c r="G37" s="360">
        <v>0</v>
      </c>
      <c r="H37" s="360"/>
      <c r="I37" s="360">
        <v>0</v>
      </c>
      <c r="J37" s="360">
        <v>13</v>
      </c>
      <c r="K37" s="360">
        <v>0</v>
      </c>
      <c r="L37" s="360"/>
      <c r="M37" s="360">
        <v>0</v>
      </c>
      <c r="N37" s="360"/>
      <c r="O37" s="360"/>
      <c r="P37" s="384"/>
      <c r="Q37" s="361"/>
    </row>
    <row r="38" spans="1:17" ht="14.4" customHeight="1" x14ac:dyDescent="0.3">
      <c r="A38" s="356" t="s">
        <v>358</v>
      </c>
      <c r="B38" s="357" t="s">
        <v>1077</v>
      </c>
      <c r="C38" s="357" t="s">
        <v>1006</v>
      </c>
      <c r="D38" s="357" t="s">
        <v>1086</v>
      </c>
      <c r="E38" s="357" t="s">
        <v>1087</v>
      </c>
      <c r="F38" s="360">
        <v>2902</v>
      </c>
      <c r="G38" s="360">
        <v>0</v>
      </c>
      <c r="H38" s="360"/>
      <c r="I38" s="360">
        <v>0</v>
      </c>
      <c r="J38" s="360">
        <v>3076</v>
      </c>
      <c r="K38" s="360">
        <v>0</v>
      </c>
      <c r="L38" s="360"/>
      <c r="M38" s="360">
        <v>0</v>
      </c>
      <c r="N38" s="360"/>
      <c r="O38" s="360"/>
      <c r="P38" s="384"/>
      <c r="Q38" s="361"/>
    </row>
    <row r="39" spans="1:17" ht="14.4" customHeight="1" x14ac:dyDescent="0.3">
      <c r="A39" s="356" t="s">
        <v>358</v>
      </c>
      <c r="B39" s="357" t="s">
        <v>1077</v>
      </c>
      <c r="C39" s="357" t="s">
        <v>1006</v>
      </c>
      <c r="D39" s="357" t="s">
        <v>1043</v>
      </c>
      <c r="E39" s="357" t="s">
        <v>1044</v>
      </c>
      <c r="F39" s="360">
        <v>413</v>
      </c>
      <c r="G39" s="360">
        <v>265972</v>
      </c>
      <c r="H39" s="360">
        <v>1</v>
      </c>
      <c r="I39" s="360">
        <v>644</v>
      </c>
      <c r="J39" s="360">
        <v>466</v>
      </c>
      <c r="K39" s="360">
        <v>301036</v>
      </c>
      <c r="L39" s="360">
        <v>1.1318334260749252</v>
      </c>
      <c r="M39" s="360">
        <v>646</v>
      </c>
      <c r="N39" s="360"/>
      <c r="O39" s="360"/>
      <c r="P39" s="384"/>
      <c r="Q39" s="361"/>
    </row>
    <row r="40" spans="1:17" ht="14.4" customHeight="1" x14ac:dyDescent="0.3">
      <c r="A40" s="356" t="s">
        <v>358</v>
      </c>
      <c r="B40" s="357" t="s">
        <v>1077</v>
      </c>
      <c r="C40" s="357" t="s">
        <v>1006</v>
      </c>
      <c r="D40" s="357" t="s">
        <v>1045</v>
      </c>
      <c r="E40" s="357" t="s">
        <v>1046</v>
      </c>
      <c r="F40" s="360">
        <v>197</v>
      </c>
      <c r="G40" s="360">
        <v>41567</v>
      </c>
      <c r="H40" s="360">
        <v>1</v>
      </c>
      <c r="I40" s="360">
        <v>211</v>
      </c>
      <c r="J40" s="360">
        <v>56</v>
      </c>
      <c r="K40" s="360">
        <v>11816</v>
      </c>
      <c r="L40" s="360">
        <v>0.28426395939086296</v>
      </c>
      <c r="M40" s="360">
        <v>211</v>
      </c>
      <c r="N40" s="360"/>
      <c r="O40" s="360"/>
      <c r="P40" s="384"/>
      <c r="Q40" s="361"/>
    </row>
    <row r="41" spans="1:17" ht="14.4" customHeight="1" x14ac:dyDescent="0.3">
      <c r="A41" s="356" t="s">
        <v>358</v>
      </c>
      <c r="B41" s="357" t="s">
        <v>1077</v>
      </c>
      <c r="C41" s="357" t="s">
        <v>1006</v>
      </c>
      <c r="D41" s="357" t="s">
        <v>1047</v>
      </c>
      <c r="E41" s="357" t="s">
        <v>1048</v>
      </c>
      <c r="F41" s="360">
        <v>911</v>
      </c>
      <c r="G41" s="360">
        <v>105676</v>
      </c>
      <c r="H41" s="360">
        <v>1</v>
      </c>
      <c r="I41" s="360">
        <v>116</v>
      </c>
      <c r="J41" s="360">
        <v>856</v>
      </c>
      <c r="K41" s="360">
        <v>99296</v>
      </c>
      <c r="L41" s="360">
        <v>0.93962678375411635</v>
      </c>
      <c r="M41" s="360">
        <v>116</v>
      </c>
      <c r="N41" s="360"/>
      <c r="O41" s="360"/>
      <c r="P41" s="384"/>
      <c r="Q41" s="361"/>
    </row>
    <row r="42" spans="1:17" ht="14.4" customHeight="1" x14ac:dyDescent="0.3">
      <c r="A42" s="356" t="s">
        <v>358</v>
      </c>
      <c r="B42" s="357" t="s">
        <v>1077</v>
      </c>
      <c r="C42" s="357" t="s">
        <v>1006</v>
      </c>
      <c r="D42" s="357" t="s">
        <v>1049</v>
      </c>
      <c r="E42" s="357" t="s">
        <v>1050</v>
      </c>
      <c r="F42" s="360">
        <v>416</v>
      </c>
      <c r="G42" s="360">
        <v>136448</v>
      </c>
      <c r="H42" s="360">
        <v>1</v>
      </c>
      <c r="I42" s="360">
        <v>328</v>
      </c>
      <c r="J42" s="360">
        <v>467</v>
      </c>
      <c r="K42" s="360">
        <v>154110</v>
      </c>
      <c r="L42" s="360">
        <v>1.1294412523452158</v>
      </c>
      <c r="M42" s="360">
        <v>330</v>
      </c>
      <c r="N42" s="360"/>
      <c r="O42" s="360"/>
      <c r="P42" s="384"/>
      <c r="Q42" s="361"/>
    </row>
    <row r="43" spans="1:17" ht="14.4" customHeight="1" x14ac:dyDescent="0.3">
      <c r="A43" s="356" t="s">
        <v>358</v>
      </c>
      <c r="B43" s="357" t="s">
        <v>1077</v>
      </c>
      <c r="C43" s="357" t="s">
        <v>1006</v>
      </c>
      <c r="D43" s="357" t="s">
        <v>1053</v>
      </c>
      <c r="E43" s="357" t="s">
        <v>1054</v>
      </c>
      <c r="F43" s="360">
        <v>89</v>
      </c>
      <c r="G43" s="360">
        <v>6052</v>
      </c>
      <c r="H43" s="360">
        <v>1</v>
      </c>
      <c r="I43" s="360">
        <v>68</v>
      </c>
      <c r="J43" s="360">
        <v>16</v>
      </c>
      <c r="K43" s="360">
        <v>1088</v>
      </c>
      <c r="L43" s="360">
        <v>0.1797752808988764</v>
      </c>
      <c r="M43" s="360">
        <v>68</v>
      </c>
      <c r="N43" s="360"/>
      <c r="O43" s="360"/>
      <c r="P43" s="384"/>
      <c r="Q43" s="361"/>
    </row>
    <row r="44" spans="1:17" ht="14.4" customHeight="1" x14ac:dyDescent="0.3">
      <c r="A44" s="356" t="s">
        <v>1088</v>
      </c>
      <c r="B44" s="357" t="s">
        <v>981</v>
      </c>
      <c r="C44" s="357" t="s">
        <v>1006</v>
      </c>
      <c r="D44" s="357" t="s">
        <v>1041</v>
      </c>
      <c r="E44" s="357" t="s">
        <v>1042</v>
      </c>
      <c r="F44" s="360">
        <v>2</v>
      </c>
      <c r="G44" s="360">
        <v>476</v>
      </c>
      <c r="H44" s="360">
        <v>1</v>
      </c>
      <c r="I44" s="360">
        <v>238</v>
      </c>
      <c r="J44" s="360"/>
      <c r="K44" s="360"/>
      <c r="L44" s="360"/>
      <c r="M44" s="360"/>
      <c r="N44" s="360"/>
      <c r="O44" s="360"/>
      <c r="P44" s="384"/>
      <c r="Q44" s="361"/>
    </row>
    <row r="45" spans="1:17" ht="14.4" customHeight="1" thickBot="1" x14ac:dyDescent="0.35">
      <c r="A45" s="362" t="s">
        <v>1088</v>
      </c>
      <c r="B45" s="363" t="s">
        <v>981</v>
      </c>
      <c r="C45" s="363" t="s">
        <v>1006</v>
      </c>
      <c r="D45" s="363" t="s">
        <v>1049</v>
      </c>
      <c r="E45" s="363" t="s">
        <v>1050</v>
      </c>
      <c r="F45" s="366">
        <v>1</v>
      </c>
      <c r="G45" s="366">
        <v>328</v>
      </c>
      <c r="H45" s="366">
        <v>1</v>
      </c>
      <c r="I45" s="366">
        <v>328</v>
      </c>
      <c r="J45" s="366"/>
      <c r="K45" s="366"/>
      <c r="L45" s="366"/>
      <c r="M45" s="366"/>
      <c r="N45" s="366"/>
      <c r="O45" s="366"/>
      <c r="P45" s="386"/>
      <c r="Q45" s="367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G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4.4" x14ac:dyDescent="0.3"/>
  <cols>
    <col min="1" max="1" width="104.109375" bestFit="1" customWidth="1"/>
    <col min="2" max="2" width="11.6640625" hidden="1" customWidth="1"/>
    <col min="3" max="4" width="11" style="174" customWidth="1"/>
    <col min="5" max="5" width="11" style="175" customWidth="1"/>
  </cols>
  <sheetData>
    <row r="1" spans="1:7" ht="18.600000000000001" thickBot="1" x14ac:dyDescent="0.4">
      <c r="A1" s="240" t="s">
        <v>146</v>
      </c>
      <c r="B1" s="241"/>
      <c r="C1" s="242"/>
      <c r="D1" s="242"/>
      <c r="E1" s="242"/>
      <c r="F1" s="111"/>
      <c r="G1" s="111"/>
    </row>
    <row r="2" spans="1:7" ht="14.4" customHeight="1" thickBot="1" x14ac:dyDescent="0.35">
      <c r="A2" s="318" t="s">
        <v>193</v>
      </c>
      <c r="B2" s="151"/>
    </row>
    <row r="3" spans="1:7" ht="14.4" customHeight="1" thickBot="1" x14ac:dyDescent="0.35">
      <c r="A3" s="181"/>
      <c r="C3" s="182" t="s">
        <v>131</v>
      </c>
      <c r="D3" s="183" t="s">
        <v>94</v>
      </c>
      <c r="E3" s="184" t="s">
        <v>96</v>
      </c>
    </row>
    <row r="4" spans="1:7" ht="14.4" customHeight="1" thickBot="1" x14ac:dyDescent="0.35">
      <c r="A4" s="227" t="str">
        <f>HYPERLINK("#HI!A1","NÁKLADY CELKEM (v tisících Kč)")</f>
        <v>NÁKLADY CELKEM (v tisících Kč)</v>
      </c>
      <c r="B4" s="195"/>
      <c r="C4" s="205">
        <f ca="1">IF(ISERROR(VLOOKUP("Náklady celkem",INDIRECT("HI!$A:$G"),6,0)),0,VLOOKUP("Náklady celkem",INDIRECT("HI!$A:$G"),6,0))</f>
        <v>9056</v>
      </c>
      <c r="D4" s="205">
        <f ca="1">IF(ISERROR(VLOOKUP("Náklady celkem",INDIRECT("HI!$A:$G"),4,0)),0,VLOOKUP("Náklady celkem",INDIRECT("HI!$A:$G"),4,0))</f>
        <v>9257.4608100000005</v>
      </c>
      <c r="E4" s="198">
        <f ca="1">IF(C4=0,0,D4/C4)</f>
        <v>1.0222461141784454</v>
      </c>
    </row>
    <row r="5" spans="1:7" ht="14.4" customHeight="1" x14ac:dyDescent="0.3">
      <c r="A5" s="191" t="s">
        <v>185</v>
      </c>
      <c r="B5" s="186"/>
      <c r="C5" s="206"/>
      <c r="D5" s="206"/>
      <c r="E5" s="199"/>
    </row>
    <row r="6" spans="1:7" ht="14.4" customHeight="1" x14ac:dyDescent="0.3">
      <c r="A6" s="222" t="s">
        <v>190</v>
      </c>
      <c r="B6" s="187"/>
      <c r="C6" s="197"/>
      <c r="D6" s="197"/>
      <c r="E6" s="199"/>
    </row>
    <row r="7" spans="1:7" ht="14.4" customHeight="1" x14ac:dyDescent="0.3">
      <c r="A7" s="21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87" t="s">
        <v>135</v>
      </c>
      <c r="C7" s="197">
        <f>IF(ISERROR(HI!F5),"",HI!F5)</f>
        <v>1005</v>
      </c>
      <c r="D7" s="197">
        <f>IF(ISERROR(HI!D5),"",HI!D5)</f>
        <v>582.44007999999997</v>
      </c>
      <c r="E7" s="199">
        <f t="shared" ref="E7:E13" si="0">IF(C7=0,0,D7/C7)</f>
        <v>0.5795423681592039</v>
      </c>
    </row>
    <row r="8" spans="1:7" ht="14.4" customHeight="1" x14ac:dyDescent="0.3">
      <c r="A8" s="192" t="s">
        <v>186</v>
      </c>
      <c r="B8" s="187"/>
      <c r="C8" s="197"/>
      <c r="D8" s="197"/>
      <c r="E8" s="199"/>
    </row>
    <row r="9" spans="1:7" ht="14.4" customHeight="1" x14ac:dyDescent="0.3">
      <c r="A9" s="219" t="str">
        <f>HYPERLINK("#'Léky Recepty'!A1","% záchytu v lékárně (Úhrada Kč)")</f>
        <v>% záchytu v lékárně (Úhrada Kč)</v>
      </c>
      <c r="B9" s="187" t="s">
        <v>140</v>
      </c>
      <c r="C9" s="196">
        <v>0.6</v>
      </c>
      <c r="D9" s="196">
        <f>IF(ISERROR(VLOOKUP("Celkem",'Léky Recepty'!B:H,5,0)),0,VLOOKUP("Celkem",'Léky Recepty'!B:H,5,0))</f>
        <v>0.66833455222891103</v>
      </c>
      <c r="E9" s="199">
        <f t="shared" si="0"/>
        <v>1.1138909203815184</v>
      </c>
    </row>
    <row r="10" spans="1:7" ht="14.4" customHeight="1" x14ac:dyDescent="0.3">
      <c r="A10" s="219" t="str">
        <f>HYPERLINK("#'LRp PL'!A1","% plnění pozitivního listu")</f>
        <v>% plnění pozitivního listu</v>
      </c>
      <c r="B10" s="187" t="s">
        <v>179</v>
      </c>
      <c r="C10" s="196">
        <v>0.8</v>
      </c>
      <c r="D10" s="196">
        <f>IF(ISERROR(VLOOKUP("Celkem",'LRp PL'!A:F,5,0)),0,VLOOKUP("Celkem",'LRp PL'!A:F,5,0))</f>
        <v>0.57480141739527257</v>
      </c>
      <c r="E10" s="199">
        <f t="shared" si="0"/>
        <v>0.71850177174409069</v>
      </c>
    </row>
    <row r="11" spans="1:7" ht="14.4" customHeight="1" x14ac:dyDescent="0.3">
      <c r="A11" s="192" t="s">
        <v>187</v>
      </c>
      <c r="B11" s="187"/>
      <c r="C11" s="197"/>
      <c r="D11" s="197"/>
      <c r="E11" s="199"/>
    </row>
    <row r="12" spans="1:7" ht="14.4" customHeight="1" x14ac:dyDescent="0.3">
      <c r="A12" s="223" t="s">
        <v>191</v>
      </c>
      <c r="B12" s="187"/>
      <c r="C12" s="206"/>
      <c r="D12" s="206"/>
      <c r="E12" s="199"/>
    </row>
    <row r="13" spans="1:7" ht="14.4" customHeight="1" x14ac:dyDescent="0.3">
      <c r="A13" s="21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87" t="s">
        <v>135</v>
      </c>
      <c r="C13" s="197">
        <f>IF(ISERROR(HI!F6),"",HI!F6)</f>
        <v>87</v>
      </c>
      <c r="D13" s="197">
        <f>IF(ISERROR(HI!D6),"",HI!D6)</f>
        <v>81.502390000000005</v>
      </c>
      <c r="E13" s="199">
        <f t="shared" si="0"/>
        <v>0.93680908045977018</v>
      </c>
    </row>
    <row r="14" spans="1:7" ht="14.4" customHeight="1" thickBot="1" x14ac:dyDescent="0.35">
      <c r="A14" s="225" t="str">
        <f>HYPERLINK("#HI!A1","Osobní náklady")</f>
        <v>Osobní náklady</v>
      </c>
      <c r="B14" s="187"/>
      <c r="C14" s="206">
        <f ca="1">IF(ISERROR(VLOOKUP("Osobní náklady (Kč)",INDIRECT("HI!$A:$G"),6,0)),0,VLOOKUP("Osobní náklady (Kč)",INDIRECT("HI!$A:$G"),6,0))</f>
        <v>6065</v>
      </c>
      <c r="D14" s="206">
        <f ca="1">IF(ISERROR(VLOOKUP("Osobní náklady (Kč)",INDIRECT("HI!$A:$G"),4,0)),0,VLOOKUP("Osobní náklady (Kč)",INDIRECT("HI!$A:$G"),4,0))</f>
        <v>6703.6416200000003</v>
      </c>
      <c r="E14" s="199">
        <f t="shared" ref="E14" ca="1" si="1">IF(C14=0,0,D14/C14)</f>
        <v>1.1052995251442705</v>
      </c>
    </row>
    <row r="15" spans="1:7" ht="14.4" customHeight="1" thickBot="1" x14ac:dyDescent="0.35">
      <c r="A15" s="211"/>
      <c r="B15" s="212"/>
      <c r="C15" s="213"/>
      <c r="D15" s="213"/>
      <c r="E15" s="201"/>
    </row>
    <row r="16" spans="1:7" ht="14.4" customHeight="1" thickBot="1" x14ac:dyDescent="0.35">
      <c r="A16" s="226" t="str">
        <f>HYPERLINK("#HI!A1","VÝNOSY CELKEM (v tisících; ""Ambulace-body"" + ""Hospitalizace-casemix""*29500)")</f>
        <v>VÝNOSY CELKEM (v tisících; "Ambulace-body" + "Hospitalizace-casemix"*29500)</v>
      </c>
      <c r="B16" s="189"/>
      <c r="C16" s="209">
        <f ca="1">IF(ISERROR(VLOOKUP("Výnosy celkem",INDIRECT("HI!$A:$G"),6,0)),0,VLOOKUP("Výnosy celkem",INDIRECT("HI!$A:$G"),6,0))</f>
        <v>2415.45892</v>
      </c>
      <c r="D16" s="209">
        <f ca="1">IF(ISERROR(VLOOKUP("Výnosy celkem",INDIRECT("HI!$A:$G"),4,0)),0,VLOOKUP("Výnosy celkem",INDIRECT("HI!$A:$G"),4,0))</f>
        <v>1840.8979999999999</v>
      </c>
      <c r="E16" s="202">
        <f t="shared" ref="E16:E21" ca="1" si="2">IF(C16=0,0,D16/C16)</f>
        <v>0.76213177742637817</v>
      </c>
    </row>
    <row r="17" spans="1:5" ht="14.4" customHeight="1" x14ac:dyDescent="0.3">
      <c r="A17" s="228" t="str">
        <f>HYPERLINK("#HI!A1","Ambulance (body)")</f>
        <v>Ambulance (body)</v>
      </c>
      <c r="B17" s="186"/>
      <c r="C17" s="206">
        <f ca="1">IF(ISERROR(VLOOKUP("Ambulance (body)",INDIRECT("HI!$A:$G"),6,0)),0,VLOOKUP("Ambulance (body)",INDIRECT("HI!$A:$G"),6,0))</f>
        <v>2415.45892</v>
      </c>
      <c r="D17" s="206">
        <f ca="1">IF(ISERROR(VLOOKUP("Ambulance (body)",INDIRECT("HI!$A:$G"),4,0)),0,VLOOKUP("Ambulance (body)",INDIRECT("HI!$A:$G"),4,0))</f>
        <v>1840.8979999999999</v>
      </c>
      <c r="E17" s="199">
        <f t="shared" ca="1" si="2"/>
        <v>0.76213177742637817</v>
      </c>
    </row>
    <row r="18" spans="1:5" ht="14.4" customHeight="1" x14ac:dyDescent="0.3">
      <c r="A18" s="220" t="str">
        <f>HYPERLINK("#'ZV Vykáz.-A'!A1","Zdravotní výkony vykázané u ambulantních pacientů (min. 100 %)")</f>
        <v>Zdravotní výkony vykázané u ambulantních pacientů (min. 100 %)</v>
      </c>
      <c r="B18" t="s">
        <v>148</v>
      </c>
      <c r="C18" s="196">
        <v>1</v>
      </c>
      <c r="D18" s="196">
        <f>IF(ISERROR(VLOOKUP("Celkem:",'ZV Vykáz.-A'!$A:$S,7,0)),"",VLOOKUP("Celkem:",'ZV Vykáz.-A'!$A:$S,7,0))</f>
        <v>0.74688914187785072</v>
      </c>
      <c r="E18" s="199">
        <f t="shared" si="2"/>
        <v>0.74688914187785072</v>
      </c>
    </row>
    <row r="19" spans="1:5" ht="14.4" customHeight="1" x14ac:dyDescent="0.3">
      <c r="A19" s="220" t="str">
        <f>HYPERLINK("#'ZV Vykáz.-H'!A1","Zdravotní výkony vykázané u hospitalizovaných pacientů (max. 85 %)")</f>
        <v>Zdravotní výkony vykázané u hospitalizovaných pacientů (max. 85 %)</v>
      </c>
      <c r="B19" t="s">
        <v>150</v>
      </c>
      <c r="C19" s="196">
        <v>0.85</v>
      </c>
      <c r="D19" s="196">
        <f>IF(ISERROR(VLOOKUP("Celkem:",'ZV Vykáz.-H'!$A:$S,7,0)),"",VLOOKUP("Celkem:",'ZV Vykáz.-H'!$A:$S,7,0))</f>
        <v>2.9753566133237895E-3</v>
      </c>
      <c r="E19" s="199">
        <f t="shared" si="2"/>
        <v>3.5004195450868115E-3</v>
      </c>
    </row>
    <row r="20" spans="1:5" ht="14.4" customHeight="1" x14ac:dyDescent="0.3">
      <c r="A20" s="229" t="str">
        <f>HYPERLINK("#HI!A1","Hospitalizace (casemix * 29500)")</f>
        <v>Hospitalizace (casemix * 29500)</v>
      </c>
      <c r="B20" s="187"/>
      <c r="C20" s="206">
        <f ca="1">IF(ISERROR(VLOOKUP("Hospitalizace (casemix * 29500)",INDIRECT("HI!$A:$G"),6,0)),0,VLOOKUP("Hospitalizace (casemix * 29500)",INDIRECT("HI!$A:$G"),6,0))</f>
        <v>0</v>
      </c>
      <c r="D20" s="206">
        <f ca="1">IF(ISERROR(VLOOKUP("Hospitalizace (casemix * 29500)",INDIRECT("HI!$A:$G"),4,0)),0,VLOOKUP("Hospitalizace (casemix * 29500)",INDIRECT("HI!$A:$G"),4,0))</f>
        <v>0</v>
      </c>
      <c r="E20" s="199">
        <f t="shared" ref="E20" ca="1" si="3">IF(C20=0,0,D20/C20)</f>
        <v>0</v>
      </c>
    </row>
    <row r="21" spans="1:5" ht="28.8" x14ac:dyDescent="0.3">
      <c r="A21" s="221" t="str">
        <f>HYPERLINK("#'ZV Vyžád.'!A1","Zdravotní výkony (vybraných odborností) vyžádané v rámci hospitalizace (90 % při splnění casemixu 95 %, při nesplnění casemixu 95 % snížení limitu o dvojnásobek procentních bodů, o který nebylo dosaženo casemixu 95 %) ")</f>
        <v xml:space="preserve">Zdravotní výkony (vybraných odborností) vyžádané v rámci hospitalizace (90 % při splnění casemixu 95 %, při nesplnění casemixu 95 % snížení limitu o dvojnásobek procentních bodů, o který nebylo dosaženo casemixu 95 %) </v>
      </c>
      <c r="B21" s="187" t="s">
        <v>145</v>
      </c>
      <c r="C21" s="196" t="e">
        <f>IF(#REF!&gt;1,90%,90%-2*ABS(#REF!-#REF!))</f>
        <v>#REF!</v>
      </c>
      <c r="D21" s="196">
        <f>IF(ISERROR(VLOOKUP("Celkem:",'ZV Vyžád.'!$A:$M,7,0)),"",VLOOKUP("Celkem:",'ZV Vyžád.'!$A:$M,7,0))</f>
        <v>0</v>
      </c>
      <c r="E21" s="199" t="e">
        <f t="shared" si="2"/>
        <v>#REF!</v>
      </c>
    </row>
    <row r="22" spans="1:5" ht="14.4" customHeight="1" thickBot="1" x14ac:dyDescent="0.35">
      <c r="A22" s="193" t="s">
        <v>188</v>
      </c>
      <c r="B22" s="188"/>
      <c r="C22" s="207"/>
      <c r="D22" s="207"/>
      <c r="E22" s="200"/>
    </row>
    <row r="23" spans="1:5" ht="14.4" customHeight="1" thickBot="1" x14ac:dyDescent="0.35">
      <c r="A23" s="185"/>
      <c r="B23" s="143"/>
      <c r="C23" s="208"/>
      <c r="D23" s="208"/>
      <c r="E23" s="203"/>
    </row>
    <row r="24" spans="1:5" ht="14.4" customHeight="1" thickBot="1" x14ac:dyDescent="0.35">
      <c r="A24" s="194" t="s">
        <v>189</v>
      </c>
      <c r="B24" s="190"/>
      <c r="C24" s="210"/>
      <c r="D24" s="210"/>
      <c r="E24" s="204"/>
    </row>
  </sheetData>
  <mergeCells count="1">
    <mergeCell ref="A1:E1"/>
  </mergeCells>
  <conditionalFormatting sqref="E5">
    <cfRule type="cellIs" dxfId="64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63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2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61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0">
    <cfRule type="cellIs" dxfId="60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59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6 E18 E9:E10">
    <cfRule type="cellIs" dxfId="58" priority="28" operator="lessThan">
      <formula>1</formula>
    </cfRule>
    <cfRule type="iconSet" priority="29">
      <iconSet iconSet="3Symbols2">
        <cfvo type="percent" val="0"/>
        <cfvo type="num" val="1"/>
        <cfvo type="num" val="1"/>
      </iconSet>
    </cfRule>
  </conditionalFormatting>
  <conditionalFormatting sqref="E21 E4 E7 E13 E19">
    <cfRule type="cellIs" dxfId="57" priority="32" operator="greaterThan">
      <formula>1</formula>
    </cfRule>
    <cfRule type="iconSet" priority="33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3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65" customWidth="1"/>
    <col min="2" max="2" width="7.77734375" style="164" customWidth="1"/>
    <col min="3" max="3" width="7.21875" style="65" hidden="1" customWidth="1"/>
    <col min="4" max="4" width="7.77734375" style="164" customWidth="1"/>
    <col min="5" max="5" width="7.21875" style="65" hidden="1" customWidth="1"/>
    <col min="6" max="6" width="7.77734375" style="164" customWidth="1"/>
    <col min="7" max="7" width="7.77734375" style="87" customWidth="1"/>
    <col min="8" max="8" width="7.77734375" style="164" customWidth="1"/>
    <col min="9" max="9" width="7.21875" style="65" hidden="1" customWidth="1"/>
    <col min="10" max="10" width="7.77734375" style="164" customWidth="1"/>
    <col min="11" max="11" width="7.21875" style="65" hidden="1" customWidth="1"/>
    <col min="12" max="12" width="7.77734375" style="164" customWidth="1"/>
    <col min="13" max="13" width="7.77734375" style="87" customWidth="1"/>
    <col min="14" max="16384" width="8.88671875" style="65"/>
  </cols>
  <sheetData>
    <row r="1" spans="1:13" ht="18.600000000000001" customHeight="1" thickBot="1" x14ac:dyDescent="0.4">
      <c r="A1" s="252" t="s">
        <v>156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</row>
    <row r="2" spans="1:13" ht="14.4" customHeight="1" thickBot="1" x14ac:dyDescent="0.35">
      <c r="A2" s="318" t="s">
        <v>193</v>
      </c>
      <c r="B2" s="153"/>
      <c r="C2" s="109"/>
      <c r="D2" s="153"/>
      <c r="E2" s="109"/>
      <c r="F2" s="153"/>
      <c r="G2" s="142"/>
      <c r="H2" s="153"/>
      <c r="I2" s="109"/>
      <c r="J2" s="153"/>
      <c r="K2" s="109"/>
      <c r="L2" s="153"/>
      <c r="M2" s="142"/>
    </row>
    <row r="3" spans="1:13" ht="14.4" customHeight="1" thickBot="1" x14ac:dyDescent="0.35">
      <c r="A3" s="230" t="s">
        <v>158</v>
      </c>
      <c r="B3" s="231">
        <f>SUBTOTAL(9,B6:B1048576)</f>
        <v>239172</v>
      </c>
      <c r="C3" s="232">
        <f t="shared" ref="C3:L3" si="0">SUBTOTAL(9,C6:C1048576)</f>
        <v>7</v>
      </c>
      <c r="D3" s="232">
        <f t="shared" si="0"/>
        <v>121422</v>
      </c>
      <c r="E3" s="232">
        <f t="shared" si="0"/>
        <v>4.3712693905011131</v>
      </c>
      <c r="F3" s="232">
        <f t="shared" si="0"/>
        <v>0</v>
      </c>
      <c r="G3" s="233">
        <f>IF(B3&lt;&gt;0,F3/B3,"")</f>
        <v>0</v>
      </c>
      <c r="H3" s="231">
        <f t="shared" si="0"/>
        <v>14350.32</v>
      </c>
      <c r="I3" s="232">
        <f t="shared" si="0"/>
        <v>1</v>
      </c>
      <c r="J3" s="232">
        <f t="shared" si="0"/>
        <v>13438.609999999999</v>
      </c>
      <c r="K3" s="232">
        <f t="shared" si="0"/>
        <v>0.87611147347236851</v>
      </c>
      <c r="L3" s="232">
        <f t="shared" si="0"/>
        <v>0</v>
      </c>
      <c r="M3" s="234">
        <f>IF(H3&lt;&gt;0,L3/H3,"")</f>
        <v>0</v>
      </c>
    </row>
    <row r="4" spans="1:13" ht="14.4" customHeight="1" x14ac:dyDescent="0.3">
      <c r="A4" s="317" t="s">
        <v>116</v>
      </c>
      <c r="B4" s="303" t="s">
        <v>122</v>
      </c>
      <c r="C4" s="304"/>
      <c r="D4" s="304"/>
      <c r="E4" s="304"/>
      <c r="F4" s="304"/>
      <c r="G4" s="305"/>
      <c r="H4" s="303" t="s">
        <v>123</v>
      </c>
      <c r="I4" s="304"/>
      <c r="J4" s="304"/>
      <c r="K4" s="304"/>
      <c r="L4" s="304"/>
      <c r="M4" s="305"/>
    </row>
    <row r="5" spans="1:13" s="85" customFormat="1" ht="14.4" customHeight="1" thickBot="1" x14ac:dyDescent="0.35">
      <c r="A5" s="446"/>
      <c r="B5" s="447">
        <v>2011</v>
      </c>
      <c r="C5" s="448"/>
      <c r="D5" s="448">
        <v>2012</v>
      </c>
      <c r="E5" s="448"/>
      <c r="F5" s="448">
        <v>2013</v>
      </c>
      <c r="G5" s="428" t="s">
        <v>5</v>
      </c>
      <c r="H5" s="447">
        <v>2011</v>
      </c>
      <c r="I5" s="448"/>
      <c r="J5" s="448">
        <v>2012</v>
      </c>
      <c r="K5" s="448"/>
      <c r="L5" s="448">
        <v>2013</v>
      </c>
      <c r="M5" s="428" t="s">
        <v>5</v>
      </c>
    </row>
    <row r="6" spans="1:13" ht="14.4" customHeight="1" x14ac:dyDescent="0.3">
      <c r="A6" s="419" t="s">
        <v>1089</v>
      </c>
      <c r="B6" s="429">
        <v>11534</v>
      </c>
      <c r="C6" s="351">
        <v>1</v>
      </c>
      <c r="D6" s="429"/>
      <c r="E6" s="351"/>
      <c r="F6" s="429"/>
      <c r="G6" s="382"/>
      <c r="H6" s="429">
        <v>14350.32</v>
      </c>
      <c r="I6" s="351">
        <v>1</v>
      </c>
      <c r="J6" s="429">
        <v>12572.48</v>
      </c>
      <c r="K6" s="351">
        <v>0.87611147347236851</v>
      </c>
      <c r="L6" s="429"/>
      <c r="M6" s="383"/>
    </row>
    <row r="7" spans="1:13" ht="14.4" customHeight="1" x14ac:dyDescent="0.3">
      <c r="A7" s="420" t="s">
        <v>1090</v>
      </c>
      <c r="B7" s="441">
        <v>19196</v>
      </c>
      <c r="C7" s="357">
        <v>1</v>
      </c>
      <c r="D7" s="441">
        <v>13322</v>
      </c>
      <c r="E7" s="357">
        <v>0.69399874973952902</v>
      </c>
      <c r="F7" s="441"/>
      <c r="G7" s="384"/>
      <c r="H7" s="441"/>
      <c r="I7" s="357"/>
      <c r="J7" s="441"/>
      <c r="K7" s="357"/>
      <c r="L7" s="441"/>
      <c r="M7" s="385"/>
    </row>
    <row r="8" spans="1:13" ht="14.4" customHeight="1" x14ac:dyDescent="0.3">
      <c r="A8" s="420" t="s">
        <v>1091</v>
      </c>
      <c r="B8" s="441">
        <v>96143</v>
      </c>
      <c r="C8" s="357">
        <v>1</v>
      </c>
      <c r="D8" s="441">
        <v>49960</v>
      </c>
      <c r="E8" s="357">
        <v>0.5196426156870495</v>
      </c>
      <c r="F8" s="441"/>
      <c r="G8" s="384"/>
      <c r="H8" s="441"/>
      <c r="I8" s="357"/>
      <c r="J8" s="441"/>
      <c r="K8" s="357"/>
      <c r="L8" s="441"/>
      <c r="M8" s="385"/>
    </row>
    <row r="9" spans="1:13" ht="14.4" customHeight="1" x14ac:dyDescent="0.3">
      <c r="A9" s="420" t="s">
        <v>1092</v>
      </c>
      <c r="B9" s="441">
        <v>70202</v>
      </c>
      <c r="C9" s="357">
        <v>1</v>
      </c>
      <c r="D9" s="441">
        <v>26824</v>
      </c>
      <c r="E9" s="357">
        <v>0.38209737614312983</v>
      </c>
      <c r="F9" s="441">
        <v>0</v>
      </c>
      <c r="G9" s="384">
        <v>0</v>
      </c>
      <c r="H9" s="441"/>
      <c r="I9" s="357"/>
      <c r="J9" s="441">
        <v>866.13</v>
      </c>
      <c r="K9" s="357"/>
      <c r="L9" s="441"/>
      <c r="M9" s="385"/>
    </row>
    <row r="10" spans="1:13" ht="14.4" customHeight="1" x14ac:dyDescent="0.3">
      <c r="A10" s="420" t="s">
        <v>1093</v>
      </c>
      <c r="B10" s="441">
        <v>2251</v>
      </c>
      <c r="C10" s="357">
        <v>1</v>
      </c>
      <c r="D10" s="441">
        <v>2375</v>
      </c>
      <c r="E10" s="357">
        <v>1.0550866281652598</v>
      </c>
      <c r="F10" s="441"/>
      <c r="G10" s="384"/>
      <c r="H10" s="441"/>
      <c r="I10" s="357"/>
      <c r="J10" s="441"/>
      <c r="K10" s="357"/>
      <c r="L10" s="441"/>
      <c r="M10" s="385"/>
    </row>
    <row r="11" spans="1:13" ht="14.4" customHeight="1" x14ac:dyDescent="0.3">
      <c r="A11" s="420" t="s">
        <v>1094</v>
      </c>
      <c r="B11" s="441"/>
      <c r="C11" s="357"/>
      <c r="D11" s="441">
        <v>1576</v>
      </c>
      <c r="E11" s="357"/>
      <c r="F11" s="441"/>
      <c r="G11" s="384"/>
      <c r="H11" s="441"/>
      <c r="I11" s="357"/>
      <c r="J11" s="441"/>
      <c r="K11" s="357"/>
      <c r="L11" s="441"/>
      <c r="M11" s="385"/>
    </row>
    <row r="12" spans="1:13" ht="14.4" customHeight="1" x14ac:dyDescent="0.3">
      <c r="A12" s="420" t="s">
        <v>1095</v>
      </c>
      <c r="B12" s="441">
        <v>31099</v>
      </c>
      <c r="C12" s="357">
        <v>1</v>
      </c>
      <c r="D12" s="441">
        <v>17136</v>
      </c>
      <c r="E12" s="357">
        <v>0.55101450207402169</v>
      </c>
      <c r="F12" s="441"/>
      <c r="G12" s="384"/>
      <c r="H12" s="441"/>
      <c r="I12" s="357"/>
      <c r="J12" s="441"/>
      <c r="K12" s="357"/>
      <c r="L12" s="441"/>
      <c r="M12" s="385"/>
    </row>
    <row r="13" spans="1:13" ht="14.4" customHeight="1" thickBot="1" x14ac:dyDescent="0.35">
      <c r="A13" s="431" t="s">
        <v>1096</v>
      </c>
      <c r="B13" s="430">
        <v>8747</v>
      </c>
      <c r="C13" s="363">
        <v>1</v>
      </c>
      <c r="D13" s="430">
        <v>10229</v>
      </c>
      <c r="E13" s="363">
        <v>1.1694295186921231</v>
      </c>
      <c r="F13" s="430"/>
      <c r="G13" s="386"/>
      <c r="H13" s="430"/>
      <c r="I13" s="363"/>
      <c r="J13" s="430"/>
      <c r="K13" s="363"/>
      <c r="L13" s="430"/>
      <c r="M13" s="387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141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65" bestFit="1" customWidth="1"/>
    <col min="2" max="2" width="8.6640625" style="65" bestFit="1" customWidth="1"/>
    <col min="3" max="3" width="2.109375" style="65" bestFit="1" customWidth="1"/>
    <col min="4" max="4" width="8" style="65" bestFit="1" customWidth="1"/>
    <col min="5" max="5" width="52.88671875" style="65" bestFit="1" customWidth="1"/>
    <col min="6" max="7" width="11.109375" style="94" customWidth="1"/>
    <col min="8" max="9" width="9.33203125" style="94" hidden="1" customWidth="1"/>
    <col min="10" max="11" width="11.109375" style="94" customWidth="1"/>
    <col min="12" max="13" width="9.33203125" style="94" hidden="1" customWidth="1"/>
    <col min="14" max="15" width="11.109375" style="94" customWidth="1"/>
    <col min="16" max="16" width="11.109375" style="87" customWidth="1"/>
    <col min="17" max="17" width="11.109375" style="94" customWidth="1"/>
    <col min="18" max="16384" width="8.88671875" style="65"/>
  </cols>
  <sheetData>
    <row r="1" spans="1:17" ht="18.600000000000001" customHeight="1" thickBot="1" x14ac:dyDescent="0.4">
      <c r="A1" s="252" t="s">
        <v>157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</row>
    <row r="2" spans="1:17" ht="14.4" customHeight="1" thickBot="1" x14ac:dyDescent="0.35">
      <c r="A2" s="318" t="s">
        <v>193</v>
      </c>
      <c r="B2" s="109"/>
      <c r="C2" s="109"/>
      <c r="D2" s="109"/>
      <c r="E2" s="109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42"/>
      <c r="Q2" s="112"/>
    </row>
    <row r="3" spans="1:17" ht="14.4" customHeight="1" thickBot="1" x14ac:dyDescent="0.35">
      <c r="E3" s="124" t="s">
        <v>158</v>
      </c>
      <c r="F3" s="166">
        <f t="shared" ref="F3:O3" si="0">SUBTOTAL(9,F6:F1048576)</f>
        <v>5281</v>
      </c>
      <c r="G3" s="171">
        <f t="shared" si="0"/>
        <v>253522.32</v>
      </c>
      <c r="H3" s="172"/>
      <c r="I3" s="172"/>
      <c r="J3" s="166">
        <f t="shared" si="0"/>
        <v>1258.08</v>
      </c>
      <c r="K3" s="171">
        <f t="shared" si="0"/>
        <v>134860.60999999999</v>
      </c>
      <c r="L3" s="172"/>
      <c r="M3" s="172"/>
      <c r="N3" s="166">
        <f t="shared" si="0"/>
        <v>0</v>
      </c>
      <c r="O3" s="171">
        <f t="shared" si="0"/>
        <v>0</v>
      </c>
      <c r="P3" s="125">
        <f>IF(G3=0,"",O3/G3)</f>
        <v>0</v>
      </c>
      <c r="Q3" s="168" t="str">
        <f>IF(N3=0,"",O3/N3)</f>
        <v/>
      </c>
    </row>
    <row r="4" spans="1:17" ht="14.4" customHeight="1" x14ac:dyDescent="0.3">
      <c r="A4" s="308" t="s">
        <v>90</v>
      </c>
      <c r="B4" s="307" t="s">
        <v>117</v>
      </c>
      <c r="C4" s="308" t="s">
        <v>118</v>
      </c>
      <c r="D4" s="309" t="s">
        <v>92</v>
      </c>
      <c r="E4" s="310" t="s">
        <v>14</v>
      </c>
      <c r="F4" s="314">
        <v>2011</v>
      </c>
      <c r="G4" s="315"/>
      <c r="H4" s="170"/>
      <c r="I4" s="170"/>
      <c r="J4" s="314">
        <v>2012</v>
      </c>
      <c r="K4" s="315"/>
      <c r="L4" s="170"/>
      <c r="M4" s="170"/>
      <c r="N4" s="314">
        <v>2013</v>
      </c>
      <c r="O4" s="315"/>
      <c r="P4" s="316" t="s">
        <v>5</v>
      </c>
      <c r="Q4" s="306" t="s">
        <v>120</v>
      </c>
    </row>
    <row r="5" spans="1:17" ht="14.4" customHeight="1" thickBot="1" x14ac:dyDescent="0.35">
      <c r="A5" s="433"/>
      <c r="B5" s="432"/>
      <c r="C5" s="433"/>
      <c r="D5" s="434"/>
      <c r="E5" s="435"/>
      <c r="F5" s="442" t="s">
        <v>93</v>
      </c>
      <c r="G5" s="443" t="s">
        <v>17</v>
      </c>
      <c r="H5" s="444"/>
      <c r="I5" s="444"/>
      <c r="J5" s="442" t="s">
        <v>93</v>
      </c>
      <c r="K5" s="443" t="s">
        <v>17</v>
      </c>
      <c r="L5" s="444"/>
      <c r="M5" s="444"/>
      <c r="N5" s="442" t="s">
        <v>93</v>
      </c>
      <c r="O5" s="443" t="s">
        <v>17</v>
      </c>
      <c r="P5" s="445"/>
      <c r="Q5" s="440"/>
    </row>
    <row r="6" spans="1:17" ht="14.4" customHeight="1" x14ac:dyDescent="0.3">
      <c r="A6" s="350" t="s">
        <v>1097</v>
      </c>
      <c r="B6" s="351" t="s">
        <v>1098</v>
      </c>
      <c r="C6" s="351" t="s">
        <v>1099</v>
      </c>
      <c r="D6" s="351" t="s">
        <v>1100</v>
      </c>
      <c r="E6" s="351" t="s">
        <v>1101</v>
      </c>
      <c r="F6" s="354">
        <v>1800</v>
      </c>
      <c r="G6" s="354">
        <v>9540</v>
      </c>
      <c r="H6" s="354">
        <v>1</v>
      </c>
      <c r="I6" s="354">
        <v>5.3</v>
      </c>
      <c r="J6" s="354"/>
      <c r="K6" s="354"/>
      <c r="L6" s="354"/>
      <c r="M6" s="354"/>
      <c r="N6" s="354"/>
      <c r="O6" s="354"/>
      <c r="P6" s="382"/>
      <c r="Q6" s="355"/>
    </row>
    <row r="7" spans="1:17" ht="14.4" customHeight="1" x14ac:dyDescent="0.3">
      <c r="A7" s="356" t="s">
        <v>1097</v>
      </c>
      <c r="B7" s="357" t="s">
        <v>1098</v>
      </c>
      <c r="C7" s="357" t="s">
        <v>1099</v>
      </c>
      <c r="D7" s="357" t="s">
        <v>1102</v>
      </c>
      <c r="E7" s="357" t="s">
        <v>1103</v>
      </c>
      <c r="F7" s="360">
        <v>1956</v>
      </c>
      <c r="G7" s="360">
        <v>4810.32</v>
      </c>
      <c r="H7" s="360">
        <v>1</v>
      </c>
      <c r="I7" s="360">
        <v>2.4592638036809813</v>
      </c>
      <c r="J7" s="360"/>
      <c r="K7" s="360"/>
      <c r="L7" s="360"/>
      <c r="M7" s="360"/>
      <c r="N7" s="360"/>
      <c r="O7" s="360"/>
      <c r="P7" s="384"/>
      <c r="Q7" s="361"/>
    </row>
    <row r="8" spans="1:17" ht="14.4" customHeight="1" x14ac:dyDescent="0.3">
      <c r="A8" s="356" t="s">
        <v>1097</v>
      </c>
      <c r="B8" s="357" t="s">
        <v>1098</v>
      </c>
      <c r="C8" s="357" t="s">
        <v>1099</v>
      </c>
      <c r="D8" s="357" t="s">
        <v>1104</v>
      </c>
      <c r="E8" s="357" t="s">
        <v>1105</v>
      </c>
      <c r="F8" s="360"/>
      <c r="G8" s="360"/>
      <c r="H8" s="360"/>
      <c r="I8" s="360"/>
      <c r="J8" s="360">
        <v>404</v>
      </c>
      <c r="K8" s="360">
        <v>12572.48</v>
      </c>
      <c r="L8" s="360"/>
      <c r="M8" s="360">
        <v>31.119999999999997</v>
      </c>
      <c r="N8" s="360"/>
      <c r="O8" s="360"/>
      <c r="P8" s="384"/>
      <c r="Q8" s="361"/>
    </row>
    <row r="9" spans="1:17" ht="14.4" customHeight="1" x14ac:dyDescent="0.3">
      <c r="A9" s="356" t="s">
        <v>1097</v>
      </c>
      <c r="B9" s="357" t="s">
        <v>1098</v>
      </c>
      <c r="C9" s="357" t="s">
        <v>1006</v>
      </c>
      <c r="D9" s="357" t="s">
        <v>1106</v>
      </c>
      <c r="E9" s="357" t="s">
        <v>1107</v>
      </c>
      <c r="F9" s="360">
        <v>2</v>
      </c>
      <c r="G9" s="360">
        <v>2562</v>
      </c>
      <c r="H9" s="360">
        <v>1</v>
      </c>
      <c r="I9" s="360">
        <v>1281</v>
      </c>
      <c r="J9" s="360"/>
      <c r="K9" s="360"/>
      <c r="L9" s="360"/>
      <c r="M9" s="360"/>
      <c r="N9" s="360"/>
      <c r="O9" s="360"/>
      <c r="P9" s="384"/>
      <c r="Q9" s="361"/>
    </row>
    <row r="10" spans="1:17" ht="14.4" customHeight="1" x14ac:dyDescent="0.3">
      <c r="A10" s="356" t="s">
        <v>1097</v>
      </c>
      <c r="B10" s="357" t="s">
        <v>1098</v>
      </c>
      <c r="C10" s="357" t="s">
        <v>1006</v>
      </c>
      <c r="D10" s="357" t="s">
        <v>1108</v>
      </c>
      <c r="E10" s="357" t="s">
        <v>1109</v>
      </c>
      <c r="F10" s="360">
        <v>2</v>
      </c>
      <c r="G10" s="360">
        <v>3498</v>
      </c>
      <c r="H10" s="360">
        <v>1</v>
      </c>
      <c r="I10" s="360">
        <v>1749</v>
      </c>
      <c r="J10" s="360"/>
      <c r="K10" s="360"/>
      <c r="L10" s="360"/>
      <c r="M10" s="360"/>
      <c r="N10" s="360"/>
      <c r="O10" s="360"/>
      <c r="P10" s="384"/>
      <c r="Q10" s="361"/>
    </row>
    <row r="11" spans="1:17" ht="14.4" customHeight="1" x14ac:dyDescent="0.3">
      <c r="A11" s="356" t="s">
        <v>1097</v>
      </c>
      <c r="B11" s="357" t="s">
        <v>1098</v>
      </c>
      <c r="C11" s="357" t="s">
        <v>1006</v>
      </c>
      <c r="D11" s="357" t="s">
        <v>1110</v>
      </c>
      <c r="E11" s="357" t="s">
        <v>1111</v>
      </c>
      <c r="F11" s="360">
        <v>4</v>
      </c>
      <c r="G11" s="360">
        <v>4656</v>
      </c>
      <c r="H11" s="360">
        <v>1</v>
      </c>
      <c r="I11" s="360">
        <v>1164</v>
      </c>
      <c r="J11" s="360"/>
      <c r="K11" s="360"/>
      <c r="L11" s="360"/>
      <c r="M11" s="360"/>
      <c r="N11" s="360"/>
      <c r="O11" s="360"/>
      <c r="P11" s="384"/>
      <c r="Q11" s="361"/>
    </row>
    <row r="12" spans="1:17" ht="14.4" customHeight="1" x14ac:dyDescent="0.3">
      <c r="A12" s="356" t="s">
        <v>1097</v>
      </c>
      <c r="B12" s="357" t="s">
        <v>1098</v>
      </c>
      <c r="C12" s="357" t="s">
        <v>1006</v>
      </c>
      <c r="D12" s="357" t="s">
        <v>1112</v>
      </c>
      <c r="E12" s="357" t="s">
        <v>1113</v>
      </c>
      <c r="F12" s="360">
        <v>2</v>
      </c>
      <c r="G12" s="360">
        <v>818</v>
      </c>
      <c r="H12" s="360">
        <v>1</v>
      </c>
      <c r="I12" s="360">
        <v>409</v>
      </c>
      <c r="J12" s="360"/>
      <c r="K12" s="360"/>
      <c r="L12" s="360"/>
      <c r="M12" s="360"/>
      <c r="N12" s="360"/>
      <c r="O12" s="360"/>
      <c r="P12" s="384"/>
      <c r="Q12" s="361"/>
    </row>
    <row r="13" spans="1:17" ht="14.4" customHeight="1" x14ac:dyDescent="0.3">
      <c r="A13" s="356" t="s">
        <v>1114</v>
      </c>
      <c r="B13" s="357" t="s">
        <v>1115</v>
      </c>
      <c r="C13" s="357" t="s">
        <v>1006</v>
      </c>
      <c r="D13" s="357" t="s">
        <v>1116</v>
      </c>
      <c r="E13" s="357" t="s">
        <v>1117</v>
      </c>
      <c r="F13" s="360">
        <v>275</v>
      </c>
      <c r="G13" s="360">
        <v>17600</v>
      </c>
      <c r="H13" s="360">
        <v>1</v>
      </c>
      <c r="I13" s="360">
        <v>64</v>
      </c>
      <c r="J13" s="360">
        <v>177</v>
      </c>
      <c r="K13" s="360">
        <v>11328</v>
      </c>
      <c r="L13" s="360">
        <v>0.64363636363636367</v>
      </c>
      <c r="M13" s="360">
        <v>64</v>
      </c>
      <c r="N13" s="360"/>
      <c r="O13" s="360"/>
      <c r="P13" s="384"/>
      <c r="Q13" s="361"/>
    </row>
    <row r="14" spans="1:17" ht="14.4" customHeight="1" x14ac:dyDescent="0.3">
      <c r="A14" s="356" t="s">
        <v>1114</v>
      </c>
      <c r="B14" s="357" t="s">
        <v>1115</v>
      </c>
      <c r="C14" s="357" t="s">
        <v>1006</v>
      </c>
      <c r="D14" s="357" t="s">
        <v>1118</v>
      </c>
      <c r="E14" s="357" t="s">
        <v>1119</v>
      </c>
      <c r="F14" s="360">
        <v>11</v>
      </c>
      <c r="G14" s="360">
        <v>253</v>
      </c>
      <c r="H14" s="360">
        <v>1</v>
      </c>
      <c r="I14" s="360">
        <v>23</v>
      </c>
      <c r="J14" s="360">
        <v>7</v>
      </c>
      <c r="K14" s="360">
        <v>161</v>
      </c>
      <c r="L14" s="360">
        <v>0.63636363636363635</v>
      </c>
      <c r="M14" s="360">
        <v>23</v>
      </c>
      <c r="N14" s="360"/>
      <c r="O14" s="360"/>
      <c r="P14" s="384"/>
      <c r="Q14" s="361"/>
    </row>
    <row r="15" spans="1:17" ht="14.4" customHeight="1" x14ac:dyDescent="0.3">
      <c r="A15" s="356" t="s">
        <v>1114</v>
      </c>
      <c r="B15" s="357" t="s">
        <v>1115</v>
      </c>
      <c r="C15" s="357" t="s">
        <v>1006</v>
      </c>
      <c r="D15" s="357" t="s">
        <v>1120</v>
      </c>
      <c r="E15" s="357" t="s">
        <v>1121</v>
      </c>
      <c r="F15" s="360"/>
      <c r="G15" s="360"/>
      <c r="H15" s="360"/>
      <c r="I15" s="360"/>
      <c r="J15" s="360">
        <v>2</v>
      </c>
      <c r="K15" s="360">
        <v>418</v>
      </c>
      <c r="L15" s="360"/>
      <c r="M15" s="360">
        <v>209</v>
      </c>
      <c r="N15" s="360"/>
      <c r="O15" s="360"/>
      <c r="P15" s="384"/>
      <c r="Q15" s="361"/>
    </row>
    <row r="16" spans="1:17" ht="14.4" customHeight="1" x14ac:dyDescent="0.3">
      <c r="A16" s="356" t="s">
        <v>1114</v>
      </c>
      <c r="B16" s="357" t="s">
        <v>1115</v>
      </c>
      <c r="C16" s="357" t="s">
        <v>1006</v>
      </c>
      <c r="D16" s="357" t="s">
        <v>1122</v>
      </c>
      <c r="E16" s="357" t="s">
        <v>1123</v>
      </c>
      <c r="F16" s="360"/>
      <c r="G16" s="360"/>
      <c r="H16" s="360"/>
      <c r="I16" s="360"/>
      <c r="J16" s="360">
        <v>1</v>
      </c>
      <c r="K16" s="360">
        <v>216</v>
      </c>
      <c r="L16" s="360"/>
      <c r="M16" s="360">
        <v>216</v>
      </c>
      <c r="N16" s="360"/>
      <c r="O16" s="360"/>
      <c r="P16" s="384"/>
      <c r="Q16" s="361"/>
    </row>
    <row r="17" spans="1:17" ht="14.4" customHeight="1" x14ac:dyDescent="0.3">
      <c r="A17" s="356" t="s">
        <v>1114</v>
      </c>
      <c r="B17" s="357" t="s">
        <v>1115</v>
      </c>
      <c r="C17" s="357" t="s">
        <v>1006</v>
      </c>
      <c r="D17" s="357" t="s">
        <v>1124</v>
      </c>
      <c r="E17" s="357" t="s">
        <v>1125</v>
      </c>
      <c r="F17" s="360">
        <v>12</v>
      </c>
      <c r="G17" s="360">
        <v>924</v>
      </c>
      <c r="H17" s="360">
        <v>1</v>
      </c>
      <c r="I17" s="360">
        <v>77</v>
      </c>
      <c r="J17" s="360">
        <v>8</v>
      </c>
      <c r="K17" s="360">
        <v>616</v>
      </c>
      <c r="L17" s="360">
        <v>0.66666666666666663</v>
      </c>
      <c r="M17" s="360">
        <v>77</v>
      </c>
      <c r="N17" s="360"/>
      <c r="O17" s="360"/>
      <c r="P17" s="384"/>
      <c r="Q17" s="361"/>
    </row>
    <row r="18" spans="1:17" ht="14.4" customHeight="1" x14ac:dyDescent="0.3">
      <c r="A18" s="356" t="s">
        <v>1114</v>
      </c>
      <c r="B18" s="357" t="s">
        <v>1115</v>
      </c>
      <c r="C18" s="357" t="s">
        <v>1006</v>
      </c>
      <c r="D18" s="357" t="s">
        <v>1126</v>
      </c>
      <c r="E18" s="357" t="s">
        <v>1127</v>
      </c>
      <c r="F18" s="360">
        <v>12</v>
      </c>
      <c r="G18" s="360">
        <v>264</v>
      </c>
      <c r="H18" s="360">
        <v>1</v>
      </c>
      <c r="I18" s="360">
        <v>22</v>
      </c>
      <c r="J18" s="360">
        <v>8</v>
      </c>
      <c r="K18" s="360">
        <v>176</v>
      </c>
      <c r="L18" s="360">
        <v>0.66666666666666663</v>
      </c>
      <c r="M18" s="360">
        <v>22</v>
      </c>
      <c r="N18" s="360"/>
      <c r="O18" s="360"/>
      <c r="P18" s="384"/>
      <c r="Q18" s="361"/>
    </row>
    <row r="19" spans="1:17" ht="14.4" customHeight="1" x14ac:dyDescent="0.3">
      <c r="A19" s="356" t="s">
        <v>1114</v>
      </c>
      <c r="B19" s="357" t="s">
        <v>1115</v>
      </c>
      <c r="C19" s="357" t="s">
        <v>1006</v>
      </c>
      <c r="D19" s="357" t="s">
        <v>1128</v>
      </c>
      <c r="E19" s="357" t="s">
        <v>1129</v>
      </c>
      <c r="F19" s="360">
        <v>2</v>
      </c>
      <c r="G19" s="360">
        <v>132</v>
      </c>
      <c r="H19" s="360">
        <v>1</v>
      </c>
      <c r="I19" s="360">
        <v>66</v>
      </c>
      <c r="J19" s="360"/>
      <c r="K19" s="360"/>
      <c r="L19" s="360"/>
      <c r="M19" s="360"/>
      <c r="N19" s="360"/>
      <c r="O19" s="360"/>
      <c r="P19" s="384"/>
      <c r="Q19" s="361"/>
    </row>
    <row r="20" spans="1:17" ht="14.4" customHeight="1" x14ac:dyDescent="0.3">
      <c r="A20" s="356" t="s">
        <v>1114</v>
      </c>
      <c r="B20" s="357" t="s">
        <v>1115</v>
      </c>
      <c r="C20" s="357" t="s">
        <v>1006</v>
      </c>
      <c r="D20" s="357" t="s">
        <v>1130</v>
      </c>
      <c r="E20" s="357" t="s">
        <v>1131</v>
      </c>
      <c r="F20" s="360">
        <v>1</v>
      </c>
      <c r="G20" s="360">
        <v>23</v>
      </c>
      <c r="H20" s="360">
        <v>1</v>
      </c>
      <c r="I20" s="360">
        <v>23</v>
      </c>
      <c r="J20" s="360">
        <v>1</v>
      </c>
      <c r="K20" s="360">
        <v>23</v>
      </c>
      <c r="L20" s="360">
        <v>1</v>
      </c>
      <c r="M20" s="360">
        <v>23</v>
      </c>
      <c r="N20" s="360"/>
      <c r="O20" s="360"/>
      <c r="P20" s="384"/>
      <c r="Q20" s="361"/>
    </row>
    <row r="21" spans="1:17" ht="14.4" customHeight="1" x14ac:dyDescent="0.3">
      <c r="A21" s="356" t="s">
        <v>1114</v>
      </c>
      <c r="B21" s="357" t="s">
        <v>1115</v>
      </c>
      <c r="C21" s="357" t="s">
        <v>1006</v>
      </c>
      <c r="D21" s="357" t="s">
        <v>1132</v>
      </c>
      <c r="E21" s="357" t="s">
        <v>1133</v>
      </c>
      <c r="F21" s="360"/>
      <c r="G21" s="360"/>
      <c r="H21" s="360"/>
      <c r="I21" s="360"/>
      <c r="J21" s="360">
        <v>1</v>
      </c>
      <c r="K21" s="360">
        <v>384</v>
      </c>
      <c r="L21" s="360"/>
      <c r="M21" s="360">
        <v>384</v>
      </c>
      <c r="N21" s="360"/>
      <c r="O21" s="360"/>
      <c r="P21" s="384"/>
      <c r="Q21" s="361"/>
    </row>
    <row r="22" spans="1:17" ht="14.4" customHeight="1" x14ac:dyDescent="0.3">
      <c r="A22" s="356" t="s">
        <v>1134</v>
      </c>
      <c r="B22" s="357" t="s">
        <v>1135</v>
      </c>
      <c r="C22" s="357" t="s">
        <v>1006</v>
      </c>
      <c r="D22" s="357" t="s">
        <v>1136</v>
      </c>
      <c r="E22" s="357" t="s">
        <v>1137</v>
      </c>
      <c r="F22" s="360">
        <v>30</v>
      </c>
      <c r="G22" s="360">
        <v>1290</v>
      </c>
      <c r="H22" s="360">
        <v>1</v>
      </c>
      <c r="I22" s="360">
        <v>43</v>
      </c>
      <c r="J22" s="360">
        <v>2</v>
      </c>
      <c r="K22" s="360">
        <v>86</v>
      </c>
      <c r="L22" s="360">
        <v>6.6666666666666666E-2</v>
      </c>
      <c r="M22" s="360">
        <v>43</v>
      </c>
      <c r="N22" s="360"/>
      <c r="O22" s="360"/>
      <c r="P22" s="384"/>
      <c r="Q22" s="361"/>
    </row>
    <row r="23" spans="1:17" ht="14.4" customHeight="1" x14ac:dyDescent="0.3">
      <c r="A23" s="356" t="s">
        <v>1134</v>
      </c>
      <c r="B23" s="357" t="s">
        <v>1135</v>
      </c>
      <c r="C23" s="357" t="s">
        <v>1006</v>
      </c>
      <c r="D23" s="357" t="s">
        <v>1138</v>
      </c>
      <c r="E23" s="357" t="s">
        <v>1139</v>
      </c>
      <c r="F23" s="360">
        <v>1</v>
      </c>
      <c r="G23" s="360">
        <v>226</v>
      </c>
      <c r="H23" s="360">
        <v>1</v>
      </c>
      <c r="I23" s="360">
        <v>226</v>
      </c>
      <c r="J23" s="360"/>
      <c r="K23" s="360"/>
      <c r="L23" s="360"/>
      <c r="M23" s="360"/>
      <c r="N23" s="360"/>
      <c r="O23" s="360"/>
      <c r="P23" s="384"/>
      <c r="Q23" s="361"/>
    </row>
    <row r="24" spans="1:17" ht="14.4" customHeight="1" x14ac:dyDescent="0.3">
      <c r="A24" s="356" t="s">
        <v>1134</v>
      </c>
      <c r="B24" s="357" t="s">
        <v>1135</v>
      </c>
      <c r="C24" s="357" t="s">
        <v>1006</v>
      </c>
      <c r="D24" s="357" t="s">
        <v>1140</v>
      </c>
      <c r="E24" s="357" t="s">
        <v>1141</v>
      </c>
      <c r="F24" s="360">
        <v>5</v>
      </c>
      <c r="G24" s="360">
        <v>85</v>
      </c>
      <c r="H24" s="360">
        <v>1</v>
      </c>
      <c r="I24" s="360">
        <v>17</v>
      </c>
      <c r="J24" s="360">
        <v>2</v>
      </c>
      <c r="K24" s="360">
        <v>34</v>
      </c>
      <c r="L24" s="360">
        <v>0.4</v>
      </c>
      <c r="M24" s="360">
        <v>17</v>
      </c>
      <c r="N24" s="360"/>
      <c r="O24" s="360"/>
      <c r="P24" s="384"/>
      <c r="Q24" s="361"/>
    </row>
    <row r="25" spans="1:17" ht="14.4" customHeight="1" x14ac:dyDescent="0.3">
      <c r="A25" s="356" t="s">
        <v>1134</v>
      </c>
      <c r="B25" s="357" t="s">
        <v>1135</v>
      </c>
      <c r="C25" s="357" t="s">
        <v>1006</v>
      </c>
      <c r="D25" s="357" t="s">
        <v>1142</v>
      </c>
      <c r="E25" s="357" t="s">
        <v>1143</v>
      </c>
      <c r="F25" s="360">
        <v>57</v>
      </c>
      <c r="G25" s="360">
        <v>9861</v>
      </c>
      <c r="H25" s="360">
        <v>1</v>
      </c>
      <c r="I25" s="360">
        <v>173</v>
      </c>
      <c r="J25" s="360">
        <v>27</v>
      </c>
      <c r="K25" s="360">
        <v>4671</v>
      </c>
      <c r="L25" s="360">
        <v>0.47368421052631576</v>
      </c>
      <c r="M25" s="360">
        <v>173</v>
      </c>
      <c r="N25" s="360"/>
      <c r="O25" s="360"/>
      <c r="P25" s="384"/>
      <c r="Q25" s="361"/>
    </row>
    <row r="26" spans="1:17" ht="14.4" customHeight="1" x14ac:dyDescent="0.3">
      <c r="A26" s="356" t="s">
        <v>1134</v>
      </c>
      <c r="B26" s="357" t="s">
        <v>1135</v>
      </c>
      <c r="C26" s="357" t="s">
        <v>1006</v>
      </c>
      <c r="D26" s="357" t="s">
        <v>1144</v>
      </c>
      <c r="E26" s="357" t="s">
        <v>1145</v>
      </c>
      <c r="F26" s="360">
        <v>39</v>
      </c>
      <c r="G26" s="360">
        <v>780</v>
      </c>
      <c r="H26" s="360">
        <v>1</v>
      </c>
      <c r="I26" s="360">
        <v>20</v>
      </c>
      <c r="J26" s="360">
        <v>28</v>
      </c>
      <c r="K26" s="360">
        <v>560</v>
      </c>
      <c r="L26" s="360">
        <v>0.71794871794871795</v>
      </c>
      <c r="M26" s="360">
        <v>20</v>
      </c>
      <c r="N26" s="360"/>
      <c r="O26" s="360"/>
      <c r="P26" s="384"/>
      <c r="Q26" s="361"/>
    </row>
    <row r="27" spans="1:17" ht="14.4" customHeight="1" x14ac:dyDescent="0.3">
      <c r="A27" s="356" t="s">
        <v>1134</v>
      </c>
      <c r="B27" s="357" t="s">
        <v>1135</v>
      </c>
      <c r="C27" s="357" t="s">
        <v>1006</v>
      </c>
      <c r="D27" s="357" t="s">
        <v>1146</v>
      </c>
      <c r="E27" s="357" t="s">
        <v>1147</v>
      </c>
      <c r="F27" s="360">
        <v>3</v>
      </c>
      <c r="G27" s="360">
        <v>36</v>
      </c>
      <c r="H27" s="360">
        <v>1</v>
      </c>
      <c r="I27" s="360">
        <v>12</v>
      </c>
      <c r="J27" s="360"/>
      <c r="K27" s="360"/>
      <c r="L27" s="360"/>
      <c r="M27" s="360"/>
      <c r="N27" s="360"/>
      <c r="O27" s="360"/>
      <c r="P27" s="384"/>
      <c r="Q27" s="361"/>
    </row>
    <row r="28" spans="1:17" ht="14.4" customHeight="1" x14ac:dyDescent="0.3">
      <c r="A28" s="356" t="s">
        <v>1134</v>
      </c>
      <c r="B28" s="357" t="s">
        <v>1135</v>
      </c>
      <c r="C28" s="357" t="s">
        <v>1006</v>
      </c>
      <c r="D28" s="357" t="s">
        <v>1148</v>
      </c>
      <c r="E28" s="357" t="s">
        <v>1149</v>
      </c>
      <c r="F28" s="360">
        <v>4</v>
      </c>
      <c r="G28" s="360">
        <v>756</v>
      </c>
      <c r="H28" s="360">
        <v>1</v>
      </c>
      <c r="I28" s="360">
        <v>189</v>
      </c>
      <c r="J28" s="360">
        <v>2</v>
      </c>
      <c r="K28" s="360">
        <v>378</v>
      </c>
      <c r="L28" s="360">
        <v>0.5</v>
      </c>
      <c r="M28" s="360">
        <v>189</v>
      </c>
      <c r="N28" s="360"/>
      <c r="O28" s="360"/>
      <c r="P28" s="384"/>
      <c r="Q28" s="361"/>
    </row>
    <row r="29" spans="1:17" ht="14.4" customHeight="1" x14ac:dyDescent="0.3">
      <c r="A29" s="356" t="s">
        <v>1134</v>
      </c>
      <c r="B29" s="357" t="s">
        <v>1135</v>
      </c>
      <c r="C29" s="357" t="s">
        <v>1006</v>
      </c>
      <c r="D29" s="357" t="s">
        <v>1150</v>
      </c>
      <c r="E29" s="357" t="s">
        <v>1151</v>
      </c>
      <c r="F29" s="360">
        <v>2</v>
      </c>
      <c r="G29" s="360">
        <v>260</v>
      </c>
      <c r="H29" s="360">
        <v>1</v>
      </c>
      <c r="I29" s="360">
        <v>130</v>
      </c>
      <c r="J29" s="360"/>
      <c r="K29" s="360"/>
      <c r="L29" s="360"/>
      <c r="M29" s="360"/>
      <c r="N29" s="360"/>
      <c r="O29" s="360"/>
      <c r="P29" s="384"/>
      <c r="Q29" s="361"/>
    </row>
    <row r="30" spans="1:17" ht="14.4" customHeight="1" x14ac:dyDescent="0.3">
      <c r="A30" s="356" t="s">
        <v>1134</v>
      </c>
      <c r="B30" s="357" t="s">
        <v>1135</v>
      </c>
      <c r="C30" s="357" t="s">
        <v>1006</v>
      </c>
      <c r="D30" s="357" t="s">
        <v>1152</v>
      </c>
      <c r="E30" s="357" t="s">
        <v>1153</v>
      </c>
      <c r="F30" s="360">
        <v>4</v>
      </c>
      <c r="G30" s="360">
        <v>284</v>
      </c>
      <c r="H30" s="360">
        <v>1</v>
      </c>
      <c r="I30" s="360">
        <v>71</v>
      </c>
      <c r="J30" s="360">
        <v>4</v>
      </c>
      <c r="K30" s="360">
        <v>284</v>
      </c>
      <c r="L30" s="360">
        <v>1</v>
      </c>
      <c r="M30" s="360">
        <v>71</v>
      </c>
      <c r="N30" s="360"/>
      <c r="O30" s="360"/>
      <c r="P30" s="384"/>
      <c r="Q30" s="361"/>
    </row>
    <row r="31" spans="1:17" ht="14.4" customHeight="1" x14ac:dyDescent="0.3">
      <c r="A31" s="356" t="s">
        <v>1134</v>
      </c>
      <c r="B31" s="357" t="s">
        <v>1135</v>
      </c>
      <c r="C31" s="357" t="s">
        <v>1006</v>
      </c>
      <c r="D31" s="357" t="s">
        <v>1154</v>
      </c>
      <c r="E31" s="357" t="s">
        <v>1155</v>
      </c>
      <c r="F31" s="360">
        <v>21</v>
      </c>
      <c r="G31" s="360">
        <v>5292</v>
      </c>
      <c r="H31" s="360">
        <v>1</v>
      </c>
      <c r="I31" s="360">
        <v>252</v>
      </c>
      <c r="J31" s="360">
        <v>12</v>
      </c>
      <c r="K31" s="360">
        <v>3036</v>
      </c>
      <c r="L31" s="360">
        <v>0.57369614512471656</v>
      </c>
      <c r="M31" s="360">
        <v>253</v>
      </c>
      <c r="N31" s="360"/>
      <c r="O31" s="360"/>
      <c r="P31" s="384"/>
      <c r="Q31" s="361"/>
    </row>
    <row r="32" spans="1:17" ht="14.4" customHeight="1" x14ac:dyDescent="0.3">
      <c r="A32" s="356" t="s">
        <v>1134</v>
      </c>
      <c r="B32" s="357" t="s">
        <v>1135</v>
      </c>
      <c r="C32" s="357" t="s">
        <v>1006</v>
      </c>
      <c r="D32" s="357" t="s">
        <v>1156</v>
      </c>
      <c r="E32" s="357" t="s">
        <v>1157</v>
      </c>
      <c r="F32" s="360">
        <v>1</v>
      </c>
      <c r="G32" s="360">
        <v>25</v>
      </c>
      <c r="H32" s="360">
        <v>1</v>
      </c>
      <c r="I32" s="360">
        <v>25</v>
      </c>
      <c r="J32" s="360">
        <v>3</v>
      </c>
      <c r="K32" s="360">
        <v>75</v>
      </c>
      <c r="L32" s="360">
        <v>3</v>
      </c>
      <c r="M32" s="360">
        <v>25</v>
      </c>
      <c r="N32" s="360"/>
      <c r="O32" s="360"/>
      <c r="P32" s="384"/>
      <c r="Q32" s="361"/>
    </row>
    <row r="33" spans="1:17" ht="14.4" customHeight="1" x14ac:dyDescent="0.3">
      <c r="A33" s="356" t="s">
        <v>1134</v>
      </c>
      <c r="B33" s="357" t="s">
        <v>1135</v>
      </c>
      <c r="C33" s="357" t="s">
        <v>1006</v>
      </c>
      <c r="D33" s="357" t="s">
        <v>1158</v>
      </c>
      <c r="E33" s="357" t="s">
        <v>1159</v>
      </c>
      <c r="F33" s="360">
        <v>4</v>
      </c>
      <c r="G33" s="360">
        <v>60</v>
      </c>
      <c r="H33" s="360">
        <v>1</v>
      </c>
      <c r="I33" s="360">
        <v>15</v>
      </c>
      <c r="J33" s="360">
        <v>2</v>
      </c>
      <c r="K33" s="360">
        <v>30</v>
      </c>
      <c r="L33" s="360">
        <v>0.5</v>
      </c>
      <c r="M33" s="360">
        <v>15</v>
      </c>
      <c r="N33" s="360"/>
      <c r="O33" s="360"/>
      <c r="P33" s="384"/>
      <c r="Q33" s="361"/>
    </row>
    <row r="34" spans="1:17" ht="14.4" customHeight="1" x14ac:dyDescent="0.3">
      <c r="A34" s="356" t="s">
        <v>1134</v>
      </c>
      <c r="B34" s="357" t="s">
        <v>1135</v>
      </c>
      <c r="C34" s="357" t="s">
        <v>1006</v>
      </c>
      <c r="D34" s="357" t="s">
        <v>1160</v>
      </c>
      <c r="E34" s="357" t="s">
        <v>1161</v>
      </c>
      <c r="F34" s="360">
        <v>134</v>
      </c>
      <c r="G34" s="360">
        <v>6700</v>
      </c>
      <c r="H34" s="360">
        <v>1</v>
      </c>
      <c r="I34" s="360">
        <v>50</v>
      </c>
      <c r="J34" s="360">
        <v>54</v>
      </c>
      <c r="K34" s="360">
        <v>2700</v>
      </c>
      <c r="L34" s="360">
        <v>0.40298507462686567</v>
      </c>
      <c r="M34" s="360">
        <v>50</v>
      </c>
      <c r="N34" s="360"/>
      <c r="O34" s="360"/>
      <c r="P34" s="384"/>
      <c r="Q34" s="361"/>
    </row>
    <row r="35" spans="1:17" ht="14.4" customHeight="1" x14ac:dyDescent="0.3">
      <c r="A35" s="356" t="s">
        <v>1134</v>
      </c>
      <c r="B35" s="357" t="s">
        <v>1135</v>
      </c>
      <c r="C35" s="357" t="s">
        <v>1006</v>
      </c>
      <c r="D35" s="357" t="s">
        <v>1162</v>
      </c>
      <c r="E35" s="357" t="s">
        <v>1163</v>
      </c>
      <c r="F35" s="360">
        <v>134</v>
      </c>
      <c r="G35" s="360">
        <v>8040</v>
      </c>
      <c r="H35" s="360">
        <v>1</v>
      </c>
      <c r="I35" s="360">
        <v>60</v>
      </c>
      <c r="J35" s="360">
        <v>54</v>
      </c>
      <c r="K35" s="360">
        <v>3240</v>
      </c>
      <c r="L35" s="360">
        <v>0.40298507462686567</v>
      </c>
      <c r="M35" s="360">
        <v>60</v>
      </c>
      <c r="N35" s="360"/>
      <c r="O35" s="360"/>
      <c r="P35" s="384"/>
      <c r="Q35" s="361"/>
    </row>
    <row r="36" spans="1:17" ht="14.4" customHeight="1" x14ac:dyDescent="0.3">
      <c r="A36" s="356" t="s">
        <v>1134</v>
      </c>
      <c r="B36" s="357" t="s">
        <v>1135</v>
      </c>
      <c r="C36" s="357" t="s">
        <v>1006</v>
      </c>
      <c r="D36" s="357" t="s">
        <v>1164</v>
      </c>
      <c r="E36" s="357" t="s">
        <v>1165</v>
      </c>
      <c r="F36" s="360"/>
      <c r="G36" s="360"/>
      <c r="H36" s="360"/>
      <c r="I36" s="360"/>
      <c r="J36" s="360">
        <v>1</v>
      </c>
      <c r="K36" s="360">
        <v>1207</v>
      </c>
      <c r="L36" s="360"/>
      <c r="M36" s="360">
        <v>1207</v>
      </c>
      <c r="N36" s="360"/>
      <c r="O36" s="360"/>
      <c r="P36" s="384"/>
      <c r="Q36" s="361"/>
    </row>
    <row r="37" spans="1:17" ht="14.4" customHeight="1" x14ac:dyDescent="0.3">
      <c r="A37" s="356" t="s">
        <v>1134</v>
      </c>
      <c r="B37" s="357" t="s">
        <v>1135</v>
      </c>
      <c r="C37" s="357" t="s">
        <v>1006</v>
      </c>
      <c r="D37" s="357" t="s">
        <v>1166</v>
      </c>
      <c r="E37" s="357" t="s">
        <v>1167</v>
      </c>
      <c r="F37" s="360">
        <v>11</v>
      </c>
      <c r="G37" s="360">
        <v>3267</v>
      </c>
      <c r="H37" s="360">
        <v>1</v>
      </c>
      <c r="I37" s="360">
        <v>297</v>
      </c>
      <c r="J37" s="360">
        <v>2</v>
      </c>
      <c r="K37" s="360">
        <v>596</v>
      </c>
      <c r="L37" s="360">
        <v>0.18243036424854606</v>
      </c>
      <c r="M37" s="360">
        <v>298</v>
      </c>
      <c r="N37" s="360"/>
      <c r="O37" s="360"/>
      <c r="P37" s="384"/>
      <c r="Q37" s="361"/>
    </row>
    <row r="38" spans="1:17" ht="14.4" customHeight="1" x14ac:dyDescent="0.3">
      <c r="A38" s="356" t="s">
        <v>1134</v>
      </c>
      <c r="B38" s="357" t="s">
        <v>1135</v>
      </c>
      <c r="C38" s="357" t="s">
        <v>1006</v>
      </c>
      <c r="D38" s="357" t="s">
        <v>1168</v>
      </c>
      <c r="E38" s="357" t="s">
        <v>1169</v>
      </c>
      <c r="F38" s="360">
        <v>1</v>
      </c>
      <c r="G38" s="360">
        <v>27</v>
      </c>
      <c r="H38" s="360">
        <v>1</v>
      </c>
      <c r="I38" s="360">
        <v>27</v>
      </c>
      <c r="J38" s="360">
        <v>3</v>
      </c>
      <c r="K38" s="360">
        <v>81</v>
      </c>
      <c r="L38" s="360">
        <v>3</v>
      </c>
      <c r="M38" s="360">
        <v>27</v>
      </c>
      <c r="N38" s="360"/>
      <c r="O38" s="360"/>
      <c r="P38" s="384"/>
      <c r="Q38" s="361"/>
    </row>
    <row r="39" spans="1:17" ht="14.4" customHeight="1" x14ac:dyDescent="0.3">
      <c r="A39" s="356" t="s">
        <v>1134</v>
      </c>
      <c r="B39" s="357" t="s">
        <v>1135</v>
      </c>
      <c r="C39" s="357" t="s">
        <v>1006</v>
      </c>
      <c r="D39" s="357" t="s">
        <v>1170</v>
      </c>
      <c r="E39" s="357" t="s">
        <v>1171</v>
      </c>
      <c r="F39" s="360">
        <v>1</v>
      </c>
      <c r="G39" s="360">
        <v>27</v>
      </c>
      <c r="H39" s="360">
        <v>1</v>
      </c>
      <c r="I39" s="360">
        <v>27</v>
      </c>
      <c r="J39" s="360">
        <v>3</v>
      </c>
      <c r="K39" s="360">
        <v>81</v>
      </c>
      <c r="L39" s="360">
        <v>3</v>
      </c>
      <c r="M39" s="360">
        <v>27</v>
      </c>
      <c r="N39" s="360"/>
      <c r="O39" s="360"/>
      <c r="P39" s="384"/>
      <c r="Q39" s="361"/>
    </row>
    <row r="40" spans="1:17" ht="14.4" customHeight="1" x14ac:dyDescent="0.3">
      <c r="A40" s="356" t="s">
        <v>1134</v>
      </c>
      <c r="B40" s="357" t="s">
        <v>1135</v>
      </c>
      <c r="C40" s="357" t="s">
        <v>1006</v>
      </c>
      <c r="D40" s="357" t="s">
        <v>1172</v>
      </c>
      <c r="E40" s="357" t="s">
        <v>1173</v>
      </c>
      <c r="F40" s="360">
        <v>1</v>
      </c>
      <c r="G40" s="360">
        <v>31</v>
      </c>
      <c r="H40" s="360">
        <v>1</v>
      </c>
      <c r="I40" s="360">
        <v>31</v>
      </c>
      <c r="J40" s="360">
        <v>2</v>
      </c>
      <c r="K40" s="360">
        <v>62</v>
      </c>
      <c r="L40" s="360">
        <v>2</v>
      </c>
      <c r="M40" s="360">
        <v>31</v>
      </c>
      <c r="N40" s="360"/>
      <c r="O40" s="360"/>
      <c r="P40" s="384"/>
      <c r="Q40" s="361"/>
    </row>
    <row r="41" spans="1:17" ht="14.4" customHeight="1" x14ac:dyDescent="0.3">
      <c r="A41" s="356" t="s">
        <v>1134</v>
      </c>
      <c r="B41" s="357" t="s">
        <v>1135</v>
      </c>
      <c r="C41" s="357" t="s">
        <v>1006</v>
      </c>
      <c r="D41" s="357" t="s">
        <v>1174</v>
      </c>
      <c r="E41" s="357" t="s">
        <v>1175</v>
      </c>
      <c r="F41" s="360">
        <v>13</v>
      </c>
      <c r="G41" s="360">
        <v>819</v>
      </c>
      <c r="H41" s="360">
        <v>1</v>
      </c>
      <c r="I41" s="360">
        <v>63</v>
      </c>
      <c r="J41" s="360">
        <v>9</v>
      </c>
      <c r="K41" s="360">
        <v>567</v>
      </c>
      <c r="L41" s="360">
        <v>0.69230769230769229</v>
      </c>
      <c r="M41" s="360">
        <v>63</v>
      </c>
      <c r="N41" s="360"/>
      <c r="O41" s="360"/>
      <c r="P41" s="384"/>
      <c r="Q41" s="361"/>
    </row>
    <row r="42" spans="1:17" ht="14.4" customHeight="1" x14ac:dyDescent="0.3">
      <c r="A42" s="356" t="s">
        <v>1134</v>
      </c>
      <c r="B42" s="357" t="s">
        <v>1135</v>
      </c>
      <c r="C42" s="357" t="s">
        <v>1006</v>
      </c>
      <c r="D42" s="357" t="s">
        <v>1176</v>
      </c>
      <c r="E42" s="357" t="s">
        <v>1177</v>
      </c>
      <c r="F42" s="360">
        <v>1</v>
      </c>
      <c r="G42" s="360">
        <v>30</v>
      </c>
      <c r="H42" s="360">
        <v>1</v>
      </c>
      <c r="I42" s="360">
        <v>30</v>
      </c>
      <c r="J42" s="360">
        <v>1</v>
      </c>
      <c r="K42" s="360">
        <v>30</v>
      </c>
      <c r="L42" s="360">
        <v>1</v>
      </c>
      <c r="M42" s="360">
        <v>30</v>
      </c>
      <c r="N42" s="360"/>
      <c r="O42" s="360"/>
      <c r="P42" s="384"/>
      <c r="Q42" s="361"/>
    </row>
    <row r="43" spans="1:17" ht="14.4" customHeight="1" x14ac:dyDescent="0.3">
      <c r="A43" s="356" t="s">
        <v>1134</v>
      </c>
      <c r="B43" s="357" t="s">
        <v>1135</v>
      </c>
      <c r="C43" s="357" t="s">
        <v>1006</v>
      </c>
      <c r="D43" s="357" t="s">
        <v>1178</v>
      </c>
      <c r="E43" s="357" t="s">
        <v>1179</v>
      </c>
      <c r="F43" s="360">
        <v>1</v>
      </c>
      <c r="G43" s="360">
        <v>84</v>
      </c>
      <c r="H43" s="360">
        <v>1</v>
      </c>
      <c r="I43" s="360">
        <v>84</v>
      </c>
      <c r="J43" s="360"/>
      <c r="K43" s="360"/>
      <c r="L43" s="360"/>
      <c r="M43" s="360"/>
      <c r="N43" s="360"/>
      <c r="O43" s="360"/>
      <c r="P43" s="384"/>
      <c r="Q43" s="361"/>
    </row>
    <row r="44" spans="1:17" ht="14.4" customHeight="1" x14ac:dyDescent="0.3">
      <c r="A44" s="356" t="s">
        <v>1134</v>
      </c>
      <c r="B44" s="357" t="s">
        <v>1135</v>
      </c>
      <c r="C44" s="357" t="s">
        <v>1006</v>
      </c>
      <c r="D44" s="357" t="s">
        <v>1180</v>
      </c>
      <c r="E44" s="357" t="s">
        <v>1181</v>
      </c>
      <c r="F44" s="360">
        <v>5</v>
      </c>
      <c r="G44" s="360">
        <v>135</v>
      </c>
      <c r="H44" s="360">
        <v>1</v>
      </c>
      <c r="I44" s="360">
        <v>27</v>
      </c>
      <c r="J44" s="360">
        <v>1</v>
      </c>
      <c r="K44" s="360">
        <v>27</v>
      </c>
      <c r="L44" s="360">
        <v>0.2</v>
      </c>
      <c r="M44" s="360">
        <v>27</v>
      </c>
      <c r="N44" s="360"/>
      <c r="O44" s="360"/>
      <c r="P44" s="384"/>
      <c r="Q44" s="361"/>
    </row>
    <row r="45" spans="1:17" ht="14.4" customHeight="1" x14ac:dyDescent="0.3">
      <c r="A45" s="356" t="s">
        <v>1134</v>
      </c>
      <c r="B45" s="357" t="s">
        <v>1135</v>
      </c>
      <c r="C45" s="357" t="s">
        <v>1006</v>
      </c>
      <c r="D45" s="357" t="s">
        <v>1182</v>
      </c>
      <c r="E45" s="357" t="s">
        <v>1183</v>
      </c>
      <c r="F45" s="360">
        <v>3</v>
      </c>
      <c r="G45" s="360">
        <v>57</v>
      </c>
      <c r="H45" s="360">
        <v>1</v>
      </c>
      <c r="I45" s="360">
        <v>19</v>
      </c>
      <c r="J45" s="360">
        <v>2</v>
      </c>
      <c r="K45" s="360">
        <v>38</v>
      </c>
      <c r="L45" s="360">
        <v>0.66666666666666663</v>
      </c>
      <c r="M45" s="360">
        <v>19</v>
      </c>
      <c r="N45" s="360"/>
      <c r="O45" s="360"/>
      <c r="P45" s="384"/>
      <c r="Q45" s="361"/>
    </row>
    <row r="46" spans="1:17" ht="14.4" customHeight="1" x14ac:dyDescent="0.3">
      <c r="A46" s="356" t="s">
        <v>1134</v>
      </c>
      <c r="B46" s="357" t="s">
        <v>1135</v>
      </c>
      <c r="C46" s="357" t="s">
        <v>1006</v>
      </c>
      <c r="D46" s="357" t="s">
        <v>1184</v>
      </c>
      <c r="E46" s="357" t="s">
        <v>1185</v>
      </c>
      <c r="F46" s="360">
        <v>1</v>
      </c>
      <c r="G46" s="360">
        <v>596</v>
      </c>
      <c r="H46" s="360">
        <v>1</v>
      </c>
      <c r="I46" s="360">
        <v>596</v>
      </c>
      <c r="J46" s="360">
        <v>2</v>
      </c>
      <c r="K46" s="360">
        <v>1192</v>
      </c>
      <c r="L46" s="360">
        <v>2</v>
      </c>
      <c r="M46" s="360">
        <v>596</v>
      </c>
      <c r="N46" s="360"/>
      <c r="O46" s="360"/>
      <c r="P46" s="384"/>
      <c r="Q46" s="361"/>
    </row>
    <row r="47" spans="1:17" ht="14.4" customHeight="1" x14ac:dyDescent="0.3">
      <c r="A47" s="356" t="s">
        <v>1134</v>
      </c>
      <c r="B47" s="357" t="s">
        <v>1135</v>
      </c>
      <c r="C47" s="357" t="s">
        <v>1006</v>
      </c>
      <c r="D47" s="357" t="s">
        <v>1186</v>
      </c>
      <c r="E47" s="357" t="s">
        <v>1187</v>
      </c>
      <c r="F47" s="360">
        <v>2</v>
      </c>
      <c r="G47" s="360">
        <v>30</v>
      </c>
      <c r="H47" s="360">
        <v>1</v>
      </c>
      <c r="I47" s="360">
        <v>15</v>
      </c>
      <c r="J47" s="360">
        <v>1</v>
      </c>
      <c r="K47" s="360">
        <v>15</v>
      </c>
      <c r="L47" s="360">
        <v>0.5</v>
      </c>
      <c r="M47" s="360">
        <v>15</v>
      </c>
      <c r="N47" s="360"/>
      <c r="O47" s="360"/>
      <c r="P47" s="384"/>
      <c r="Q47" s="361"/>
    </row>
    <row r="48" spans="1:17" ht="14.4" customHeight="1" x14ac:dyDescent="0.3">
      <c r="A48" s="356" t="s">
        <v>1134</v>
      </c>
      <c r="B48" s="357" t="s">
        <v>1135</v>
      </c>
      <c r="C48" s="357" t="s">
        <v>1006</v>
      </c>
      <c r="D48" s="357" t="s">
        <v>1188</v>
      </c>
      <c r="E48" s="357" t="s">
        <v>1189</v>
      </c>
      <c r="F48" s="360">
        <v>2</v>
      </c>
      <c r="G48" s="360">
        <v>620</v>
      </c>
      <c r="H48" s="360">
        <v>1</v>
      </c>
      <c r="I48" s="360">
        <v>310</v>
      </c>
      <c r="J48" s="360"/>
      <c r="K48" s="360"/>
      <c r="L48" s="360"/>
      <c r="M48" s="360"/>
      <c r="N48" s="360"/>
      <c r="O48" s="360"/>
      <c r="P48" s="384"/>
      <c r="Q48" s="361"/>
    </row>
    <row r="49" spans="1:17" ht="14.4" customHeight="1" x14ac:dyDescent="0.3">
      <c r="A49" s="356" t="s">
        <v>1134</v>
      </c>
      <c r="B49" s="357" t="s">
        <v>1135</v>
      </c>
      <c r="C49" s="357" t="s">
        <v>1006</v>
      </c>
      <c r="D49" s="357" t="s">
        <v>1190</v>
      </c>
      <c r="E49" s="357" t="s">
        <v>1191</v>
      </c>
      <c r="F49" s="360">
        <v>5</v>
      </c>
      <c r="G49" s="360">
        <v>925</v>
      </c>
      <c r="H49" s="360">
        <v>1</v>
      </c>
      <c r="I49" s="360">
        <v>185</v>
      </c>
      <c r="J49" s="360"/>
      <c r="K49" s="360"/>
      <c r="L49" s="360"/>
      <c r="M49" s="360"/>
      <c r="N49" s="360"/>
      <c r="O49" s="360"/>
      <c r="P49" s="384"/>
      <c r="Q49" s="361"/>
    </row>
    <row r="50" spans="1:17" ht="14.4" customHeight="1" x14ac:dyDescent="0.3">
      <c r="A50" s="356" t="s">
        <v>1134</v>
      </c>
      <c r="B50" s="357" t="s">
        <v>1135</v>
      </c>
      <c r="C50" s="357" t="s">
        <v>1006</v>
      </c>
      <c r="D50" s="357" t="s">
        <v>1192</v>
      </c>
      <c r="E50" s="357" t="s">
        <v>1193</v>
      </c>
      <c r="F50" s="360">
        <v>14</v>
      </c>
      <c r="G50" s="360">
        <v>266</v>
      </c>
      <c r="H50" s="360">
        <v>1</v>
      </c>
      <c r="I50" s="360">
        <v>19</v>
      </c>
      <c r="J50" s="360">
        <v>2</v>
      </c>
      <c r="K50" s="360">
        <v>38</v>
      </c>
      <c r="L50" s="360">
        <v>0.14285714285714285</v>
      </c>
      <c r="M50" s="360">
        <v>19</v>
      </c>
      <c r="N50" s="360"/>
      <c r="O50" s="360"/>
      <c r="P50" s="384"/>
      <c r="Q50" s="361"/>
    </row>
    <row r="51" spans="1:17" ht="14.4" customHeight="1" x14ac:dyDescent="0.3">
      <c r="A51" s="356" t="s">
        <v>1134</v>
      </c>
      <c r="B51" s="357" t="s">
        <v>1135</v>
      </c>
      <c r="C51" s="357" t="s">
        <v>1006</v>
      </c>
      <c r="D51" s="357" t="s">
        <v>1194</v>
      </c>
      <c r="E51" s="357" t="s">
        <v>1195</v>
      </c>
      <c r="F51" s="360">
        <v>36</v>
      </c>
      <c r="G51" s="360">
        <v>6480</v>
      </c>
      <c r="H51" s="360">
        <v>1</v>
      </c>
      <c r="I51" s="360">
        <v>180</v>
      </c>
      <c r="J51" s="360">
        <v>18</v>
      </c>
      <c r="K51" s="360">
        <v>3240</v>
      </c>
      <c r="L51" s="360">
        <v>0.5</v>
      </c>
      <c r="M51" s="360">
        <v>180</v>
      </c>
      <c r="N51" s="360"/>
      <c r="O51" s="360"/>
      <c r="P51" s="384"/>
      <c r="Q51" s="361"/>
    </row>
    <row r="52" spans="1:17" ht="14.4" customHeight="1" x14ac:dyDescent="0.3">
      <c r="A52" s="356" t="s">
        <v>1134</v>
      </c>
      <c r="B52" s="357" t="s">
        <v>1135</v>
      </c>
      <c r="C52" s="357" t="s">
        <v>1006</v>
      </c>
      <c r="D52" s="357" t="s">
        <v>1196</v>
      </c>
      <c r="E52" s="357" t="s">
        <v>1197</v>
      </c>
      <c r="F52" s="360">
        <v>1</v>
      </c>
      <c r="G52" s="360">
        <v>850</v>
      </c>
      <c r="H52" s="360">
        <v>1</v>
      </c>
      <c r="I52" s="360">
        <v>850</v>
      </c>
      <c r="J52" s="360"/>
      <c r="K52" s="360"/>
      <c r="L52" s="360"/>
      <c r="M52" s="360"/>
      <c r="N52" s="360"/>
      <c r="O52" s="360"/>
      <c r="P52" s="384"/>
      <c r="Q52" s="361"/>
    </row>
    <row r="53" spans="1:17" ht="14.4" customHeight="1" x14ac:dyDescent="0.3">
      <c r="A53" s="356" t="s">
        <v>1134</v>
      </c>
      <c r="B53" s="357" t="s">
        <v>1135</v>
      </c>
      <c r="C53" s="357" t="s">
        <v>1006</v>
      </c>
      <c r="D53" s="357" t="s">
        <v>1198</v>
      </c>
      <c r="E53" s="357" t="s">
        <v>1199</v>
      </c>
      <c r="F53" s="360">
        <v>3</v>
      </c>
      <c r="G53" s="360">
        <v>2961</v>
      </c>
      <c r="H53" s="360">
        <v>1</v>
      </c>
      <c r="I53" s="360">
        <v>987</v>
      </c>
      <c r="J53" s="360">
        <v>2</v>
      </c>
      <c r="K53" s="360">
        <v>1974</v>
      </c>
      <c r="L53" s="360">
        <v>0.66666666666666663</v>
      </c>
      <c r="M53" s="360">
        <v>987</v>
      </c>
      <c r="N53" s="360"/>
      <c r="O53" s="360"/>
      <c r="P53" s="384"/>
      <c r="Q53" s="361"/>
    </row>
    <row r="54" spans="1:17" ht="14.4" customHeight="1" x14ac:dyDescent="0.3">
      <c r="A54" s="356" t="s">
        <v>1134</v>
      </c>
      <c r="B54" s="357" t="s">
        <v>1135</v>
      </c>
      <c r="C54" s="357" t="s">
        <v>1006</v>
      </c>
      <c r="D54" s="357" t="s">
        <v>1200</v>
      </c>
      <c r="E54" s="357" t="s">
        <v>1201</v>
      </c>
      <c r="F54" s="360">
        <v>1</v>
      </c>
      <c r="G54" s="360">
        <v>350</v>
      </c>
      <c r="H54" s="360">
        <v>1</v>
      </c>
      <c r="I54" s="360">
        <v>350</v>
      </c>
      <c r="J54" s="360"/>
      <c r="K54" s="360"/>
      <c r="L54" s="360"/>
      <c r="M54" s="360"/>
      <c r="N54" s="360"/>
      <c r="O54" s="360"/>
      <c r="P54" s="384"/>
      <c r="Q54" s="361"/>
    </row>
    <row r="55" spans="1:17" ht="14.4" customHeight="1" x14ac:dyDescent="0.3">
      <c r="A55" s="356" t="s">
        <v>1134</v>
      </c>
      <c r="B55" s="357" t="s">
        <v>1135</v>
      </c>
      <c r="C55" s="357" t="s">
        <v>1006</v>
      </c>
      <c r="D55" s="357" t="s">
        <v>1202</v>
      </c>
      <c r="E55" s="357" t="s">
        <v>1203</v>
      </c>
      <c r="F55" s="360">
        <v>19</v>
      </c>
      <c r="G55" s="360">
        <v>2470</v>
      </c>
      <c r="H55" s="360">
        <v>1</v>
      </c>
      <c r="I55" s="360">
        <v>130</v>
      </c>
      <c r="J55" s="360">
        <v>6</v>
      </c>
      <c r="K55" s="360">
        <v>780</v>
      </c>
      <c r="L55" s="360">
        <v>0.31578947368421051</v>
      </c>
      <c r="M55" s="360">
        <v>130</v>
      </c>
      <c r="N55" s="360"/>
      <c r="O55" s="360"/>
      <c r="P55" s="384"/>
      <c r="Q55" s="361"/>
    </row>
    <row r="56" spans="1:17" ht="14.4" customHeight="1" x14ac:dyDescent="0.3">
      <c r="A56" s="356" t="s">
        <v>1134</v>
      </c>
      <c r="B56" s="357" t="s">
        <v>1135</v>
      </c>
      <c r="C56" s="357" t="s">
        <v>1006</v>
      </c>
      <c r="D56" s="357" t="s">
        <v>1204</v>
      </c>
      <c r="E56" s="357" t="s">
        <v>1205</v>
      </c>
      <c r="F56" s="360">
        <v>3</v>
      </c>
      <c r="G56" s="360">
        <v>543</v>
      </c>
      <c r="H56" s="360">
        <v>1</v>
      </c>
      <c r="I56" s="360">
        <v>181</v>
      </c>
      <c r="J56" s="360">
        <v>1</v>
      </c>
      <c r="K56" s="360">
        <v>181</v>
      </c>
      <c r="L56" s="360">
        <v>0.33333333333333331</v>
      </c>
      <c r="M56" s="360">
        <v>181</v>
      </c>
      <c r="N56" s="360"/>
      <c r="O56" s="360"/>
      <c r="P56" s="384"/>
      <c r="Q56" s="361"/>
    </row>
    <row r="57" spans="1:17" ht="14.4" customHeight="1" x14ac:dyDescent="0.3">
      <c r="A57" s="356" t="s">
        <v>1134</v>
      </c>
      <c r="B57" s="357" t="s">
        <v>1135</v>
      </c>
      <c r="C57" s="357" t="s">
        <v>1006</v>
      </c>
      <c r="D57" s="357" t="s">
        <v>1206</v>
      </c>
      <c r="E57" s="357" t="s">
        <v>1207</v>
      </c>
      <c r="F57" s="360">
        <v>2</v>
      </c>
      <c r="G57" s="360">
        <v>122</v>
      </c>
      <c r="H57" s="360">
        <v>1</v>
      </c>
      <c r="I57" s="360">
        <v>61</v>
      </c>
      <c r="J57" s="360"/>
      <c r="K57" s="360"/>
      <c r="L57" s="360"/>
      <c r="M57" s="360"/>
      <c r="N57" s="360"/>
      <c r="O57" s="360"/>
      <c r="P57" s="384"/>
      <c r="Q57" s="361"/>
    </row>
    <row r="58" spans="1:17" ht="14.4" customHeight="1" x14ac:dyDescent="0.3">
      <c r="A58" s="356" t="s">
        <v>1134</v>
      </c>
      <c r="B58" s="357" t="s">
        <v>1135</v>
      </c>
      <c r="C58" s="357" t="s">
        <v>1006</v>
      </c>
      <c r="D58" s="357" t="s">
        <v>1208</v>
      </c>
      <c r="E58" s="357" t="s">
        <v>1209</v>
      </c>
      <c r="F58" s="360">
        <v>3</v>
      </c>
      <c r="G58" s="360">
        <v>111</v>
      </c>
      <c r="H58" s="360">
        <v>1</v>
      </c>
      <c r="I58" s="360">
        <v>37</v>
      </c>
      <c r="J58" s="360">
        <v>1</v>
      </c>
      <c r="K58" s="360">
        <v>37</v>
      </c>
      <c r="L58" s="360">
        <v>0.33333333333333331</v>
      </c>
      <c r="M58" s="360">
        <v>37</v>
      </c>
      <c r="N58" s="360"/>
      <c r="O58" s="360"/>
      <c r="P58" s="384"/>
      <c r="Q58" s="361"/>
    </row>
    <row r="59" spans="1:17" ht="14.4" customHeight="1" x14ac:dyDescent="0.3">
      <c r="A59" s="356" t="s">
        <v>1134</v>
      </c>
      <c r="B59" s="357" t="s">
        <v>1135</v>
      </c>
      <c r="C59" s="357" t="s">
        <v>1006</v>
      </c>
      <c r="D59" s="357" t="s">
        <v>1210</v>
      </c>
      <c r="E59" s="357" t="s">
        <v>1211</v>
      </c>
      <c r="F59" s="360">
        <v>1</v>
      </c>
      <c r="G59" s="360">
        <v>23</v>
      </c>
      <c r="H59" s="360">
        <v>1</v>
      </c>
      <c r="I59" s="360">
        <v>23</v>
      </c>
      <c r="J59" s="360">
        <v>2</v>
      </c>
      <c r="K59" s="360">
        <v>46</v>
      </c>
      <c r="L59" s="360">
        <v>2</v>
      </c>
      <c r="M59" s="360">
        <v>23</v>
      </c>
      <c r="N59" s="360"/>
      <c r="O59" s="360"/>
      <c r="P59" s="384"/>
      <c r="Q59" s="361"/>
    </row>
    <row r="60" spans="1:17" ht="14.4" customHeight="1" x14ac:dyDescent="0.3">
      <c r="A60" s="356" t="s">
        <v>1134</v>
      </c>
      <c r="B60" s="357" t="s">
        <v>1135</v>
      </c>
      <c r="C60" s="357" t="s">
        <v>1006</v>
      </c>
      <c r="D60" s="357" t="s">
        <v>1212</v>
      </c>
      <c r="E60" s="357" t="s">
        <v>1213</v>
      </c>
      <c r="F60" s="360">
        <v>1</v>
      </c>
      <c r="G60" s="360">
        <v>60</v>
      </c>
      <c r="H60" s="360">
        <v>1</v>
      </c>
      <c r="I60" s="360">
        <v>60</v>
      </c>
      <c r="J60" s="360">
        <v>1</v>
      </c>
      <c r="K60" s="360">
        <v>60</v>
      </c>
      <c r="L60" s="360">
        <v>1</v>
      </c>
      <c r="M60" s="360">
        <v>60</v>
      </c>
      <c r="N60" s="360"/>
      <c r="O60" s="360"/>
      <c r="P60" s="384"/>
      <c r="Q60" s="361"/>
    </row>
    <row r="61" spans="1:17" ht="14.4" customHeight="1" x14ac:dyDescent="0.3">
      <c r="A61" s="356" t="s">
        <v>1134</v>
      </c>
      <c r="B61" s="357" t="s">
        <v>1135</v>
      </c>
      <c r="C61" s="357" t="s">
        <v>1006</v>
      </c>
      <c r="D61" s="357" t="s">
        <v>1214</v>
      </c>
      <c r="E61" s="357" t="s">
        <v>1215</v>
      </c>
      <c r="F61" s="360">
        <v>1</v>
      </c>
      <c r="G61" s="360">
        <v>169</v>
      </c>
      <c r="H61" s="360">
        <v>1</v>
      </c>
      <c r="I61" s="360">
        <v>169</v>
      </c>
      <c r="J61" s="360"/>
      <c r="K61" s="360"/>
      <c r="L61" s="360"/>
      <c r="M61" s="360"/>
      <c r="N61" s="360"/>
      <c r="O61" s="360"/>
      <c r="P61" s="384"/>
      <c r="Q61" s="361"/>
    </row>
    <row r="62" spans="1:17" ht="14.4" customHeight="1" x14ac:dyDescent="0.3">
      <c r="A62" s="356" t="s">
        <v>1134</v>
      </c>
      <c r="B62" s="357" t="s">
        <v>1135</v>
      </c>
      <c r="C62" s="357" t="s">
        <v>1006</v>
      </c>
      <c r="D62" s="357" t="s">
        <v>1216</v>
      </c>
      <c r="E62" s="357" t="s">
        <v>1217</v>
      </c>
      <c r="F62" s="360">
        <v>2</v>
      </c>
      <c r="G62" s="360">
        <v>788</v>
      </c>
      <c r="H62" s="360">
        <v>1</v>
      </c>
      <c r="I62" s="360">
        <v>394</v>
      </c>
      <c r="J62" s="360"/>
      <c r="K62" s="360"/>
      <c r="L62" s="360"/>
      <c r="M62" s="360"/>
      <c r="N62" s="360"/>
      <c r="O62" s="360"/>
      <c r="P62" s="384"/>
      <c r="Q62" s="361"/>
    </row>
    <row r="63" spans="1:17" ht="14.4" customHeight="1" x14ac:dyDescent="0.3">
      <c r="A63" s="356" t="s">
        <v>1134</v>
      </c>
      <c r="B63" s="357" t="s">
        <v>1135</v>
      </c>
      <c r="C63" s="357" t="s">
        <v>1006</v>
      </c>
      <c r="D63" s="357" t="s">
        <v>1218</v>
      </c>
      <c r="E63" s="357" t="s">
        <v>1219</v>
      </c>
      <c r="F63" s="360">
        <v>3</v>
      </c>
      <c r="G63" s="360">
        <v>234</v>
      </c>
      <c r="H63" s="360">
        <v>1</v>
      </c>
      <c r="I63" s="360">
        <v>78</v>
      </c>
      <c r="J63" s="360">
        <v>1</v>
      </c>
      <c r="K63" s="360">
        <v>78</v>
      </c>
      <c r="L63" s="360">
        <v>0.33333333333333331</v>
      </c>
      <c r="M63" s="360">
        <v>78</v>
      </c>
      <c r="N63" s="360"/>
      <c r="O63" s="360"/>
      <c r="P63" s="384"/>
      <c r="Q63" s="361"/>
    </row>
    <row r="64" spans="1:17" ht="14.4" customHeight="1" x14ac:dyDescent="0.3">
      <c r="A64" s="356" t="s">
        <v>1134</v>
      </c>
      <c r="B64" s="357" t="s">
        <v>1135</v>
      </c>
      <c r="C64" s="357" t="s">
        <v>1006</v>
      </c>
      <c r="D64" s="357" t="s">
        <v>1220</v>
      </c>
      <c r="E64" s="357" t="s">
        <v>1221</v>
      </c>
      <c r="F64" s="360">
        <v>3</v>
      </c>
      <c r="G64" s="360">
        <v>744</v>
      </c>
      <c r="H64" s="360">
        <v>1</v>
      </c>
      <c r="I64" s="360">
        <v>248</v>
      </c>
      <c r="J64" s="360">
        <v>1</v>
      </c>
      <c r="K64" s="360">
        <v>249</v>
      </c>
      <c r="L64" s="360">
        <v>0.33467741935483869</v>
      </c>
      <c r="M64" s="360">
        <v>249</v>
      </c>
      <c r="N64" s="360"/>
      <c r="O64" s="360"/>
      <c r="P64" s="384"/>
      <c r="Q64" s="361"/>
    </row>
    <row r="65" spans="1:17" ht="14.4" customHeight="1" x14ac:dyDescent="0.3">
      <c r="A65" s="356" t="s">
        <v>1134</v>
      </c>
      <c r="B65" s="357" t="s">
        <v>1135</v>
      </c>
      <c r="C65" s="357" t="s">
        <v>1006</v>
      </c>
      <c r="D65" s="357" t="s">
        <v>1222</v>
      </c>
      <c r="E65" s="357" t="s">
        <v>1223</v>
      </c>
      <c r="F65" s="360">
        <v>211</v>
      </c>
      <c r="G65" s="360">
        <v>31017</v>
      </c>
      <c r="H65" s="360">
        <v>1</v>
      </c>
      <c r="I65" s="360">
        <v>147</v>
      </c>
      <c r="J65" s="360">
        <v>133</v>
      </c>
      <c r="K65" s="360">
        <v>19551</v>
      </c>
      <c r="L65" s="360">
        <v>0.63033175355450233</v>
      </c>
      <c r="M65" s="360">
        <v>147</v>
      </c>
      <c r="N65" s="360"/>
      <c r="O65" s="360"/>
      <c r="P65" s="384"/>
      <c r="Q65" s="361"/>
    </row>
    <row r="66" spans="1:17" ht="14.4" customHeight="1" x14ac:dyDescent="0.3">
      <c r="A66" s="356" t="s">
        <v>1134</v>
      </c>
      <c r="B66" s="357" t="s">
        <v>1135</v>
      </c>
      <c r="C66" s="357" t="s">
        <v>1006</v>
      </c>
      <c r="D66" s="357" t="s">
        <v>1224</v>
      </c>
      <c r="E66" s="357" t="s">
        <v>1225</v>
      </c>
      <c r="F66" s="360">
        <v>2</v>
      </c>
      <c r="G66" s="360">
        <v>410</v>
      </c>
      <c r="H66" s="360">
        <v>1</v>
      </c>
      <c r="I66" s="360">
        <v>205</v>
      </c>
      <c r="J66" s="360">
        <v>2</v>
      </c>
      <c r="K66" s="360">
        <v>410</v>
      </c>
      <c r="L66" s="360">
        <v>1</v>
      </c>
      <c r="M66" s="360">
        <v>205</v>
      </c>
      <c r="N66" s="360"/>
      <c r="O66" s="360"/>
      <c r="P66" s="384"/>
      <c r="Q66" s="361"/>
    </row>
    <row r="67" spans="1:17" ht="14.4" customHeight="1" x14ac:dyDescent="0.3">
      <c r="A67" s="356" t="s">
        <v>1134</v>
      </c>
      <c r="B67" s="357" t="s">
        <v>1135</v>
      </c>
      <c r="C67" s="357" t="s">
        <v>1006</v>
      </c>
      <c r="D67" s="357" t="s">
        <v>1226</v>
      </c>
      <c r="E67" s="357" t="s">
        <v>1227</v>
      </c>
      <c r="F67" s="360">
        <v>2</v>
      </c>
      <c r="G67" s="360">
        <v>312</v>
      </c>
      <c r="H67" s="360">
        <v>1</v>
      </c>
      <c r="I67" s="360">
        <v>156</v>
      </c>
      <c r="J67" s="360">
        <v>2</v>
      </c>
      <c r="K67" s="360">
        <v>312</v>
      </c>
      <c r="L67" s="360">
        <v>1</v>
      </c>
      <c r="M67" s="360">
        <v>156</v>
      </c>
      <c r="N67" s="360"/>
      <c r="O67" s="360"/>
      <c r="P67" s="384"/>
      <c r="Q67" s="361"/>
    </row>
    <row r="68" spans="1:17" ht="14.4" customHeight="1" x14ac:dyDescent="0.3">
      <c r="A68" s="356" t="s">
        <v>1134</v>
      </c>
      <c r="B68" s="357" t="s">
        <v>1135</v>
      </c>
      <c r="C68" s="357" t="s">
        <v>1006</v>
      </c>
      <c r="D68" s="357" t="s">
        <v>1228</v>
      </c>
      <c r="E68" s="357" t="s">
        <v>1229</v>
      </c>
      <c r="F68" s="360">
        <v>1</v>
      </c>
      <c r="G68" s="360">
        <v>249</v>
      </c>
      <c r="H68" s="360">
        <v>1</v>
      </c>
      <c r="I68" s="360">
        <v>249</v>
      </c>
      <c r="J68" s="360"/>
      <c r="K68" s="360"/>
      <c r="L68" s="360"/>
      <c r="M68" s="360"/>
      <c r="N68" s="360"/>
      <c r="O68" s="360"/>
      <c r="P68" s="384"/>
      <c r="Q68" s="361"/>
    </row>
    <row r="69" spans="1:17" ht="14.4" customHeight="1" x14ac:dyDescent="0.3">
      <c r="A69" s="356" t="s">
        <v>1134</v>
      </c>
      <c r="B69" s="357" t="s">
        <v>1135</v>
      </c>
      <c r="C69" s="357" t="s">
        <v>1006</v>
      </c>
      <c r="D69" s="357" t="s">
        <v>1230</v>
      </c>
      <c r="E69" s="357" t="s">
        <v>1231</v>
      </c>
      <c r="F69" s="360">
        <v>1</v>
      </c>
      <c r="G69" s="360">
        <v>29</v>
      </c>
      <c r="H69" s="360">
        <v>1</v>
      </c>
      <c r="I69" s="360">
        <v>29</v>
      </c>
      <c r="J69" s="360">
        <v>4</v>
      </c>
      <c r="K69" s="360">
        <v>116</v>
      </c>
      <c r="L69" s="360">
        <v>4</v>
      </c>
      <c r="M69" s="360">
        <v>29</v>
      </c>
      <c r="N69" s="360"/>
      <c r="O69" s="360"/>
      <c r="P69" s="384"/>
      <c r="Q69" s="361"/>
    </row>
    <row r="70" spans="1:17" ht="14.4" customHeight="1" x14ac:dyDescent="0.3">
      <c r="A70" s="356" t="s">
        <v>1134</v>
      </c>
      <c r="B70" s="357" t="s">
        <v>1135</v>
      </c>
      <c r="C70" s="357" t="s">
        <v>1006</v>
      </c>
      <c r="D70" s="357" t="s">
        <v>1232</v>
      </c>
      <c r="E70" s="357" t="s">
        <v>1233</v>
      </c>
      <c r="F70" s="360">
        <v>2</v>
      </c>
      <c r="G70" s="360">
        <v>42</v>
      </c>
      <c r="H70" s="360">
        <v>1</v>
      </c>
      <c r="I70" s="360">
        <v>21</v>
      </c>
      <c r="J70" s="360">
        <v>2</v>
      </c>
      <c r="K70" s="360">
        <v>42</v>
      </c>
      <c r="L70" s="360">
        <v>1</v>
      </c>
      <c r="M70" s="360">
        <v>21</v>
      </c>
      <c r="N70" s="360"/>
      <c r="O70" s="360"/>
      <c r="P70" s="384"/>
      <c r="Q70" s="361"/>
    </row>
    <row r="71" spans="1:17" ht="14.4" customHeight="1" x14ac:dyDescent="0.3">
      <c r="A71" s="356" t="s">
        <v>1134</v>
      </c>
      <c r="B71" s="357" t="s">
        <v>1135</v>
      </c>
      <c r="C71" s="357" t="s">
        <v>1006</v>
      </c>
      <c r="D71" s="357" t="s">
        <v>1234</v>
      </c>
      <c r="E71" s="357" t="s">
        <v>1235</v>
      </c>
      <c r="F71" s="360">
        <v>1</v>
      </c>
      <c r="G71" s="360">
        <v>588</v>
      </c>
      <c r="H71" s="360">
        <v>1</v>
      </c>
      <c r="I71" s="360">
        <v>588</v>
      </c>
      <c r="J71" s="360"/>
      <c r="K71" s="360"/>
      <c r="L71" s="360"/>
      <c r="M71" s="360"/>
      <c r="N71" s="360"/>
      <c r="O71" s="360"/>
      <c r="P71" s="384"/>
      <c r="Q71" s="361"/>
    </row>
    <row r="72" spans="1:17" ht="14.4" customHeight="1" x14ac:dyDescent="0.3">
      <c r="A72" s="356" t="s">
        <v>1134</v>
      </c>
      <c r="B72" s="357" t="s">
        <v>1135</v>
      </c>
      <c r="C72" s="357" t="s">
        <v>1006</v>
      </c>
      <c r="D72" s="357" t="s">
        <v>1236</v>
      </c>
      <c r="E72" s="357" t="s">
        <v>1237</v>
      </c>
      <c r="F72" s="360">
        <v>1</v>
      </c>
      <c r="G72" s="360">
        <v>29</v>
      </c>
      <c r="H72" s="360">
        <v>1</v>
      </c>
      <c r="I72" s="360">
        <v>29</v>
      </c>
      <c r="J72" s="360">
        <v>3</v>
      </c>
      <c r="K72" s="360">
        <v>87</v>
      </c>
      <c r="L72" s="360">
        <v>3</v>
      </c>
      <c r="M72" s="360">
        <v>29</v>
      </c>
      <c r="N72" s="360"/>
      <c r="O72" s="360"/>
      <c r="P72" s="384"/>
      <c r="Q72" s="361"/>
    </row>
    <row r="73" spans="1:17" ht="14.4" customHeight="1" x14ac:dyDescent="0.3">
      <c r="A73" s="356" t="s">
        <v>1134</v>
      </c>
      <c r="B73" s="357" t="s">
        <v>1135</v>
      </c>
      <c r="C73" s="357" t="s">
        <v>1006</v>
      </c>
      <c r="D73" s="357" t="s">
        <v>1238</v>
      </c>
      <c r="E73" s="357" t="s">
        <v>1239</v>
      </c>
      <c r="F73" s="360">
        <v>1</v>
      </c>
      <c r="G73" s="360">
        <v>27</v>
      </c>
      <c r="H73" s="360">
        <v>1</v>
      </c>
      <c r="I73" s="360">
        <v>27</v>
      </c>
      <c r="J73" s="360">
        <v>3</v>
      </c>
      <c r="K73" s="360">
        <v>81</v>
      </c>
      <c r="L73" s="360">
        <v>3</v>
      </c>
      <c r="M73" s="360">
        <v>27</v>
      </c>
      <c r="N73" s="360"/>
      <c r="O73" s="360"/>
      <c r="P73" s="384"/>
      <c r="Q73" s="361"/>
    </row>
    <row r="74" spans="1:17" ht="14.4" customHeight="1" x14ac:dyDescent="0.3">
      <c r="A74" s="356" t="s">
        <v>1134</v>
      </c>
      <c r="B74" s="357" t="s">
        <v>1135</v>
      </c>
      <c r="C74" s="357" t="s">
        <v>1006</v>
      </c>
      <c r="D74" s="357" t="s">
        <v>1240</v>
      </c>
      <c r="E74" s="357" t="s">
        <v>1241</v>
      </c>
      <c r="F74" s="360">
        <v>1</v>
      </c>
      <c r="G74" s="360">
        <v>62</v>
      </c>
      <c r="H74" s="360">
        <v>1</v>
      </c>
      <c r="I74" s="360">
        <v>62</v>
      </c>
      <c r="J74" s="360"/>
      <c r="K74" s="360"/>
      <c r="L74" s="360"/>
      <c r="M74" s="360"/>
      <c r="N74" s="360"/>
      <c r="O74" s="360"/>
      <c r="P74" s="384"/>
      <c r="Q74" s="361"/>
    </row>
    <row r="75" spans="1:17" ht="14.4" customHeight="1" x14ac:dyDescent="0.3">
      <c r="A75" s="356" t="s">
        <v>1134</v>
      </c>
      <c r="B75" s="357" t="s">
        <v>1135</v>
      </c>
      <c r="C75" s="357" t="s">
        <v>1006</v>
      </c>
      <c r="D75" s="357" t="s">
        <v>1242</v>
      </c>
      <c r="E75" s="357" t="s">
        <v>1243</v>
      </c>
      <c r="F75" s="360">
        <v>1</v>
      </c>
      <c r="G75" s="360">
        <v>84</v>
      </c>
      <c r="H75" s="360">
        <v>1</v>
      </c>
      <c r="I75" s="360">
        <v>84</v>
      </c>
      <c r="J75" s="360">
        <v>1</v>
      </c>
      <c r="K75" s="360">
        <v>84</v>
      </c>
      <c r="L75" s="360">
        <v>1</v>
      </c>
      <c r="M75" s="360">
        <v>84</v>
      </c>
      <c r="N75" s="360"/>
      <c r="O75" s="360"/>
      <c r="P75" s="384"/>
      <c r="Q75" s="361"/>
    </row>
    <row r="76" spans="1:17" ht="14.4" customHeight="1" x14ac:dyDescent="0.3">
      <c r="A76" s="356" t="s">
        <v>1134</v>
      </c>
      <c r="B76" s="357" t="s">
        <v>1135</v>
      </c>
      <c r="C76" s="357" t="s">
        <v>1006</v>
      </c>
      <c r="D76" s="357" t="s">
        <v>1244</v>
      </c>
      <c r="E76" s="357" t="s">
        <v>1245</v>
      </c>
      <c r="F76" s="360">
        <v>1</v>
      </c>
      <c r="G76" s="360">
        <v>24</v>
      </c>
      <c r="H76" s="360">
        <v>1</v>
      </c>
      <c r="I76" s="360">
        <v>24</v>
      </c>
      <c r="J76" s="360">
        <v>3</v>
      </c>
      <c r="K76" s="360">
        <v>72</v>
      </c>
      <c r="L76" s="360">
        <v>3</v>
      </c>
      <c r="M76" s="360">
        <v>24</v>
      </c>
      <c r="N76" s="360"/>
      <c r="O76" s="360"/>
      <c r="P76" s="384"/>
      <c r="Q76" s="361"/>
    </row>
    <row r="77" spans="1:17" ht="14.4" customHeight="1" x14ac:dyDescent="0.3">
      <c r="A77" s="356" t="s">
        <v>1134</v>
      </c>
      <c r="B77" s="357" t="s">
        <v>1135</v>
      </c>
      <c r="C77" s="357" t="s">
        <v>1006</v>
      </c>
      <c r="D77" s="357" t="s">
        <v>1246</v>
      </c>
      <c r="E77" s="357" t="s">
        <v>1247</v>
      </c>
      <c r="F77" s="360">
        <v>1</v>
      </c>
      <c r="G77" s="360">
        <v>68</v>
      </c>
      <c r="H77" s="360">
        <v>1</v>
      </c>
      <c r="I77" s="360">
        <v>68</v>
      </c>
      <c r="J77" s="360">
        <v>1</v>
      </c>
      <c r="K77" s="360">
        <v>68</v>
      </c>
      <c r="L77" s="360">
        <v>1</v>
      </c>
      <c r="M77" s="360">
        <v>68</v>
      </c>
      <c r="N77" s="360"/>
      <c r="O77" s="360"/>
      <c r="P77" s="384"/>
      <c r="Q77" s="361"/>
    </row>
    <row r="78" spans="1:17" ht="14.4" customHeight="1" x14ac:dyDescent="0.3">
      <c r="A78" s="356" t="s">
        <v>1134</v>
      </c>
      <c r="B78" s="357" t="s">
        <v>1135</v>
      </c>
      <c r="C78" s="357" t="s">
        <v>1006</v>
      </c>
      <c r="D78" s="357" t="s">
        <v>1248</v>
      </c>
      <c r="E78" s="357" t="s">
        <v>1249</v>
      </c>
      <c r="F78" s="360">
        <v>1</v>
      </c>
      <c r="G78" s="360">
        <v>559</v>
      </c>
      <c r="H78" s="360">
        <v>1</v>
      </c>
      <c r="I78" s="360">
        <v>559</v>
      </c>
      <c r="J78" s="360"/>
      <c r="K78" s="360"/>
      <c r="L78" s="360"/>
      <c r="M78" s="360"/>
      <c r="N78" s="360"/>
      <c r="O78" s="360"/>
      <c r="P78" s="384"/>
      <c r="Q78" s="361"/>
    </row>
    <row r="79" spans="1:17" ht="14.4" customHeight="1" x14ac:dyDescent="0.3">
      <c r="A79" s="356" t="s">
        <v>1134</v>
      </c>
      <c r="B79" s="357" t="s">
        <v>1135</v>
      </c>
      <c r="C79" s="357" t="s">
        <v>1006</v>
      </c>
      <c r="D79" s="357" t="s">
        <v>1250</v>
      </c>
      <c r="E79" s="357" t="s">
        <v>1251</v>
      </c>
      <c r="F79" s="360">
        <v>1</v>
      </c>
      <c r="G79" s="360">
        <v>22</v>
      </c>
      <c r="H79" s="360">
        <v>1</v>
      </c>
      <c r="I79" s="360">
        <v>22</v>
      </c>
      <c r="J79" s="360">
        <v>3</v>
      </c>
      <c r="K79" s="360">
        <v>66</v>
      </c>
      <c r="L79" s="360">
        <v>3</v>
      </c>
      <c r="M79" s="360">
        <v>22</v>
      </c>
      <c r="N79" s="360"/>
      <c r="O79" s="360"/>
      <c r="P79" s="384"/>
      <c r="Q79" s="361"/>
    </row>
    <row r="80" spans="1:17" ht="14.4" customHeight="1" x14ac:dyDescent="0.3">
      <c r="A80" s="356" t="s">
        <v>1134</v>
      </c>
      <c r="B80" s="357" t="s">
        <v>1135</v>
      </c>
      <c r="C80" s="357" t="s">
        <v>1006</v>
      </c>
      <c r="D80" s="357" t="s">
        <v>1252</v>
      </c>
      <c r="E80" s="357" t="s">
        <v>1253</v>
      </c>
      <c r="F80" s="360">
        <v>1</v>
      </c>
      <c r="G80" s="360">
        <v>572</v>
      </c>
      <c r="H80" s="360">
        <v>1</v>
      </c>
      <c r="I80" s="360">
        <v>572</v>
      </c>
      <c r="J80" s="360"/>
      <c r="K80" s="360"/>
      <c r="L80" s="360"/>
      <c r="M80" s="360"/>
      <c r="N80" s="360"/>
      <c r="O80" s="360"/>
      <c r="P80" s="384"/>
      <c r="Q80" s="361"/>
    </row>
    <row r="81" spans="1:17" ht="14.4" customHeight="1" x14ac:dyDescent="0.3">
      <c r="A81" s="356" t="s">
        <v>1134</v>
      </c>
      <c r="B81" s="357" t="s">
        <v>1135</v>
      </c>
      <c r="C81" s="357" t="s">
        <v>1006</v>
      </c>
      <c r="D81" s="357" t="s">
        <v>1254</v>
      </c>
      <c r="E81" s="357" t="s">
        <v>1255</v>
      </c>
      <c r="F81" s="360">
        <v>3</v>
      </c>
      <c r="G81" s="360">
        <v>321</v>
      </c>
      <c r="H81" s="360">
        <v>1</v>
      </c>
      <c r="I81" s="360">
        <v>107</v>
      </c>
      <c r="J81" s="360">
        <v>1</v>
      </c>
      <c r="K81" s="360">
        <v>107</v>
      </c>
      <c r="L81" s="360">
        <v>0.33333333333333331</v>
      </c>
      <c r="M81" s="360">
        <v>107</v>
      </c>
      <c r="N81" s="360"/>
      <c r="O81" s="360"/>
      <c r="P81" s="384"/>
      <c r="Q81" s="361"/>
    </row>
    <row r="82" spans="1:17" ht="14.4" customHeight="1" x14ac:dyDescent="0.3">
      <c r="A82" s="356" t="s">
        <v>1134</v>
      </c>
      <c r="B82" s="357" t="s">
        <v>1135</v>
      </c>
      <c r="C82" s="357" t="s">
        <v>1006</v>
      </c>
      <c r="D82" s="357" t="s">
        <v>1256</v>
      </c>
      <c r="E82" s="357" t="s">
        <v>1257</v>
      </c>
      <c r="F82" s="360">
        <v>1</v>
      </c>
      <c r="G82" s="360">
        <v>96</v>
      </c>
      <c r="H82" s="360">
        <v>1</v>
      </c>
      <c r="I82" s="360">
        <v>96</v>
      </c>
      <c r="J82" s="360">
        <v>1</v>
      </c>
      <c r="K82" s="360">
        <v>96</v>
      </c>
      <c r="L82" s="360">
        <v>1</v>
      </c>
      <c r="M82" s="360">
        <v>96</v>
      </c>
      <c r="N82" s="360"/>
      <c r="O82" s="360"/>
      <c r="P82" s="384"/>
      <c r="Q82" s="361"/>
    </row>
    <row r="83" spans="1:17" ht="14.4" customHeight="1" x14ac:dyDescent="0.3">
      <c r="A83" s="356" t="s">
        <v>1134</v>
      </c>
      <c r="B83" s="357" t="s">
        <v>1135</v>
      </c>
      <c r="C83" s="357" t="s">
        <v>1006</v>
      </c>
      <c r="D83" s="357" t="s">
        <v>1258</v>
      </c>
      <c r="E83" s="357" t="s">
        <v>1259</v>
      </c>
      <c r="F83" s="360">
        <v>23</v>
      </c>
      <c r="G83" s="360">
        <v>4692</v>
      </c>
      <c r="H83" s="360">
        <v>1</v>
      </c>
      <c r="I83" s="360">
        <v>204</v>
      </c>
      <c r="J83" s="360">
        <v>15</v>
      </c>
      <c r="K83" s="360">
        <v>3060</v>
      </c>
      <c r="L83" s="360">
        <v>0.65217391304347827</v>
      </c>
      <c r="M83" s="360">
        <v>204</v>
      </c>
      <c r="N83" s="360"/>
      <c r="O83" s="360"/>
      <c r="P83" s="384"/>
      <c r="Q83" s="361"/>
    </row>
    <row r="84" spans="1:17" ht="14.4" customHeight="1" x14ac:dyDescent="0.3">
      <c r="A84" s="356" t="s">
        <v>1134</v>
      </c>
      <c r="B84" s="357" t="s">
        <v>1135</v>
      </c>
      <c r="C84" s="357" t="s">
        <v>1006</v>
      </c>
      <c r="D84" s="357" t="s">
        <v>1260</v>
      </c>
      <c r="E84" s="357" t="s">
        <v>1261</v>
      </c>
      <c r="F84" s="360">
        <v>1</v>
      </c>
      <c r="G84" s="360">
        <v>54</v>
      </c>
      <c r="H84" s="360">
        <v>1</v>
      </c>
      <c r="I84" s="360">
        <v>54</v>
      </c>
      <c r="J84" s="360">
        <v>1</v>
      </c>
      <c r="K84" s="360">
        <v>54</v>
      </c>
      <c r="L84" s="360">
        <v>1</v>
      </c>
      <c r="M84" s="360">
        <v>54</v>
      </c>
      <c r="N84" s="360"/>
      <c r="O84" s="360"/>
      <c r="P84" s="384"/>
      <c r="Q84" s="361"/>
    </row>
    <row r="85" spans="1:17" ht="14.4" customHeight="1" x14ac:dyDescent="0.3">
      <c r="A85" s="356" t="s">
        <v>1134</v>
      </c>
      <c r="B85" s="357" t="s">
        <v>1135</v>
      </c>
      <c r="C85" s="357" t="s">
        <v>1006</v>
      </c>
      <c r="D85" s="357" t="s">
        <v>1262</v>
      </c>
      <c r="E85" s="357" t="s">
        <v>1263</v>
      </c>
      <c r="F85" s="360">
        <v>1</v>
      </c>
      <c r="G85" s="360">
        <v>27</v>
      </c>
      <c r="H85" s="360">
        <v>1</v>
      </c>
      <c r="I85" s="360">
        <v>27</v>
      </c>
      <c r="J85" s="360">
        <v>3</v>
      </c>
      <c r="K85" s="360">
        <v>81</v>
      </c>
      <c r="L85" s="360">
        <v>3</v>
      </c>
      <c r="M85" s="360">
        <v>27</v>
      </c>
      <c r="N85" s="360"/>
      <c r="O85" s="360"/>
      <c r="P85" s="384"/>
      <c r="Q85" s="361"/>
    </row>
    <row r="86" spans="1:17" ht="14.4" customHeight="1" x14ac:dyDescent="0.3">
      <c r="A86" s="356" t="s">
        <v>1134</v>
      </c>
      <c r="B86" s="357" t="s">
        <v>1135</v>
      </c>
      <c r="C86" s="357" t="s">
        <v>1006</v>
      </c>
      <c r="D86" s="357" t="s">
        <v>1264</v>
      </c>
      <c r="E86" s="357" t="s">
        <v>1265</v>
      </c>
      <c r="F86" s="360">
        <v>6</v>
      </c>
      <c r="G86" s="360">
        <v>186</v>
      </c>
      <c r="H86" s="360">
        <v>1</v>
      </c>
      <c r="I86" s="360">
        <v>31</v>
      </c>
      <c r="J86" s="360"/>
      <c r="K86" s="360"/>
      <c r="L86" s="360"/>
      <c r="M86" s="360"/>
      <c r="N86" s="360"/>
      <c r="O86" s="360"/>
      <c r="P86" s="384"/>
      <c r="Q86" s="361"/>
    </row>
    <row r="87" spans="1:17" ht="14.4" customHeight="1" x14ac:dyDescent="0.3">
      <c r="A87" s="356" t="s">
        <v>1134</v>
      </c>
      <c r="B87" s="357" t="s">
        <v>1266</v>
      </c>
      <c r="C87" s="357" t="s">
        <v>1006</v>
      </c>
      <c r="D87" s="357" t="s">
        <v>1267</v>
      </c>
      <c r="E87" s="357" t="s">
        <v>1268</v>
      </c>
      <c r="F87" s="360">
        <v>1</v>
      </c>
      <c r="G87" s="360">
        <v>159</v>
      </c>
      <c r="H87" s="360">
        <v>1</v>
      </c>
      <c r="I87" s="360">
        <v>159</v>
      </c>
      <c r="J87" s="360"/>
      <c r="K87" s="360"/>
      <c r="L87" s="360"/>
      <c r="M87" s="360"/>
      <c r="N87" s="360"/>
      <c r="O87" s="360"/>
      <c r="P87" s="384"/>
      <c r="Q87" s="361"/>
    </row>
    <row r="88" spans="1:17" ht="14.4" customHeight="1" x14ac:dyDescent="0.3">
      <c r="A88" s="356" t="s">
        <v>1269</v>
      </c>
      <c r="B88" s="357" t="s">
        <v>1270</v>
      </c>
      <c r="C88" s="357" t="s">
        <v>982</v>
      </c>
      <c r="D88" s="357" t="s">
        <v>1271</v>
      </c>
      <c r="E88" s="357" t="s">
        <v>1272</v>
      </c>
      <c r="F88" s="360"/>
      <c r="G88" s="360"/>
      <c r="H88" s="360"/>
      <c r="I88" s="360"/>
      <c r="J88" s="360">
        <v>0.08</v>
      </c>
      <c r="K88" s="360">
        <v>866.13</v>
      </c>
      <c r="L88" s="360"/>
      <c r="M88" s="360">
        <v>10826.625</v>
      </c>
      <c r="N88" s="360"/>
      <c r="O88" s="360"/>
      <c r="P88" s="384"/>
      <c r="Q88" s="361"/>
    </row>
    <row r="89" spans="1:17" ht="14.4" customHeight="1" x14ac:dyDescent="0.3">
      <c r="A89" s="356" t="s">
        <v>1269</v>
      </c>
      <c r="B89" s="357" t="s">
        <v>1270</v>
      </c>
      <c r="C89" s="357" t="s">
        <v>1006</v>
      </c>
      <c r="D89" s="357" t="s">
        <v>1273</v>
      </c>
      <c r="E89" s="357" t="s">
        <v>1274</v>
      </c>
      <c r="F89" s="360"/>
      <c r="G89" s="360"/>
      <c r="H89" s="360"/>
      <c r="I89" s="360"/>
      <c r="J89" s="360">
        <v>1</v>
      </c>
      <c r="K89" s="360">
        <v>218</v>
      </c>
      <c r="L89" s="360"/>
      <c r="M89" s="360">
        <v>218</v>
      </c>
      <c r="N89" s="360"/>
      <c r="O89" s="360"/>
      <c r="P89" s="384"/>
      <c r="Q89" s="361"/>
    </row>
    <row r="90" spans="1:17" ht="14.4" customHeight="1" x14ac:dyDescent="0.3">
      <c r="A90" s="356" t="s">
        <v>1269</v>
      </c>
      <c r="B90" s="357" t="s">
        <v>1270</v>
      </c>
      <c r="C90" s="357" t="s">
        <v>1006</v>
      </c>
      <c r="D90" s="357" t="s">
        <v>1275</v>
      </c>
      <c r="E90" s="357" t="s">
        <v>1276</v>
      </c>
      <c r="F90" s="360">
        <v>91</v>
      </c>
      <c r="G90" s="360">
        <v>15652</v>
      </c>
      <c r="H90" s="360">
        <v>1</v>
      </c>
      <c r="I90" s="360">
        <v>172</v>
      </c>
      <c r="J90" s="360">
        <v>40</v>
      </c>
      <c r="K90" s="360">
        <v>6880</v>
      </c>
      <c r="L90" s="360">
        <v>0.43956043956043955</v>
      </c>
      <c r="M90" s="360">
        <v>172</v>
      </c>
      <c r="N90" s="360">
        <v>0</v>
      </c>
      <c r="O90" s="360">
        <v>0</v>
      </c>
      <c r="P90" s="384">
        <v>0</v>
      </c>
      <c r="Q90" s="361"/>
    </row>
    <row r="91" spans="1:17" ht="14.4" customHeight="1" x14ac:dyDescent="0.3">
      <c r="A91" s="356" t="s">
        <v>1269</v>
      </c>
      <c r="B91" s="357" t="s">
        <v>1270</v>
      </c>
      <c r="C91" s="357" t="s">
        <v>1006</v>
      </c>
      <c r="D91" s="357" t="s">
        <v>1277</v>
      </c>
      <c r="E91" s="357" t="s">
        <v>1278</v>
      </c>
      <c r="F91" s="360">
        <v>4</v>
      </c>
      <c r="G91" s="360">
        <v>20252</v>
      </c>
      <c r="H91" s="360">
        <v>1</v>
      </c>
      <c r="I91" s="360">
        <v>5063</v>
      </c>
      <c r="J91" s="360"/>
      <c r="K91" s="360"/>
      <c r="L91" s="360"/>
      <c r="M91" s="360"/>
      <c r="N91" s="360"/>
      <c r="O91" s="360"/>
      <c r="P91" s="384"/>
      <c r="Q91" s="361"/>
    </row>
    <row r="92" spans="1:17" ht="14.4" customHeight="1" x14ac:dyDescent="0.3">
      <c r="A92" s="356" t="s">
        <v>1269</v>
      </c>
      <c r="B92" s="357" t="s">
        <v>1270</v>
      </c>
      <c r="C92" s="357" t="s">
        <v>1006</v>
      </c>
      <c r="D92" s="357" t="s">
        <v>1279</v>
      </c>
      <c r="E92" s="357" t="s">
        <v>1280</v>
      </c>
      <c r="F92" s="360">
        <v>2</v>
      </c>
      <c r="G92" s="360">
        <v>3984</v>
      </c>
      <c r="H92" s="360">
        <v>1</v>
      </c>
      <c r="I92" s="360">
        <v>1992</v>
      </c>
      <c r="J92" s="360">
        <v>2</v>
      </c>
      <c r="K92" s="360">
        <v>3988</v>
      </c>
      <c r="L92" s="360">
        <v>1.001004016064257</v>
      </c>
      <c r="M92" s="360">
        <v>1994</v>
      </c>
      <c r="N92" s="360"/>
      <c r="O92" s="360"/>
      <c r="P92" s="384"/>
      <c r="Q92" s="361"/>
    </row>
    <row r="93" spans="1:17" ht="14.4" customHeight="1" x14ac:dyDescent="0.3">
      <c r="A93" s="356" t="s">
        <v>1269</v>
      </c>
      <c r="B93" s="357" t="s">
        <v>1270</v>
      </c>
      <c r="C93" s="357" t="s">
        <v>1006</v>
      </c>
      <c r="D93" s="357" t="s">
        <v>1281</v>
      </c>
      <c r="E93" s="357" t="s">
        <v>1282</v>
      </c>
      <c r="F93" s="360">
        <v>70</v>
      </c>
      <c r="G93" s="360">
        <v>15120</v>
      </c>
      <c r="H93" s="360">
        <v>1</v>
      </c>
      <c r="I93" s="360">
        <v>216</v>
      </c>
      <c r="J93" s="360">
        <v>24</v>
      </c>
      <c r="K93" s="360">
        <v>5184</v>
      </c>
      <c r="L93" s="360">
        <v>0.34285714285714286</v>
      </c>
      <c r="M93" s="360">
        <v>216</v>
      </c>
      <c r="N93" s="360"/>
      <c r="O93" s="360"/>
      <c r="P93" s="384"/>
      <c r="Q93" s="361"/>
    </row>
    <row r="94" spans="1:17" ht="14.4" customHeight="1" x14ac:dyDescent="0.3">
      <c r="A94" s="356" t="s">
        <v>1269</v>
      </c>
      <c r="B94" s="357" t="s">
        <v>1270</v>
      </c>
      <c r="C94" s="357" t="s">
        <v>1006</v>
      </c>
      <c r="D94" s="357" t="s">
        <v>1283</v>
      </c>
      <c r="E94" s="357" t="s">
        <v>1284</v>
      </c>
      <c r="F94" s="360">
        <v>4</v>
      </c>
      <c r="G94" s="360">
        <v>492</v>
      </c>
      <c r="H94" s="360">
        <v>1</v>
      </c>
      <c r="I94" s="360">
        <v>123</v>
      </c>
      <c r="J94" s="360">
        <v>5</v>
      </c>
      <c r="K94" s="360">
        <v>620</v>
      </c>
      <c r="L94" s="360">
        <v>1.2601626016260163</v>
      </c>
      <c r="M94" s="360">
        <v>124</v>
      </c>
      <c r="N94" s="360"/>
      <c r="O94" s="360"/>
      <c r="P94" s="384"/>
      <c r="Q94" s="361"/>
    </row>
    <row r="95" spans="1:17" ht="14.4" customHeight="1" x14ac:dyDescent="0.3">
      <c r="A95" s="356" t="s">
        <v>1269</v>
      </c>
      <c r="B95" s="357" t="s">
        <v>1270</v>
      </c>
      <c r="C95" s="357" t="s">
        <v>1006</v>
      </c>
      <c r="D95" s="357" t="s">
        <v>1285</v>
      </c>
      <c r="E95" s="357" t="s">
        <v>1286</v>
      </c>
      <c r="F95" s="360"/>
      <c r="G95" s="360"/>
      <c r="H95" s="360"/>
      <c r="I95" s="360"/>
      <c r="J95" s="360">
        <v>1</v>
      </c>
      <c r="K95" s="360">
        <v>2116</v>
      </c>
      <c r="L95" s="360"/>
      <c r="M95" s="360">
        <v>2116</v>
      </c>
      <c r="N95" s="360"/>
      <c r="O95" s="360"/>
      <c r="P95" s="384"/>
      <c r="Q95" s="361"/>
    </row>
    <row r="96" spans="1:17" ht="14.4" customHeight="1" x14ac:dyDescent="0.3">
      <c r="A96" s="356" t="s">
        <v>1269</v>
      </c>
      <c r="B96" s="357" t="s">
        <v>1270</v>
      </c>
      <c r="C96" s="357" t="s">
        <v>1006</v>
      </c>
      <c r="D96" s="357" t="s">
        <v>1287</v>
      </c>
      <c r="E96" s="357" t="s">
        <v>1288</v>
      </c>
      <c r="F96" s="360">
        <v>28</v>
      </c>
      <c r="G96" s="360">
        <v>4172</v>
      </c>
      <c r="H96" s="360">
        <v>1</v>
      </c>
      <c r="I96" s="360">
        <v>149</v>
      </c>
      <c r="J96" s="360">
        <v>16</v>
      </c>
      <c r="K96" s="360">
        <v>2384</v>
      </c>
      <c r="L96" s="360">
        <v>0.5714285714285714</v>
      </c>
      <c r="M96" s="360">
        <v>149</v>
      </c>
      <c r="N96" s="360"/>
      <c r="O96" s="360"/>
      <c r="P96" s="384"/>
      <c r="Q96" s="361"/>
    </row>
    <row r="97" spans="1:17" ht="14.4" customHeight="1" x14ac:dyDescent="0.3">
      <c r="A97" s="356" t="s">
        <v>1269</v>
      </c>
      <c r="B97" s="357" t="s">
        <v>1270</v>
      </c>
      <c r="C97" s="357" t="s">
        <v>1006</v>
      </c>
      <c r="D97" s="357" t="s">
        <v>1289</v>
      </c>
      <c r="E97" s="357" t="s">
        <v>1290</v>
      </c>
      <c r="F97" s="360">
        <v>14</v>
      </c>
      <c r="G97" s="360">
        <v>2688</v>
      </c>
      <c r="H97" s="360">
        <v>1</v>
      </c>
      <c r="I97" s="360">
        <v>192</v>
      </c>
      <c r="J97" s="360">
        <v>2</v>
      </c>
      <c r="K97" s="360">
        <v>384</v>
      </c>
      <c r="L97" s="360">
        <v>0.14285714285714285</v>
      </c>
      <c r="M97" s="360">
        <v>192</v>
      </c>
      <c r="N97" s="360"/>
      <c r="O97" s="360"/>
      <c r="P97" s="384"/>
      <c r="Q97" s="361"/>
    </row>
    <row r="98" spans="1:17" ht="14.4" customHeight="1" x14ac:dyDescent="0.3">
      <c r="A98" s="356" t="s">
        <v>1269</v>
      </c>
      <c r="B98" s="357" t="s">
        <v>1270</v>
      </c>
      <c r="C98" s="357" t="s">
        <v>1006</v>
      </c>
      <c r="D98" s="357" t="s">
        <v>1291</v>
      </c>
      <c r="E98" s="357" t="s">
        <v>1292</v>
      </c>
      <c r="F98" s="360"/>
      <c r="G98" s="360"/>
      <c r="H98" s="360"/>
      <c r="I98" s="360"/>
      <c r="J98" s="360">
        <v>4</v>
      </c>
      <c r="K98" s="360">
        <v>816</v>
      </c>
      <c r="L98" s="360"/>
      <c r="M98" s="360">
        <v>204</v>
      </c>
      <c r="N98" s="360"/>
      <c r="O98" s="360"/>
      <c r="P98" s="384"/>
      <c r="Q98" s="361"/>
    </row>
    <row r="99" spans="1:17" ht="14.4" customHeight="1" x14ac:dyDescent="0.3">
      <c r="A99" s="356" t="s">
        <v>1269</v>
      </c>
      <c r="B99" s="357" t="s">
        <v>1270</v>
      </c>
      <c r="C99" s="357" t="s">
        <v>1006</v>
      </c>
      <c r="D99" s="357" t="s">
        <v>1293</v>
      </c>
      <c r="E99" s="357" t="s">
        <v>1294</v>
      </c>
      <c r="F99" s="360">
        <v>12</v>
      </c>
      <c r="G99" s="360">
        <v>2172</v>
      </c>
      <c r="H99" s="360">
        <v>1</v>
      </c>
      <c r="I99" s="360">
        <v>181</v>
      </c>
      <c r="J99" s="360">
        <v>11</v>
      </c>
      <c r="K99" s="360">
        <v>1991</v>
      </c>
      <c r="L99" s="360">
        <v>0.91666666666666663</v>
      </c>
      <c r="M99" s="360">
        <v>181</v>
      </c>
      <c r="N99" s="360"/>
      <c r="O99" s="360"/>
      <c r="P99" s="384"/>
      <c r="Q99" s="361"/>
    </row>
    <row r="100" spans="1:17" ht="14.4" customHeight="1" x14ac:dyDescent="0.3">
      <c r="A100" s="356" t="s">
        <v>1269</v>
      </c>
      <c r="B100" s="357" t="s">
        <v>1270</v>
      </c>
      <c r="C100" s="357" t="s">
        <v>1006</v>
      </c>
      <c r="D100" s="357" t="s">
        <v>1295</v>
      </c>
      <c r="E100" s="357" t="s">
        <v>1296</v>
      </c>
      <c r="F100" s="360">
        <v>37</v>
      </c>
      <c r="G100" s="360">
        <v>5513</v>
      </c>
      <c r="H100" s="360">
        <v>1</v>
      </c>
      <c r="I100" s="360">
        <v>149</v>
      </c>
      <c r="J100" s="360">
        <v>14</v>
      </c>
      <c r="K100" s="360">
        <v>2086</v>
      </c>
      <c r="L100" s="360">
        <v>0.3783783783783784</v>
      </c>
      <c r="M100" s="360">
        <v>149</v>
      </c>
      <c r="N100" s="360"/>
      <c r="O100" s="360"/>
      <c r="P100" s="384"/>
      <c r="Q100" s="361"/>
    </row>
    <row r="101" spans="1:17" ht="14.4" customHeight="1" x14ac:dyDescent="0.3">
      <c r="A101" s="356" t="s">
        <v>1269</v>
      </c>
      <c r="B101" s="357" t="s">
        <v>1270</v>
      </c>
      <c r="C101" s="357" t="s">
        <v>1006</v>
      </c>
      <c r="D101" s="357" t="s">
        <v>1297</v>
      </c>
      <c r="E101" s="357" t="s">
        <v>1298</v>
      </c>
      <c r="F101" s="360">
        <v>1</v>
      </c>
      <c r="G101" s="360">
        <v>157</v>
      </c>
      <c r="H101" s="360">
        <v>1</v>
      </c>
      <c r="I101" s="360">
        <v>157</v>
      </c>
      <c r="J101" s="360">
        <v>1</v>
      </c>
      <c r="K101" s="360">
        <v>157</v>
      </c>
      <c r="L101" s="360">
        <v>1</v>
      </c>
      <c r="M101" s="360">
        <v>157</v>
      </c>
      <c r="N101" s="360"/>
      <c r="O101" s="360"/>
      <c r="P101" s="384"/>
      <c r="Q101" s="361"/>
    </row>
    <row r="102" spans="1:17" ht="14.4" customHeight="1" x14ac:dyDescent="0.3">
      <c r="A102" s="356" t="s">
        <v>1299</v>
      </c>
      <c r="B102" s="357" t="s">
        <v>1300</v>
      </c>
      <c r="C102" s="357" t="s">
        <v>1006</v>
      </c>
      <c r="D102" s="357" t="s">
        <v>1301</v>
      </c>
      <c r="E102" s="357" t="s">
        <v>1302</v>
      </c>
      <c r="F102" s="360">
        <v>5</v>
      </c>
      <c r="G102" s="360">
        <v>870</v>
      </c>
      <c r="H102" s="360">
        <v>1</v>
      </c>
      <c r="I102" s="360">
        <v>174</v>
      </c>
      <c r="J102" s="360">
        <v>2</v>
      </c>
      <c r="K102" s="360">
        <v>348</v>
      </c>
      <c r="L102" s="360">
        <v>0.4</v>
      </c>
      <c r="M102" s="360">
        <v>174</v>
      </c>
      <c r="N102" s="360"/>
      <c r="O102" s="360"/>
      <c r="P102" s="384"/>
      <c r="Q102" s="361"/>
    </row>
    <row r="103" spans="1:17" ht="14.4" customHeight="1" x14ac:dyDescent="0.3">
      <c r="A103" s="356" t="s">
        <v>1299</v>
      </c>
      <c r="B103" s="357" t="s">
        <v>1300</v>
      </c>
      <c r="C103" s="357" t="s">
        <v>1006</v>
      </c>
      <c r="D103" s="357" t="s">
        <v>1303</v>
      </c>
      <c r="E103" s="357" t="s">
        <v>1304</v>
      </c>
      <c r="F103" s="360"/>
      <c r="G103" s="360"/>
      <c r="H103" s="360"/>
      <c r="I103" s="360"/>
      <c r="J103" s="360">
        <v>1</v>
      </c>
      <c r="K103" s="360">
        <v>1015</v>
      </c>
      <c r="L103" s="360"/>
      <c r="M103" s="360">
        <v>1015</v>
      </c>
      <c r="N103" s="360"/>
      <c r="O103" s="360"/>
      <c r="P103" s="384"/>
      <c r="Q103" s="361"/>
    </row>
    <row r="104" spans="1:17" ht="14.4" customHeight="1" x14ac:dyDescent="0.3">
      <c r="A104" s="356" t="s">
        <v>1299</v>
      </c>
      <c r="B104" s="357" t="s">
        <v>1300</v>
      </c>
      <c r="C104" s="357" t="s">
        <v>1006</v>
      </c>
      <c r="D104" s="357" t="s">
        <v>1305</v>
      </c>
      <c r="E104" s="357" t="s">
        <v>1306</v>
      </c>
      <c r="F104" s="360"/>
      <c r="G104" s="360"/>
      <c r="H104" s="360"/>
      <c r="I104" s="360"/>
      <c r="J104" s="360">
        <v>1</v>
      </c>
      <c r="K104" s="360">
        <v>582</v>
      </c>
      <c r="L104" s="360"/>
      <c r="M104" s="360">
        <v>582</v>
      </c>
      <c r="N104" s="360"/>
      <c r="O104" s="360"/>
      <c r="P104" s="384"/>
      <c r="Q104" s="361"/>
    </row>
    <row r="105" spans="1:17" ht="14.4" customHeight="1" x14ac:dyDescent="0.3">
      <c r="A105" s="356" t="s">
        <v>1299</v>
      </c>
      <c r="B105" s="357" t="s">
        <v>1300</v>
      </c>
      <c r="C105" s="357" t="s">
        <v>1006</v>
      </c>
      <c r="D105" s="357" t="s">
        <v>1307</v>
      </c>
      <c r="E105" s="357" t="s">
        <v>1308</v>
      </c>
      <c r="F105" s="360">
        <v>1</v>
      </c>
      <c r="G105" s="360">
        <v>316</v>
      </c>
      <c r="H105" s="360">
        <v>1</v>
      </c>
      <c r="I105" s="360">
        <v>316</v>
      </c>
      <c r="J105" s="360"/>
      <c r="K105" s="360"/>
      <c r="L105" s="360"/>
      <c r="M105" s="360"/>
      <c r="N105" s="360"/>
      <c r="O105" s="360"/>
      <c r="P105" s="384"/>
      <c r="Q105" s="361"/>
    </row>
    <row r="106" spans="1:17" ht="14.4" customHeight="1" x14ac:dyDescent="0.3">
      <c r="A106" s="356" t="s">
        <v>1299</v>
      </c>
      <c r="B106" s="357" t="s">
        <v>1300</v>
      </c>
      <c r="C106" s="357" t="s">
        <v>1006</v>
      </c>
      <c r="D106" s="357" t="s">
        <v>1309</v>
      </c>
      <c r="E106" s="357" t="s">
        <v>1310</v>
      </c>
      <c r="F106" s="360">
        <v>5</v>
      </c>
      <c r="G106" s="360">
        <v>1065</v>
      </c>
      <c r="H106" s="360">
        <v>1</v>
      </c>
      <c r="I106" s="360">
        <v>213</v>
      </c>
      <c r="J106" s="360">
        <v>2</v>
      </c>
      <c r="K106" s="360">
        <v>430</v>
      </c>
      <c r="L106" s="360">
        <v>0.40375586854460094</v>
      </c>
      <c r="M106" s="360">
        <v>215</v>
      </c>
      <c r="N106" s="360"/>
      <c r="O106" s="360"/>
      <c r="P106" s="384"/>
      <c r="Q106" s="361"/>
    </row>
    <row r="107" spans="1:17" ht="14.4" customHeight="1" x14ac:dyDescent="0.3">
      <c r="A107" s="356" t="s">
        <v>1311</v>
      </c>
      <c r="B107" s="357" t="s">
        <v>1312</v>
      </c>
      <c r="C107" s="357" t="s">
        <v>1006</v>
      </c>
      <c r="D107" s="357" t="s">
        <v>1313</v>
      </c>
      <c r="E107" s="357" t="s">
        <v>1314</v>
      </c>
      <c r="F107" s="360"/>
      <c r="G107" s="360"/>
      <c r="H107" s="360"/>
      <c r="I107" s="360"/>
      <c r="J107" s="360">
        <v>1</v>
      </c>
      <c r="K107" s="360">
        <v>453</v>
      </c>
      <c r="L107" s="360"/>
      <c r="M107" s="360">
        <v>453</v>
      </c>
      <c r="N107" s="360"/>
      <c r="O107" s="360"/>
      <c r="P107" s="384"/>
      <c r="Q107" s="361"/>
    </row>
    <row r="108" spans="1:17" ht="14.4" customHeight="1" x14ac:dyDescent="0.3">
      <c r="A108" s="356" t="s">
        <v>1311</v>
      </c>
      <c r="B108" s="357" t="s">
        <v>1312</v>
      </c>
      <c r="C108" s="357" t="s">
        <v>1006</v>
      </c>
      <c r="D108" s="357" t="s">
        <v>1315</v>
      </c>
      <c r="E108" s="357" t="s">
        <v>1316</v>
      </c>
      <c r="F108" s="360"/>
      <c r="G108" s="360"/>
      <c r="H108" s="360"/>
      <c r="I108" s="360"/>
      <c r="J108" s="360">
        <v>2</v>
      </c>
      <c r="K108" s="360">
        <v>106</v>
      </c>
      <c r="L108" s="360"/>
      <c r="M108" s="360">
        <v>53</v>
      </c>
      <c r="N108" s="360"/>
      <c r="O108" s="360"/>
      <c r="P108" s="384"/>
      <c r="Q108" s="361"/>
    </row>
    <row r="109" spans="1:17" ht="14.4" customHeight="1" x14ac:dyDescent="0.3">
      <c r="A109" s="356" t="s">
        <v>1311</v>
      </c>
      <c r="B109" s="357" t="s">
        <v>1312</v>
      </c>
      <c r="C109" s="357" t="s">
        <v>1006</v>
      </c>
      <c r="D109" s="357" t="s">
        <v>1317</v>
      </c>
      <c r="E109" s="357" t="s">
        <v>1318</v>
      </c>
      <c r="F109" s="360"/>
      <c r="G109" s="360"/>
      <c r="H109" s="360"/>
      <c r="I109" s="360"/>
      <c r="J109" s="360">
        <v>1</v>
      </c>
      <c r="K109" s="360">
        <v>115</v>
      </c>
      <c r="L109" s="360"/>
      <c r="M109" s="360">
        <v>115</v>
      </c>
      <c r="N109" s="360"/>
      <c r="O109" s="360"/>
      <c r="P109" s="384"/>
      <c r="Q109" s="361"/>
    </row>
    <row r="110" spans="1:17" ht="14.4" customHeight="1" x14ac:dyDescent="0.3">
      <c r="A110" s="356" t="s">
        <v>1311</v>
      </c>
      <c r="B110" s="357" t="s">
        <v>1312</v>
      </c>
      <c r="C110" s="357" t="s">
        <v>1006</v>
      </c>
      <c r="D110" s="357" t="s">
        <v>1319</v>
      </c>
      <c r="E110" s="357" t="s">
        <v>1320</v>
      </c>
      <c r="F110" s="360"/>
      <c r="G110" s="360"/>
      <c r="H110" s="360"/>
      <c r="I110" s="360"/>
      <c r="J110" s="360">
        <v>2</v>
      </c>
      <c r="K110" s="360">
        <v>690</v>
      </c>
      <c r="L110" s="360"/>
      <c r="M110" s="360">
        <v>345</v>
      </c>
      <c r="N110" s="360"/>
      <c r="O110" s="360"/>
      <c r="P110" s="384"/>
      <c r="Q110" s="361"/>
    </row>
    <row r="111" spans="1:17" ht="14.4" customHeight="1" x14ac:dyDescent="0.3">
      <c r="A111" s="356" t="s">
        <v>1311</v>
      </c>
      <c r="B111" s="357" t="s">
        <v>1312</v>
      </c>
      <c r="C111" s="357" t="s">
        <v>1006</v>
      </c>
      <c r="D111" s="357" t="s">
        <v>1321</v>
      </c>
      <c r="E111" s="357" t="s">
        <v>1322</v>
      </c>
      <c r="F111" s="360"/>
      <c r="G111" s="360"/>
      <c r="H111" s="360"/>
      <c r="I111" s="360"/>
      <c r="J111" s="360">
        <v>4</v>
      </c>
      <c r="K111" s="360">
        <v>212</v>
      </c>
      <c r="L111" s="360"/>
      <c r="M111" s="360">
        <v>53</v>
      </c>
      <c r="N111" s="360"/>
      <c r="O111" s="360"/>
      <c r="P111" s="384"/>
      <c r="Q111" s="361"/>
    </row>
    <row r="112" spans="1:17" ht="14.4" customHeight="1" x14ac:dyDescent="0.3">
      <c r="A112" s="356" t="s">
        <v>1323</v>
      </c>
      <c r="B112" s="357" t="s">
        <v>1324</v>
      </c>
      <c r="C112" s="357" t="s">
        <v>1006</v>
      </c>
      <c r="D112" s="357" t="s">
        <v>1325</v>
      </c>
      <c r="E112" s="357" t="s">
        <v>1326</v>
      </c>
      <c r="F112" s="360">
        <v>32</v>
      </c>
      <c r="G112" s="360">
        <v>15552</v>
      </c>
      <c r="H112" s="360">
        <v>1</v>
      </c>
      <c r="I112" s="360">
        <v>486</v>
      </c>
      <c r="J112" s="360">
        <v>24</v>
      </c>
      <c r="K112" s="360">
        <v>11664</v>
      </c>
      <c r="L112" s="360">
        <v>0.75</v>
      </c>
      <c r="M112" s="360">
        <v>486</v>
      </c>
      <c r="N112" s="360"/>
      <c r="O112" s="360"/>
      <c r="P112" s="384"/>
      <c r="Q112" s="361"/>
    </row>
    <row r="113" spans="1:17" ht="14.4" customHeight="1" x14ac:dyDescent="0.3">
      <c r="A113" s="356" t="s">
        <v>1323</v>
      </c>
      <c r="B113" s="357" t="s">
        <v>1324</v>
      </c>
      <c r="C113" s="357" t="s">
        <v>1006</v>
      </c>
      <c r="D113" s="357" t="s">
        <v>1327</v>
      </c>
      <c r="E113" s="357" t="s">
        <v>1328</v>
      </c>
      <c r="F113" s="360">
        <v>6</v>
      </c>
      <c r="G113" s="360">
        <v>2292</v>
      </c>
      <c r="H113" s="360">
        <v>1</v>
      </c>
      <c r="I113" s="360">
        <v>382</v>
      </c>
      <c r="J113" s="360"/>
      <c r="K113" s="360"/>
      <c r="L113" s="360"/>
      <c r="M113" s="360"/>
      <c r="N113" s="360"/>
      <c r="O113" s="360"/>
      <c r="P113" s="384"/>
      <c r="Q113" s="361"/>
    </row>
    <row r="114" spans="1:17" ht="14.4" customHeight="1" x14ac:dyDescent="0.3">
      <c r="A114" s="356" t="s">
        <v>1323</v>
      </c>
      <c r="B114" s="357" t="s">
        <v>1324</v>
      </c>
      <c r="C114" s="357" t="s">
        <v>1006</v>
      </c>
      <c r="D114" s="357" t="s">
        <v>1329</v>
      </c>
      <c r="E114" s="357" t="s">
        <v>1330</v>
      </c>
      <c r="F114" s="360"/>
      <c r="G114" s="360"/>
      <c r="H114" s="360"/>
      <c r="I114" s="360"/>
      <c r="J114" s="360">
        <v>1</v>
      </c>
      <c r="K114" s="360">
        <v>40</v>
      </c>
      <c r="L114" s="360"/>
      <c r="M114" s="360">
        <v>40</v>
      </c>
      <c r="N114" s="360"/>
      <c r="O114" s="360"/>
      <c r="P114" s="384"/>
      <c r="Q114" s="361"/>
    </row>
    <row r="115" spans="1:17" ht="14.4" customHeight="1" x14ac:dyDescent="0.3">
      <c r="A115" s="356" t="s">
        <v>1323</v>
      </c>
      <c r="B115" s="357" t="s">
        <v>1324</v>
      </c>
      <c r="C115" s="357" t="s">
        <v>1006</v>
      </c>
      <c r="D115" s="357" t="s">
        <v>1331</v>
      </c>
      <c r="E115" s="357" t="s">
        <v>1332</v>
      </c>
      <c r="F115" s="360">
        <v>11</v>
      </c>
      <c r="G115" s="360">
        <v>1221</v>
      </c>
      <c r="H115" s="360">
        <v>1</v>
      </c>
      <c r="I115" s="360">
        <v>111</v>
      </c>
      <c r="J115" s="360">
        <v>6</v>
      </c>
      <c r="K115" s="360">
        <v>672</v>
      </c>
      <c r="L115" s="360">
        <v>0.55036855036855037</v>
      </c>
      <c r="M115" s="360">
        <v>112</v>
      </c>
      <c r="N115" s="360"/>
      <c r="O115" s="360"/>
      <c r="P115" s="384"/>
      <c r="Q115" s="361"/>
    </row>
    <row r="116" spans="1:17" ht="14.4" customHeight="1" x14ac:dyDescent="0.3">
      <c r="A116" s="356" t="s">
        <v>1323</v>
      </c>
      <c r="B116" s="357" t="s">
        <v>1324</v>
      </c>
      <c r="C116" s="357" t="s">
        <v>1006</v>
      </c>
      <c r="D116" s="357" t="s">
        <v>1333</v>
      </c>
      <c r="E116" s="357" t="s">
        <v>1334</v>
      </c>
      <c r="F116" s="360"/>
      <c r="G116" s="360"/>
      <c r="H116" s="360"/>
      <c r="I116" s="360"/>
      <c r="J116" s="360">
        <v>12</v>
      </c>
      <c r="K116" s="360">
        <v>468</v>
      </c>
      <c r="L116" s="360"/>
      <c r="M116" s="360">
        <v>39</v>
      </c>
      <c r="N116" s="360"/>
      <c r="O116" s="360"/>
      <c r="P116" s="384"/>
      <c r="Q116" s="361"/>
    </row>
    <row r="117" spans="1:17" ht="14.4" customHeight="1" x14ac:dyDescent="0.3">
      <c r="A117" s="356" t="s">
        <v>1323</v>
      </c>
      <c r="B117" s="357" t="s">
        <v>1324</v>
      </c>
      <c r="C117" s="357" t="s">
        <v>1006</v>
      </c>
      <c r="D117" s="357" t="s">
        <v>1335</v>
      </c>
      <c r="E117" s="357" t="s">
        <v>1336</v>
      </c>
      <c r="F117" s="360">
        <v>6</v>
      </c>
      <c r="G117" s="360">
        <v>11994</v>
      </c>
      <c r="H117" s="360">
        <v>1</v>
      </c>
      <c r="I117" s="360">
        <v>1999</v>
      </c>
      <c r="J117" s="360">
        <v>2</v>
      </c>
      <c r="K117" s="360">
        <v>4026</v>
      </c>
      <c r="L117" s="360">
        <v>0.33566783391695848</v>
      </c>
      <c r="M117" s="360">
        <v>2013</v>
      </c>
      <c r="N117" s="360"/>
      <c r="O117" s="360"/>
      <c r="P117" s="384"/>
      <c r="Q117" s="361"/>
    </row>
    <row r="118" spans="1:17" ht="14.4" customHeight="1" x14ac:dyDescent="0.3">
      <c r="A118" s="356" t="s">
        <v>1323</v>
      </c>
      <c r="B118" s="357" t="s">
        <v>1324</v>
      </c>
      <c r="C118" s="357" t="s">
        <v>1006</v>
      </c>
      <c r="D118" s="357" t="s">
        <v>1337</v>
      </c>
      <c r="E118" s="357" t="s">
        <v>1338</v>
      </c>
      <c r="F118" s="360">
        <v>1</v>
      </c>
      <c r="G118" s="360">
        <v>40</v>
      </c>
      <c r="H118" s="360">
        <v>1</v>
      </c>
      <c r="I118" s="360">
        <v>40</v>
      </c>
      <c r="J118" s="360"/>
      <c r="K118" s="360"/>
      <c r="L118" s="360"/>
      <c r="M118" s="360"/>
      <c r="N118" s="360"/>
      <c r="O118" s="360"/>
      <c r="P118" s="384"/>
      <c r="Q118" s="361"/>
    </row>
    <row r="119" spans="1:17" ht="14.4" customHeight="1" x14ac:dyDescent="0.3">
      <c r="A119" s="356" t="s">
        <v>1323</v>
      </c>
      <c r="B119" s="357" t="s">
        <v>1324</v>
      </c>
      <c r="C119" s="357" t="s">
        <v>1006</v>
      </c>
      <c r="D119" s="357" t="s">
        <v>1339</v>
      </c>
      <c r="E119" s="357" t="s">
        <v>1340</v>
      </c>
      <c r="F119" s="360"/>
      <c r="G119" s="360"/>
      <c r="H119" s="360"/>
      <c r="I119" s="360"/>
      <c r="J119" s="360">
        <v>3</v>
      </c>
      <c r="K119" s="360">
        <v>108</v>
      </c>
      <c r="L119" s="360"/>
      <c r="M119" s="360">
        <v>36</v>
      </c>
      <c r="N119" s="360"/>
      <c r="O119" s="360"/>
      <c r="P119" s="384"/>
      <c r="Q119" s="361"/>
    </row>
    <row r="120" spans="1:17" ht="14.4" customHeight="1" x14ac:dyDescent="0.3">
      <c r="A120" s="356" t="s">
        <v>1323</v>
      </c>
      <c r="B120" s="357" t="s">
        <v>1324</v>
      </c>
      <c r="C120" s="357" t="s">
        <v>1006</v>
      </c>
      <c r="D120" s="357" t="s">
        <v>1341</v>
      </c>
      <c r="E120" s="357" t="s">
        <v>1342</v>
      </c>
      <c r="F120" s="360"/>
      <c r="G120" s="360"/>
      <c r="H120" s="360"/>
      <c r="I120" s="360"/>
      <c r="J120" s="360">
        <v>1</v>
      </c>
      <c r="K120" s="360">
        <v>158</v>
      </c>
      <c r="L120" s="360"/>
      <c r="M120" s="360">
        <v>158</v>
      </c>
      <c r="N120" s="360"/>
      <c r="O120" s="360"/>
      <c r="P120" s="384"/>
      <c r="Q120" s="361"/>
    </row>
    <row r="121" spans="1:17" ht="14.4" customHeight="1" x14ac:dyDescent="0.3">
      <c r="A121" s="356" t="s">
        <v>1343</v>
      </c>
      <c r="B121" s="357" t="s">
        <v>1344</v>
      </c>
      <c r="C121" s="357" t="s">
        <v>1006</v>
      </c>
      <c r="D121" s="357" t="s">
        <v>1345</v>
      </c>
      <c r="E121" s="357" t="s">
        <v>1346</v>
      </c>
      <c r="F121" s="360"/>
      <c r="G121" s="360"/>
      <c r="H121" s="360"/>
      <c r="I121" s="360"/>
      <c r="J121" s="360">
        <v>1</v>
      </c>
      <c r="K121" s="360">
        <v>216</v>
      </c>
      <c r="L121" s="360"/>
      <c r="M121" s="360">
        <v>216</v>
      </c>
      <c r="N121" s="360"/>
      <c r="O121" s="360"/>
      <c r="P121" s="384"/>
      <c r="Q121" s="361"/>
    </row>
    <row r="122" spans="1:17" ht="14.4" customHeight="1" x14ac:dyDescent="0.3">
      <c r="A122" s="356" t="s">
        <v>1343</v>
      </c>
      <c r="B122" s="357" t="s">
        <v>1344</v>
      </c>
      <c r="C122" s="357" t="s">
        <v>1006</v>
      </c>
      <c r="D122" s="357" t="s">
        <v>1347</v>
      </c>
      <c r="E122" s="357" t="s">
        <v>1348</v>
      </c>
      <c r="F122" s="360">
        <v>1</v>
      </c>
      <c r="G122" s="360">
        <v>166</v>
      </c>
      <c r="H122" s="360">
        <v>1</v>
      </c>
      <c r="I122" s="360">
        <v>166</v>
      </c>
      <c r="J122" s="360">
        <v>1</v>
      </c>
      <c r="K122" s="360">
        <v>166</v>
      </c>
      <c r="L122" s="360">
        <v>1</v>
      </c>
      <c r="M122" s="360">
        <v>166</v>
      </c>
      <c r="N122" s="360"/>
      <c r="O122" s="360"/>
      <c r="P122" s="384"/>
      <c r="Q122" s="361"/>
    </row>
    <row r="123" spans="1:17" ht="14.4" customHeight="1" x14ac:dyDescent="0.3">
      <c r="A123" s="356" t="s">
        <v>1343</v>
      </c>
      <c r="B123" s="357" t="s">
        <v>1344</v>
      </c>
      <c r="C123" s="357" t="s">
        <v>1006</v>
      </c>
      <c r="D123" s="357" t="s">
        <v>1349</v>
      </c>
      <c r="E123" s="357" t="s">
        <v>1350</v>
      </c>
      <c r="F123" s="360">
        <v>1</v>
      </c>
      <c r="G123" s="360">
        <v>172</v>
      </c>
      <c r="H123" s="360">
        <v>1</v>
      </c>
      <c r="I123" s="360">
        <v>172</v>
      </c>
      <c r="J123" s="360">
        <v>1</v>
      </c>
      <c r="K123" s="360">
        <v>172</v>
      </c>
      <c r="L123" s="360">
        <v>1</v>
      </c>
      <c r="M123" s="360">
        <v>172</v>
      </c>
      <c r="N123" s="360"/>
      <c r="O123" s="360"/>
      <c r="P123" s="384"/>
      <c r="Q123" s="361"/>
    </row>
    <row r="124" spans="1:17" ht="14.4" customHeight="1" x14ac:dyDescent="0.3">
      <c r="A124" s="356" t="s">
        <v>1343</v>
      </c>
      <c r="B124" s="357" t="s">
        <v>1344</v>
      </c>
      <c r="C124" s="357" t="s">
        <v>1006</v>
      </c>
      <c r="D124" s="357" t="s">
        <v>1222</v>
      </c>
      <c r="E124" s="357" t="s">
        <v>1223</v>
      </c>
      <c r="F124" s="360"/>
      <c r="G124" s="360"/>
      <c r="H124" s="360"/>
      <c r="I124" s="360"/>
      <c r="J124" s="360">
        <v>1</v>
      </c>
      <c r="K124" s="360">
        <v>147</v>
      </c>
      <c r="L124" s="360"/>
      <c r="M124" s="360">
        <v>147</v>
      </c>
      <c r="N124" s="360"/>
      <c r="O124" s="360"/>
      <c r="P124" s="384"/>
      <c r="Q124" s="361"/>
    </row>
    <row r="125" spans="1:17" ht="14.4" customHeight="1" x14ac:dyDescent="0.3">
      <c r="A125" s="356" t="s">
        <v>1343</v>
      </c>
      <c r="B125" s="357" t="s">
        <v>1344</v>
      </c>
      <c r="C125" s="357" t="s">
        <v>1006</v>
      </c>
      <c r="D125" s="357" t="s">
        <v>1351</v>
      </c>
      <c r="E125" s="357" t="s">
        <v>1352</v>
      </c>
      <c r="F125" s="360">
        <v>1</v>
      </c>
      <c r="G125" s="360">
        <v>348</v>
      </c>
      <c r="H125" s="360">
        <v>1</v>
      </c>
      <c r="I125" s="360">
        <v>348</v>
      </c>
      <c r="J125" s="360"/>
      <c r="K125" s="360"/>
      <c r="L125" s="360"/>
      <c r="M125" s="360"/>
      <c r="N125" s="360"/>
      <c r="O125" s="360"/>
      <c r="P125" s="384"/>
      <c r="Q125" s="361"/>
    </row>
    <row r="126" spans="1:17" ht="14.4" customHeight="1" x14ac:dyDescent="0.3">
      <c r="A126" s="356" t="s">
        <v>1343</v>
      </c>
      <c r="B126" s="357" t="s">
        <v>1344</v>
      </c>
      <c r="C126" s="357" t="s">
        <v>1006</v>
      </c>
      <c r="D126" s="357" t="s">
        <v>1353</v>
      </c>
      <c r="E126" s="357" t="s">
        <v>1354</v>
      </c>
      <c r="F126" s="360">
        <v>1</v>
      </c>
      <c r="G126" s="360">
        <v>169</v>
      </c>
      <c r="H126" s="360">
        <v>1</v>
      </c>
      <c r="I126" s="360">
        <v>169</v>
      </c>
      <c r="J126" s="360">
        <v>1</v>
      </c>
      <c r="K126" s="360">
        <v>169</v>
      </c>
      <c r="L126" s="360">
        <v>1</v>
      </c>
      <c r="M126" s="360">
        <v>169</v>
      </c>
      <c r="N126" s="360"/>
      <c r="O126" s="360"/>
      <c r="P126" s="384"/>
      <c r="Q126" s="361"/>
    </row>
    <row r="127" spans="1:17" ht="14.4" customHeight="1" x14ac:dyDescent="0.3">
      <c r="A127" s="356" t="s">
        <v>1343</v>
      </c>
      <c r="B127" s="357" t="s">
        <v>1344</v>
      </c>
      <c r="C127" s="357" t="s">
        <v>1006</v>
      </c>
      <c r="D127" s="357" t="s">
        <v>1355</v>
      </c>
      <c r="E127" s="357" t="s">
        <v>1356</v>
      </c>
      <c r="F127" s="360">
        <v>1</v>
      </c>
      <c r="G127" s="360">
        <v>185</v>
      </c>
      <c r="H127" s="360">
        <v>1</v>
      </c>
      <c r="I127" s="360">
        <v>185</v>
      </c>
      <c r="J127" s="360"/>
      <c r="K127" s="360"/>
      <c r="L127" s="360"/>
      <c r="M127" s="360"/>
      <c r="N127" s="360"/>
      <c r="O127" s="360"/>
      <c r="P127" s="384"/>
      <c r="Q127" s="361"/>
    </row>
    <row r="128" spans="1:17" ht="14.4" customHeight="1" x14ac:dyDescent="0.3">
      <c r="A128" s="356" t="s">
        <v>1343</v>
      </c>
      <c r="B128" s="357" t="s">
        <v>1344</v>
      </c>
      <c r="C128" s="357" t="s">
        <v>1006</v>
      </c>
      <c r="D128" s="357" t="s">
        <v>1357</v>
      </c>
      <c r="E128" s="357" t="s">
        <v>1358</v>
      </c>
      <c r="F128" s="360">
        <v>1</v>
      </c>
      <c r="G128" s="360">
        <v>188</v>
      </c>
      <c r="H128" s="360">
        <v>1</v>
      </c>
      <c r="I128" s="360">
        <v>188</v>
      </c>
      <c r="J128" s="360"/>
      <c r="K128" s="360"/>
      <c r="L128" s="360"/>
      <c r="M128" s="360"/>
      <c r="N128" s="360"/>
      <c r="O128" s="360"/>
      <c r="P128" s="384"/>
      <c r="Q128" s="361"/>
    </row>
    <row r="129" spans="1:17" ht="14.4" customHeight="1" x14ac:dyDescent="0.3">
      <c r="A129" s="356" t="s">
        <v>1343</v>
      </c>
      <c r="B129" s="357" t="s">
        <v>1344</v>
      </c>
      <c r="C129" s="357" t="s">
        <v>1006</v>
      </c>
      <c r="D129" s="357" t="s">
        <v>1359</v>
      </c>
      <c r="E129" s="357" t="s">
        <v>1360</v>
      </c>
      <c r="F129" s="360">
        <v>1</v>
      </c>
      <c r="G129" s="360">
        <v>292</v>
      </c>
      <c r="H129" s="360">
        <v>1</v>
      </c>
      <c r="I129" s="360">
        <v>292</v>
      </c>
      <c r="J129" s="360"/>
      <c r="K129" s="360"/>
      <c r="L129" s="360"/>
      <c r="M129" s="360"/>
      <c r="N129" s="360"/>
      <c r="O129" s="360"/>
      <c r="P129" s="384"/>
      <c r="Q129" s="361"/>
    </row>
    <row r="130" spans="1:17" ht="14.4" customHeight="1" x14ac:dyDescent="0.3">
      <c r="A130" s="356" t="s">
        <v>1343</v>
      </c>
      <c r="B130" s="357" t="s">
        <v>1344</v>
      </c>
      <c r="C130" s="357" t="s">
        <v>1006</v>
      </c>
      <c r="D130" s="357" t="s">
        <v>1361</v>
      </c>
      <c r="E130" s="357" t="s">
        <v>1362</v>
      </c>
      <c r="F130" s="360">
        <v>4</v>
      </c>
      <c r="G130" s="360">
        <v>1372</v>
      </c>
      <c r="H130" s="360">
        <v>1</v>
      </c>
      <c r="I130" s="360">
        <v>343</v>
      </c>
      <c r="J130" s="360">
        <v>5</v>
      </c>
      <c r="K130" s="360">
        <v>1715</v>
      </c>
      <c r="L130" s="360">
        <v>1.25</v>
      </c>
      <c r="M130" s="360">
        <v>343</v>
      </c>
      <c r="N130" s="360"/>
      <c r="O130" s="360"/>
      <c r="P130" s="384"/>
      <c r="Q130" s="361"/>
    </row>
    <row r="131" spans="1:17" ht="14.4" customHeight="1" x14ac:dyDescent="0.3">
      <c r="A131" s="356" t="s">
        <v>1343</v>
      </c>
      <c r="B131" s="357" t="s">
        <v>1344</v>
      </c>
      <c r="C131" s="357" t="s">
        <v>1006</v>
      </c>
      <c r="D131" s="357" t="s">
        <v>1363</v>
      </c>
      <c r="E131" s="357" t="s">
        <v>1364</v>
      </c>
      <c r="F131" s="360">
        <v>1</v>
      </c>
      <c r="G131" s="360">
        <v>237</v>
      </c>
      <c r="H131" s="360">
        <v>1</v>
      </c>
      <c r="I131" s="360">
        <v>237</v>
      </c>
      <c r="J131" s="360"/>
      <c r="K131" s="360"/>
      <c r="L131" s="360"/>
      <c r="M131" s="360"/>
      <c r="N131" s="360"/>
      <c r="O131" s="360"/>
      <c r="P131" s="384"/>
      <c r="Q131" s="361"/>
    </row>
    <row r="132" spans="1:17" ht="14.4" customHeight="1" x14ac:dyDescent="0.3">
      <c r="A132" s="356" t="s">
        <v>1343</v>
      </c>
      <c r="B132" s="357" t="s">
        <v>1344</v>
      </c>
      <c r="C132" s="357" t="s">
        <v>1006</v>
      </c>
      <c r="D132" s="357" t="s">
        <v>1365</v>
      </c>
      <c r="E132" s="357" t="s">
        <v>1366</v>
      </c>
      <c r="F132" s="360">
        <v>4</v>
      </c>
      <c r="G132" s="360">
        <v>2032</v>
      </c>
      <c r="H132" s="360">
        <v>1</v>
      </c>
      <c r="I132" s="360">
        <v>508</v>
      </c>
      <c r="J132" s="360">
        <v>4</v>
      </c>
      <c r="K132" s="360">
        <v>2032</v>
      </c>
      <c r="L132" s="360">
        <v>1</v>
      </c>
      <c r="M132" s="360">
        <v>508</v>
      </c>
      <c r="N132" s="360"/>
      <c r="O132" s="360"/>
      <c r="P132" s="384"/>
      <c r="Q132" s="361"/>
    </row>
    <row r="133" spans="1:17" ht="14.4" customHeight="1" x14ac:dyDescent="0.3">
      <c r="A133" s="356" t="s">
        <v>1343</v>
      </c>
      <c r="B133" s="357" t="s">
        <v>1344</v>
      </c>
      <c r="C133" s="357" t="s">
        <v>1006</v>
      </c>
      <c r="D133" s="357" t="s">
        <v>1367</v>
      </c>
      <c r="E133" s="357" t="s">
        <v>1368</v>
      </c>
      <c r="F133" s="360">
        <v>2</v>
      </c>
      <c r="G133" s="360">
        <v>694</v>
      </c>
      <c r="H133" s="360">
        <v>1</v>
      </c>
      <c r="I133" s="360">
        <v>347</v>
      </c>
      <c r="J133" s="360">
        <v>3</v>
      </c>
      <c r="K133" s="360">
        <v>1041</v>
      </c>
      <c r="L133" s="360">
        <v>1.5</v>
      </c>
      <c r="M133" s="360">
        <v>347</v>
      </c>
      <c r="N133" s="360"/>
      <c r="O133" s="360"/>
      <c r="P133" s="384"/>
      <c r="Q133" s="361"/>
    </row>
    <row r="134" spans="1:17" ht="14.4" customHeight="1" x14ac:dyDescent="0.3">
      <c r="A134" s="356" t="s">
        <v>1343</v>
      </c>
      <c r="B134" s="357" t="s">
        <v>1344</v>
      </c>
      <c r="C134" s="357" t="s">
        <v>1006</v>
      </c>
      <c r="D134" s="357" t="s">
        <v>1369</v>
      </c>
      <c r="E134" s="357" t="s">
        <v>1370</v>
      </c>
      <c r="F134" s="360"/>
      <c r="G134" s="360"/>
      <c r="H134" s="360"/>
      <c r="I134" s="360"/>
      <c r="J134" s="360">
        <v>1</v>
      </c>
      <c r="K134" s="360">
        <v>110</v>
      </c>
      <c r="L134" s="360"/>
      <c r="M134" s="360">
        <v>110</v>
      </c>
      <c r="N134" s="360"/>
      <c r="O134" s="360"/>
      <c r="P134" s="384"/>
      <c r="Q134" s="361"/>
    </row>
    <row r="135" spans="1:17" ht="14.4" customHeight="1" x14ac:dyDescent="0.3">
      <c r="A135" s="356" t="s">
        <v>1343</v>
      </c>
      <c r="B135" s="357" t="s">
        <v>1344</v>
      </c>
      <c r="C135" s="357" t="s">
        <v>1006</v>
      </c>
      <c r="D135" s="357" t="s">
        <v>1371</v>
      </c>
      <c r="E135" s="357" t="s">
        <v>1372</v>
      </c>
      <c r="F135" s="360">
        <v>2</v>
      </c>
      <c r="G135" s="360">
        <v>76</v>
      </c>
      <c r="H135" s="360">
        <v>1</v>
      </c>
      <c r="I135" s="360">
        <v>38</v>
      </c>
      <c r="J135" s="360">
        <v>3</v>
      </c>
      <c r="K135" s="360">
        <v>114</v>
      </c>
      <c r="L135" s="360">
        <v>1.5</v>
      </c>
      <c r="M135" s="360">
        <v>38</v>
      </c>
      <c r="N135" s="360"/>
      <c r="O135" s="360"/>
      <c r="P135" s="384"/>
      <c r="Q135" s="361"/>
    </row>
    <row r="136" spans="1:17" ht="14.4" customHeight="1" x14ac:dyDescent="0.3">
      <c r="A136" s="356" t="s">
        <v>1343</v>
      </c>
      <c r="B136" s="357" t="s">
        <v>1344</v>
      </c>
      <c r="C136" s="357" t="s">
        <v>1006</v>
      </c>
      <c r="D136" s="357" t="s">
        <v>1373</v>
      </c>
      <c r="E136" s="357" t="s">
        <v>1374</v>
      </c>
      <c r="F136" s="360"/>
      <c r="G136" s="360"/>
      <c r="H136" s="360"/>
      <c r="I136" s="360"/>
      <c r="J136" s="360">
        <v>1</v>
      </c>
      <c r="K136" s="360">
        <v>649</v>
      </c>
      <c r="L136" s="360"/>
      <c r="M136" s="360">
        <v>649</v>
      </c>
      <c r="N136" s="360"/>
      <c r="O136" s="360"/>
      <c r="P136" s="384"/>
      <c r="Q136" s="361"/>
    </row>
    <row r="137" spans="1:17" ht="14.4" customHeight="1" x14ac:dyDescent="0.3">
      <c r="A137" s="356" t="s">
        <v>1343</v>
      </c>
      <c r="B137" s="357" t="s">
        <v>1344</v>
      </c>
      <c r="C137" s="357" t="s">
        <v>1006</v>
      </c>
      <c r="D137" s="357" t="s">
        <v>1375</v>
      </c>
      <c r="E137" s="357" t="s">
        <v>1376</v>
      </c>
      <c r="F137" s="360"/>
      <c r="G137" s="360"/>
      <c r="H137" s="360"/>
      <c r="I137" s="360"/>
      <c r="J137" s="360">
        <v>1</v>
      </c>
      <c r="K137" s="360">
        <v>172</v>
      </c>
      <c r="L137" s="360"/>
      <c r="M137" s="360">
        <v>172</v>
      </c>
      <c r="N137" s="360"/>
      <c r="O137" s="360"/>
      <c r="P137" s="384"/>
      <c r="Q137" s="361"/>
    </row>
    <row r="138" spans="1:17" ht="14.4" customHeight="1" x14ac:dyDescent="0.3">
      <c r="A138" s="356" t="s">
        <v>1343</v>
      </c>
      <c r="B138" s="357" t="s">
        <v>1344</v>
      </c>
      <c r="C138" s="357" t="s">
        <v>1006</v>
      </c>
      <c r="D138" s="357" t="s">
        <v>1377</v>
      </c>
      <c r="E138" s="357" t="s">
        <v>1378</v>
      </c>
      <c r="F138" s="360"/>
      <c r="G138" s="360"/>
      <c r="H138" s="360"/>
      <c r="I138" s="360"/>
      <c r="J138" s="360">
        <v>1</v>
      </c>
      <c r="K138" s="360">
        <v>166</v>
      </c>
      <c r="L138" s="360"/>
      <c r="M138" s="360">
        <v>166</v>
      </c>
      <c r="N138" s="360"/>
      <c r="O138" s="360"/>
      <c r="P138" s="384"/>
      <c r="Q138" s="361"/>
    </row>
    <row r="139" spans="1:17" ht="14.4" customHeight="1" x14ac:dyDescent="0.3">
      <c r="A139" s="356" t="s">
        <v>1343</v>
      </c>
      <c r="B139" s="357" t="s">
        <v>1344</v>
      </c>
      <c r="C139" s="357" t="s">
        <v>1006</v>
      </c>
      <c r="D139" s="357" t="s">
        <v>1379</v>
      </c>
      <c r="E139" s="357" t="s">
        <v>1380</v>
      </c>
      <c r="F139" s="360"/>
      <c r="G139" s="360"/>
      <c r="H139" s="360"/>
      <c r="I139" s="360"/>
      <c r="J139" s="360">
        <v>1</v>
      </c>
      <c r="K139" s="360">
        <v>544</v>
      </c>
      <c r="L139" s="360"/>
      <c r="M139" s="360">
        <v>544</v>
      </c>
      <c r="N139" s="360"/>
      <c r="O139" s="360"/>
      <c r="P139" s="384"/>
      <c r="Q139" s="361"/>
    </row>
    <row r="140" spans="1:17" ht="14.4" customHeight="1" x14ac:dyDescent="0.3">
      <c r="A140" s="356" t="s">
        <v>1343</v>
      </c>
      <c r="B140" s="357" t="s">
        <v>1344</v>
      </c>
      <c r="C140" s="357" t="s">
        <v>1006</v>
      </c>
      <c r="D140" s="357" t="s">
        <v>1381</v>
      </c>
      <c r="E140" s="357" t="s">
        <v>1382</v>
      </c>
      <c r="F140" s="360">
        <v>4</v>
      </c>
      <c r="G140" s="360">
        <v>1144</v>
      </c>
      <c r="H140" s="360">
        <v>1</v>
      </c>
      <c r="I140" s="360">
        <v>286</v>
      </c>
      <c r="J140" s="360">
        <v>4</v>
      </c>
      <c r="K140" s="360">
        <v>1144</v>
      </c>
      <c r="L140" s="360">
        <v>1</v>
      </c>
      <c r="M140" s="360">
        <v>286</v>
      </c>
      <c r="N140" s="360"/>
      <c r="O140" s="360"/>
      <c r="P140" s="384"/>
      <c r="Q140" s="361"/>
    </row>
    <row r="141" spans="1:17" ht="14.4" customHeight="1" thickBot="1" x14ac:dyDescent="0.35">
      <c r="A141" s="362" t="s">
        <v>1343</v>
      </c>
      <c r="B141" s="363" t="s">
        <v>1344</v>
      </c>
      <c r="C141" s="363" t="s">
        <v>1006</v>
      </c>
      <c r="D141" s="363" t="s">
        <v>1383</v>
      </c>
      <c r="E141" s="363" t="s">
        <v>1384</v>
      </c>
      <c r="F141" s="366">
        <v>4</v>
      </c>
      <c r="G141" s="366">
        <v>1672</v>
      </c>
      <c r="H141" s="366">
        <v>1</v>
      </c>
      <c r="I141" s="366">
        <v>418</v>
      </c>
      <c r="J141" s="366">
        <v>4</v>
      </c>
      <c r="K141" s="366">
        <v>1672</v>
      </c>
      <c r="L141" s="366">
        <v>1</v>
      </c>
      <c r="M141" s="366">
        <v>418</v>
      </c>
      <c r="N141" s="366"/>
      <c r="O141" s="366"/>
      <c r="P141" s="386"/>
      <c r="Q141" s="367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0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G17"/>
  <sheetViews>
    <sheetView showGridLines="0" showRowColHeaders="0" zoomScaleNormal="100" workbookViewId="0">
      <selection sqref="A1:G1"/>
    </sheetView>
  </sheetViews>
  <sheetFormatPr defaultRowHeight="14.4" customHeight="1" x14ac:dyDescent="0.3"/>
  <cols>
    <col min="1" max="1" width="34.21875" style="65" bestFit="1" customWidth="1"/>
    <col min="2" max="4" width="8.88671875" style="65" customWidth="1"/>
    <col min="5" max="5" width="2.44140625" style="65" customWidth="1"/>
    <col min="6" max="6" width="8.88671875" style="65" customWidth="1"/>
    <col min="7" max="7" width="9.44140625" style="65" bestFit="1" customWidth="1"/>
    <col min="8" max="16384" width="8.88671875" style="65"/>
  </cols>
  <sheetData>
    <row r="1" spans="1:7" ht="18.600000000000001" customHeight="1" thickBot="1" x14ac:dyDescent="0.4">
      <c r="A1" s="240" t="s">
        <v>167</v>
      </c>
      <c r="B1" s="240"/>
      <c r="C1" s="240"/>
      <c r="D1" s="240"/>
      <c r="E1" s="240"/>
      <c r="F1" s="240"/>
      <c r="G1" s="240"/>
    </row>
    <row r="2" spans="1:7" ht="14.4" customHeight="1" thickBot="1" x14ac:dyDescent="0.35">
      <c r="A2" s="318" t="s">
        <v>193</v>
      </c>
      <c r="B2" s="66"/>
      <c r="C2" s="66"/>
      <c r="D2" s="66"/>
      <c r="E2" s="66"/>
      <c r="F2" s="66"/>
      <c r="G2" s="66"/>
    </row>
    <row r="3" spans="1:7" ht="14.4" customHeight="1" x14ac:dyDescent="0.3">
      <c r="A3" s="243"/>
      <c r="B3" s="245" t="s">
        <v>94</v>
      </c>
      <c r="C3" s="246"/>
      <c r="D3" s="247"/>
      <c r="E3" s="10"/>
      <c r="F3" s="48" t="s">
        <v>95</v>
      </c>
      <c r="G3" s="49" t="s">
        <v>96</v>
      </c>
    </row>
    <row r="4" spans="1:7" ht="14.4" customHeight="1" thickBot="1" x14ac:dyDescent="0.35">
      <c r="A4" s="244"/>
      <c r="B4" s="55">
        <v>2011</v>
      </c>
      <c r="C4" s="46">
        <v>2012</v>
      </c>
      <c r="D4" s="47">
        <v>2013</v>
      </c>
      <c r="E4" s="10"/>
      <c r="F4" s="248">
        <v>2013</v>
      </c>
      <c r="G4" s="249"/>
    </row>
    <row r="5" spans="1:7" ht="14.4" customHeight="1" x14ac:dyDescent="0.3">
      <c r="A5" s="214" t="str">
        <f>HYPERLINK("#'Léky Žádanky'!A1","Léky (Kč)")</f>
        <v>Léky (Kč)</v>
      </c>
      <c r="B5" s="33">
        <v>298.08935145875802</v>
      </c>
      <c r="C5" s="34">
        <v>696.33268999999996</v>
      </c>
      <c r="D5" s="35">
        <v>582.44007999999997</v>
      </c>
      <c r="E5" s="11"/>
      <c r="F5" s="12">
        <v>1005</v>
      </c>
      <c r="G5" s="13">
        <f>IF(F5&lt;0.00000001,"",D5/F5)</f>
        <v>0.5795423681592039</v>
      </c>
    </row>
    <row r="6" spans="1:7" ht="14.4" customHeight="1" x14ac:dyDescent="0.3">
      <c r="A6" s="214" t="str">
        <f>HYPERLINK("#'Materiál Žádanky'!A1","Materiál - SZM (Kč)")</f>
        <v>Materiál - SZM (Kč)</v>
      </c>
      <c r="B6" s="14">
        <v>78.938077738163003</v>
      </c>
      <c r="C6" s="36">
        <v>83.330770000000001</v>
      </c>
      <c r="D6" s="37">
        <v>81.502390000000005</v>
      </c>
      <c r="E6" s="11"/>
      <c r="F6" s="14">
        <v>87</v>
      </c>
      <c r="G6" s="15">
        <f>IF(F6&lt;0.00000001,"",D6/F6)</f>
        <v>0.93680908045977018</v>
      </c>
    </row>
    <row r="7" spans="1:7" ht="14.4" customHeight="1" x14ac:dyDescent="0.3">
      <c r="A7" s="214" t="str">
        <f>HYPERLINK("#'Osobní náklady'!A1","Osobní náklady (Kč)")</f>
        <v>Osobní náklady (Kč)</v>
      </c>
      <c r="B7" s="14">
        <v>6107.4948950001399</v>
      </c>
      <c r="C7" s="36">
        <v>6587.1861699999999</v>
      </c>
      <c r="D7" s="37">
        <v>6703.6416200000003</v>
      </c>
      <c r="E7" s="11"/>
      <c r="F7" s="14">
        <v>6065</v>
      </c>
      <c r="G7" s="15">
        <f>IF(F7&lt;0.00000001,"",D7/F7)</f>
        <v>1.1052995251442705</v>
      </c>
    </row>
    <row r="8" spans="1:7" ht="14.4" customHeight="1" thickBot="1" x14ac:dyDescent="0.35">
      <c r="A8" s="1" t="s">
        <v>97</v>
      </c>
      <c r="B8" s="16">
        <v>1795.5698685510099</v>
      </c>
      <c r="C8" s="38">
        <v>2009.1243099999999</v>
      </c>
      <c r="D8" s="39">
        <v>1889.87672</v>
      </c>
      <c r="E8" s="11"/>
      <c r="F8" s="16">
        <v>1899</v>
      </c>
      <c r="G8" s="17">
        <f>IF(F8&lt;0.00000001,"",D8/F8)</f>
        <v>0.99519574512901521</v>
      </c>
    </row>
    <row r="9" spans="1:7" ht="14.4" customHeight="1" thickBot="1" x14ac:dyDescent="0.35">
      <c r="A9" s="2" t="s">
        <v>98</v>
      </c>
      <c r="B9" s="3">
        <v>8280.0921927480704</v>
      </c>
      <c r="C9" s="40">
        <v>9375.9739399999999</v>
      </c>
      <c r="D9" s="41">
        <v>9257.4608100000005</v>
      </c>
      <c r="E9" s="11"/>
      <c r="F9" s="3">
        <v>9056</v>
      </c>
      <c r="G9" s="4">
        <f>IF(F9&lt;0.00000001,"",D9/F9)</f>
        <v>1.0222461141784454</v>
      </c>
    </row>
    <row r="10" spans="1:7" ht="14.4" customHeight="1" thickBot="1" x14ac:dyDescent="0.35">
      <c r="A10" s="18"/>
      <c r="B10" s="18"/>
      <c r="C10" s="18"/>
      <c r="D10" s="18"/>
      <c r="E10" s="11"/>
      <c r="F10" s="18"/>
      <c r="G10" s="19"/>
    </row>
    <row r="11" spans="1:7" ht="14.4" customHeight="1" x14ac:dyDescent="0.3">
      <c r="A11" s="216" t="str">
        <f>HYPERLINK("#'ZV Vykáz.-A'!A1","Ambulance (body)")</f>
        <v>Ambulance (body)</v>
      </c>
      <c r="B11" s="12">
        <f>IF(ISERROR(VLOOKUP("Celkem:",'ZV Vykáz.-A'!A:F,2,0)),0,VLOOKUP("Celkem:",'ZV Vykáz.-A'!A:F,2,0)/1000)</f>
        <v>2464.7539999999999</v>
      </c>
      <c r="C11" s="34">
        <f>IF(ISERROR(VLOOKUP("Celkem:",'ZV Vykáz.-A'!A:F,4,0)),0,VLOOKUP("Celkem:",'ZV Vykáz.-A'!A:F,4,0)/1000)</f>
        <v>1873.6579999999999</v>
      </c>
      <c r="D11" s="35">
        <f>IF(ISERROR(VLOOKUP("Celkem:",'ZV Vykáz.-A'!A:F,6,0)),0,VLOOKUP("Celkem:",'ZV Vykáz.-A'!A:F,6,0)/1000)</f>
        <v>1840.8979999999999</v>
      </c>
      <c r="E11" s="11"/>
      <c r="F11" s="12">
        <f>B11*0.98</f>
        <v>2415.45892</v>
      </c>
      <c r="G11" s="13">
        <f>IF(F11=0,"",D11/F11)</f>
        <v>0.76213177742637817</v>
      </c>
    </row>
    <row r="12" spans="1:7" ht="14.4" customHeight="1" thickBot="1" x14ac:dyDescent="0.35">
      <c r="A12" s="217" t="str">
        <f>HYPERLINK("#CaseMix!A1","Hospitalizace (casemix * 29500)")</f>
        <v>Hospitalizace (casemix * 29500)</v>
      </c>
      <c r="B12" s="16">
        <f>IF(ISERROR(VLOOKUP("Celkem",#REF!,2,0)),0,VLOOKUP("Celkem",#REF!,2,0)*29.5)</f>
        <v>0</v>
      </c>
      <c r="C12" s="38">
        <f>IF(ISERROR(VLOOKUP("Celkem",#REF!,3,0)),0,VLOOKUP("Celkem",#REF!,3,0)*29.5)</f>
        <v>0</v>
      </c>
      <c r="D12" s="39">
        <f>IF(ISERROR(VLOOKUP("Celkem",#REF!,4,0)),0,VLOOKUP("Celkem",#REF!,4,0)*29.5)</f>
        <v>0</v>
      </c>
      <c r="E12" s="11"/>
      <c r="F12" s="16">
        <f>B12*0.95</f>
        <v>0</v>
      </c>
      <c r="G12" s="17" t="str">
        <f>IF(F12=0,"",D12/F12)</f>
        <v/>
      </c>
    </row>
    <row r="13" spans="1:7" ht="14.4" customHeight="1" thickBot="1" x14ac:dyDescent="0.35">
      <c r="A13" s="5" t="s">
        <v>101</v>
      </c>
      <c r="B13" s="6">
        <f>SUM(B11:B12)</f>
        <v>2464.7539999999999</v>
      </c>
      <c r="C13" s="42">
        <f>SUM(C11:C12)</f>
        <v>1873.6579999999999</v>
      </c>
      <c r="D13" s="43">
        <f>SUM(D11:D12)</f>
        <v>1840.8979999999999</v>
      </c>
      <c r="E13" s="11"/>
      <c r="F13" s="6">
        <f>SUM(F11:F12)</f>
        <v>2415.45892</v>
      </c>
      <c r="G13" s="7">
        <f>IF(F13=0,"",D13/F13)</f>
        <v>0.76213177742637817</v>
      </c>
    </row>
    <row r="14" spans="1:7" ht="14.4" customHeight="1" thickBot="1" x14ac:dyDescent="0.35">
      <c r="A14" s="18"/>
      <c r="B14" s="18"/>
      <c r="C14" s="18"/>
      <c r="D14" s="18"/>
      <c r="E14" s="11"/>
      <c r="F14" s="18"/>
      <c r="G14" s="19"/>
    </row>
    <row r="15" spans="1:7" ht="14.4" customHeight="1" thickBot="1" x14ac:dyDescent="0.35">
      <c r="A15" s="224" t="str">
        <f>HYPERLINK("#'HI Graf'!A1","Hospodářský index (Výnosy / Náklady)")</f>
        <v>Hospodářský index (Výnosy / Náklady)</v>
      </c>
      <c r="B15" s="8">
        <f>IF(B9=0,"",B13/B9)</f>
        <v>0.2976722894654118</v>
      </c>
      <c r="C15" s="44">
        <f>IF(C9=0,"",C13/C9)</f>
        <v>0.19983609297446489</v>
      </c>
      <c r="D15" s="45">
        <f>IF(D9=0,"",D13/D9)</f>
        <v>0.19885560822590184</v>
      </c>
      <c r="E15" s="11"/>
      <c r="F15" s="8">
        <f>IF(F9=0,"",F13/F9)</f>
        <v>0.26672470406360427</v>
      </c>
      <c r="G15" s="9">
        <f>IF(OR(F15=0,F15=""),"",D15/F15)</f>
        <v>0.74554626997910889</v>
      </c>
    </row>
    <row r="17" spans="1:1" ht="14.4" customHeight="1" x14ac:dyDescent="0.3">
      <c r="A17" s="215"/>
    </row>
  </sheetData>
  <mergeCells count="4">
    <mergeCell ref="A1:G1"/>
    <mergeCell ref="A3:A4"/>
    <mergeCell ref="B3:D3"/>
    <mergeCell ref="F4:G4"/>
  </mergeCells>
  <conditionalFormatting sqref="F11:F12">
    <cfRule type="dataBar" priority="1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G5:G9">
    <cfRule type="iconSet" priority="4">
      <iconSet iconSet="3Symbols2" reverse="1">
        <cfvo type="percent" val="0"/>
        <cfvo type="num" val="1"/>
        <cfvo type="num" val="1"/>
      </iconSet>
    </cfRule>
    <cfRule type="cellIs" dxfId="56" priority="6" operator="greaterThan">
      <formula>1</formula>
    </cfRule>
  </conditionalFormatting>
  <conditionalFormatting sqref="G11:G15">
    <cfRule type="cellIs" dxfId="55" priority="5" operator="lessThan">
      <formula>1</formula>
    </cfRule>
  </conditionalFormatting>
  <conditionalFormatting sqref="G11:G13 G15">
    <cfRule type="iconSet" priority="3">
      <iconSet iconSet="3Symbols2">
        <cfvo type="percent" val="0"/>
        <cfvo type="num" val="1"/>
        <cfvo type="num" val="1"/>
      </iconSet>
    </cfRule>
  </conditionalFormatting>
  <conditionalFormatting sqref="F5:F8">
    <cfRule type="dataBar" priority="2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0"/>
    <col min="2" max="13" width="8.88671875" style="110" customWidth="1"/>
    <col min="14" max="16384" width="8.88671875" style="110"/>
  </cols>
  <sheetData>
    <row r="1" spans="1:13" ht="18.600000000000001" customHeight="1" thickBot="1" x14ac:dyDescent="0.4">
      <c r="A1" s="240" t="s">
        <v>129</v>
      </c>
      <c r="B1" s="240"/>
      <c r="C1" s="240"/>
      <c r="D1" s="240"/>
      <c r="E1" s="240"/>
      <c r="F1" s="240"/>
      <c r="G1" s="240"/>
      <c r="H1" s="250"/>
      <c r="I1" s="250"/>
      <c r="J1" s="250"/>
      <c r="K1" s="250"/>
      <c r="L1" s="250"/>
      <c r="M1" s="250"/>
    </row>
    <row r="2" spans="1:13" ht="14.4" customHeight="1" x14ac:dyDescent="0.3">
      <c r="A2" s="318" t="s">
        <v>193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</row>
    <row r="3" spans="1:13" ht="14.4" customHeight="1" x14ac:dyDescent="0.3">
      <c r="A3" s="155"/>
      <c r="B3" s="156" t="s">
        <v>103</v>
      </c>
      <c r="C3" s="157" t="s">
        <v>104</v>
      </c>
      <c r="D3" s="157" t="s">
        <v>105</v>
      </c>
      <c r="E3" s="156" t="s">
        <v>106</v>
      </c>
      <c r="F3" s="157" t="s">
        <v>107</v>
      </c>
      <c r="G3" s="157" t="s">
        <v>108</v>
      </c>
      <c r="H3" s="157" t="s">
        <v>109</v>
      </c>
      <c r="I3" s="157" t="s">
        <v>110</v>
      </c>
      <c r="J3" s="157" t="s">
        <v>111</v>
      </c>
      <c r="K3" s="157" t="s">
        <v>112</v>
      </c>
      <c r="L3" s="157" t="s">
        <v>113</v>
      </c>
      <c r="M3" s="157" t="s">
        <v>114</v>
      </c>
    </row>
    <row r="4" spans="1:13" ht="14.4" customHeight="1" x14ac:dyDescent="0.3">
      <c r="A4" s="155" t="s">
        <v>102</v>
      </c>
      <c r="B4" s="158">
        <f>(B10+B8)/B6</f>
        <v>0.22934159149139027</v>
      </c>
      <c r="C4" s="158">
        <f t="shared" ref="C4:M4" si="0">(C10+C8)/C6</f>
        <v>0.24757350736425027</v>
      </c>
      <c r="D4" s="158">
        <f t="shared" si="0"/>
        <v>0.23705298512062012</v>
      </c>
      <c r="E4" s="158">
        <f t="shared" si="0"/>
        <v>0.23624350464710392</v>
      </c>
      <c r="F4" s="158">
        <f t="shared" si="0"/>
        <v>0.2408038874263807</v>
      </c>
      <c r="G4" s="158">
        <f t="shared" si="0"/>
        <v>0.22924351427401218</v>
      </c>
      <c r="H4" s="158">
        <f t="shared" si="0"/>
        <v>0.21338435546944731</v>
      </c>
      <c r="I4" s="158">
        <f t="shared" si="0"/>
        <v>0.21357601602408377</v>
      </c>
      <c r="J4" s="158">
        <f t="shared" si="0"/>
        <v>0.21411632750089071</v>
      </c>
      <c r="K4" s="158">
        <f t="shared" si="0"/>
        <v>0.21152864137706975</v>
      </c>
      <c r="L4" s="158">
        <f t="shared" si="0"/>
        <v>0.2149413247216784</v>
      </c>
      <c r="M4" s="158">
        <f t="shared" si="0"/>
        <v>0.21770570152702584</v>
      </c>
    </row>
    <row r="5" spans="1:13" ht="14.4" customHeight="1" x14ac:dyDescent="0.3">
      <c r="A5" s="159" t="s">
        <v>69</v>
      </c>
      <c r="B5" s="158">
        <f>IF(ISERROR(VLOOKUP($A5,'Man Tab'!$A:$Q,COLUMN()+2,0)),0,VLOOKUP($A5,'Man Tab'!$A:$Q,COLUMN()+2,0))</f>
        <v>793.22289000000001</v>
      </c>
      <c r="C5" s="158">
        <f>IF(ISERROR(VLOOKUP($A5,'Man Tab'!$A:$Q,COLUMN()+2,0)),0,VLOOKUP($A5,'Man Tab'!$A:$Q,COLUMN()+2,0))</f>
        <v>666.39209000000005</v>
      </c>
      <c r="D5" s="158">
        <f>IF(ISERROR(VLOOKUP($A5,'Man Tab'!$A:$Q,COLUMN()+2,0)),0,VLOOKUP($A5,'Man Tab'!$A:$Q,COLUMN()+2,0))</f>
        <v>802.55859999999996</v>
      </c>
      <c r="E5" s="158">
        <f>IF(ISERROR(VLOOKUP($A5,'Man Tab'!$A:$Q,COLUMN()+2,0)),0,VLOOKUP($A5,'Man Tab'!$A:$Q,COLUMN()+2,0))</f>
        <v>724.46937999999898</v>
      </c>
      <c r="F5" s="158">
        <f>IF(ISERROR(VLOOKUP($A5,'Man Tab'!$A:$Q,COLUMN()+2,0)),0,VLOOKUP($A5,'Man Tab'!$A:$Q,COLUMN()+2,0))</f>
        <v>695.08747000000005</v>
      </c>
      <c r="G5" s="158">
        <f>IF(ISERROR(VLOOKUP($A5,'Man Tab'!$A:$Q,COLUMN()+2,0)),0,VLOOKUP($A5,'Man Tab'!$A:$Q,COLUMN()+2,0))</f>
        <v>699.64107000000001</v>
      </c>
      <c r="H5" s="158">
        <f>IF(ISERROR(VLOOKUP($A5,'Man Tab'!$A:$Q,COLUMN()+2,0)),0,VLOOKUP($A5,'Man Tab'!$A:$Q,COLUMN()+2,0))</f>
        <v>853.09378000000004</v>
      </c>
      <c r="I5" s="158">
        <f>IF(ISERROR(VLOOKUP($A5,'Man Tab'!$A:$Q,COLUMN()+2,0)),0,VLOOKUP($A5,'Man Tab'!$A:$Q,COLUMN()+2,0))</f>
        <v>650.74609999999996</v>
      </c>
      <c r="J5" s="158">
        <f>IF(ISERROR(VLOOKUP($A5,'Man Tab'!$A:$Q,COLUMN()+2,0)),0,VLOOKUP($A5,'Man Tab'!$A:$Q,COLUMN()+2,0))</f>
        <v>717.60595999999998</v>
      </c>
      <c r="K5" s="158">
        <f>IF(ISERROR(VLOOKUP($A5,'Man Tab'!$A:$Q,COLUMN()+2,0)),0,VLOOKUP($A5,'Man Tab'!$A:$Q,COLUMN()+2,0))</f>
        <v>775.62554999999998</v>
      </c>
      <c r="L5" s="158">
        <f>IF(ISERROR(VLOOKUP($A5,'Man Tab'!$A:$Q,COLUMN()+2,0)),0,VLOOKUP($A5,'Man Tab'!$A:$Q,COLUMN()+2,0))</f>
        <v>927.06096000000002</v>
      </c>
      <c r="M5" s="158">
        <f>IF(ISERROR(VLOOKUP($A5,'Man Tab'!$A:$Q,COLUMN()+2,0)),0,VLOOKUP($A5,'Man Tab'!$A:$Q,COLUMN()+2,0))</f>
        <v>951.95696000000498</v>
      </c>
    </row>
    <row r="6" spans="1:13" ht="14.4" customHeight="1" x14ac:dyDescent="0.3">
      <c r="A6" s="159" t="s">
        <v>98</v>
      </c>
      <c r="B6" s="160">
        <f>B5</f>
        <v>793.22289000000001</v>
      </c>
      <c r="C6" s="160">
        <f t="shared" ref="C6:M6" si="1">C5+B6</f>
        <v>1459.6149800000001</v>
      </c>
      <c r="D6" s="160">
        <f t="shared" si="1"/>
        <v>2262.1735800000001</v>
      </c>
      <c r="E6" s="160">
        <f t="shared" si="1"/>
        <v>2986.6429599999992</v>
      </c>
      <c r="F6" s="160">
        <f t="shared" si="1"/>
        <v>3681.7304299999992</v>
      </c>
      <c r="G6" s="160">
        <f t="shared" si="1"/>
        <v>4381.3714999999993</v>
      </c>
      <c r="H6" s="160">
        <f t="shared" si="1"/>
        <v>5234.4652799999994</v>
      </c>
      <c r="I6" s="160">
        <f t="shared" si="1"/>
        <v>5885.2113799999997</v>
      </c>
      <c r="J6" s="160">
        <f t="shared" si="1"/>
        <v>6602.8173399999996</v>
      </c>
      <c r="K6" s="160">
        <f t="shared" si="1"/>
        <v>7378.4428899999994</v>
      </c>
      <c r="L6" s="160">
        <f t="shared" si="1"/>
        <v>8305.5038499999991</v>
      </c>
      <c r="M6" s="160">
        <f t="shared" si="1"/>
        <v>9257.4608100000041</v>
      </c>
    </row>
    <row r="7" spans="1:13" ht="14.4" customHeight="1" x14ac:dyDescent="0.3">
      <c r="A7" s="159" t="s">
        <v>127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</row>
    <row r="8" spans="1:13" ht="14.4" customHeight="1" x14ac:dyDescent="0.3">
      <c r="A8" s="159" t="s">
        <v>99</v>
      </c>
      <c r="B8" s="160">
        <f>B7*29.5</f>
        <v>0</v>
      </c>
      <c r="C8" s="160">
        <f t="shared" ref="C8:M8" si="2">C7*29.5</f>
        <v>0</v>
      </c>
      <c r="D8" s="160">
        <f t="shared" si="2"/>
        <v>0</v>
      </c>
      <c r="E8" s="160">
        <f t="shared" si="2"/>
        <v>0</v>
      </c>
      <c r="F8" s="160">
        <f t="shared" si="2"/>
        <v>0</v>
      </c>
      <c r="G8" s="160">
        <f t="shared" si="2"/>
        <v>0</v>
      </c>
      <c r="H8" s="160">
        <f t="shared" si="2"/>
        <v>0</v>
      </c>
      <c r="I8" s="160">
        <f t="shared" si="2"/>
        <v>0</v>
      </c>
      <c r="J8" s="160">
        <f t="shared" si="2"/>
        <v>0</v>
      </c>
      <c r="K8" s="160">
        <f t="shared" si="2"/>
        <v>0</v>
      </c>
      <c r="L8" s="160">
        <f t="shared" si="2"/>
        <v>0</v>
      </c>
      <c r="M8" s="160">
        <f t="shared" si="2"/>
        <v>0</v>
      </c>
    </row>
    <row r="9" spans="1:13" ht="14.4" customHeight="1" x14ac:dyDescent="0.3">
      <c r="A9" s="159" t="s">
        <v>128</v>
      </c>
      <c r="B9" s="159">
        <v>181919</v>
      </c>
      <c r="C9" s="159">
        <v>179443</v>
      </c>
      <c r="D9" s="159">
        <v>174893</v>
      </c>
      <c r="E9" s="159">
        <v>169320</v>
      </c>
      <c r="F9" s="159">
        <v>181000</v>
      </c>
      <c r="G9" s="159">
        <v>117826</v>
      </c>
      <c r="H9" s="159">
        <v>112552</v>
      </c>
      <c r="I9" s="159">
        <v>139987</v>
      </c>
      <c r="J9" s="159">
        <v>156831</v>
      </c>
      <c r="K9" s="159">
        <v>146981</v>
      </c>
      <c r="L9" s="159">
        <v>224444</v>
      </c>
      <c r="M9" s="159">
        <v>230206</v>
      </c>
    </row>
    <row r="10" spans="1:13" ht="14.4" customHeight="1" x14ac:dyDescent="0.3">
      <c r="A10" s="159" t="s">
        <v>100</v>
      </c>
      <c r="B10" s="160">
        <f>B9/1000</f>
        <v>181.91900000000001</v>
      </c>
      <c r="C10" s="160">
        <f t="shared" ref="C10:M10" si="3">C9/1000+B10</f>
        <v>361.36200000000002</v>
      </c>
      <c r="D10" s="160">
        <f t="shared" si="3"/>
        <v>536.255</v>
      </c>
      <c r="E10" s="160">
        <f t="shared" si="3"/>
        <v>705.57500000000005</v>
      </c>
      <c r="F10" s="160">
        <f t="shared" si="3"/>
        <v>886.57500000000005</v>
      </c>
      <c r="G10" s="160">
        <f t="shared" si="3"/>
        <v>1004.4010000000001</v>
      </c>
      <c r="H10" s="160">
        <f t="shared" si="3"/>
        <v>1116.953</v>
      </c>
      <c r="I10" s="160">
        <f t="shared" si="3"/>
        <v>1256.94</v>
      </c>
      <c r="J10" s="160">
        <f t="shared" si="3"/>
        <v>1413.771</v>
      </c>
      <c r="K10" s="160">
        <f t="shared" si="3"/>
        <v>1560.752</v>
      </c>
      <c r="L10" s="160">
        <f t="shared" si="3"/>
        <v>1785.1959999999999</v>
      </c>
      <c r="M10" s="160">
        <f t="shared" si="3"/>
        <v>2015.4019999999998</v>
      </c>
    </row>
    <row r="11" spans="1:13" ht="14.4" customHeight="1" x14ac:dyDescent="0.3">
      <c r="A11" s="155"/>
      <c r="B11" s="155" t="s">
        <v>115</v>
      </c>
      <c r="C11" s="155">
        <f>COUNTIF(B7:M7,"&lt;&gt;")</f>
        <v>0</v>
      </c>
      <c r="D11" s="155"/>
      <c r="E11" s="155"/>
      <c r="F11" s="155"/>
      <c r="G11" s="155"/>
      <c r="H11" s="155"/>
      <c r="I11" s="155"/>
      <c r="J11" s="155"/>
      <c r="K11" s="155"/>
      <c r="L11" s="155"/>
      <c r="M11" s="155"/>
    </row>
    <row r="12" spans="1:13" ht="14.4" customHeight="1" x14ac:dyDescent="0.3">
      <c r="A12" s="155">
        <v>0</v>
      </c>
      <c r="B12" s="158">
        <f>IF(ISERROR(HI!F15),#REF!,HI!F15)</f>
        <v>0.26672470406360427</v>
      </c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</row>
    <row r="13" spans="1:13" ht="14.4" customHeight="1" x14ac:dyDescent="0.3">
      <c r="A13" s="155">
        <v>1</v>
      </c>
      <c r="B13" s="158">
        <f>IF(ISERROR(HI!F15),#REF!,HI!F15)</f>
        <v>0.26672470406360427</v>
      </c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65" bestFit="1" customWidth="1"/>
    <col min="2" max="2" width="12.77734375" style="65" bestFit="1" customWidth="1"/>
    <col min="3" max="3" width="13.6640625" style="65" bestFit="1" customWidth="1"/>
    <col min="4" max="15" width="7.77734375" style="65" bestFit="1" customWidth="1"/>
    <col min="16" max="16" width="8.88671875" style="65" customWidth="1"/>
    <col min="17" max="17" width="6.6640625" style="65" bestFit="1" customWidth="1"/>
    <col min="18" max="16384" width="8.88671875" style="65"/>
  </cols>
  <sheetData>
    <row r="1" spans="1:17" s="67" customFormat="1" ht="18.600000000000001" customHeight="1" thickBot="1" x14ac:dyDescent="0.4">
      <c r="A1" s="252" t="s">
        <v>195</v>
      </c>
      <c r="B1" s="252"/>
      <c r="C1" s="252"/>
      <c r="D1" s="252"/>
      <c r="E1" s="252"/>
      <c r="F1" s="252"/>
      <c r="G1" s="252"/>
      <c r="H1" s="241"/>
      <c r="I1" s="241"/>
      <c r="J1" s="241"/>
      <c r="K1" s="241"/>
      <c r="L1" s="241"/>
      <c r="M1" s="241"/>
      <c r="N1" s="241"/>
      <c r="O1" s="241"/>
      <c r="P1" s="241"/>
      <c r="Q1" s="241"/>
    </row>
    <row r="2" spans="1:17" s="67" customFormat="1" ht="14.4" customHeight="1" thickBot="1" x14ac:dyDescent="0.35">
      <c r="A2" s="318" t="s">
        <v>193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ht="14.4" customHeight="1" x14ac:dyDescent="0.3">
      <c r="A3" s="113"/>
      <c r="B3" s="253" t="s">
        <v>32</v>
      </c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56"/>
      <c r="Q3" s="58"/>
    </row>
    <row r="4" spans="1:17" ht="14.4" customHeight="1" x14ac:dyDescent="0.3">
      <c r="A4" s="114"/>
      <c r="B4" s="26" t="s">
        <v>33</v>
      </c>
      <c r="C4" s="57" t="s">
        <v>34</v>
      </c>
      <c r="D4" s="57" t="s">
        <v>35</v>
      </c>
      <c r="E4" s="57" t="s">
        <v>36</v>
      </c>
      <c r="F4" s="57" t="s">
        <v>37</v>
      </c>
      <c r="G4" s="57" t="s">
        <v>38</v>
      </c>
      <c r="H4" s="57" t="s">
        <v>39</v>
      </c>
      <c r="I4" s="57" t="s">
        <v>40</v>
      </c>
      <c r="J4" s="57" t="s">
        <v>41</v>
      </c>
      <c r="K4" s="57" t="s">
        <v>42</v>
      </c>
      <c r="L4" s="57" t="s">
        <v>43</v>
      </c>
      <c r="M4" s="57" t="s">
        <v>44</v>
      </c>
      <c r="N4" s="57" t="s">
        <v>45</v>
      </c>
      <c r="O4" s="57" t="s">
        <v>46</v>
      </c>
      <c r="P4" s="255" t="s">
        <v>6</v>
      </c>
      <c r="Q4" s="256"/>
    </row>
    <row r="5" spans="1:17" ht="14.4" customHeight="1" thickBot="1" x14ac:dyDescent="0.35">
      <c r="A5" s="115"/>
      <c r="B5" s="27" t="s">
        <v>47</v>
      </c>
      <c r="C5" s="28" t="s">
        <v>47</v>
      </c>
      <c r="D5" s="28" t="s">
        <v>48</v>
      </c>
      <c r="E5" s="28" t="s">
        <v>48</v>
      </c>
      <c r="F5" s="28" t="s">
        <v>48</v>
      </c>
      <c r="G5" s="28" t="s">
        <v>48</v>
      </c>
      <c r="H5" s="28" t="s">
        <v>48</v>
      </c>
      <c r="I5" s="28" t="s">
        <v>48</v>
      </c>
      <c r="J5" s="28" t="s">
        <v>48</v>
      </c>
      <c r="K5" s="28" t="s">
        <v>48</v>
      </c>
      <c r="L5" s="28" t="s">
        <v>48</v>
      </c>
      <c r="M5" s="28" t="s">
        <v>48</v>
      </c>
      <c r="N5" s="28" t="s">
        <v>48</v>
      </c>
      <c r="O5" s="28" t="s">
        <v>48</v>
      </c>
      <c r="P5" s="28" t="s">
        <v>48</v>
      </c>
      <c r="Q5" s="29" t="s">
        <v>49</v>
      </c>
    </row>
    <row r="6" spans="1:17" ht="14.4" customHeight="1" x14ac:dyDescent="0.3">
      <c r="A6" s="20" t="s">
        <v>50</v>
      </c>
      <c r="B6" s="69">
        <v>4.9406564584124654E-324</v>
      </c>
      <c r="C6" s="70">
        <v>0</v>
      </c>
      <c r="D6" s="70">
        <v>4.9406564584124654E-324</v>
      </c>
      <c r="E6" s="70">
        <v>4.9406564584124654E-324</v>
      </c>
      <c r="F6" s="70">
        <v>4.9406564584124654E-324</v>
      </c>
      <c r="G6" s="70">
        <v>4.9406564584124654E-324</v>
      </c>
      <c r="H6" s="70">
        <v>4.9406564584124654E-324</v>
      </c>
      <c r="I6" s="70">
        <v>4.9406564584124654E-324</v>
      </c>
      <c r="J6" s="70">
        <v>4.9406564584124654E-324</v>
      </c>
      <c r="K6" s="70">
        <v>4.9406564584124654E-324</v>
      </c>
      <c r="L6" s="70">
        <v>4.9406564584124654E-324</v>
      </c>
      <c r="M6" s="70">
        <v>4.9406564584124654E-324</v>
      </c>
      <c r="N6" s="70">
        <v>4.9406564584124654E-324</v>
      </c>
      <c r="O6" s="70">
        <v>4.9406564584124654E-324</v>
      </c>
      <c r="P6" s="71">
        <v>5.9287877500949585E-323</v>
      </c>
      <c r="Q6" s="138" t="s">
        <v>194</v>
      </c>
    </row>
    <row r="7" spans="1:17" ht="14.4" customHeight="1" x14ac:dyDescent="0.3">
      <c r="A7" s="21" t="s">
        <v>51</v>
      </c>
      <c r="B7" s="72">
        <v>1004.85308138937</v>
      </c>
      <c r="C7" s="73">
        <v>83.737756782446993</v>
      </c>
      <c r="D7" s="73">
        <v>67.669300000000007</v>
      </c>
      <c r="E7" s="73">
        <v>29.141249999999999</v>
      </c>
      <c r="F7" s="73">
        <v>74.612690000000001</v>
      </c>
      <c r="G7" s="73">
        <v>61.591629999999</v>
      </c>
      <c r="H7" s="73">
        <v>58.021500000000003</v>
      </c>
      <c r="I7" s="73">
        <v>59.441009999999999</v>
      </c>
      <c r="J7" s="73">
        <v>37.337780000000002</v>
      </c>
      <c r="K7" s="73">
        <v>20.8916</v>
      </c>
      <c r="L7" s="73">
        <v>44.99127</v>
      </c>
      <c r="M7" s="73">
        <v>72.065780000000004</v>
      </c>
      <c r="N7" s="73">
        <v>39.561669999999999</v>
      </c>
      <c r="O7" s="73">
        <v>17.114599999999999</v>
      </c>
      <c r="P7" s="74">
        <v>582.44007999999997</v>
      </c>
      <c r="Q7" s="139">
        <v>0.57962710249600002</v>
      </c>
    </row>
    <row r="8" spans="1:17" ht="14.4" customHeight="1" x14ac:dyDescent="0.3">
      <c r="A8" s="21" t="s">
        <v>52</v>
      </c>
      <c r="B8" s="72">
        <v>4.9406564584124654E-324</v>
      </c>
      <c r="C8" s="73">
        <v>0</v>
      </c>
      <c r="D8" s="73">
        <v>4.9406564584124654E-324</v>
      </c>
      <c r="E8" s="73">
        <v>4.9406564584124654E-324</v>
      </c>
      <c r="F8" s="73">
        <v>4.9406564584124654E-324</v>
      </c>
      <c r="G8" s="73">
        <v>4.9406564584124654E-324</v>
      </c>
      <c r="H8" s="73">
        <v>4.9406564584124654E-324</v>
      </c>
      <c r="I8" s="73">
        <v>4.9406564584124654E-324</v>
      </c>
      <c r="J8" s="73">
        <v>4.9406564584124654E-324</v>
      </c>
      <c r="K8" s="73">
        <v>4.9406564584124654E-324</v>
      </c>
      <c r="L8" s="73">
        <v>4.9406564584124654E-324</v>
      </c>
      <c r="M8" s="73">
        <v>4.9406564584124654E-324</v>
      </c>
      <c r="N8" s="73">
        <v>4.9406564584124654E-324</v>
      </c>
      <c r="O8" s="73">
        <v>4.9406564584124654E-324</v>
      </c>
      <c r="P8" s="74">
        <v>5.9287877500949585E-323</v>
      </c>
      <c r="Q8" s="139" t="s">
        <v>194</v>
      </c>
    </row>
    <row r="9" spans="1:17" ht="14.4" customHeight="1" x14ac:dyDescent="0.3">
      <c r="A9" s="21" t="s">
        <v>53</v>
      </c>
      <c r="B9" s="72">
        <v>86.581388003870998</v>
      </c>
      <c r="C9" s="73">
        <v>7.215115666989</v>
      </c>
      <c r="D9" s="73">
        <v>4.4310799999999997</v>
      </c>
      <c r="E9" s="73">
        <v>5.4821099999999996</v>
      </c>
      <c r="F9" s="73">
        <v>5.03444</v>
      </c>
      <c r="G9" s="73">
        <v>5.4388399999989998</v>
      </c>
      <c r="H9" s="73">
        <v>6.0037500000000001</v>
      </c>
      <c r="I9" s="73">
        <v>6.2906599999999999</v>
      </c>
      <c r="J9" s="73">
        <v>4.5732400000000002</v>
      </c>
      <c r="K9" s="73">
        <v>4.11043</v>
      </c>
      <c r="L9" s="73">
        <v>4.7933599999999998</v>
      </c>
      <c r="M9" s="73">
        <v>7.1305300000000003</v>
      </c>
      <c r="N9" s="73">
        <v>5.0131800000000002</v>
      </c>
      <c r="O9" s="73">
        <v>23.200769999999999</v>
      </c>
      <c r="P9" s="74">
        <v>81.502390000000005</v>
      </c>
      <c r="Q9" s="139">
        <v>0.94133845482300005</v>
      </c>
    </row>
    <row r="10" spans="1:17" ht="14.4" customHeight="1" x14ac:dyDescent="0.3">
      <c r="A10" s="21" t="s">
        <v>54</v>
      </c>
      <c r="B10" s="72">
        <v>0</v>
      </c>
      <c r="C10" s="73">
        <v>0</v>
      </c>
      <c r="D10" s="73">
        <v>4.9406564584124654E-324</v>
      </c>
      <c r="E10" s="73">
        <v>4.9406564584124654E-324</v>
      </c>
      <c r="F10" s="73">
        <v>4.9406564584124654E-324</v>
      </c>
      <c r="G10" s="73">
        <v>4.9406564584124654E-324</v>
      </c>
      <c r="H10" s="73">
        <v>4.9406564584124654E-324</v>
      </c>
      <c r="I10" s="73">
        <v>4.9406564584124654E-324</v>
      </c>
      <c r="J10" s="73">
        <v>4.9406564584124654E-324</v>
      </c>
      <c r="K10" s="73">
        <v>4.9406564584124654E-324</v>
      </c>
      <c r="L10" s="73">
        <v>4.9406564584124654E-324</v>
      </c>
      <c r="M10" s="73">
        <v>4.9406564584124654E-324</v>
      </c>
      <c r="N10" s="73">
        <v>4.9406564584124654E-324</v>
      </c>
      <c r="O10" s="73">
        <v>4.9406564584124654E-324</v>
      </c>
      <c r="P10" s="74">
        <v>5.9287877500949585E-323</v>
      </c>
      <c r="Q10" s="139" t="s">
        <v>194</v>
      </c>
    </row>
    <row r="11" spans="1:17" ht="14.4" customHeight="1" x14ac:dyDescent="0.3">
      <c r="A11" s="21" t="s">
        <v>55</v>
      </c>
      <c r="B11" s="72">
        <v>69.682502571588003</v>
      </c>
      <c r="C11" s="73">
        <v>5.8068752142989997</v>
      </c>
      <c r="D11" s="73">
        <v>7.3153499999999996</v>
      </c>
      <c r="E11" s="73">
        <v>3.3536800000000002</v>
      </c>
      <c r="F11" s="73">
        <v>12.012180000000001</v>
      </c>
      <c r="G11" s="73">
        <v>2.7301600000000001</v>
      </c>
      <c r="H11" s="73">
        <v>5.9545199999999996</v>
      </c>
      <c r="I11" s="73">
        <v>4.4568700000000003</v>
      </c>
      <c r="J11" s="73">
        <v>6.6151099999999996</v>
      </c>
      <c r="K11" s="73">
        <v>3.0201500000000001</v>
      </c>
      <c r="L11" s="73">
        <v>10.09671</v>
      </c>
      <c r="M11" s="73">
        <v>6.1128</v>
      </c>
      <c r="N11" s="73">
        <v>7.3686499999999997</v>
      </c>
      <c r="O11" s="73">
        <v>24.859829999999999</v>
      </c>
      <c r="P11" s="74">
        <v>93.896010000000004</v>
      </c>
      <c r="Q11" s="139">
        <v>1.347483321276</v>
      </c>
    </row>
    <row r="12" spans="1:17" ht="14.4" customHeight="1" x14ac:dyDescent="0.3">
      <c r="A12" s="21" t="s">
        <v>56</v>
      </c>
      <c r="B12" s="72">
        <v>1.283560915734</v>
      </c>
      <c r="C12" s="73">
        <v>0.106963409644</v>
      </c>
      <c r="D12" s="73">
        <v>0.1794</v>
      </c>
      <c r="E12" s="73">
        <v>4.9406564584124654E-324</v>
      </c>
      <c r="F12" s="73">
        <v>6.7879999999999996E-2</v>
      </c>
      <c r="G12" s="73">
        <v>4.9406564584124654E-324</v>
      </c>
      <c r="H12" s="73">
        <v>4.9406564584124654E-324</v>
      </c>
      <c r="I12" s="73">
        <v>1.7304200000000001</v>
      </c>
      <c r="J12" s="73">
        <v>0.66849999999999998</v>
      </c>
      <c r="K12" s="73">
        <v>4.9406564584124654E-324</v>
      </c>
      <c r="L12" s="73">
        <v>8.2680000000000003E-2</v>
      </c>
      <c r="M12" s="73">
        <v>2.33725</v>
      </c>
      <c r="N12" s="73">
        <v>4.9406564584124654E-324</v>
      </c>
      <c r="O12" s="73">
        <v>4.9406564584124654E-324</v>
      </c>
      <c r="P12" s="74">
        <v>5.0661300000000002</v>
      </c>
      <c r="Q12" s="139">
        <v>3.9469338290809999</v>
      </c>
    </row>
    <row r="13" spans="1:17" ht="14.4" customHeight="1" x14ac:dyDescent="0.3">
      <c r="A13" s="21" t="s">
        <v>57</v>
      </c>
      <c r="B13" s="72">
        <v>5.3564554199399996</v>
      </c>
      <c r="C13" s="73">
        <v>0.44637128499500001</v>
      </c>
      <c r="D13" s="73">
        <v>0.75478000000000001</v>
      </c>
      <c r="E13" s="73">
        <v>-1.1100000000000001</v>
      </c>
      <c r="F13" s="73">
        <v>0.45596999999999999</v>
      </c>
      <c r="G13" s="73">
        <v>0.50010999999899997</v>
      </c>
      <c r="H13" s="73">
        <v>0.17351</v>
      </c>
      <c r="I13" s="73">
        <v>0.17351</v>
      </c>
      <c r="J13" s="73">
        <v>0.17351</v>
      </c>
      <c r="K13" s="73">
        <v>4.9406564584124654E-324</v>
      </c>
      <c r="L13" s="73">
        <v>0.72545999999999999</v>
      </c>
      <c r="M13" s="73">
        <v>0.90983000000000003</v>
      </c>
      <c r="N13" s="73">
        <v>0.80676999999999999</v>
      </c>
      <c r="O13" s="73">
        <v>0.57838000000000001</v>
      </c>
      <c r="P13" s="74">
        <v>4.1418299999999997</v>
      </c>
      <c r="Q13" s="139">
        <v>0.77324082350800005</v>
      </c>
    </row>
    <row r="14" spans="1:17" ht="14.4" customHeight="1" x14ac:dyDescent="0.3">
      <c r="A14" s="21" t="s">
        <v>58</v>
      </c>
      <c r="B14" s="72">
        <v>1283.3615817535799</v>
      </c>
      <c r="C14" s="73">
        <v>106.946798479465</v>
      </c>
      <c r="D14" s="73">
        <v>152.85</v>
      </c>
      <c r="E14" s="73">
        <v>127.327</v>
      </c>
      <c r="F14" s="73">
        <v>135.14400000000001</v>
      </c>
      <c r="G14" s="73">
        <v>91.347999999999004</v>
      </c>
      <c r="H14" s="73">
        <v>70.11</v>
      </c>
      <c r="I14" s="73">
        <v>76.396000000000001</v>
      </c>
      <c r="J14" s="73">
        <v>72.918000000000006</v>
      </c>
      <c r="K14" s="73">
        <v>69.317999999999998</v>
      </c>
      <c r="L14" s="73">
        <v>77.867999999999995</v>
      </c>
      <c r="M14" s="73">
        <v>99.869</v>
      </c>
      <c r="N14" s="73">
        <v>120.547</v>
      </c>
      <c r="O14" s="73">
        <v>133.96700000000101</v>
      </c>
      <c r="P14" s="74">
        <v>1227.662</v>
      </c>
      <c r="Q14" s="139">
        <v>0.95659868384199997</v>
      </c>
    </row>
    <row r="15" spans="1:17" ht="14.4" customHeight="1" x14ac:dyDescent="0.3">
      <c r="A15" s="21" t="s">
        <v>59</v>
      </c>
      <c r="B15" s="72">
        <v>4.9406564584124654E-324</v>
      </c>
      <c r="C15" s="73">
        <v>0</v>
      </c>
      <c r="D15" s="73">
        <v>4.9406564584124654E-324</v>
      </c>
      <c r="E15" s="73">
        <v>4.9406564584124654E-324</v>
      </c>
      <c r="F15" s="73">
        <v>4.9406564584124654E-324</v>
      </c>
      <c r="G15" s="73">
        <v>4.9406564584124654E-324</v>
      </c>
      <c r="H15" s="73">
        <v>4.9406564584124654E-324</v>
      </c>
      <c r="I15" s="73">
        <v>4.9406564584124654E-324</v>
      </c>
      <c r="J15" s="73">
        <v>4.9406564584124654E-324</v>
      </c>
      <c r="K15" s="73">
        <v>4.9406564584124654E-324</v>
      </c>
      <c r="L15" s="73">
        <v>4.9406564584124654E-324</v>
      </c>
      <c r="M15" s="73">
        <v>4.9406564584124654E-324</v>
      </c>
      <c r="N15" s="73">
        <v>4.9406564584124654E-324</v>
      </c>
      <c r="O15" s="73">
        <v>4.9406564584124654E-324</v>
      </c>
      <c r="P15" s="74">
        <v>5.9287877500949585E-323</v>
      </c>
      <c r="Q15" s="139" t="s">
        <v>194</v>
      </c>
    </row>
    <row r="16" spans="1:17" ht="14.4" customHeight="1" x14ac:dyDescent="0.3">
      <c r="A16" s="21" t="s">
        <v>60</v>
      </c>
      <c r="B16" s="72">
        <v>0</v>
      </c>
      <c r="C16" s="73">
        <v>0</v>
      </c>
      <c r="D16" s="73">
        <v>4.9406564584124654E-324</v>
      </c>
      <c r="E16" s="73">
        <v>4.9406564584124654E-324</v>
      </c>
      <c r="F16" s="73">
        <v>4.9406564584124654E-324</v>
      </c>
      <c r="G16" s="73">
        <v>4.9406564584124654E-324</v>
      </c>
      <c r="H16" s="73">
        <v>4.9406564584124654E-324</v>
      </c>
      <c r="I16" s="73">
        <v>4.9406564584124654E-324</v>
      </c>
      <c r="J16" s="73">
        <v>4.9406564584124654E-324</v>
      </c>
      <c r="K16" s="73">
        <v>4.9406564584124654E-324</v>
      </c>
      <c r="L16" s="73">
        <v>4.9406564584124654E-324</v>
      </c>
      <c r="M16" s="73">
        <v>4.9406564584124654E-324</v>
      </c>
      <c r="N16" s="73">
        <v>4.9406564584124654E-324</v>
      </c>
      <c r="O16" s="73">
        <v>4.9406564584124654E-324</v>
      </c>
      <c r="P16" s="74">
        <v>5.9287877500949585E-323</v>
      </c>
      <c r="Q16" s="139" t="s">
        <v>194</v>
      </c>
    </row>
    <row r="17" spans="1:17" ht="14.4" customHeight="1" x14ac:dyDescent="0.3">
      <c r="A17" s="21" t="s">
        <v>61</v>
      </c>
      <c r="B17" s="72">
        <v>69.995210412437999</v>
      </c>
      <c r="C17" s="73">
        <v>5.8329342010360001</v>
      </c>
      <c r="D17" s="73">
        <v>4.9406564584124654E-324</v>
      </c>
      <c r="E17" s="73">
        <v>3.3528799999999999</v>
      </c>
      <c r="F17" s="73">
        <v>4.9406564584124654E-324</v>
      </c>
      <c r="G17" s="73">
        <v>10.454000000000001</v>
      </c>
      <c r="H17" s="73">
        <v>2.6843900000000001</v>
      </c>
      <c r="I17" s="73">
        <v>5.2312399999999997</v>
      </c>
      <c r="J17" s="73">
        <v>3.29251</v>
      </c>
      <c r="K17" s="73">
        <v>4.5471399999999997</v>
      </c>
      <c r="L17" s="73">
        <v>0.84204999999999997</v>
      </c>
      <c r="M17" s="73">
        <v>3.4672299999999998</v>
      </c>
      <c r="N17" s="73">
        <v>0.22747999999999999</v>
      </c>
      <c r="O17" s="73">
        <v>5.2031999999999998</v>
      </c>
      <c r="P17" s="74">
        <v>39.302120000000002</v>
      </c>
      <c r="Q17" s="139">
        <v>0.56149727629099999</v>
      </c>
    </row>
    <row r="18" spans="1:17" ht="14.4" customHeight="1" x14ac:dyDescent="0.3">
      <c r="A18" s="21" t="s">
        <v>62</v>
      </c>
      <c r="B18" s="72">
        <v>0</v>
      </c>
      <c r="C18" s="73">
        <v>0</v>
      </c>
      <c r="D18" s="73">
        <v>4.9406564584124654E-324</v>
      </c>
      <c r="E18" s="73">
        <v>0.55400000000000005</v>
      </c>
      <c r="F18" s="73">
        <v>4.9406564584124654E-324</v>
      </c>
      <c r="G18" s="73">
        <v>0.74299999999900002</v>
      </c>
      <c r="H18" s="73">
        <v>0.374</v>
      </c>
      <c r="I18" s="73">
        <v>0.85199999999999998</v>
      </c>
      <c r="J18" s="73">
        <v>1.125</v>
      </c>
      <c r="K18" s="73">
        <v>4.9406564584124654E-324</v>
      </c>
      <c r="L18" s="73">
        <v>4.9406564584124654E-324</v>
      </c>
      <c r="M18" s="73">
        <v>4.9406564584124654E-324</v>
      </c>
      <c r="N18" s="73">
        <v>4.9406564584124654E-324</v>
      </c>
      <c r="O18" s="73">
        <v>0.63400000000000001</v>
      </c>
      <c r="P18" s="74">
        <v>4.282</v>
      </c>
      <c r="Q18" s="139" t="s">
        <v>194</v>
      </c>
    </row>
    <row r="19" spans="1:17" ht="14.4" customHeight="1" x14ac:dyDescent="0.3">
      <c r="A19" s="21" t="s">
        <v>63</v>
      </c>
      <c r="B19" s="72">
        <v>218.667616553183</v>
      </c>
      <c r="C19" s="73">
        <v>18.222301379430998</v>
      </c>
      <c r="D19" s="73">
        <v>17.9055</v>
      </c>
      <c r="E19" s="73">
        <v>10.40606</v>
      </c>
      <c r="F19" s="73">
        <v>21.994289999999999</v>
      </c>
      <c r="G19" s="73">
        <v>19.590720000000001</v>
      </c>
      <c r="H19" s="73">
        <v>18.814139999999998</v>
      </c>
      <c r="I19" s="73">
        <v>15.950979999999999</v>
      </c>
      <c r="J19" s="73">
        <v>19.56278</v>
      </c>
      <c r="K19" s="73">
        <v>15.30743</v>
      </c>
      <c r="L19" s="73">
        <v>15.73587</v>
      </c>
      <c r="M19" s="73">
        <v>13.90781</v>
      </c>
      <c r="N19" s="73">
        <v>22.474630000000001</v>
      </c>
      <c r="O19" s="73">
        <v>23.849489999999999</v>
      </c>
      <c r="P19" s="74">
        <v>215.49969999999999</v>
      </c>
      <c r="Q19" s="139">
        <v>0.985512639671</v>
      </c>
    </row>
    <row r="20" spans="1:17" ht="14.4" customHeight="1" x14ac:dyDescent="0.3">
      <c r="A20" s="21" t="s">
        <v>64</v>
      </c>
      <c r="B20" s="72">
        <v>6065.0002588479701</v>
      </c>
      <c r="C20" s="73">
        <v>505.41668823733102</v>
      </c>
      <c r="D20" s="73">
        <v>523.25447999999994</v>
      </c>
      <c r="E20" s="73">
        <v>468.92435999999998</v>
      </c>
      <c r="F20" s="73">
        <v>533.85215000000005</v>
      </c>
      <c r="G20" s="73">
        <v>509.52591999999902</v>
      </c>
      <c r="H20" s="73">
        <v>510.40465999999998</v>
      </c>
      <c r="I20" s="73">
        <v>505.79698000000002</v>
      </c>
      <c r="J20" s="73">
        <v>682.91034999999999</v>
      </c>
      <c r="K20" s="73">
        <v>507.75234999999998</v>
      </c>
      <c r="L20" s="73">
        <v>533.56046000000003</v>
      </c>
      <c r="M20" s="73">
        <v>530.87832000000003</v>
      </c>
      <c r="N20" s="73">
        <v>706.99257999999998</v>
      </c>
      <c r="O20" s="73">
        <v>689.78901000000405</v>
      </c>
      <c r="P20" s="74">
        <v>6703.6416200000003</v>
      </c>
      <c r="Q20" s="139">
        <v>1.1052994779709999</v>
      </c>
    </row>
    <row r="21" spans="1:17" ht="14.4" customHeight="1" x14ac:dyDescent="0.3">
      <c r="A21" s="22" t="s">
        <v>65</v>
      </c>
      <c r="B21" s="72">
        <v>250.99999999998599</v>
      </c>
      <c r="C21" s="73">
        <v>20.916666666665002</v>
      </c>
      <c r="D21" s="73">
        <v>18.863</v>
      </c>
      <c r="E21" s="73">
        <v>18.863</v>
      </c>
      <c r="F21" s="73">
        <v>19.385000000000002</v>
      </c>
      <c r="G21" s="73">
        <v>22.547000000000001</v>
      </c>
      <c r="H21" s="73">
        <v>22.547000000000001</v>
      </c>
      <c r="I21" s="73">
        <v>22.547000000000001</v>
      </c>
      <c r="J21" s="73">
        <v>23.917000000000002</v>
      </c>
      <c r="K21" s="73">
        <v>23.917000000000002</v>
      </c>
      <c r="L21" s="73">
        <v>23.917000000000002</v>
      </c>
      <c r="M21" s="73">
        <v>23.916</v>
      </c>
      <c r="N21" s="73">
        <v>23.916</v>
      </c>
      <c r="O21" s="73">
        <v>24.091000000000001</v>
      </c>
      <c r="P21" s="74">
        <v>268.42599999999999</v>
      </c>
      <c r="Q21" s="139">
        <v>1.06942629482</v>
      </c>
    </row>
    <row r="22" spans="1:17" ht="14.4" customHeight="1" x14ac:dyDescent="0.3">
      <c r="A22" s="21" t="s">
        <v>66</v>
      </c>
      <c r="B22" s="72">
        <v>0</v>
      </c>
      <c r="C22" s="73">
        <v>0</v>
      </c>
      <c r="D22" s="73">
        <v>4.9406564584124654E-324</v>
      </c>
      <c r="E22" s="73">
        <v>4.9406564584124654E-324</v>
      </c>
      <c r="F22" s="73">
        <v>4.9406564584124654E-324</v>
      </c>
      <c r="G22" s="73">
        <v>4.9406564584124654E-324</v>
      </c>
      <c r="H22" s="73">
        <v>4.9406564584124654E-324</v>
      </c>
      <c r="I22" s="73">
        <v>4.9406564584124654E-324</v>
      </c>
      <c r="J22" s="73">
        <v>4.9406564584124654E-324</v>
      </c>
      <c r="K22" s="73">
        <v>1.8819999999999999</v>
      </c>
      <c r="L22" s="73">
        <v>4.9406564584124654E-324</v>
      </c>
      <c r="M22" s="73">
        <v>15.031000000000001</v>
      </c>
      <c r="N22" s="73">
        <v>4.9406564584124654E-324</v>
      </c>
      <c r="O22" s="73">
        <v>10.173679999999999</v>
      </c>
      <c r="P22" s="74">
        <v>27.086680000000001</v>
      </c>
      <c r="Q22" s="139" t="s">
        <v>194</v>
      </c>
    </row>
    <row r="23" spans="1:17" ht="14.4" customHeight="1" x14ac:dyDescent="0.3">
      <c r="A23" s="22" t="s">
        <v>67</v>
      </c>
      <c r="B23" s="72">
        <v>1.9762625833649862E-323</v>
      </c>
      <c r="C23" s="73">
        <v>0</v>
      </c>
      <c r="D23" s="73">
        <v>1.9762625833649862E-323</v>
      </c>
      <c r="E23" s="73">
        <v>1.9762625833649862E-323</v>
      </c>
      <c r="F23" s="73">
        <v>1.9762625833649862E-323</v>
      </c>
      <c r="G23" s="73">
        <v>1.9762625833649862E-323</v>
      </c>
      <c r="H23" s="73">
        <v>1.9762625833649862E-323</v>
      </c>
      <c r="I23" s="73">
        <v>1.9762625833649862E-323</v>
      </c>
      <c r="J23" s="73">
        <v>1.9762625833649862E-323</v>
      </c>
      <c r="K23" s="73">
        <v>1.9762625833649862E-323</v>
      </c>
      <c r="L23" s="73">
        <v>1.9762625833649862E-323</v>
      </c>
      <c r="M23" s="73">
        <v>1.9762625833649862E-323</v>
      </c>
      <c r="N23" s="73">
        <v>1.9762625833649862E-323</v>
      </c>
      <c r="O23" s="73">
        <v>1.9762625833649862E-323</v>
      </c>
      <c r="P23" s="74">
        <v>2.3715151000379834E-322</v>
      </c>
      <c r="Q23" s="139" t="s">
        <v>194</v>
      </c>
    </row>
    <row r="24" spans="1:17" ht="14.4" customHeight="1" x14ac:dyDescent="0.3">
      <c r="A24" s="22" t="s">
        <v>68</v>
      </c>
      <c r="B24" s="72">
        <v>1.8189894035458601E-12</v>
      </c>
      <c r="C24" s="73">
        <v>1.13686837721616E-13</v>
      </c>
      <c r="D24" s="73">
        <v>-1.13686837721616E-13</v>
      </c>
      <c r="E24" s="73">
        <v>9.7749999998999998E-2</v>
      </c>
      <c r="F24" s="73">
        <v>-1.13686837721616E-13</v>
      </c>
      <c r="G24" s="73">
        <v>-1.13686837721616E-13</v>
      </c>
      <c r="H24" s="73">
        <v>0</v>
      </c>
      <c r="I24" s="73">
        <v>0.77439999999999998</v>
      </c>
      <c r="J24" s="73">
        <v>-1.13686837721616E-13</v>
      </c>
      <c r="K24" s="73">
        <v>0</v>
      </c>
      <c r="L24" s="73">
        <v>4.993099999999</v>
      </c>
      <c r="M24" s="73">
        <v>-1.13686837721616E-13</v>
      </c>
      <c r="N24" s="73">
        <v>0.15299999999899999</v>
      </c>
      <c r="O24" s="73">
        <v>-1.504</v>
      </c>
      <c r="P24" s="74">
        <v>4.5142499999989996</v>
      </c>
      <c r="Q24" s="139">
        <v>0</v>
      </c>
    </row>
    <row r="25" spans="1:17" ht="14.4" customHeight="1" x14ac:dyDescent="0.3">
      <c r="A25" s="23" t="s">
        <v>69</v>
      </c>
      <c r="B25" s="75">
        <v>9055.7816558676695</v>
      </c>
      <c r="C25" s="76">
        <v>754.64847132230602</v>
      </c>
      <c r="D25" s="76">
        <v>793.22289000000001</v>
      </c>
      <c r="E25" s="76">
        <v>666.39209000000005</v>
      </c>
      <c r="F25" s="76">
        <v>802.55859999999996</v>
      </c>
      <c r="G25" s="76">
        <v>724.46937999999898</v>
      </c>
      <c r="H25" s="76">
        <v>695.08747000000005</v>
      </c>
      <c r="I25" s="76">
        <v>699.64107000000001</v>
      </c>
      <c r="J25" s="76">
        <v>853.09378000000004</v>
      </c>
      <c r="K25" s="76">
        <v>650.74609999999996</v>
      </c>
      <c r="L25" s="76">
        <v>717.60595999999998</v>
      </c>
      <c r="M25" s="76">
        <v>775.62554999999998</v>
      </c>
      <c r="N25" s="76">
        <v>927.06096000000002</v>
      </c>
      <c r="O25" s="76">
        <v>951.95696000000498</v>
      </c>
      <c r="P25" s="77">
        <v>9257.4608100000005</v>
      </c>
      <c r="Q25" s="140">
        <v>1.0222707615740001</v>
      </c>
    </row>
    <row r="26" spans="1:17" ht="14.4" customHeight="1" x14ac:dyDescent="0.3">
      <c r="A26" s="21" t="s">
        <v>70</v>
      </c>
      <c r="B26" s="72">
        <v>1252.2140167810501</v>
      </c>
      <c r="C26" s="73">
        <v>104.351168065088</v>
      </c>
      <c r="D26" s="73">
        <v>93.899000000000001</v>
      </c>
      <c r="E26" s="73">
        <v>77.348119999999994</v>
      </c>
      <c r="F26" s="73">
        <v>80.181039999999996</v>
      </c>
      <c r="G26" s="73">
        <v>82.836110000000005</v>
      </c>
      <c r="H26" s="73">
        <v>85.995369999999994</v>
      </c>
      <c r="I26" s="73">
        <v>131.13282000000001</v>
      </c>
      <c r="J26" s="73">
        <v>102.4152</v>
      </c>
      <c r="K26" s="73">
        <v>78.641450000000006</v>
      </c>
      <c r="L26" s="73">
        <v>83.581479999999999</v>
      </c>
      <c r="M26" s="73">
        <v>97.914119999999997</v>
      </c>
      <c r="N26" s="73">
        <v>81.392660000000006</v>
      </c>
      <c r="O26" s="73">
        <v>132.98299</v>
      </c>
      <c r="P26" s="74">
        <v>1128.3203599999999</v>
      </c>
      <c r="Q26" s="139">
        <v>0.901060317868</v>
      </c>
    </row>
    <row r="27" spans="1:17" ht="14.4" customHeight="1" x14ac:dyDescent="0.3">
      <c r="A27" s="24" t="s">
        <v>71</v>
      </c>
      <c r="B27" s="75">
        <v>10307.9956726487</v>
      </c>
      <c r="C27" s="76">
        <v>858.99963938739404</v>
      </c>
      <c r="D27" s="76">
        <v>887.12189000000001</v>
      </c>
      <c r="E27" s="76">
        <v>743.74021000000005</v>
      </c>
      <c r="F27" s="76">
        <v>882.73964000000001</v>
      </c>
      <c r="G27" s="76">
        <v>807.30548999999905</v>
      </c>
      <c r="H27" s="76">
        <v>781.08284000000003</v>
      </c>
      <c r="I27" s="76">
        <v>830.77389000000005</v>
      </c>
      <c r="J27" s="76">
        <v>955.50897999999995</v>
      </c>
      <c r="K27" s="76">
        <v>729.38755000000003</v>
      </c>
      <c r="L27" s="76">
        <v>801.18744000000004</v>
      </c>
      <c r="M27" s="76">
        <v>873.53967</v>
      </c>
      <c r="N27" s="76">
        <v>1008.45362</v>
      </c>
      <c r="O27" s="76">
        <v>1084.93995000001</v>
      </c>
      <c r="P27" s="77">
        <v>10385.78117</v>
      </c>
      <c r="Q27" s="140">
        <v>1.0075461321300001</v>
      </c>
    </row>
    <row r="28" spans="1:17" ht="14.4" customHeight="1" x14ac:dyDescent="0.3">
      <c r="A28" s="22" t="s">
        <v>72</v>
      </c>
      <c r="B28" s="72">
        <v>3687.9670473985202</v>
      </c>
      <c r="C28" s="73">
        <v>307.33058728320998</v>
      </c>
      <c r="D28" s="73">
        <v>182.65961999999999</v>
      </c>
      <c r="E28" s="73">
        <v>214.38303999999999</v>
      </c>
      <c r="F28" s="73">
        <v>338.95895000000002</v>
      </c>
      <c r="G28" s="73">
        <v>326.60784999999998</v>
      </c>
      <c r="H28" s="73">
        <v>291.67057</v>
      </c>
      <c r="I28" s="73">
        <v>255.36394000000001</v>
      </c>
      <c r="J28" s="73">
        <v>396.26137</v>
      </c>
      <c r="K28" s="73">
        <v>222.59522999999999</v>
      </c>
      <c r="L28" s="73">
        <v>280.58172000000002</v>
      </c>
      <c r="M28" s="73">
        <v>260.71494000000001</v>
      </c>
      <c r="N28" s="73">
        <v>447.76882999999998</v>
      </c>
      <c r="O28" s="73">
        <v>327.04606999999999</v>
      </c>
      <c r="P28" s="74">
        <v>3544.61213</v>
      </c>
      <c r="Q28" s="139">
        <v>0.96112901347599999</v>
      </c>
    </row>
    <row r="29" spans="1:17" ht="14.4" customHeight="1" x14ac:dyDescent="0.3">
      <c r="A29" s="22" t="s">
        <v>73</v>
      </c>
      <c r="B29" s="72">
        <v>9.8813129168249309E-324</v>
      </c>
      <c r="C29" s="73">
        <v>0</v>
      </c>
      <c r="D29" s="73">
        <v>9.8813129168249309E-324</v>
      </c>
      <c r="E29" s="73">
        <v>9.8813129168249309E-324</v>
      </c>
      <c r="F29" s="73">
        <v>9.8813129168249309E-324</v>
      </c>
      <c r="G29" s="73">
        <v>9.8813129168249309E-324</v>
      </c>
      <c r="H29" s="73">
        <v>9.8813129168249309E-324</v>
      </c>
      <c r="I29" s="73">
        <v>9.8813129168249309E-324</v>
      </c>
      <c r="J29" s="73">
        <v>9.8813129168249309E-324</v>
      </c>
      <c r="K29" s="73">
        <v>9.8813129168249309E-324</v>
      </c>
      <c r="L29" s="73">
        <v>9.8813129168249309E-324</v>
      </c>
      <c r="M29" s="73">
        <v>9.8813129168249309E-324</v>
      </c>
      <c r="N29" s="73">
        <v>9.8813129168249309E-324</v>
      </c>
      <c r="O29" s="73">
        <v>9.8813129168249309E-324</v>
      </c>
      <c r="P29" s="74">
        <v>1.1857575500189917E-322</v>
      </c>
      <c r="Q29" s="139" t="s">
        <v>194</v>
      </c>
    </row>
    <row r="30" spans="1:17" ht="14.4" customHeight="1" x14ac:dyDescent="0.3">
      <c r="A30" s="22" t="s">
        <v>74</v>
      </c>
      <c r="B30" s="72">
        <v>4.9406564584124654E-323</v>
      </c>
      <c r="C30" s="73">
        <v>0</v>
      </c>
      <c r="D30" s="73">
        <v>4.9406564584124654E-323</v>
      </c>
      <c r="E30" s="73">
        <v>4.9406564584124654E-323</v>
      </c>
      <c r="F30" s="73">
        <v>4.9406564584124654E-323</v>
      </c>
      <c r="G30" s="73">
        <v>4.9406564584124654E-323</v>
      </c>
      <c r="H30" s="73">
        <v>4.9406564584124654E-323</v>
      </c>
      <c r="I30" s="73">
        <v>4.9406564584124654E-323</v>
      </c>
      <c r="J30" s="73">
        <v>4.9406564584124654E-323</v>
      </c>
      <c r="K30" s="73">
        <v>4.9406564584124654E-323</v>
      </c>
      <c r="L30" s="73">
        <v>4.9406564584124654E-323</v>
      </c>
      <c r="M30" s="73">
        <v>4.9406564584124654E-323</v>
      </c>
      <c r="N30" s="73">
        <v>4.9406564584124654E-323</v>
      </c>
      <c r="O30" s="73">
        <v>4.9406564584124654E-323</v>
      </c>
      <c r="P30" s="74">
        <v>5.9287877500949585E-322</v>
      </c>
      <c r="Q30" s="139">
        <v>10</v>
      </c>
    </row>
    <row r="31" spans="1:17" ht="14.4" customHeight="1" thickBot="1" x14ac:dyDescent="0.35">
      <c r="A31" s="25" t="s">
        <v>75</v>
      </c>
      <c r="B31" s="78">
        <v>2.4703282292062327E-323</v>
      </c>
      <c r="C31" s="79">
        <v>0</v>
      </c>
      <c r="D31" s="79">
        <v>2.4703282292062327E-323</v>
      </c>
      <c r="E31" s="79">
        <v>2.4703282292062327E-323</v>
      </c>
      <c r="F31" s="79">
        <v>2.4703282292062327E-323</v>
      </c>
      <c r="G31" s="79">
        <v>2.4703282292062327E-323</v>
      </c>
      <c r="H31" s="79">
        <v>2.4703282292062327E-323</v>
      </c>
      <c r="I31" s="79">
        <v>2.4703282292062327E-323</v>
      </c>
      <c r="J31" s="79">
        <v>2.4703282292062327E-323</v>
      </c>
      <c r="K31" s="79">
        <v>2.4703282292062327E-323</v>
      </c>
      <c r="L31" s="79">
        <v>2.4703282292062327E-323</v>
      </c>
      <c r="M31" s="79">
        <v>2.4703282292062327E-323</v>
      </c>
      <c r="N31" s="79">
        <v>2.4703282292062327E-323</v>
      </c>
      <c r="O31" s="79">
        <v>2.4703282292062327E-323</v>
      </c>
      <c r="P31" s="80">
        <v>2.9643938750474793E-322</v>
      </c>
      <c r="Q31" s="141" t="s">
        <v>194</v>
      </c>
    </row>
    <row r="32" spans="1:17" ht="14.4" customHeight="1" x14ac:dyDescent="0.3">
      <c r="A32" s="257" t="s">
        <v>76</v>
      </c>
      <c r="B32" s="251"/>
      <c r="C32" s="251"/>
      <c r="D32" s="251"/>
      <c r="E32" s="251"/>
      <c r="F32" s="251"/>
      <c r="G32" s="251"/>
      <c r="H32" s="251"/>
      <c r="I32" s="251"/>
      <c r="J32" s="251"/>
      <c r="K32" s="251"/>
      <c r="L32" s="251"/>
      <c r="M32" s="251"/>
      <c r="N32" s="251"/>
      <c r="O32" s="251"/>
      <c r="P32" s="251"/>
      <c r="Q32" s="251"/>
    </row>
    <row r="33" spans="1:17" ht="14.4" customHeight="1" x14ac:dyDescent="0.3">
      <c r="A33" s="251"/>
      <c r="B33" s="251"/>
      <c r="C33" s="251"/>
      <c r="D33" s="251"/>
      <c r="E33" s="251"/>
      <c r="F33" s="251"/>
      <c r="G33" s="251"/>
      <c r="H33" s="251"/>
      <c r="I33" s="251"/>
      <c r="J33" s="251"/>
      <c r="K33" s="251"/>
      <c r="L33" s="251"/>
      <c r="M33" s="251"/>
      <c r="N33" s="251"/>
      <c r="O33" s="251"/>
      <c r="P33" s="251"/>
      <c r="Q33" s="251"/>
    </row>
    <row r="34" spans="1:17" ht="14.4" customHeight="1" x14ac:dyDescent="0.3">
      <c r="A34" s="257" t="s">
        <v>77</v>
      </c>
      <c r="B34" s="251"/>
      <c r="C34" s="251"/>
      <c r="D34" s="251"/>
      <c r="E34" s="251"/>
      <c r="F34" s="251"/>
      <c r="G34" s="251"/>
      <c r="H34" s="251"/>
      <c r="I34" s="251"/>
      <c r="J34" s="251"/>
      <c r="K34" s="251"/>
      <c r="L34" s="251"/>
      <c r="M34" s="251"/>
      <c r="N34" s="251"/>
      <c r="O34" s="251"/>
      <c r="P34" s="251"/>
      <c r="Q34" s="251"/>
    </row>
    <row r="35" spans="1:17" ht="14.4" customHeight="1" x14ac:dyDescent="0.3">
      <c r="A35" s="251"/>
      <c r="B35" s="251"/>
      <c r="C35" s="251"/>
      <c r="D35" s="251"/>
      <c r="E35" s="251"/>
      <c r="F35" s="251"/>
      <c r="G35" s="251"/>
      <c r="H35" s="251"/>
      <c r="I35" s="251"/>
      <c r="J35" s="251"/>
      <c r="K35" s="251"/>
      <c r="L35" s="251"/>
      <c r="M35" s="251"/>
      <c r="N35" s="251"/>
      <c r="O35" s="251"/>
      <c r="P35" s="251"/>
      <c r="Q35" s="251"/>
    </row>
    <row r="36" spans="1:17" ht="14.4" customHeight="1" x14ac:dyDescent="0.3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251"/>
      <c r="Q36" s="251"/>
    </row>
  </sheetData>
  <autoFilter ref="A5:A31"/>
  <mergeCells count="6">
    <mergeCell ref="P36:Q36"/>
    <mergeCell ref="A1:Q1"/>
    <mergeCell ref="B3:O3"/>
    <mergeCell ref="P4:Q4"/>
    <mergeCell ref="A32:Q33"/>
    <mergeCell ref="A34:Q35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7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65" customWidth="1"/>
    <col min="2" max="11" width="10" style="65" customWidth="1"/>
    <col min="12" max="16384" width="8.88671875" style="65"/>
  </cols>
  <sheetData>
    <row r="1" spans="1:11" s="81" customFormat="1" ht="18.600000000000001" customHeight="1" thickBot="1" x14ac:dyDescent="0.4">
      <c r="A1" s="252" t="s">
        <v>78</v>
      </c>
      <c r="B1" s="252"/>
      <c r="C1" s="252"/>
      <c r="D1" s="252"/>
      <c r="E1" s="252"/>
      <c r="F1" s="252"/>
      <c r="G1" s="252"/>
      <c r="H1" s="258"/>
      <c r="I1" s="258"/>
      <c r="J1" s="258"/>
      <c r="K1" s="258"/>
    </row>
    <row r="2" spans="1:11" s="81" customFormat="1" ht="14.4" customHeight="1" thickBot="1" x14ac:dyDescent="0.35">
      <c r="A2" s="318" t="s">
        <v>193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14.4" customHeight="1" x14ac:dyDescent="0.3">
      <c r="A3" s="113"/>
      <c r="B3" s="253" t="s">
        <v>79</v>
      </c>
      <c r="C3" s="254"/>
      <c r="D3" s="254"/>
      <c r="E3" s="254"/>
      <c r="F3" s="261" t="s">
        <v>80</v>
      </c>
      <c r="G3" s="254"/>
      <c r="H3" s="254"/>
      <c r="I3" s="254"/>
      <c r="J3" s="254"/>
      <c r="K3" s="262"/>
    </row>
    <row r="4" spans="1:11" ht="14.4" customHeight="1" x14ac:dyDescent="0.3">
      <c r="A4" s="114"/>
      <c r="B4" s="259"/>
      <c r="C4" s="260"/>
      <c r="D4" s="260"/>
      <c r="E4" s="260"/>
      <c r="F4" s="263" t="s">
        <v>125</v>
      </c>
      <c r="G4" s="265" t="s">
        <v>81</v>
      </c>
      <c r="H4" s="59" t="s">
        <v>175</v>
      </c>
      <c r="I4" s="263" t="s">
        <v>82</v>
      </c>
      <c r="J4" s="265" t="s">
        <v>83</v>
      </c>
      <c r="K4" s="266" t="s">
        <v>84</v>
      </c>
    </row>
    <row r="5" spans="1:11" ht="42" thickBot="1" x14ac:dyDescent="0.35">
      <c r="A5" s="115"/>
      <c r="B5" s="30" t="s">
        <v>126</v>
      </c>
      <c r="C5" s="31" t="s">
        <v>85</v>
      </c>
      <c r="D5" s="32" t="s">
        <v>86</v>
      </c>
      <c r="E5" s="32" t="s">
        <v>87</v>
      </c>
      <c r="F5" s="264"/>
      <c r="G5" s="264"/>
      <c r="H5" s="31" t="s">
        <v>88</v>
      </c>
      <c r="I5" s="264"/>
      <c r="J5" s="264"/>
      <c r="K5" s="267"/>
    </row>
    <row r="6" spans="1:11" ht="14.4" customHeight="1" thickBot="1" x14ac:dyDescent="0.35">
      <c r="A6" s="330" t="s">
        <v>196</v>
      </c>
      <c r="B6" s="319">
        <v>9100.5237220469098</v>
      </c>
      <c r="C6" s="319">
        <v>9375.9739399999908</v>
      </c>
      <c r="D6" s="319">
        <v>275.450217953079</v>
      </c>
      <c r="E6" s="320">
        <v>1.0302675127680001</v>
      </c>
      <c r="F6" s="319">
        <v>9055.7816558676695</v>
      </c>
      <c r="G6" s="319">
        <v>9055.7816558676695</v>
      </c>
      <c r="H6" s="321">
        <v>951.95696000000498</v>
      </c>
      <c r="I6" s="319">
        <v>9257.4608100000005</v>
      </c>
      <c r="J6" s="319">
        <v>201.679154132333</v>
      </c>
      <c r="K6" s="320">
        <v>1.0222707615740001</v>
      </c>
    </row>
    <row r="7" spans="1:11" ht="14.4" customHeight="1" thickBot="1" x14ac:dyDescent="0.35">
      <c r="A7" s="331" t="s">
        <v>197</v>
      </c>
      <c r="B7" s="319">
        <v>2520.8697082155099</v>
      </c>
      <c r="C7" s="319">
        <v>2372.3068199999998</v>
      </c>
      <c r="D7" s="319">
        <v>-148.562888215508</v>
      </c>
      <c r="E7" s="320">
        <v>0.94106681208800003</v>
      </c>
      <c r="F7" s="319">
        <v>2451.11857005409</v>
      </c>
      <c r="G7" s="319">
        <v>2451.11857005409</v>
      </c>
      <c r="H7" s="321">
        <v>199.72058000000101</v>
      </c>
      <c r="I7" s="319">
        <v>1994.7084400000001</v>
      </c>
      <c r="J7" s="319">
        <v>-456.410130054089</v>
      </c>
      <c r="K7" s="320">
        <v>0.81379516453</v>
      </c>
    </row>
    <row r="8" spans="1:11" ht="14.4" customHeight="1" thickBot="1" x14ac:dyDescent="0.35">
      <c r="A8" s="332" t="s">
        <v>198</v>
      </c>
      <c r="B8" s="319">
        <v>1233.5090057289899</v>
      </c>
      <c r="C8" s="319">
        <v>1110.9178199999999</v>
      </c>
      <c r="D8" s="319">
        <v>-122.59118572899099</v>
      </c>
      <c r="E8" s="320">
        <v>0.900615897281</v>
      </c>
      <c r="F8" s="319">
        <v>1167.7569883005101</v>
      </c>
      <c r="G8" s="319">
        <v>1167.7569883005101</v>
      </c>
      <c r="H8" s="321">
        <v>65.753579999999999</v>
      </c>
      <c r="I8" s="319">
        <v>767.04643999999996</v>
      </c>
      <c r="J8" s="319">
        <v>-400.710548300509</v>
      </c>
      <c r="K8" s="320">
        <v>0.65685450627499997</v>
      </c>
    </row>
    <row r="9" spans="1:11" ht="14.4" customHeight="1" thickBot="1" x14ac:dyDescent="0.35">
      <c r="A9" s="333" t="s">
        <v>199</v>
      </c>
      <c r="B9" s="322">
        <v>748.06727495800101</v>
      </c>
      <c r="C9" s="322">
        <v>696.33268999999996</v>
      </c>
      <c r="D9" s="322">
        <v>-51.734584958001001</v>
      </c>
      <c r="E9" s="323">
        <v>0.930842336391</v>
      </c>
      <c r="F9" s="322">
        <v>1004.85308138937</v>
      </c>
      <c r="G9" s="322">
        <v>1004.85308138937</v>
      </c>
      <c r="H9" s="324">
        <v>17.114599999999999</v>
      </c>
      <c r="I9" s="322">
        <v>582.44007999999997</v>
      </c>
      <c r="J9" s="322">
        <v>-422.41300138937402</v>
      </c>
      <c r="K9" s="323">
        <v>0.57962710249600002</v>
      </c>
    </row>
    <row r="10" spans="1:11" ht="14.4" customHeight="1" thickBot="1" x14ac:dyDescent="0.35">
      <c r="A10" s="334" t="s">
        <v>200</v>
      </c>
      <c r="B10" s="319">
        <v>746.06723507842605</v>
      </c>
      <c r="C10" s="319">
        <v>694.03599999999994</v>
      </c>
      <c r="D10" s="319">
        <v>-52.031235078426</v>
      </c>
      <c r="E10" s="320">
        <v>0.93025932163699998</v>
      </c>
      <c r="F10" s="319">
        <v>1002.86531696445</v>
      </c>
      <c r="G10" s="319">
        <v>1002.86531696445</v>
      </c>
      <c r="H10" s="321">
        <v>17.114599999999999</v>
      </c>
      <c r="I10" s="319">
        <v>582.40260999999998</v>
      </c>
      <c r="J10" s="319">
        <v>-420.46270696445202</v>
      </c>
      <c r="K10" s="320">
        <v>0.58073860980900005</v>
      </c>
    </row>
    <row r="11" spans="1:11" ht="14.4" customHeight="1" thickBot="1" x14ac:dyDescent="0.35">
      <c r="A11" s="334" t="s">
        <v>201</v>
      </c>
      <c r="B11" s="319">
        <v>4.9406564584124654E-324</v>
      </c>
      <c r="C11" s="319">
        <v>1.3482099999999999</v>
      </c>
      <c r="D11" s="319">
        <v>1.3482099999999999</v>
      </c>
      <c r="E11" s="325" t="s">
        <v>202</v>
      </c>
      <c r="F11" s="319">
        <v>1.000010671733</v>
      </c>
      <c r="G11" s="319">
        <v>1.000010671733</v>
      </c>
      <c r="H11" s="321">
        <v>4.9406564584124654E-324</v>
      </c>
      <c r="I11" s="319">
        <v>3.7470000000000003E-2</v>
      </c>
      <c r="J11" s="319">
        <v>-0.96254067173299995</v>
      </c>
      <c r="K11" s="320">
        <v>3.7469600133999997E-2</v>
      </c>
    </row>
    <row r="12" spans="1:11" ht="14.4" customHeight="1" thickBot="1" x14ac:dyDescent="0.35">
      <c r="A12" s="334" t="s">
        <v>203</v>
      </c>
      <c r="B12" s="319">
        <v>2.0000398795750001</v>
      </c>
      <c r="C12" s="319">
        <v>0.94847999999999999</v>
      </c>
      <c r="D12" s="319">
        <v>-1.0515598795750001</v>
      </c>
      <c r="E12" s="320">
        <v>0.47423054394300002</v>
      </c>
      <c r="F12" s="319">
        <v>0.98775375318799996</v>
      </c>
      <c r="G12" s="319">
        <v>0.98775375318799996</v>
      </c>
      <c r="H12" s="321">
        <v>4.9406564584124654E-324</v>
      </c>
      <c r="I12" s="319">
        <v>5.9287877500949585E-323</v>
      </c>
      <c r="J12" s="319">
        <v>-0.98775375318799996</v>
      </c>
      <c r="K12" s="320">
        <v>5.9287877500949585E-323</v>
      </c>
    </row>
    <row r="13" spans="1:11" ht="14.4" customHeight="1" thickBot="1" x14ac:dyDescent="0.35">
      <c r="A13" s="333" t="s">
        <v>204</v>
      </c>
      <c r="B13" s="322">
        <v>78.773395256962004</v>
      </c>
      <c r="C13" s="322">
        <v>83.330770000000001</v>
      </c>
      <c r="D13" s="322">
        <v>4.5573747430370002</v>
      </c>
      <c r="E13" s="323">
        <v>1.0578542378189999</v>
      </c>
      <c r="F13" s="322">
        <v>86.581388003870998</v>
      </c>
      <c r="G13" s="322">
        <v>86.581388003870998</v>
      </c>
      <c r="H13" s="324">
        <v>23.200769999999999</v>
      </c>
      <c r="I13" s="322">
        <v>81.502390000000005</v>
      </c>
      <c r="J13" s="322">
        <v>-5.0789980038709999</v>
      </c>
      <c r="K13" s="323">
        <v>0.94133845482300005</v>
      </c>
    </row>
    <row r="14" spans="1:11" ht="14.4" customHeight="1" thickBot="1" x14ac:dyDescent="0.35">
      <c r="A14" s="334" t="s">
        <v>205</v>
      </c>
      <c r="B14" s="319">
        <v>4.9406564584124654E-324</v>
      </c>
      <c r="C14" s="319">
        <v>0.43775999999999998</v>
      </c>
      <c r="D14" s="319">
        <v>0.43775999999999998</v>
      </c>
      <c r="E14" s="325" t="s">
        <v>202</v>
      </c>
      <c r="F14" s="319">
        <v>7</v>
      </c>
      <c r="G14" s="319">
        <v>7</v>
      </c>
      <c r="H14" s="321">
        <v>1.5100800000000001</v>
      </c>
      <c r="I14" s="319">
        <v>11.908609999999999</v>
      </c>
      <c r="J14" s="319">
        <v>4.9086100000000004</v>
      </c>
      <c r="K14" s="320">
        <v>1.70123</v>
      </c>
    </row>
    <row r="15" spans="1:11" ht="14.4" customHeight="1" thickBot="1" x14ac:dyDescent="0.35">
      <c r="A15" s="334" t="s">
        <v>206</v>
      </c>
      <c r="B15" s="319">
        <v>5.5234796674239997</v>
      </c>
      <c r="C15" s="319">
        <v>3.1672500000000001</v>
      </c>
      <c r="D15" s="319">
        <v>-2.356229667424</v>
      </c>
      <c r="E15" s="320">
        <v>0.57341570725400004</v>
      </c>
      <c r="F15" s="319">
        <v>3.0494912279399999</v>
      </c>
      <c r="G15" s="319">
        <v>3.0494912279399999</v>
      </c>
      <c r="H15" s="321">
        <v>0.95074000000000003</v>
      </c>
      <c r="I15" s="319">
        <v>2.3810899999999999</v>
      </c>
      <c r="J15" s="319">
        <v>-0.66840122794000001</v>
      </c>
      <c r="K15" s="320">
        <v>0.780815494133</v>
      </c>
    </row>
    <row r="16" spans="1:11" ht="14.4" customHeight="1" thickBot="1" x14ac:dyDescent="0.35">
      <c r="A16" s="334" t="s">
        <v>207</v>
      </c>
      <c r="B16" s="319">
        <v>33.999967952821997</v>
      </c>
      <c r="C16" s="319">
        <v>40.242759999999997</v>
      </c>
      <c r="D16" s="319">
        <v>6.2427920471769998</v>
      </c>
      <c r="E16" s="320">
        <v>1.183611703865</v>
      </c>
      <c r="F16" s="319">
        <v>32.914959169917999</v>
      </c>
      <c r="G16" s="319">
        <v>32.914959169917999</v>
      </c>
      <c r="H16" s="321">
        <v>11.401590000000001</v>
      </c>
      <c r="I16" s="319">
        <v>31.546330000000001</v>
      </c>
      <c r="J16" s="319">
        <v>-1.368629169918</v>
      </c>
      <c r="K16" s="320">
        <v>0.95841923537399998</v>
      </c>
    </row>
    <row r="17" spans="1:11" ht="14.4" customHeight="1" thickBot="1" x14ac:dyDescent="0.35">
      <c r="A17" s="334" t="s">
        <v>208</v>
      </c>
      <c r="B17" s="319">
        <v>35.249987877556997</v>
      </c>
      <c r="C17" s="319">
        <v>34.643000000000001</v>
      </c>
      <c r="D17" s="319">
        <v>-0.60698787755700001</v>
      </c>
      <c r="E17" s="320">
        <v>0.98278047982100003</v>
      </c>
      <c r="F17" s="319">
        <v>38.666712446882002</v>
      </c>
      <c r="G17" s="319">
        <v>38.666712446882002</v>
      </c>
      <c r="H17" s="321">
        <v>8.17</v>
      </c>
      <c r="I17" s="319">
        <v>31.576000000000001</v>
      </c>
      <c r="J17" s="319">
        <v>-7.0907124468819998</v>
      </c>
      <c r="K17" s="320">
        <v>0.81661972280100004</v>
      </c>
    </row>
    <row r="18" spans="1:11" ht="14.4" customHeight="1" thickBot="1" x14ac:dyDescent="0.35">
      <c r="A18" s="334" t="s">
        <v>209</v>
      </c>
      <c r="B18" s="319">
        <v>2.0000398795750001</v>
      </c>
      <c r="C18" s="319">
        <v>2.1070000000000002</v>
      </c>
      <c r="D18" s="319">
        <v>0.10696012042399999</v>
      </c>
      <c r="E18" s="320">
        <v>1.0534789938519999</v>
      </c>
      <c r="F18" s="319">
        <v>3</v>
      </c>
      <c r="G18" s="319">
        <v>3</v>
      </c>
      <c r="H18" s="321">
        <v>0.54835999999999996</v>
      </c>
      <c r="I18" s="319">
        <v>1.46336</v>
      </c>
      <c r="J18" s="319">
        <v>-1.53664</v>
      </c>
      <c r="K18" s="320">
        <v>0.48778666666600001</v>
      </c>
    </row>
    <row r="19" spans="1:11" ht="14.4" customHeight="1" thickBot="1" x14ac:dyDescent="0.35">
      <c r="A19" s="334" t="s">
        <v>210</v>
      </c>
      <c r="B19" s="319">
        <v>1.9999198795819999</v>
      </c>
      <c r="C19" s="319">
        <v>2.7330000000000001</v>
      </c>
      <c r="D19" s="319">
        <v>0.73308012041699999</v>
      </c>
      <c r="E19" s="320">
        <v>1.366554744468</v>
      </c>
      <c r="F19" s="319">
        <v>1.9502251591299999</v>
      </c>
      <c r="G19" s="319">
        <v>1.9502251591299999</v>
      </c>
      <c r="H19" s="321">
        <v>0.62</v>
      </c>
      <c r="I19" s="319">
        <v>2.6269999999999998</v>
      </c>
      <c r="J19" s="319">
        <v>0.67677484086899997</v>
      </c>
      <c r="K19" s="320">
        <v>1.3470239514140001</v>
      </c>
    </row>
    <row r="20" spans="1:11" ht="14.4" customHeight="1" thickBot="1" x14ac:dyDescent="0.35">
      <c r="A20" s="333" t="s">
        <v>211</v>
      </c>
      <c r="B20" s="322">
        <v>302.99998175602002</v>
      </c>
      <c r="C20" s="322">
        <v>247.53497999999999</v>
      </c>
      <c r="D20" s="322">
        <v>-55.465001756018999</v>
      </c>
      <c r="E20" s="323">
        <v>0.816947177902</v>
      </c>
      <c r="F20" s="322">
        <v>0</v>
      </c>
      <c r="G20" s="322">
        <v>0</v>
      </c>
      <c r="H20" s="324">
        <v>4.9406564584124654E-324</v>
      </c>
      <c r="I20" s="322">
        <v>5.9287877500949585E-323</v>
      </c>
      <c r="J20" s="322">
        <v>5.9287877500949585E-323</v>
      </c>
      <c r="K20" s="326" t="s">
        <v>194</v>
      </c>
    </row>
    <row r="21" spans="1:11" ht="14.4" customHeight="1" thickBot="1" x14ac:dyDescent="0.35">
      <c r="A21" s="334" t="s">
        <v>212</v>
      </c>
      <c r="B21" s="319">
        <v>266.99998392362102</v>
      </c>
      <c r="C21" s="319">
        <v>235.26392000000001</v>
      </c>
      <c r="D21" s="319">
        <v>-31.736063923621</v>
      </c>
      <c r="E21" s="320">
        <v>0.88113833020700005</v>
      </c>
      <c r="F21" s="319">
        <v>0</v>
      </c>
      <c r="G21" s="319">
        <v>0</v>
      </c>
      <c r="H21" s="321">
        <v>4.9406564584124654E-324</v>
      </c>
      <c r="I21" s="319">
        <v>5.9287877500949585E-323</v>
      </c>
      <c r="J21" s="319">
        <v>5.9287877500949585E-323</v>
      </c>
      <c r="K21" s="325" t="s">
        <v>194</v>
      </c>
    </row>
    <row r="22" spans="1:11" ht="14.4" customHeight="1" thickBot="1" x14ac:dyDescent="0.35">
      <c r="A22" s="334" t="s">
        <v>213</v>
      </c>
      <c r="B22" s="319">
        <v>35.999997832398002</v>
      </c>
      <c r="C22" s="319">
        <v>12.144869999999999</v>
      </c>
      <c r="D22" s="319">
        <v>-23.855127832398001</v>
      </c>
      <c r="E22" s="320">
        <v>0.337357520312</v>
      </c>
      <c r="F22" s="319">
        <v>0</v>
      </c>
      <c r="G22" s="319">
        <v>0</v>
      </c>
      <c r="H22" s="321">
        <v>4.9406564584124654E-324</v>
      </c>
      <c r="I22" s="319">
        <v>5.9287877500949585E-323</v>
      </c>
      <c r="J22" s="319">
        <v>5.9287877500949585E-323</v>
      </c>
      <c r="K22" s="325" t="s">
        <v>194</v>
      </c>
    </row>
    <row r="23" spans="1:11" ht="14.4" customHeight="1" thickBot="1" x14ac:dyDescent="0.35">
      <c r="A23" s="334" t="s">
        <v>214</v>
      </c>
      <c r="B23" s="319">
        <v>4.9406564584124654E-324</v>
      </c>
      <c r="C23" s="319">
        <v>0.12619</v>
      </c>
      <c r="D23" s="319">
        <v>0.12619</v>
      </c>
      <c r="E23" s="325" t="s">
        <v>202</v>
      </c>
      <c r="F23" s="319">
        <v>0</v>
      </c>
      <c r="G23" s="319">
        <v>0</v>
      </c>
      <c r="H23" s="321">
        <v>4.9406564584124654E-324</v>
      </c>
      <c r="I23" s="319">
        <v>5.9287877500949585E-323</v>
      </c>
      <c r="J23" s="319">
        <v>5.9287877500949585E-323</v>
      </c>
      <c r="K23" s="325" t="s">
        <v>194</v>
      </c>
    </row>
    <row r="24" spans="1:11" ht="14.4" customHeight="1" thickBot="1" x14ac:dyDescent="0.35">
      <c r="A24" s="333" t="s">
        <v>215</v>
      </c>
      <c r="B24" s="322">
        <v>87.555834728161003</v>
      </c>
      <c r="C24" s="322">
        <v>76.488460000000003</v>
      </c>
      <c r="D24" s="322">
        <v>-11.067374728161001</v>
      </c>
      <c r="E24" s="323">
        <v>0.87359637695699999</v>
      </c>
      <c r="F24" s="322">
        <v>69.682502571588003</v>
      </c>
      <c r="G24" s="322">
        <v>69.682502571588003</v>
      </c>
      <c r="H24" s="324">
        <v>24.859829999999999</v>
      </c>
      <c r="I24" s="322">
        <v>93.896010000000004</v>
      </c>
      <c r="J24" s="322">
        <v>24.213507428412001</v>
      </c>
      <c r="K24" s="323">
        <v>1.347483321276</v>
      </c>
    </row>
    <row r="25" spans="1:11" ht="14.4" customHeight="1" thickBot="1" x14ac:dyDescent="0.35">
      <c r="A25" s="334" t="s">
        <v>216</v>
      </c>
      <c r="B25" s="319">
        <v>8.9999994580989995</v>
      </c>
      <c r="C25" s="319">
        <v>4.7443400000000002</v>
      </c>
      <c r="D25" s="319">
        <v>-4.2556594580990001</v>
      </c>
      <c r="E25" s="320">
        <v>0.52714892062899998</v>
      </c>
      <c r="F25" s="319">
        <v>4.5875915536500003</v>
      </c>
      <c r="G25" s="319">
        <v>4.5875915536500003</v>
      </c>
      <c r="H25" s="321">
        <v>19.911760000000001</v>
      </c>
      <c r="I25" s="319">
        <v>20.984760000000001</v>
      </c>
      <c r="J25" s="319">
        <v>16.397168446348999</v>
      </c>
      <c r="K25" s="320">
        <v>4.5742433158200004</v>
      </c>
    </row>
    <row r="26" spans="1:11" ht="14.4" customHeight="1" thickBot="1" x14ac:dyDescent="0.35">
      <c r="A26" s="334" t="s">
        <v>217</v>
      </c>
      <c r="B26" s="319">
        <v>2.0000398795750001</v>
      </c>
      <c r="C26" s="319">
        <v>0.23166999999999999</v>
      </c>
      <c r="D26" s="319">
        <v>-1.768369879575</v>
      </c>
      <c r="E26" s="320">
        <v>0.11583269032</v>
      </c>
      <c r="F26" s="319">
        <v>0</v>
      </c>
      <c r="G26" s="319">
        <v>0</v>
      </c>
      <c r="H26" s="321">
        <v>3.8600000000000002E-2</v>
      </c>
      <c r="I26" s="319">
        <v>0.22943</v>
      </c>
      <c r="J26" s="319">
        <v>0.22943</v>
      </c>
      <c r="K26" s="325" t="s">
        <v>194</v>
      </c>
    </row>
    <row r="27" spans="1:11" ht="14.4" customHeight="1" thickBot="1" x14ac:dyDescent="0.35">
      <c r="A27" s="334" t="s">
        <v>218</v>
      </c>
      <c r="B27" s="319">
        <v>13.000079217250001</v>
      </c>
      <c r="C27" s="319">
        <v>12.210760000000001</v>
      </c>
      <c r="D27" s="319">
        <v>-0.78931921724999998</v>
      </c>
      <c r="E27" s="320">
        <v>0.93928350711800002</v>
      </c>
      <c r="F27" s="319">
        <v>8.9995435723420005</v>
      </c>
      <c r="G27" s="319">
        <v>8.9995435723420005</v>
      </c>
      <c r="H27" s="321">
        <v>0.11082</v>
      </c>
      <c r="I27" s="319">
        <v>12.348269999999999</v>
      </c>
      <c r="J27" s="319">
        <v>3.3487264276570001</v>
      </c>
      <c r="K27" s="320">
        <v>1.372099584911</v>
      </c>
    </row>
    <row r="28" spans="1:11" ht="14.4" customHeight="1" thickBot="1" x14ac:dyDescent="0.35">
      <c r="A28" s="334" t="s">
        <v>219</v>
      </c>
      <c r="B28" s="319">
        <v>33.999957952823003</v>
      </c>
      <c r="C28" s="319">
        <v>28.81531</v>
      </c>
      <c r="D28" s="319">
        <v>-5.1846479528230001</v>
      </c>
      <c r="E28" s="320">
        <v>0.847510165747</v>
      </c>
      <c r="F28" s="319">
        <v>28.85466852291</v>
      </c>
      <c r="G28" s="319">
        <v>28.85466852291</v>
      </c>
      <c r="H28" s="321">
        <v>3.5886</v>
      </c>
      <c r="I28" s="319">
        <v>27.780080000000002</v>
      </c>
      <c r="J28" s="319">
        <v>-1.0745885229100001</v>
      </c>
      <c r="K28" s="320">
        <v>0.96275859062199998</v>
      </c>
    </row>
    <row r="29" spans="1:11" ht="14.4" customHeight="1" thickBot="1" x14ac:dyDescent="0.35">
      <c r="A29" s="334" t="s">
        <v>220</v>
      </c>
      <c r="B29" s="319">
        <v>5.555639665488</v>
      </c>
      <c r="C29" s="319">
        <v>1.7777799999999999</v>
      </c>
      <c r="D29" s="319">
        <v>-3.7778596654880001</v>
      </c>
      <c r="E29" s="320">
        <v>0.31999555533500001</v>
      </c>
      <c r="F29" s="319">
        <v>1.7337157986730001</v>
      </c>
      <c r="G29" s="319">
        <v>1.7337157986730001</v>
      </c>
      <c r="H29" s="321">
        <v>0.11971999999999999</v>
      </c>
      <c r="I29" s="319">
        <v>2.3786200000000002</v>
      </c>
      <c r="J29" s="319">
        <v>0.64490420132600002</v>
      </c>
      <c r="K29" s="320">
        <v>1.3719780380490001</v>
      </c>
    </row>
    <row r="30" spans="1:11" ht="14.4" customHeight="1" thickBot="1" x14ac:dyDescent="0.35">
      <c r="A30" s="334" t="s">
        <v>221</v>
      </c>
      <c r="B30" s="319">
        <v>24.000118554924999</v>
      </c>
      <c r="C30" s="319">
        <v>28.708600000000001</v>
      </c>
      <c r="D30" s="319">
        <v>4.7084814450739998</v>
      </c>
      <c r="E30" s="320">
        <v>1.196185757761</v>
      </c>
      <c r="F30" s="319">
        <v>25.506983124009999</v>
      </c>
      <c r="G30" s="319">
        <v>25.506983124009999</v>
      </c>
      <c r="H30" s="321">
        <v>0.60499999999999998</v>
      </c>
      <c r="I30" s="319">
        <v>26.090890000000002</v>
      </c>
      <c r="J30" s="319">
        <v>0.58390687598900004</v>
      </c>
      <c r="K30" s="320">
        <v>1.0228920399220001</v>
      </c>
    </row>
    <row r="31" spans="1:11" ht="14.4" customHeight="1" thickBot="1" x14ac:dyDescent="0.35">
      <c r="A31" s="334" t="s">
        <v>222</v>
      </c>
      <c r="B31" s="319">
        <v>4.9406564584124654E-324</v>
      </c>
      <c r="C31" s="319">
        <v>4.9406564584124654E-324</v>
      </c>
      <c r="D31" s="319">
        <v>0</v>
      </c>
      <c r="E31" s="320">
        <v>1</v>
      </c>
      <c r="F31" s="319">
        <v>4.9406564584124654E-324</v>
      </c>
      <c r="G31" s="319">
        <v>0</v>
      </c>
      <c r="H31" s="321">
        <v>0.48532999999999998</v>
      </c>
      <c r="I31" s="319">
        <v>4.0839600000000003</v>
      </c>
      <c r="J31" s="319">
        <v>4.0839600000000003</v>
      </c>
      <c r="K31" s="325" t="s">
        <v>202</v>
      </c>
    </row>
    <row r="32" spans="1:11" ht="14.4" customHeight="1" thickBot="1" x14ac:dyDescent="0.35">
      <c r="A32" s="333" t="s">
        <v>223</v>
      </c>
      <c r="B32" s="322">
        <v>5.1464396901259999</v>
      </c>
      <c r="C32" s="322">
        <v>1.2531600000000001</v>
      </c>
      <c r="D32" s="322">
        <v>-3.8932796901260001</v>
      </c>
      <c r="E32" s="323">
        <v>0.243500376076</v>
      </c>
      <c r="F32" s="322">
        <v>1.283560915734</v>
      </c>
      <c r="G32" s="322">
        <v>1.283560915734</v>
      </c>
      <c r="H32" s="324">
        <v>4.9406564584124654E-324</v>
      </c>
      <c r="I32" s="322">
        <v>5.0661300000000002</v>
      </c>
      <c r="J32" s="322">
        <v>3.7825690842649999</v>
      </c>
      <c r="K32" s="323">
        <v>3.9469338290809999</v>
      </c>
    </row>
    <row r="33" spans="1:11" ht="14.4" customHeight="1" thickBot="1" x14ac:dyDescent="0.35">
      <c r="A33" s="334" t="s">
        <v>224</v>
      </c>
      <c r="B33" s="319">
        <v>4.9406564584124654E-324</v>
      </c>
      <c r="C33" s="319">
        <v>4.9406564584124654E-324</v>
      </c>
      <c r="D33" s="319">
        <v>0</v>
      </c>
      <c r="E33" s="320">
        <v>1</v>
      </c>
      <c r="F33" s="319">
        <v>4.9406564584124654E-324</v>
      </c>
      <c r="G33" s="319">
        <v>0</v>
      </c>
      <c r="H33" s="321">
        <v>4.9406564584124654E-324</v>
      </c>
      <c r="I33" s="319">
        <v>2.0884</v>
      </c>
      <c r="J33" s="319">
        <v>2.0884</v>
      </c>
      <c r="K33" s="325" t="s">
        <v>202</v>
      </c>
    </row>
    <row r="34" spans="1:11" ht="14.4" customHeight="1" thickBot="1" x14ac:dyDescent="0.35">
      <c r="A34" s="334" t="s">
        <v>225</v>
      </c>
      <c r="B34" s="319">
        <v>4.9406564584124654E-324</v>
      </c>
      <c r="C34" s="319">
        <v>1.0416000000000001</v>
      </c>
      <c r="D34" s="319">
        <v>1.0416000000000001</v>
      </c>
      <c r="E34" s="325" t="s">
        <v>202</v>
      </c>
      <c r="F34" s="319">
        <v>1.062565018266</v>
      </c>
      <c r="G34" s="319">
        <v>1.062565018266</v>
      </c>
      <c r="H34" s="321">
        <v>4.9406564584124654E-324</v>
      </c>
      <c r="I34" s="319">
        <v>5.9287877500949585E-323</v>
      </c>
      <c r="J34" s="319">
        <v>-1.062565018266</v>
      </c>
      <c r="K34" s="320">
        <v>5.434722104253712E-323</v>
      </c>
    </row>
    <row r="35" spans="1:11" ht="14.4" customHeight="1" thickBot="1" x14ac:dyDescent="0.35">
      <c r="A35" s="334" t="s">
        <v>226</v>
      </c>
      <c r="B35" s="319">
        <v>3.1463998105509998</v>
      </c>
      <c r="C35" s="319">
        <v>0.21156</v>
      </c>
      <c r="D35" s="319">
        <v>-2.9348398105509999</v>
      </c>
      <c r="E35" s="320">
        <v>6.7238753095000006E-2</v>
      </c>
      <c r="F35" s="319">
        <v>0.220995897468</v>
      </c>
      <c r="G35" s="319">
        <v>0.220995897468</v>
      </c>
      <c r="H35" s="321">
        <v>4.9406564584124654E-324</v>
      </c>
      <c r="I35" s="319">
        <v>2.9777300000000002</v>
      </c>
      <c r="J35" s="319">
        <v>2.7567341025309999</v>
      </c>
      <c r="K35" s="320">
        <v>13.474141529821001</v>
      </c>
    </row>
    <row r="36" spans="1:11" ht="14.4" customHeight="1" thickBot="1" x14ac:dyDescent="0.35">
      <c r="A36" s="333" t="s">
        <v>227</v>
      </c>
      <c r="B36" s="322">
        <v>10.966079339719</v>
      </c>
      <c r="C36" s="322">
        <v>5.97776</v>
      </c>
      <c r="D36" s="322">
        <v>-4.9883193397190002</v>
      </c>
      <c r="E36" s="323">
        <v>0.54511369239700003</v>
      </c>
      <c r="F36" s="322">
        <v>5.3564554199399996</v>
      </c>
      <c r="G36" s="322">
        <v>5.3564554199399996</v>
      </c>
      <c r="H36" s="324">
        <v>0.57838000000000001</v>
      </c>
      <c r="I36" s="322">
        <v>4.1418299999999997</v>
      </c>
      <c r="J36" s="322">
        <v>-1.21462541994</v>
      </c>
      <c r="K36" s="323">
        <v>0.77324082350800005</v>
      </c>
    </row>
    <row r="37" spans="1:11" ht="14.4" customHeight="1" thickBot="1" x14ac:dyDescent="0.35">
      <c r="A37" s="334" t="s">
        <v>228</v>
      </c>
      <c r="B37" s="319">
        <v>6.9999595785239999</v>
      </c>
      <c r="C37" s="319">
        <v>3.4056700000000002</v>
      </c>
      <c r="D37" s="319">
        <v>-3.5942895785240001</v>
      </c>
      <c r="E37" s="320">
        <v>0.48652709516300002</v>
      </c>
      <c r="F37" s="319">
        <v>2.8052947837329998</v>
      </c>
      <c r="G37" s="319">
        <v>2.8052947837329998</v>
      </c>
      <c r="H37" s="321">
        <v>4.9406564584124654E-324</v>
      </c>
      <c r="I37" s="319">
        <v>1.6533500000000001</v>
      </c>
      <c r="J37" s="319">
        <v>-1.1519447837329999</v>
      </c>
      <c r="K37" s="320">
        <v>0.58936765204999997</v>
      </c>
    </row>
    <row r="38" spans="1:11" ht="14.4" customHeight="1" thickBot="1" x14ac:dyDescent="0.35">
      <c r="A38" s="334" t="s">
        <v>229</v>
      </c>
      <c r="B38" s="319">
        <v>2.9661598214040001</v>
      </c>
      <c r="C38" s="319">
        <v>2.5720900000000002</v>
      </c>
      <c r="D38" s="319">
        <v>-0.39406982140399999</v>
      </c>
      <c r="E38" s="320">
        <v>0.86714477805199996</v>
      </c>
      <c r="F38" s="319">
        <v>2.5511606362060002</v>
      </c>
      <c r="G38" s="319">
        <v>2.5511606362060002</v>
      </c>
      <c r="H38" s="321">
        <v>0.57838000000000001</v>
      </c>
      <c r="I38" s="319">
        <v>2.48848</v>
      </c>
      <c r="J38" s="319">
        <v>-6.2680636206000007E-2</v>
      </c>
      <c r="K38" s="320">
        <v>0.97543054117500005</v>
      </c>
    </row>
    <row r="39" spans="1:11" ht="14.4" customHeight="1" thickBot="1" x14ac:dyDescent="0.35">
      <c r="A39" s="332" t="s">
        <v>58</v>
      </c>
      <c r="B39" s="319">
        <v>1287.36070248652</v>
      </c>
      <c r="C39" s="319">
        <v>1261.3889999999999</v>
      </c>
      <c r="D39" s="319">
        <v>-25.971702486518002</v>
      </c>
      <c r="E39" s="320">
        <v>0.97982562118200001</v>
      </c>
      <c r="F39" s="319">
        <v>1283.3615817535799</v>
      </c>
      <c r="G39" s="319">
        <v>1283.3615817535799</v>
      </c>
      <c r="H39" s="321">
        <v>133.96700000000101</v>
      </c>
      <c r="I39" s="319">
        <v>1227.662</v>
      </c>
      <c r="J39" s="319">
        <v>-55.699581753578997</v>
      </c>
      <c r="K39" s="320">
        <v>0.95659868384199997</v>
      </c>
    </row>
    <row r="40" spans="1:11" ht="14.4" customHeight="1" thickBot="1" x14ac:dyDescent="0.35">
      <c r="A40" s="333" t="s">
        <v>230</v>
      </c>
      <c r="B40" s="322">
        <v>1287.36070248652</v>
      </c>
      <c r="C40" s="322">
        <v>1261.3889999999999</v>
      </c>
      <c r="D40" s="322">
        <v>-25.971702486518002</v>
      </c>
      <c r="E40" s="323">
        <v>0.97982562118200001</v>
      </c>
      <c r="F40" s="322">
        <v>1283.3615817535799</v>
      </c>
      <c r="G40" s="322">
        <v>1283.3615817535799</v>
      </c>
      <c r="H40" s="324">
        <v>133.96700000000101</v>
      </c>
      <c r="I40" s="322">
        <v>1227.662</v>
      </c>
      <c r="J40" s="322">
        <v>-55.699581753578997</v>
      </c>
      <c r="K40" s="323">
        <v>0.95659868384199997</v>
      </c>
    </row>
    <row r="41" spans="1:11" ht="14.4" customHeight="1" thickBot="1" x14ac:dyDescent="0.35">
      <c r="A41" s="334" t="s">
        <v>231</v>
      </c>
      <c r="B41" s="319">
        <v>366.36357794082397</v>
      </c>
      <c r="C41" s="319">
        <v>403.74299999999999</v>
      </c>
      <c r="D41" s="319">
        <v>37.379422059174999</v>
      </c>
      <c r="E41" s="320">
        <v>1.102028215439</v>
      </c>
      <c r="F41" s="319">
        <v>407.91152092024498</v>
      </c>
      <c r="G41" s="319">
        <v>407.91152092024498</v>
      </c>
      <c r="H41" s="321">
        <v>33.070999999999998</v>
      </c>
      <c r="I41" s="319">
        <v>420.291</v>
      </c>
      <c r="J41" s="319">
        <v>12.379479079755001</v>
      </c>
      <c r="K41" s="320">
        <v>1.0303484418669999</v>
      </c>
    </row>
    <row r="42" spans="1:11" ht="14.4" customHeight="1" thickBot="1" x14ac:dyDescent="0.35">
      <c r="A42" s="334" t="s">
        <v>232</v>
      </c>
      <c r="B42" s="319">
        <v>105.00011367782101</v>
      </c>
      <c r="C42" s="319">
        <v>119.27500000000001</v>
      </c>
      <c r="D42" s="319">
        <v>14.274886322178</v>
      </c>
      <c r="E42" s="320">
        <v>1.1359511511189999</v>
      </c>
      <c r="F42" s="319">
        <v>107.39108339259001</v>
      </c>
      <c r="G42" s="319">
        <v>107.39108339259001</v>
      </c>
      <c r="H42" s="321">
        <v>6.2549999999999999</v>
      </c>
      <c r="I42" s="319">
        <v>102.801</v>
      </c>
      <c r="J42" s="319">
        <v>-4.5900833925890003</v>
      </c>
      <c r="K42" s="320">
        <v>0.95725824484099997</v>
      </c>
    </row>
    <row r="43" spans="1:11" ht="14.4" customHeight="1" thickBot="1" x14ac:dyDescent="0.35">
      <c r="A43" s="334" t="s">
        <v>233</v>
      </c>
      <c r="B43" s="319">
        <v>815.99701086787297</v>
      </c>
      <c r="C43" s="319">
        <v>738.37099999999998</v>
      </c>
      <c r="D43" s="319">
        <v>-77.626010867873006</v>
      </c>
      <c r="E43" s="320">
        <v>0.90486973624400002</v>
      </c>
      <c r="F43" s="319">
        <v>768.05897744074502</v>
      </c>
      <c r="G43" s="319">
        <v>768.05897744074502</v>
      </c>
      <c r="H43" s="321">
        <v>94.641000000000005</v>
      </c>
      <c r="I43" s="319">
        <v>704.57</v>
      </c>
      <c r="J43" s="319">
        <v>-63.488977440745003</v>
      </c>
      <c r="K43" s="320">
        <v>0.91733840850000004</v>
      </c>
    </row>
    <row r="44" spans="1:11" ht="14.4" customHeight="1" thickBot="1" x14ac:dyDescent="0.35">
      <c r="A44" s="335" t="s">
        <v>234</v>
      </c>
      <c r="B44" s="322">
        <v>355.654468585632</v>
      </c>
      <c r="C44" s="322">
        <v>261.04644999999999</v>
      </c>
      <c r="D44" s="322">
        <v>-94.608018585631001</v>
      </c>
      <c r="E44" s="323">
        <v>0.73398895011200005</v>
      </c>
      <c r="F44" s="322">
        <v>288.662826965622</v>
      </c>
      <c r="G44" s="322">
        <v>288.662826965622</v>
      </c>
      <c r="H44" s="324">
        <v>29.686689999999999</v>
      </c>
      <c r="I44" s="322">
        <v>259.08382</v>
      </c>
      <c r="J44" s="322">
        <v>-29.579006965621002</v>
      </c>
      <c r="K44" s="323">
        <v>0.89753094544000001</v>
      </c>
    </row>
    <row r="45" spans="1:11" ht="14.4" customHeight="1" thickBot="1" x14ac:dyDescent="0.35">
      <c r="A45" s="332" t="s">
        <v>61</v>
      </c>
      <c r="B45" s="319">
        <v>133.727131948134</v>
      </c>
      <c r="C45" s="319">
        <v>35.077489999999997</v>
      </c>
      <c r="D45" s="319">
        <v>-98.649641948134004</v>
      </c>
      <c r="E45" s="320">
        <v>0.26230645560799998</v>
      </c>
      <c r="F45" s="319">
        <v>69.995210412437999</v>
      </c>
      <c r="G45" s="319">
        <v>69.995210412437999</v>
      </c>
      <c r="H45" s="321">
        <v>5.2031999999999998</v>
      </c>
      <c r="I45" s="319">
        <v>39.302120000000002</v>
      </c>
      <c r="J45" s="319">
        <v>-30.693090412438</v>
      </c>
      <c r="K45" s="320">
        <v>0.56149727629099999</v>
      </c>
    </row>
    <row r="46" spans="1:11" ht="14.4" customHeight="1" thickBot="1" x14ac:dyDescent="0.35">
      <c r="A46" s="333" t="s">
        <v>235</v>
      </c>
      <c r="B46" s="322">
        <v>133.727131948134</v>
      </c>
      <c r="C46" s="322">
        <v>35.077489999999997</v>
      </c>
      <c r="D46" s="322">
        <v>-98.649641948134004</v>
      </c>
      <c r="E46" s="323">
        <v>0.26230645560799998</v>
      </c>
      <c r="F46" s="322">
        <v>69.995210412437999</v>
      </c>
      <c r="G46" s="322">
        <v>69.995210412437999</v>
      </c>
      <c r="H46" s="324">
        <v>5.2031999999999998</v>
      </c>
      <c r="I46" s="322">
        <v>39.302120000000002</v>
      </c>
      <c r="J46" s="322">
        <v>-30.693090412438</v>
      </c>
      <c r="K46" s="323">
        <v>0.56149727629099999</v>
      </c>
    </row>
    <row r="47" spans="1:11" ht="14.4" customHeight="1" thickBot="1" x14ac:dyDescent="0.35">
      <c r="A47" s="334" t="s">
        <v>236</v>
      </c>
      <c r="B47" s="319">
        <v>4.9406564584124654E-324</v>
      </c>
      <c r="C47" s="319">
        <v>3.8671600000000002</v>
      </c>
      <c r="D47" s="319">
        <v>3.8671600000000002</v>
      </c>
      <c r="E47" s="325" t="s">
        <v>202</v>
      </c>
      <c r="F47" s="319">
        <v>4.0002024093240003</v>
      </c>
      <c r="G47" s="319">
        <v>4.0002024093240003</v>
      </c>
      <c r="H47" s="321">
        <v>4.9406564584124654E-324</v>
      </c>
      <c r="I47" s="319">
        <v>1.27776</v>
      </c>
      <c r="J47" s="319">
        <v>-2.7224424093240001</v>
      </c>
      <c r="K47" s="320">
        <v>0.31942383640900002</v>
      </c>
    </row>
    <row r="48" spans="1:11" ht="14.4" customHeight="1" thickBot="1" x14ac:dyDescent="0.35">
      <c r="A48" s="334" t="s">
        <v>237</v>
      </c>
      <c r="B48" s="319">
        <v>0.72729995620800003</v>
      </c>
      <c r="C48" s="319">
        <v>0</v>
      </c>
      <c r="D48" s="319">
        <v>-0.72729995620800003</v>
      </c>
      <c r="E48" s="320">
        <v>0</v>
      </c>
      <c r="F48" s="319">
        <v>0</v>
      </c>
      <c r="G48" s="319">
        <v>0</v>
      </c>
      <c r="H48" s="321">
        <v>4.9406564584124654E-324</v>
      </c>
      <c r="I48" s="319">
        <v>2.399</v>
      </c>
      <c r="J48" s="319">
        <v>2.399</v>
      </c>
      <c r="K48" s="325" t="s">
        <v>194</v>
      </c>
    </row>
    <row r="49" spans="1:11" ht="14.4" customHeight="1" thickBot="1" x14ac:dyDescent="0.35">
      <c r="A49" s="334" t="s">
        <v>238</v>
      </c>
      <c r="B49" s="319">
        <v>87.999954701419995</v>
      </c>
      <c r="C49" s="319">
        <v>18.360569999999999</v>
      </c>
      <c r="D49" s="319">
        <v>-69.639384701419999</v>
      </c>
      <c r="E49" s="320">
        <v>0.20864294830899999</v>
      </c>
      <c r="F49" s="319">
        <v>17.998548463239999</v>
      </c>
      <c r="G49" s="319">
        <v>17.998548463239999</v>
      </c>
      <c r="H49" s="321">
        <v>3.8509699999999998</v>
      </c>
      <c r="I49" s="319">
        <v>23.3169</v>
      </c>
      <c r="J49" s="319">
        <v>5.3183515367589997</v>
      </c>
      <c r="K49" s="320">
        <v>1.2954878026750001</v>
      </c>
    </row>
    <row r="50" spans="1:11" ht="14.4" customHeight="1" thickBot="1" x14ac:dyDescent="0.35">
      <c r="A50" s="334" t="s">
        <v>239</v>
      </c>
      <c r="B50" s="319">
        <v>44.999877290504998</v>
      </c>
      <c r="C50" s="319">
        <v>12.84976</v>
      </c>
      <c r="D50" s="319">
        <v>-32.150117290505001</v>
      </c>
      <c r="E50" s="320">
        <v>0.28555100088399998</v>
      </c>
      <c r="F50" s="319">
        <v>47.996459539873001</v>
      </c>
      <c r="G50" s="319">
        <v>47.996459539873001</v>
      </c>
      <c r="H50" s="321">
        <v>1.35223</v>
      </c>
      <c r="I50" s="319">
        <v>12.30846</v>
      </c>
      <c r="J50" s="319">
        <v>-35.687999539872997</v>
      </c>
      <c r="K50" s="320">
        <v>0.25644516528900002</v>
      </c>
    </row>
    <row r="51" spans="1:11" ht="14.4" customHeight="1" thickBot="1" x14ac:dyDescent="0.35">
      <c r="A51" s="336" t="s">
        <v>62</v>
      </c>
      <c r="B51" s="322">
        <v>18.999958855989998</v>
      </c>
      <c r="C51" s="322">
        <v>8.5069999999999997</v>
      </c>
      <c r="D51" s="322">
        <v>-10.49295885599</v>
      </c>
      <c r="E51" s="323">
        <v>0.44773781166900001</v>
      </c>
      <c r="F51" s="322">
        <v>0</v>
      </c>
      <c r="G51" s="322">
        <v>0</v>
      </c>
      <c r="H51" s="324">
        <v>0.63400000000000001</v>
      </c>
      <c r="I51" s="322">
        <v>4.282</v>
      </c>
      <c r="J51" s="322">
        <v>4.282</v>
      </c>
      <c r="K51" s="326" t="s">
        <v>194</v>
      </c>
    </row>
    <row r="52" spans="1:11" ht="14.4" customHeight="1" thickBot="1" x14ac:dyDescent="0.35">
      <c r="A52" s="333" t="s">
        <v>240</v>
      </c>
      <c r="B52" s="322">
        <v>18.999958855989998</v>
      </c>
      <c r="C52" s="322">
        <v>5.242</v>
      </c>
      <c r="D52" s="322">
        <v>-13.757958855989999</v>
      </c>
      <c r="E52" s="323">
        <v>0.27589533428599999</v>
      </c>
      <c r="F52" s="322">
        <v>0</v>
      </c>
      <c r="G52" s="322">
        <v>0</v>
      </c>
      <c r="H52" s="324">
        <v>0.63400000000000001</v>
      </c>
      <c r="I52" s="322">
        <v>4.282</v>
      </c>
      <c r="J52" s="322">
        <v>4.282</v>
      </c>
      <c r="K52" s="326" t="s">
        <v>194</v>
      </c>
    </row>
    <row r="53" spans="1:11" ht="14.4" customHeight="1" thickBot="1" x14ac:dyDescent="0.35">
      <c r="A53" s="334" t="s">
        <v>241</v>
      </c>
      <c r="B53" s="319">
        <v>18.999958855989998</v>
      </c>
      <c r="C53" s="319">
        <v>5.242</v>
      </c>
      <c r="D53" s="319">
        <v>-13.757958855989999</v>
      </c>
      <c r="E53" s="320">
        <v>0.27589533428599999</v>
      </c>
      <c r="F53" s="319">
        <v>0</v>
      </c>
      <c r="G53" s="319">
        <v>0</v>
      </c>
      <c r="H53" s="321">
        <v>0.63400000000000001</v>
      </c>
      <c r="I53" s="319">
        <v>4.282</v>
      </c>
      <c r="J53" s="319">
        <v>4.282</v>
      </c>
      <c r="K53" s="325" t="s">
        <v>194</v>
      </c>
    </row>
    <row r="54" spans="1:11" ht="14.4" customHeight="1" thickBot="1" x14ac:dyDescent="0.35">
      <c r="A54" s="333" t="s">
        <v>242</v>
      </c>
      <c r="B54" s="322">
        <v>4.9406564584124654E-324</v>
      </c>
      <c r="C54" s="322">
        <v>3.2650000000000001</v>
      </c>
      <c r="D54" s="322">
        <v>3.2650000000000001</v>
      </c>
      <c r="E54" s="326" t="s">
        <v>202</v>
      </c>
      <c r="F54" s="322">
        <v>0</v>
      </c>
      <c r="G54" s="322">
        <v>0</v>
      </c>
      <c r="H54" s="324">
        <v>4.9406564584124654E-324</v>
      </c>
      <c r="I54" s="322">
        <v>5.9287877500949585E-323</v>
      </c>
      <c r="J54" s="322">
        <v>5.9287877500949585E-323</v>
      </c>
      <c r="K54" s="326" t="s">
        <v>194</v>
      </c>
    </row>
    <row r="55" spans="1:11" ht="14.4" customHeight="1" thickBot="1" x14ac:dyDescent="0.35">
      <c r="A55" s="334" t="s">
        <v>243</v>
      </c>
      <c r="B55" s="319">
        <v>4.9406564584124654E-324</v>
      </c>
      <c r="C55" s="319">
        <v>3.2650000000000001</v>
      </c>
      <c r="D55" s="319">
        <v>3.2650000000000001</v>
      </c>
      <c r="E55" s="325" t="s">
        <v>202</v>
      </c>
      <c r="F55" s="319">
        <v>0</v>
      </c>
      <c r="G55" s="319">
        <v>0</v>
      </c>
      <c r="H55" s="321">
        <v>4.9406564584124654E-324</v>
      </c>
      <c r="I55" s="319">
        <v>5.9287877500949585E-323</v>
      </c>
      <c r="J55" s="319">
        <v>5.9287877500949585E-323</v>
      </c>
      <c r="K55" s="325" t="s">
        <v>194</v>
      </c>
    </row>
    <row r="56" spans="1:11" ht="14.4" customHeight="1" thickBot="1" x14ac:dyDescent="0.35">
      <c r="A56" s="332" t="s">
        <v>244</v>
      </c>
      <c r="B56" s="319">
        <v>4.9406564584124654E-324</v>
      </c>
      <c r="C56" s="319">
        <v>2.1776200000000001</v>
      </c>
      <c r="D56" s="319">
        <v>2.1776200000000001</v>
      </c>
      <c r="E56" s="325" t="s">
        <v>202</v>
      </c>
      <c r="F56" s="319">
        <v>0</v>
      </c>
      <c r="G56" s="319">
        <v>0</v>
      </c>
      <c r="H56" s="321">
        <v>4.9406564584124654E-324</v>
      </c>
      <c r="I56" s="319">
        <v>5.9287877500949585E-323</v>
      </c>
      <c r="J56" s="319">
        <v>5.9287877500949585E-323</v>
      </c>
      <c r="K56" s="325" t="s">
        <v>194</v>
      </c>
    </row>
    <row r="57" spans="1:11" ht="14.4" customHeight="1" thickBot="1" x14ac:dyDescent="0.35">
      <c r="A57" s="333" t="s">
        <v>245</v>
      </c>
      <c r="B57" s="322">
        <v>4.9406564584124654E-324</v>
      </c>
      <c r="C57" s="322">
        <v>2.1776200000000001</v>
      </c>
      <c r="D57" s="322">
        <v>2.1776200000000001</v>
      </c>
      <c r="E57" s="326" t="s">
        <v>202</v>
      </c>
      <c r="F57" s="322">
        <v>0</v>
      </c>
      <c r="G57" s="322">
        <v>0</v>
      </c>
      <c r="H57" s="324">
        <v>4.9406564584124654E-324</v>
      </c>
      <c r="I57" s="322">
        <v>5.9287877500949585E-323</v>
      </c>
      <c r="J57" s="322">
        <v>5.9287877500949585E-323</v>
      </c>
      <c r="K57" s="326" t="s">
        <v>194</v>
      </c>
    </row>
    <row r="58" spans="1:11" ht="14.4" customHeight="1" thickBot="1" x14ac:dyDescent="0.35">
      <c r="A58" s="334" t="s">
        <v>246</v>
      </c>
      <c r="B58" s="319">
        <v>4.9406564584124654E-324</v>
      </c>
      <c r="C58" s="319">
        <v>2.1776200000000001</v>
      </c>
      <c r="D58" s="319">
        <v>2.1776200000000001</v>
      </c>
      <c r="E58" s="325" t="s">
        <v>202</v>
      </c>
      <c r="F58" s="319">
        <v>0</v>
      </c>
      <c r="G58" s="319">
        <v>0</v>
      </c>
      <c r="H58" s="321">
        <v>4.9406564584124654E-324</v>
      </c>
      <c r="I58" s="319">
        <v>5.9287877500949585E-323</v>
      </c>
      <c r="J58" s="319">
        <v>5.9287877500949585E-323</v>
      </c>
      <c r="K58" s="325" t="s">
        <v>194</v>
      </c>
    </row>
    <row r="59" spans="1:11" ht="14.4" customHeight="1" thickBot="1" x14ac:dyDescent="0.35">
      <c r="A59" s="332" t="s">
        <v>63</v>
      </c>
      <c r="B59" s="319">
        <v>202.927377781507</v>
      </c>
      <c r="C59" s="319">
        <v>215.28433999999999</v>
      </c>
      <c r="D59" s="319">
        <v>12.356962218492001</v>
      </c>
      <c r="E59" s="320">
        <v>1.060893519413</v>
      </c>
      <c r="F59" s="319">
        <v>218.667616553183</v>
      </c>
      <c r="G59" s="319">
        <v>218.667616553183</v>
      </c>
      <c r="H59" s="321">
        <v>23.849489999999999</v>
      </c>
      <c r="I59" s="319">
        <v>215.49969999999999</v>
      </c>
      <c r="J59" s="319">
        <v>-3.1679165531829998</v>
      </c>
      <c r="K59" s="320">
        <v>0.985512639671</v>
      </c>
    </row>
    <row r="60" spans="1:11" ht="14.4" customHeight="1" thickBot="1" x14ac:dyDescent="0.35">
      <c r="A60" s="333" t="s">
        <v>247</v>
      </c>
      <c r="B60" s="322">
        <v>4.9406564584124654E-324</v>
      </c>
      <c r="C60" s="322">
        <v>4.7129000000000003</v>
      </c>
      <c r="D60" s="322">
        <v>4.7129000000000003</v>
      </c>
      <c r="E60" s="326" t="s">
        <v>202</v>
      </c>
      <c r="F60" s="322">
        <v>4.5208658522859997</v>
      </c>
      <c r="G60" s="322">
        <v>4.5208658522859997</v>
      </c>
      <c r="H60" s="324">
        <v>4.9406564584124654E-324</v>
      </c>
      <c r="I60" s="322">
        <v>0.10299999999999999</v>
      </c>
      <c r="J60" s="322">
        <v>-4.4178658522859999</v>
      </c>
      <c r="K60" s="323">
        <v>2.2783246255E-2</v>
      </c>
    </row>
    <row r="61" spans="1:11" ht="14.4" customHeight="1" thickBot="1" x14ac:dyDescent="0.35">
      <c r="A61" s="334" t="s">
        <v>248</v>
      </c>
      <c r="B61" s="319">
        <v>4.9406564584124654E-324</v>
      </c>
      <c r="C61" s="319">
        <v>4.7129000000000003</v>
      </c>
      <c r="D61" s="319">
        <v>4.7129000000000003</v>
      </c>
      <c r="E61" s="325" t="s">
        <v>202</v>
      </c>
      <c r="F61" s="319">
        <v>4.5208658522859997</v>
      </c>
      <c r="G61" s="319">
        <v>4.5208658522859997</v>
      </c>
      <c r="H61" s="321">
        <v>4.9406564584124654E-324</v>
      </c>
      <c r="I61" s="319">
        <v>0.10299999999999999</v>
      </c>
      <c r="J61" s="319">
        <v>-4.4178658522859999</v>
      </c>
      <c r="K61" s="320">
        <v>2.2783246255E-2</v>
      </c>
    </row>
    <row r="62" spans="1:11" ht="14.4" customHeight="1" thickBot="1" x14ac:dyDescent="0.35">
      <c r="A62" s="333" t="s">
        <v>249</v>
      </c>
      <c r="B62" s="322">
        <v>76.354915402581994</v>
      </c>
      <c r="C62" s="322">
        <v>58.816229999999997</v>
      </c>
      <c r="D62" s="322">
        <v>-17.538685402582001</v>
      </c>
      <c r="E62" s="323">
        <v>0.77030050639000003</v>
      </c>
      <c r="F62" s="322">
        <v>65.325583165267005</v>
      </c>
      <c r="G62" s="322">
        <v>65.325583165267005</v>
      </c>
      <c r="H62" s="324">
        <v>5.0044700000000004</v>
      </c>
      <c r="I62" s="322">
        <v>68.804469999999995</v>
      </c>
      <c r="J62" s="322">
        <v>3.4788868347320001</v>
      </c>
      <c r="K62" s="323">
        <v>1.0532545852040001</v>
      </c>
    </row>
    <row r="63" spans="1:11" ht="14.4" customHeight="1" thickBot="1" x14ac:dyDescent="0.35">
      <c r="A63" s="334" t="s">
        <v>250</v>
      </c>
      <c r="B63" s="319">
        <v>66.355076004682999</v>
      </c>
      <c r="C63" s="319">
        <v>50.442799999999998</v>
      </c>
      <c r="D63" s="319">
        <v>-15.912276004682999</v>
      </c>
      <c r="E63" s="320">
        <v>0.76019504516000003</v>
      </c>
      <c r="F63" s="319">
        <v>58.245680862937</v>
      </c>
      <c r="G63" s="319">
        <v>58.245680862937</v>
      </c>
      <c r="H63" s="321">
        <v>4.4379</v>
      </c>
      <c r="I63" s="319">
        <v>61.018999999999998</v>
      </c>
      <c r="J63" s="319">
        <v>2.7733191370629999</v>
      </c>
      <c r="K63" s="320">
        <v>1.0476141594699999</v>
      </c>
    </row>
    <row r="64" spans="1:11" ht="14.4" customHeight="1" thickBot="1" x14ac:dyDescent="0.35">
      <c r="A64" s="334" t="s">
        <v>251</v>
      </c>
      <c r="B64" s="319">
        <v>9.9998393978980005</v>
      </c>
      <c r="C64" s="319">
        <v>8.3734300000000008</v>
      </c>
      <c r="D64" s="319">
        <v>-1.6264093978980001</v>
      </c>
      <c r="E64" s="320">
        <v>0.83735644811999999</v>
      </c>
      <c r="F64" s="319">
        <v>7.0799023023299998</v>
      </c>
      <c r="G64" s="319">
        <v>7.0799023023299998</v>
      </c>
      <c r="H64" s="321">
        <v>0.56657000000000002</v>
      </c>
      <c r="I64" s="319">
        <v>7.7854700000000001</v>
      </c>
      <c r="J64" s="319">
        <v>0.70556769766899996</v>
      </c>
      <c r="K64" s="320">
        <v>1.0996578296620001</v>
      </c>
    </row>
    <row r="65" spans="1:11" ht="14.4" customHeight="1" thickBot="1" x14ac:dyDescent="0.35">
      <c r="A65" s="333" t="s">
        <v>252</v>
      </c>
      <c r="B65" s="322">
        <v>6.187079627468</v>
      </c>
      <c r="C65" s="322">
        <v>5.1432000000000002</v>
      </c>
      <c r="D65" s="322">
        <v>-1.043879627468</v>
      </c>
      <c r="E65" s="323">
        <v>0.83128071879999998</v>
      </c>
      <c r="F65" s="322">
        <v>5.4220475850909997</v>
      </c>
      <c r="G65" s="322">
        <v>5.4220475850909997</v>
      </c>
      <c r="H65" s="324">
        <v>0.59048</v>
      </c>
      <c r="I65" s="322">
        <v>5.1539200000000003</v>
      </c>
      <c r="J65" s="322">
        <v>-0.26812758509099999</v>
      </c>
      <c r="K65" s="323">
        <v>0.95054864774100001</v>
      </c>
    </row>
    <row r="66" spans="1:11" ht="14.4" customHeight="1" thickBot="1" x14ac:dyDescent="0.35">
      <c r="A66" s="334" t="s">
        <v>253</v>
      </c>
      <c r="B66" s="319">
        <v>2.1871198683099999</v>
      </c>
      <c r="C66" s="319">
        <v>1.62</v>
      </c>
      <c r="D66" s="319">
        <v>-0.56711986831000005</v>
      </c>
      <c r="E66" s="320">
        <v>0.74070014335800005</v>
      </c>
      <c r="F66" s="319">
        <v>1.9993583020329999</v>
      </c>
      <c r="G66" s="319">
        <v>1.9993583020329999</v>
      </c>
      <c r="H66" s="321">
        <v>4.9406564584124654E-324</v>
      </c>
      <c r="I66" s="319">
        <v>1.62</v>
      </c>
      <c r="J66" s="319">
        <v>-0.37935830203300003</v>
      </c>
      <c r="K66" s="320">
        <v>0.81025997108699999</v>
      </c>
    </row>
    <row r="67" spans="1:11" ht="14.4" customHeight="1" thickBot="1" x14ac:dyDescent="0.35">
      <c r="A67" s="334" t="s">
        <v>254</v>
      </c>
      <c r="B67" s="319">
        <v>3.999959759157</v>
      </c>
      <c r="C67" s="319">
        <v>3.5232000000000001</v>
      </c>
      <c r="D67" s="319">
        <v>-0.47675975915699997</v>
      </c>
      <c r="E67" s="320">
        <v>0.88080886112199996</v>
      </c>
      <c r="F67" s="319">
        <v>3.4226892830579998</v>
      </c>
      <c r="G67" s="319">
        <v>3.4226892830579998</v>
      </c>
      <c r="H67" s="321">
        <v>0.59048</v>
      </c>
      <c r="I67" s="319">
        <v>3.5339200000000002</v>
      </c>
      <c r="J67" s="319">
        <v>0.11123071694099999</v>
      </c>
      <c r="K67" s="320">
        <v>1.0324980469280001</v>
      </c>
    </row>
    <row r="68" spans="1:11" ht="14.4" customHeight="1" thickBot="1" x14ac:dyDescent="0.35">
      <c r="A68" s="333" t="s">
        <v>255</v>
      </c>
      <c r="B68" s="322">
        <v>98.016594098306996</v>
      </c>
      <c r="C68" s="322">
        <v>130.66047</v>
      </c>
      <c r="D68" s="322">
        <v>32.643875901691999</v>
      </c>
      <c r="E68" s="323">
        <v>1.3330443809229999</v>
      </c>
      <c r="F68" s="322">
        <v>130.00122597221699</v>
      </c>
      <c r="G68" s="322">
        <v>130.00122597221699</v>
      </c>
      <c r="H68" s="324">
        <v>9.0015400000000003</v>
      </c>
      <c r="I68" s="322">
        <v>118.49056</v>
      </c>
      <c r="J68" s="322">
        <v>-11.510665972216</v>
      </c>
      <c r="K68" s="323">
        <v>0.91145725060500005</v>
      </c>
    </row>
    <row r="69" spans="1:11" ht="14.4" customHeight="1" thickBot="1" x14ac:dyDescent="0.35">
      <c r="A69" s="334" t="s">
        <v>256</v>
      </c>
      <c r="B69" s="319">
        <v>85.000074882045993</v>
      </c>
      <c r="C69" s="319">
        <v>110.58924</v>
      </c>
      <c r="D69" s="319">
        <v>25.589165117953002</v>
      </c>
      <c r="E69" s="320">
        <v>1.301048736174</v>
      </c>
      <c r="F69" s="319">
        <v>110.000111696177</v>
      </c>
      <c r="G69" s="319">
        <v>110.000111696177</v>
      </c>
      <c r="H69" s="321">
        <v>7.6793699999999996</v>
      </c>
      <c r="I69" s="319">
        <v>102.00841</v>
      </c>
      <c r="J69" s="319">
        <v>-7.9917016961770004</v>
      </c>
      <c r="K69" s="320">
        <v>0.92734824016999995</v>
      </c>
    </row>
    <row r="70" spans="1:11" ht="14.4" customHeight="1" thickBot="1" x14ac:dyDescent="0.35">
      <c r="A70" s="334" t="s">
        <v>257</v>
      </c>
      <c r="B70" s="319">
        <v>12.272279261071001</v>
      </c>
      <c r="C70" s="319">
        <v>20.07123</v>
      </c>
      <c r="D70" s="319">
        <v>7.7989507389280002</v>
      </c>
      <c r="E70" s="320">
        <v>1.6354932586699999</v>
      </c>
      <c r="F70" s="319">
        <v>20.001114276039001</v>
      </c>
      <c r="G70" s="319">
        <v>20.001114276039001</v>
      </c>
      <c r="H70" s="321">
        <v>1.3221700000000001</v>
      </c>
      <c r="I70" s="319">
        <v>16.482150000000001</v>
      </c>
      <c r="J70" s="319">
        <v>-3.5189642760390001</v>
      </c>
      <c r="K70" s="320">
        <v>0.82406158839499999</v>
      </c>
    </row>
    <row r="71" spans="1:11" ht="14.4" customHeight="1" thickBot="1" x14ac:dyDescent="0.35">
      <c r="A71" s="333" t="s">
        <v>258</v>
      </c>
      <c r="B71" s="322">
        <v>22.290238657878</v>
      </c>
      <c r="C71" s="322">
        <v>15.95154</v>
      </c>
      <c r="D71" s="322">
        <v>-6.338698657878</v>
      </c>
      <c r="E71" s="323">
        <v>0.71562894614200001</v>
      </c>
      <c r="F71" s="322">
        <v>13.305152539610001</v>
      </c>
      <c r="G71" s="322">
        <v>13.305152539610001</v>
      </c>
      <c r="H71" s="324">
        <v>9.2530000000000001</v>
      </c>
      <c r="I71" s="322">
        <v>22.947749999999999</v>
      </c>
      <c r="J71" s="322">
        <v>9.6425974603890001</v>
      </c>
      <c r="K71" s="323">
        <v>1.7247265622600001</v>
      </c>
    </row>
    <row r="72" spans="1:11" ht="14.4" customHeight="1" thickBot="1" x14ac:dyDescent="0.35">
      <c r="A72" s="334" t="s">
        <v>259</v>
      </c>
      <c r="B72" s="319">
        <v>10.290239380412</v>
      </c>
      <c r="C72" s="319">
        <v>13.59886</v>
      </c>
      <c r="D72" s="319">
        <v>3.3086206195869998</v>
      </c>
      <c r="E72" s="320">
        <v>1.321529995296</v>
      </c>
      <c r="F72" s="319">
        <v>12.154568198553999</v>
      </c>
      <c r="G72" s="319">
        <v>12.154568198553999</v>
      </c>
      <c r="H72" s="321">
        <v>9.2530000000000001</v>
      </c>
      <c r="I72" s="319">
        <v>15.940149999999999</v>
      </c>
      <c r="J72" s="319">
        <v>3.7855818014459999</v>
      </c>
      <c r="K72" s="320">
        <v>1.311453417316</v>
      </c>
    </row>
    <row r="73" spans="1:11" ht="14.4" customHeight="1" thickBot="1" x14ac:dyDescent="0.35">
      <c r="A73" s="334" t="s">
        <v>260</v>
      </c>
      <c r="B73" s="319">
        <v>0.99995993979099995</v>
      </c>
      <c r="C73" s="319">
        <v>1.2090000000000001</v>
      </c>
      <c r="D73" s="319">
        <v>0.20904006020800001</v>
      </c>
      <c r="E73" s="320">
        <v>1.2090484347320001</v>
      </c>
      <c r="F73" s="319">
        <v>0</v>
      </c>
      <c r="G73" s="319">
        <v>0</v>
      </c>
      <c r="H73" s="321">
        <v>4.9406564584124654E-324</v>
      </c>
      <c r="I73" s="319">
        <v>0.45100000000000001</v>
      </c>
      <c r="J73" s="319">
        <v>0.45100000000000001</v>
      </c>
      <c r="K73" s="325" t="s">
        <v>194</v>
      </c>
    </row>
    <row r="74" spans="1:11" ht="14.4" customHeight="1" thickBot="1" x14ac:dyDescent="0.35">
      <c r="A74" s="334" t="s">
        <v>261</v>
      </c>
      <c r="B74" s="319">
        <v>4.9406564584124654E-324</v>
      </c>
      <c r="C74" s="319">
        <v>4.9406564584124654E-324</v>
      </c>
      <c r="D74" s="319">
        <v>0</v>
      </c>
      <c r="E74" s="320">
        <v>1</v>
      </c>
      <c r="F74" s="319">
        <v>4.9406564584124654E-324</v>
      </c>
      <c r="G74" s="319">
        <v>0</v>
      </c>
      <c r="H74" s="321">
        <v>4.9406564584124654E-324</v>
      </c>
      <c r="I74" s="319">
        <v>1.7826</v>
      </c>
      <c r="J74" s="319">
        <v>1.7826</v>
      </c>
      <c r="K74" s="325" t="s">
        <v>202</v>
      </c>
    </row>
    <row r="75" spans="1:11" ht="14.4" customHeight="1" thickBot="1" x14ac:dyDescent="0.35">
      <c r="A75" s="334" t="s">
        <v>262</v>
      </c>
      <c r="B75" s="319">
        <v>4.9406564584124654E-324</v>
      </c>
      <c r="C75" s="319">
        <v>1.14368</v>
      </c>
      <c r="D75" s="319">
        <v>1.14368</v>
      </c>
      <c r="E75" s="325" t="s">
        <v>202</v>
      </c>
      <c r="F75" s="319">
        <v>1.1505843410559999</v>
      </c>
      <c r="G75" s="319">
        <v>1.1505843410559999</v>
      </c>
      <c r="H75" s="321">
        <v>4.9406564584124654E-324</v>
      </c>
      <c r="I75" s="319">
        <v>4.774</v>
      </c>
      <c r="J75" s="319">
        <v>3.6234156589430002</v>
      </c>
      <c r="K75" s="320">
        <v>4.1491960473029996</v>
      </c>
    </row>
    <row r="76" spans="1:11" ht="14.4" customHeight="1" thickBot="1" x14ac:dyDescent="0.35">
      <c r="A76" s="331" t="s">
        <v>64</v>
      </c>
      <c r="B76" s="319">
        <v>5999.9996387330602</v>
      </c>
      <c r="C76" s="319">
        <v>6587.1861699999999</v>
      </c>
      <c r="D76" s="319">
        <v>587.18653126693505</v>
      </c>
      <c r="E76" s="320">
        <v>1.09786442777</v>
      </c>
      <c r="F76" s="319">
        <v>6065.0002588479701</v>
      </c>
      <c r="G76" s="319">
        <v>6065.0002588479701</v>
      </c>
      <c r="H76" s="321">
        <v>689.78901000000405</v>
      </c>
      <c r="I76" s="319">
        <v>6703.6416200000003</v>
      </c>
      <c r="J76" s="319">
        <v>638.64136115202996</v>
      </c>
      <c r="K76" s="320">
        <v>1.1052994779709999</v>
      </c>
    </row>
    <row r="77" spans="1:11" ht="14.4" customHeight="1" thickBot="1" x14ac:dyDescent="0.35">
      <c r="A77" s="336" t="s">
        <v>263</v>
      </c>
      <c r="B77" s="322">
        <v>4441.9997725420399</v>
      </c>
      <c r="C77" s="322">
        <v>4880.9650000000001</v>
      </c>
      <c r="D77" s="322">
        <v>438.96522745796</v>
      </c>
      <c r="E77" s="323">
        <v>1.098821533078</v>
      </c>
      <c r="F77" s="322">
        <v>4491.9999999997499</v>
      </c>
      <c r="G77" s="322">
        <v>4491.9999999997499</v>
      </c>
      <c r="H77" s="324">
        <v>510.95400000000302</v>
      </c>
      <c r="I77" s="322">
        <v>4978.2849999999999</v>
      </c>
      <c r="J77" s="322">
        <v>486.285000000249</v>
      </c>
      <c r="K77" s="323">
        <v>1.1082557880670001</v>
      </c>
    </row>
    <row r="78" spans="1:11" ht="14.4" customHeight="1" thickBot="1" x14ac:dyDescent="0.35">
      <c r="A78" s="333" t="s">
        <v>264</v>
      </c>
      <c r="B78" s="322">
        <v>4426.9997734452099</v>
      </c>
      <c r="C78" s="322">
        <v>4880.9650000000001</v>
      </c>
      <c r="D78" s="322">
        <v>453.96522655479299</v>
      </c>
      <c r="E78" s="323">
        <v>1.102544669027</v>
      </c>
      <c r="F78" s="322">
        <v>4491.9999999997499</v>
      </c>
      <c r="G78" s="322">
        <v>4491.9999999997499</v>
      </c>
      <c r="H78" s="324">
        <v>510.95400000000302</v>
      </c>
      <c r="I78" s="322">
        <v>4917.4840000000004</v>
      </c>
      <c r="J78" s="322">
        <v>425.48400000024901</v>
      </c>
      <c r="K78" s="323">
        <v>1.0947203918070001</v>
      </c>
    </row>
    <row r="79" spans="1:11" ht="14.4" customHeight="1" thickBot="1" x14ac:dyDescent="0.35">
      <c r="A79" s="334" t="s">
        <v>265</v>
      </c>
      <c r="B79" s="319">
        <v>4426.9997734452099</v>
      </c>
      <c r="C79" s="319">
        <v>4880.9650000000001</v>
      </c>
      <c r="D79" s="319">
        <v>453.96522655479299</v>
      </c>
      <c r="E79" s="320">
        <v>1.102544669027</v>
      </c>
      <c r="F79" s="319">
        <v>4491.9999999997499</v>
      </c>
      <c r="G79" s="319">
        <v>4491.9999999997499</v>
      </c>
      <c r="H79" s="321">
        <v>510.95400000000302</v>
      </c>
      <c r="I79" s="319">
        <v>4917.4840000000004</v>
      </c>
      <c r="J79" s="319">
        <v>425.48400000024901</v>
      </c>
      <c r="K79" s="320">
        <v>1.0947203918070001</v>
      </c>
    </row>
    <row r="80" spans="1:11" ht="14.4" customHeight="1" thickBot="1" x14ac:dyDescent="0.35">
      <c r="A80" s="333" t="s">
        <v>266</v>
      </c>
      <c r="B80" s="322">
        <v>4.9406564584124654E-324</v>
      </c>
      <c r="C80" s="322">
        <v>4.9406564584124654E-324</v>
      </c>
      <c r="D80" s="322">
        <v>0</v>
      </c>
      <c r="E80" s="323">
        <v>1</v>
      </c>
      <c r="F80" s="322">
        <v>4.9406564584124654E-324</v>
      </c>
      <c r="G80" s="322">
        <v>0</v>
      </c>
      <c r="H80" s="324">
        <v>4.9406564584124654E-324</v>
      </c>
      <c r="I80" s="322">
        <v>12.124000000000001</v>
      </c>
      <c r="J80" s="322">
        <v>12.124000000000001</v>
      </c>
      <c r="K80" s="326" t="s">
        <v>202</v>
      </c>
    </row>
    <row r="81" spans="1:11" ht="14.4" customHeight="1" thickBot="1" x14ac:dyDescent="0.35">
      <c r="A81" s="334" t="s">
        <v>267</v>
      </c>
      <c r="B81" s="319">
        <v>4.9406564584124654E-324</v>
      </c>
      <c r="C81" s="319">
        <v>4.9406564584124654E-324</v>
      </c>
      <c r="D81" s="319">
        <v>0</v>
      </c>
      <c r="E81" s="320">
        <v>1</v>
      </c>
      <c r="F81" s="319">
        <v>4.9406564584124654E-324</v>
      </c>
      <c r="G81" s="319">
        <v>0</v>
      </c>
      <c r="H81" s="321">
        <v>4.9406564584124654E-324</v>
      </c>
      <c r="I81" s="319">
        <v>12.124000000000001</v>
      </c>
      <c r="J81" s="319">
        <v>12.124000000000001</v>
      </c>
      <c r="K81" s="325" t="s">
        <v>202</v>
      </c>
    </row>
    <row r="82" spans="1:11" ht="14.4" customHeight="1" thickBot="1" x14ac:dyDescent="0.35">
      <c r="A82" s="333" t="s">
        <v>268</v>
      </c>
      <c r="B82" s="322">
        <v>4.9406564584124654E-324</v>
      </c>
      <c r="C82" s="322">
        <v>4.9406564584124654E-324</v>
      </c>
      <c r="D82" s="322">
        <v>0</v>
      </c>
      <c r="E82" s="323">
        <v>1</v>
      </c>
      <c r="F82" s="322">
        <v>4.9406564584124654E-324</v>
      </c>
      <c r="G82" s="322">
        <v>0</v>
      </c>
      <c r="H82" s="324">
        <v>4.9406564584124654E-324</v>
      </c>
      <c r="I82" s="322">
        <v>37.235999999999997</v>
      </c>
      <c r="J82" s="322">
        <v>37.235999999999997</v>
      </c>
      <c r="K82" s="326" t="s">
        <v>202</v>
      </c>
    </row>
    <row r="83" spans="1:11" ht="14.4" customHeight="1" thickBot="1" x14ac:dyDescent="0.35">
      <c r="A83" s="334" t="s">
        <v>269</v>
      </c>
      <c r="B83" s="319">
        <v>4.9406564584124654E-324</v>
      </c>
      <c r="C83" s="319">
        <v>4.9406564584124654E-324</v>
      </c>
      <c r="D83" s="319">
        <v>0</v>
      </c>
      <c r="E83" s="320">
        <v>1</v>
      </c>
      <c r="F83" s="319">
        <v>4.9406564584124654E-324</v>
      </c>
      <c r="G83" s="319">
        <v>0</v>
      </c>
      <c r="H83" s="321">
        <v>4.9406564584124654E-324</v>
      </c>
      <c r="I83" s="319">
        <v>37.235999999999997</v>
      </c>
      <c r="J83" s="319">
        <v>37.235999999999997</v>
      </c>
      <c r="K83" s="325" t="s">
        <v>202</v>
      </c>
    </row>
    <row r="84" spans="1:11" ht="14.4" customHeight="1" thickBot="1" x14ac:dyDescent="0.35">
      <c r="A84" s="333" t="s">
        <v>270</v>
      </c>
      <c r="B84" s="322">
        <v>14.999999096831999</v>
      </c>
      <c r="C84" s="322">
        <v>4.9406564584124654E-324</v>
      </c>
      <c r="D84" s="322">
        <v>-14.999999096831999</v>
      </c>
      <c r="E84" s="323">
        <v>0</v>
      </c>
      <c r="F84" s="322">
        <v>0</v>
      </c>
      <c r="G84" s="322">
        <v>0</v>
      </c>
      <c r="H84" s="324">
        <v>4.9406564584124654E-324</v>
      </c>
      <c r="I84" s="322">
        <v>11.441000000000001</v>
      </c>
      <c r="J84" s="322">
        <v>11.441000000000001</v>
      </c>
      <c r="K84" s="326" t="s">
        <v>194</v>
      </c>
    </row>
    <row r="85" spans="1:11" ht="14.4" customHeight="1" thickBot="1" x14ac:dyDescent="0.35">
      <c r="A85" s="334" t="s">
        <v>271</v>
      </c>
      <c r="B85" s="319">
        <v>14.999999096831999</v>
      </c>
      <c r="C85" s="319">
        <v>4.9406564584124654E-324</v>
      </c>
      <c r="D85" s="319">
        <v>-14.999999096831999</v>
      </c>
      <c r="E85" s="320">
        <v>0</v>
      </c>
      <c r="F85" s="319">
        <v>0</v>
      </c>
      <c r="G85" s="319">
        <v>0</v>
      </c>
      <c r="H85" s="321">
        <v>4.9406564584124654E-324</v>
      </c>
      <c r="I85" s="319">
        <v>11.441000000000001</v>
      </c>
      <c r="J85" s="319">
        <v>11.441000000000001</v>
      </c>
      <c r="K85" s="325" t="s">
        <v>194</v>
      </c>
    </row>
    <row r="86" spans="1:11" ht="14.4" customHeight="1" thickBot="1" x14ac:dyDescent="0.35">
      <c r="A86" s="332" t="s">
        <v>272</v>
      </c>
      <c r="B86" s="319">
        <v>1511.99990896073</v>
      </c>
      <c r="C86" s="319">
        <v>1657.41004</v>
      </c>
      <c r="D86" s="319">
        <v>145.410131039269</v>
      </c>
      <c r="E86" s="320">
        <v>1.0961707273770001</v>
      </c>
      <c r="F86" s="319">
        <v>1528.00025884822</v>
      </c>
      <c r="G86" s="319">
        <v>1528.00025884822</v>
      </c>
      <c r="H86" s="321">
        <v>173.72550000000101</v>
      </c>
      <c r="I86" s="319">
        <v>1676.06267</v>
      </c>
      <c r="J86" s="319">
        <v>148.062411151779</v>
      </c>
      <c r="K86" s="320">
        <v>1.0968994673220001</v>
      </c>
    </row>
    <row r="87" spans="1:11" ht="14.4" customHeight="1" thickBot="1" x14ac:dyDescent="0.35">
      <c r="A87" s="333" t="s">
        <v>273</v>
      </c>
      <c r="B87" s="322">
        <v>400.99989585533098</v>
      </c>
      <c r="C87" s="322">
        <v>439.286</v>
      </c>
      <c r="D87" s="322">
        <v>38.286104144668997</v>
      </c>
      <c r="E87" s="323">
        <v>1.0954765937349999</v>
      </c>
      <c r="F87" s="322">
        <v>405.00094796440499</v>
      </c>
      <c r="G87" s="322">
        <v>405.00094796440499</v>
      </c>
      <c r="H87" s="324">
        <v>45.987000000000002</v>
      </c>
      <c r="I87" s="322">
        <v>443.66066000000001</v>
      </c>
      <c r="J87" s="322">
        <v>38.659712035595</v>
      </c>
      <c r="K87" s="323">
        <v>1.0954558556709999</v>
      </c>
    </row>
    <row r="88" spans="1:11" ht="14.4" customHeight="1" thickBot="1" x14ac:dyDescent="0.35">
      <c r="A88" s="334" t="s">
        <v>274</v>
      </c>
      <c r="B88" s="319">
        <v>400.99989585533098</v>
      </c>
      <c r="C88" s="319">
        <v>439.286</v>
      </c>
      <c r="D88" s="319">
        <v>38.286104144668997</v>
      </c>
      <c r="E88" s="320">
        <v>1.0954765937349999</v>
      </c>
      <c r="F88" s="319">
        <v>405.00094796440499</v>
      </c>
      <c r="G88" s="319">
        <v>405.00094796440499</v>
      </c>
      <c r="H88" s="321">
        <v>45.987000000000002</v>
      </c>
      <c r="I88" s="319">
        <v>443.66066000000001</v>
      </c>
      <c r="J88" s="319">
        <v>38.659712035595</v>
      </c>
      <c r="K88" s="320">
        <v>1.0954558556709999</v>
      </c>
    </row>
    <row r="89" spans="1:11" ht="14.4" customHeight="1" thickBot="1" x14ac:dyDescent="0.35">
      <c r="A89" s="333" t="s">
        <v>275</v>
      </c>
      <c r="B89" s="322">
        <v>1111.0000131054001</v>
      </c>
      <c r="C89" s="322">
        <v>1218.1240399999999</v>
      </c>
      <c r="D89" s="322">
        <v>107.12402689459999</v>
      </c>
      <c r="E89" s="323">
        <v>1.096421265194</v>
      </c>
      <c r="F89" s="322">
        <v>1122.99931088382</v>
      </c>
      <c r="G89" s="322">
        <v>1122.99931088382</v>
      </c>
      <c r="H89" s="324">
        <v>127.738500000001</v>
      </c>
      <c r="I89" s="322">
        <v>1232.40201</v>
      </c>
      <c r="J89" s="322">
        <v>109.402699116184</v>
      </c>
      <c r="K89" s="323">
        <v>1.0974200946120001</v>
      </c>
    </row>
    <row r="90" spans="1:11" ht="14.4" customHeight="1" thickBot="1" x14ac:dyDescent="0.35">
      <c r="A90" s="334" t="s">
        <v>276</v>
      </c>
      <c r="B90" s="319">
        <v>1111.0000131054001</v>
      </c>
      <c r="C90" s="319">
        <v>1218.1240399999999</v>
      </c>
      <c r="D90" s="319">
        <v>107.12402689459999</v>
      </c>
      <c r="E90" s="320">
        <v>1.096421265194</v>
      </c>
      <c r="F90" s="319">
        <v>1122.99931088382</v>
      </c>
      <c r="G90" s="319">
        <v>1122.99931088382</v>
      </c>
      <c r="H90" s="321">
        <v>127.738500000001</v>
      </c>
      <c r="I90" s="319">
        <v>1232.40201</v>
      </c>
      <c r="J90" s="319">
        <v>109.402699116184</v>
      </c>
      <c r="K90" s="320">
        <v>1.0974200946120001</v>
      </c>
    </row>
    <row r="91" spans="1:11" ht="14.4" customHeight="1" thickBot="1" x14ac:dyDescent="0.35">
      <c r="A91" s="332" t="s">
        <v>277</v>
      </c>
      <c r="B91" s="319">
        <v>45.999957230288999</v>
      </c>
      <c r="C91" s="319">
        <v>48.811129999999999</v>
      </c>
      <c r="D91" s="319">
        <v>2.8111727697100002</v>
      </c>
      <c r="E91" s="320">
        <v>1.061112508336</v>
      </c>
      <c r="F91" s="319">
        <v>44.999999999997002</v>
      </c>
      <c r="G91" s="319">
        <v>44.999999999997002</v>
      </c>
      <c r="H91" s="321">
        <v>5.1095100000000002</v>
      </c>
      <c r="I91" s="319">
        <v>49.293950000000002</v>
      </c>
      <c r="J91" s="319">
        <v>4.2939500000019999</v>
      </c>
      <c r="K91" s="320">
        <v>1.0954211111109999</v>
      </c>
    </row>
    <row r="92" spans="1:11" ht="14.4" customHeight="1" thickBot="1" x14ac:dyDescent="0.35">
      <c r="A92" s="333" t="s">
        <v>278</v>
      </c>
      <c r="B92" s="322">
        <v>45.999957230288999</v>
      </c>
      <c r="C92" s="322">
        <v>48.811129999999999</v>
      </c>
      <c r="D92" s="322">
        <v>2.8111727697100002</v>
      </c>
      <c r="E92" s="323">
        <v>1.061112508336</v>
      </c>
      <c r="F92" s="322">
        <v>44.999999999997002</v>
      </c>
      <c r="G92" s="322">
        <v>44.999999999997002</v>
      </c>
      <c r="H92" s="324">
        <v>5.1095100000000002</v>
      </c>
      <c r="I92" s="322">
        <v>49.293950000000002</v>
      </c>
      <c r="J92" s="322">
        <v>4.2939500000019999</v>
      </c>
      <c r="K92" s="323">
        <v>1.0954211111109999</v>
      </c>
    </row>
    <row r="93" spans="1:11" ht="14.4" customHeight="1" thickBot="1" x14ac:dyDescent="0.35">
      <c r="A93" s="334" t="s">
        <v>279</v>
      </c>
      <c r="B93" s="319">
        <v>45.999957230288999</v>
      </c>
      <c r="C93" s="319">
        <v>48.811129999999999</v>
      </c>
      <c r="D93" s="319">
        <v>2.8111727697100002</v>
      </c>
      <c r="E93" s="320">
        <v>1.061112508336</v>
      </c>
      <c r="F93" s="319">
        <v>44.999999999997002</v>
      </c>
      <c r="G93" s="319">
        <v>44.999999999997002</v>
      </c>
      <c r="H93" s="321">
        <v>5.1095100000000002</v>
      </c>
      <c r="I93" s="319">
        <v>49.293950000000002</v>
      </c>
      <c r="J93" s="319">
        <v>4.2939500000019999</v>
      </c>
      <c r="K93" s="320">
        <v>1.0954211111109999</v>
      </c>
    </row>
    <row r="94" spans="1:11" ht="14.4" customHeight="1" thickBot="1" x14ac:dyDescent="0.35">
      <c r="A94" s="331" t="s">
        <v>280</v>
      </c>
      <c r="B94" s="319">
        <v>4.9406564584124654E-324</v>
      </c>
      <c r="C94" s="319">
        <v>1.1405000000000001</v>
      </c>
      <c r="D94" s="319">
        <v>1.1405000000000001</v>
      </c>
      <c r="E94" s="325" t="s">
        <v>202</v>
      </c>
      <c r="F94" s="319">
        <v>0</v>
      </c>
      <c r="G94" s="319">
        <v>0</v>
      </c>
      <c r="H94" s="321">
        <v>-1.504</v>
      </c>
      <c r="I94" s="319">
        <v>4.5142499999989996</v>
      </c>
      <c r="J94" s="319">
        <v>4.5142499999989996</v>
      </c>
      <c r="K94" s="325" t="s">
        <v>194</v>
      </c>
    </row>
    <row r="95" spans="1:11" ht="14.4" customHeight="1" thickBot="1" x14ac:dyDescent="0.35">
      <c r="A95" s="332" t="s">
        <v>281</v>
      </c>
      <c r="B95" s="319">
        <v>4.9406564584124654E-324</v>
      </c>
      <c r="C95" s="319">
        <v>4.1000000000000002E-2</v>
      </c>
      <c r="D95" s="319">
        <v>4.1000000000000002E-2</v>
      </c>
      <c r="E95" s="325" t="s">
        <v>202</v>
      </c>
      <c r="F95" s="319">
        <v>0</v>
      </c>
      <c r="G95" s="319">
        <v>0</v>
      </c>
      <c r="H95" s="321">
        <v>-1.504</v>
      </c>
      <c r="I95" s="319">
        <v>2.4069999999989999</v>
      </c>
      <c r="J95" s="319">
        <v>2.4069999999989999</v>
      </c>
      <c r="K95" s="325" t="s">
        <v>194</v>
      </c>
    </row>
    <row r="96" spans="1:11" ht="14.4" customHeight="1" thickBot="1" x14ac:dyDescent="0.35">
      <c r="A96" s="333" t="s">
        <v>282</v>
      </c>
      <c r="B96" s="322">
        <v>4.9406564584124654E-324</v>
      </c>
      <c r="C96" s="322">
        <v>4.1000000000000002E-2</v>
      </c>
      <c r="D96" s="322">
        <v>4.1000000000000002E-2</v>
      </c>
      <c r="E96" s="326" t="s">
        <v>202</v>
      </c>
      <c r="F96" s="322">
        <v>0</v>
      </c>
      <c r="G96" s="322">
        <v>0</v>
      </c>
      <c r="H96" s="324">
        <v>-1.504</v>
      </c>
      <c r="I96" s="322">
        <v>2.4069999999989999</v>
      </c>
      <c r="J96" s="322">
        <v>2.4069999999989999</v>
      </c>
      <c r="K96" s="326" t="s">
        <v>194</v>
      </c>
    </row>
    <row r="97" spans="1:11" ht="14.4" customHeight="1" thickBot="1" x14ac:dyDescent="0.35">
      <c r="A97" s="334" t="s">
        <v>283</v>
      </c>
      <c r="B97" s="319">
        <v>4.9406564584124654E-324</v>
      </c>
      <c r="C97" s="319">
        <v>4.1000000000000002E-2</v>
      </c>
      <c r="D97" s="319">
        <v>4.1000000000000002E-2</v>
      </c>
      <c r="E97" s="325" t="s">
        <v>202</v>
      </c>
      <c r="F97" s="319">
        <v>0</v>
      </c>
      <c r="G97" s="319">
        <v>0</v>
      </c>
      <c r="H97" s="321">
        <v>-1.504</v>
      </c>
      <c r="I97" s="319">
        <v>2.4069999999989999</v>
      </c>
      <c r="J97" s="319">
        <v>2.4069999999989999</v>
      </c>
      <c r="K97" s="325" t="s">
        <v>194</v>
      </c>
    </row>
    <row r="98" spans="1:11" ht="14.4" customHeight="1" thickBot="1" x14ac:dyDescent="0.35">
      <c r="A98" s="332" t="s">
        <v>284</v>
      </c>
      <c r="B98" s="319">
        <v>4.9406564584124654E-324</v>
      </c>
      <c r="C98" s="319">
        <v>1.0994999999999999</v>
      </c>
      <c r="D98" s="319">
        <v>1.0994999999999999</v>
      </c>
      <c r="E98" s="325" t="s">
        <v>202</v>
      </c>
      <c r="F98" s="319">
        <v>0</v>
      </c>
      <c r="G98" s="319">
        <v>0</v>
      </c>
      <c r="H98" s="321">
        <v>4.9406564584124654E-324</v>
      </c>
      <c r="I98" s="319">
        <v>2.1072500000000001</v>
      </c>
      <c r="J98" s="319">
        <v>2.1072500000000001</v>
      </c>
      <c r="K98" s="325" t="s">
        <v>194</v>
      </c>
    </row>
    <row r="99" spans="1:11" ht="14.4" customHeight="1" thickBot="1" x14ac:dyDescent="0.35">
      <c r="A99" s="333" t="s">
        <v>285</v>
      </c>
      <c r="B99" s="322">
        <v>4.9406564584124654E-324</v>
      </c>
      <c r="C99" s="322">
        <v>0.74950000000000006</v>
      </c>
      <c r="D99" s="322">
        <v>0.74950000000000006</v>
      </c>
      <c r="E99" s="326" t="s">
        <v>202</v>
      </c>
      <c r="F99" s="322">
        <v>0</v>
      </c>
      <c r="G99" s="322">
        <v>0</v>
      </c>
      <c r="H99" s="324">
        <v>4.9406564584124654E-324</v>
      </c>
      <c r="I99" s="322">
        <v>2.1072500000000001</v>
      </c>
      <c r="J99" s="322">
        <v>2.1072500000000001</v>
      </c>
      <c r="K99" s="326" t="s">
        <v>194</v>
      </c>
    </row>
    <row r="100" spans="1:11" ht="14.4" customHeight="1" thickBot="1" x14ac:dyDescent="0.35">
      <c r="A100" s="334" t="s">
        <v>286</v>
      </c>
      <c r="B100" s="319">
        <v>4.9406564584124654E-324</v>
      </c>
      <c r="C100" s="319">
        <v>0.99350000000000005</v>
      </c>
      <c r="D100" s="319">
        <v>0.99350000000000005</v>
      </c>
      <c r="E100" s="325" t="s">
        <v>202</v>
      </c>
      <c r="F100" s="319">
        <v>0</v>
      </c>
      <c r="G100" s="319">
        <v>0</v>
      </c>
      <c r="H100" s="321">
        <v>4.9406564584124654E-324</v>
      </c>
      <c r="I100" s="319">
        <v>2.1072500000000001</v>
      </c>
      <c r="J100" s="319">
        <v>2.1072500000000001</v>
      </c>
      <c r="K100" s="325" t="s">
        <v>194</v>
      </c>
    </row>
    <row r="101" spans="1:11" ht="14.4" customHeight="1" thickBot="1" x14ac:dyDescent="0.35">
      <c r="A101" s="334" t="s">
        <v>287</v>
      </c>
      <c r="B101" s="319">
        <v>4.9406564584124654E-324</v>
      </c>
      <c r="C101" s="319">
        <v>-0.24399999999999999</v>
      </c>
      <c r="D101" s="319">
        <v>-0.24399999999999999</v>
      </c>
      <c r="E101" s="325" t="s">
        <v>202</v>
      </c>
      <c r="F101" s="319">
        <v>0</v>
      </c>
      <c r="G101" s="319">
        <v>0</v>
      </c>
      <c r="H101" s="321">
        <v>4.9406564584124654E-324</v>
      </c>
      <c r="I101" s="319">
        <v>5.9287877500949585E-323</v>
      </c>
      <c r="J101" s="319">
        <v>5.9287877500949585E-323</v>
      </c>
      <c r="K101" s="325" t="s">
        <v>194</v>
      </c>
    </row>
    <row r="102" spans="1:11" ht="14.4" customHeight="1" thickBot="1" x14ac:dyDescent="0.35">
      <c r="A102" s="337" t="s">
        <v>288</v>
      </c>
      <c r="B102" s="319">
        <v>4.9406564584124654E-324</v>
      </c>
      <c r="C102" s="319">
        <v>0.35</v>
      </c>
      <c r="D102" s="319">
        <v>0.35</v>
      </c>
      <c r="E102" s="325" t="s">
        <v>202</v>
      </c>
      <c r="F102" s="319">
        <v>0</v>
      </c>
      <c r="G102" s="319">
        <v>0</v>
      </c>
      <c r="H102" s="321">
        <v>4.9406564584124654E-324</v>
      </c>
      <c r="I102" s="319">
        <v>5.9287877500949585E-323</v>
      </c>
      <c r="J102" s="319">
        <v>5.9287877500949585E-323</v>
      </c>
      <c r="K102" s="325" t="s">
        <v>194</v>
      </c>
    </row>
    <row r="103" spans="1:11" ht="14.4" customHeight="1" thickBot="1" x14ac:dyDescent="0.35">
      <c r="A103" s="334" t="s">
        <v>289</v>
      </c>
      <c r="B103" s="319">
        <v>4.9406564584124654E-324</v>
      </c>
      <c r="C103" s="319">
        <v>0.35</v>
      </c>
      <c r="D103" s="319">
        <v>0.35</v>
      </c>
      <c r="E103" s="325" t="s">
        <v>202</v>
      </c>
      <c r="F103" s="319">
        <v>0</v>
      </c>
      <c r="G103" s="319">
        <v>0</v>
      </c>
      <c r="H103" s="321">
        <v>4.9406564584124654E-324</v>
      </c>
      <c r="I103" s="319">
        <v>5.9287877500949585E-323</v>
      </c>
      <c r="J103" s="319">
        <v>5.9287877500949585E-323</v>
      </c>
      <c r="K103" s="325" t="s">
        <v>194</v>
      </c>
    </row>
    <row r="104" spans="1:11" ht="14.4" customHeight="1" thickBot="1" x14ac:dyDescent="0.35">
      <c r="A104" s="331" t="s">
        <v>290</v>
      </c>
      <c r="B104" s="319">
        <v>223.99990651270599</v>
      </c>
      <c r="C104" s="319">
        <v>154.29400000000001</v>
      </c>
      <c r="D104" s="319">
        <v>-69.705906512704999</v>
      </c>
      <c r="E104" s="320">
        <v>0.68881278747800001</v>
      </c>
      <c r="F104" s="319">
        <v>250.99999999998599</v>
      </c>
      <c r="G104" s="319">
        <v>250.99999999998599</v>
      </c>
      <c r="H104" s="321">
        <v>34.264679999999998</v>
      </c>
      <c r="I104" s="319">
        <v>295.51267999999999</v>
      </c>
      <c r="J104" s="319">
        <v>44.512680000014001</v>
      </c>
      <c r="K104" s="320">
        <v>1.1773413545810001</v>
      </c>
    </row>
    <row r="105" spans="1:11" ht="14.4" customHeight="1" thickBot="1" x14ac:dyDescent="0.35">
      <c r="A105" s="332" t="s">
        <v>291</v>
      </c>
      <c r="B105" s="319">
        <v>219.99994675354799</v>
      </c>
      <c r="C105" s="319">
        <v>154.29400000000001</v>
      </c>
      <c r="D105" s="319">
        <v>-65.705946753546996</v>
      </c>
      <c r="E105" s="320">
        <v>0.70133653338000002</v>
      </c>
      <c r="F105" s="319">
        <v>250.99999999998599</v>
      </c>
      <c r="G105" s="319">
        <v>250.99999999998599</v>
      </c>
      <c r="H105" s="321">
        <v>24.091000000000001</v>
      </c>
      <c r="I105" s="319">
        <v>268.42599999999999</v>
      </c>
      <c r="J105" s="319">
        <v>17.426000000013001</v>
      </c>
      <c r="K105" s="320">
        <v>1.06942629482</v>
      </c>
    </row>
    <row r="106" spans="1:11" ht="14.4" customHeight="1" thickBot="1" x14ac:dyDescent="0.35">
      <c r="A106" s="333" t="s">
        <v>292</v>
      </c>
      <c r="B106" s="322">
        <v>219.99994675354799</v>
      </c>
      <c r="C106" s="322">
        <v>154.29400000000001</v>
      </c>
      <c r="D106" s="322">
        <v>-65.705946753546996</v>
      </c>
      <c r="E106" s="323">
        <v>0.70133653338000002</v>
      </c>
      <c r="F106" s="322">
        <v>250.99999999998599</v>
      </c>
      <c r="G106" s="322">
        <v>250.99999999998599</v>
      </c>
      <c r="H106" s="324">
        <v>24.091000000000001</v>
      </c>
      <c r="I106" s="322">
        <v>268.42599999999999</v>
      </c>
      <c r="J106" s="322">
        <v>17.426000000013001</v>
      </c>
      <c r="K106" s="323">
        <v>1.06942629482</v>
      </c>
    </row>
    <row r="107" spans="1:11" ht="14.4" customHeight="1" thickBot="1" x14ac:dyDescent="0.35">
      <c r="A107" s="334" t="s">
        <v>293</v>
      </c>
      <c r="B107" s="319">
        <v>104.999993677829</v>
      </c>
      <c r="C107" s="319">
        <v>106.374</v>
      </c>
      <c r="D107" s="319">
        <v>1.3740063221709999</v>
      </c>
      <c r="E107" s="320">
        <v>1.0130857752839999</v>
      </c>
      <c r="F107" s="319">
        <v>106.999999999994</v>
      </c>
      <c r="G107" s="319">
        <v>106.999999999994</v>
      </c>
      <c r="H107" s="321">
        <v>10.757</v>
      </c>
      <c r="I107" s="319">
        <v>118.72499999999999</v>
      </c>
      <c r="J107" s="319">
        <v>11.725000000005</v>
      </c>
      <c r="K107" s="320">
        <v>1.109579439252</v>
      </c>
    </row>
    <row r="108" spans="1:11" ht="14.4" customHeight="1" thickBot="1" x14ac:dyDescent="0.35">
      <c r="A108" s="334" t="s">
        <v>294</v>
      </c>
      <c r="B108" s="319">
        <v>113.000033196137</v>
      </c>
      <c r="C108" s="319">
        <v>43.720999999999997</v>
      </c>
      <c r="D108" s="319">
        <v>-69.279033196135998</v>
      </c>
      <c r="E108" s="320">
        <v>0.38691139076100001</v>
      </c>
      <c r="F108" s="319">
        <v>122.99999999999299</v>
      </c>
      <c r="G108" s="319">
        <v>122.99999999999299</v>
      </c>
      <c r="H108" s="321">
        <v>11.401</v>
      </c>
      <c r="I108" s="319">
        <v>127.33499999999999</v>
      </c>
      <c r="J108" s="319">
        <v>4.3350000000059996</v>
      </c>
      <c r="K108" s="320">
        <v>1.0352439024390001</v>
      </c>
    </row>
    <row r="109" spans="1:11" ht="14.4" customHeight="1" thickBot="1" x14ac:dyDescent="0.35">
      <c r="A109" s="334" t="s">
        <v>295</v>
      </c>
      <c r="B109" s="319">
        <v>1.9999198795819999</v>
      </c>
      <c r="C109" s="319">
        <v>4.1989999999999998</v>
      </c>
      <c r="D109" s="319">
        <v>2.1990801204169999</v>
      </c>
      <c r="E109" s="320">
        <v>2.0995841097770001</v>
      </c>
      <c r="F109" s="319">
        <v>20.999999999998</v>
      </c>
      <c r="G109" s="319">
        <v>20.999999999998</v>
      </c>
      <c r="H109" s="321">
        <v>1.9330000000000001</v>
      </c>
      <c r="I109" s="319">
        <v>22.366</v>
      </c>
      <c r="J109" s="319">
        <v>1.366000000001</v>
      </c>
      <c r="K109" s="320">
        <v>1.065047619047</v>
      </c>
    </row>
    <row r="110" spans="1:11" ht="14.4" customHeight="1" thickBot="1" x14ac:dyDescent="0.35">
      <c r="A110" s="332" t="s">
        <v>296</v>
      </c>
      <c r="B110" s="319">
        <v>3.999959759157</v>
      </c>
      <c r="C110" s="319">
        <v>4.9406564584124654E-324</v>
      </c>
      <c r="D110" s="319">
        <v>-3.999959759157</v>
      </c>
      <c r="E110" s="320">
        <v>0</v>
      </c>
      <c r="F110" s="319">
        <v>0</v>
      </c>
      <c r="G110" s="319">
        <v>0</v>
      </c>
      <c r="H110" s="321">
        <v>10.173679999999999</v>
      </c>
      <c r="I110" s="319">
        <v>27.086680000000001</v>
      </c>
      <c r="J110" s="319">
        <v>27.086680000000001</v>
      </c>
      <c r="K110" s="325" t="s">
        <v>194</v>
      </c>
    </row>
    <row r="111" spans="1:11" ht="14.4" customHeight="1" thickBot="1" x14ac:dyDescent="0.35">
      <c r="A111" s="333" t="s">
        <v>297</v>
      </c>
      <c r="B111" s="322">
        <v>4.9406564584124654E-324</v>
      </c>
      <c r="C111" s="322">
        <v>4.9406564584124654E-324</v>
      </c>
      <c r="D111" s="322">
        <v>0</v>
      </c>
      <c r="E111" s="323">
        <v>1</v>
      </c>
      <c r="F111" s="322">
        <v>4.9406564584124654E-324</v>
      </c>
      <c r="G111" s="322">
        <v>0</v>
      </c>
      <c r="H111" s="324">
        <v>4.9406564584124654E-324</v>
      </c>
      <c r="I111" s="322">
        <v>7.2889999999999997</v>
      </c>
      <c r="J111" s="322">
        <v>7.2889999999999997</v>
      </c>
      <c r="K111" s="326" t="s">
        <v>202</v>
      </c>
    </row>
    <row r="112" spans="1:11" ht="14.4" customHeight="1" thickBot="1" x14ac:dyDescent="0.35">
      <c r="A112" s="334" t="s">
        <v>298</v>
      </c>
      <c r="B112" s="319">
        <v>4.9406564584124654E-324</v>
      </c>
      <c r="C112" s="319">
        <v>4.9406564584124654E-324</v>
      </c>
      <c r="D112" s="319">
        <v>0</v>
      </c>
      <c r="E112" s="320">
        <v>1</v>
      </c>
      <c r="F112" s="319">
        <v>4.9406564584124654E-324</v>
      </c>
      <c r="G112" s="319">
        <v>0</v>
      </c>
      <c r="H112" s="321">
        <v>4.9406564584124654E-324</v>
      </c>
      <c r="I112" s="319">
        <v>7.2889999999999997</v>
      </c>
      <c r="J112" s="319">
        <v>7.2889999999999997</v>
      </c>
      <c r="K112" s="325" t="s">
        <v>202</v>
      </c>
    </row>
    <row r="113" spans="1:11" ht="14.4" customHeight="1" thickBot="1" x14ac:dyDescent="0.35">
      <c r="A113" s="333" t="s">
        <v>299</v>
      </c>
      <c r="B113" s="322">
        <v>4.9406564584124654E-324</v>
      </c>
      <c r="C113" s="322">
        <v>4.9406564584124654E-324</v>
      </c>
      <c r="D113" s="322">
        <v>0</v>
      </c>
      <c r="E113" s="323">
        <v>1</v>
      </c>
      <c r="F113" s="322">
        <v>4.9406564584124654E-324</v>
      </c>
      <c r="G113" s="322">
        <v>0</v>
      </c>
      <c r="H113" s="324">
        <v>10.173679999999999</v>
      </c>
      <c r="I113" s="322">
        <v>19.79768</v>
      </c>
      <c r="J113" s="322">
        <v>19.79768</v>
      </c>
      <c r="K113" s="326" t="s">
        <v>202</v>
      </c>
    </row>
    <row r="114" spans="1:11" ht="14.4" customHeight="1" thickBot="1" x14ac:dyDescent="0.35">
      <c r="A114" s="334" t="s">
        <v>300</v>
      </c>
      <c r="B114" s="319">
        <v>4.9406564584124654E-324</v>
      </c>
      <c r="C114" s="319">
        <v>4.9406564584124654E-324</v>
      </c>
      <c r="D114" s="319">
        <v>0</v>
      </c>
      <c r="E114" s="320">
        <v>1</v>
      </c>
      <c r="F114" s="319">
        <v>4.9406564584124654E-324</v>
      </c>
      <c r="G114" s="319">
        <v>0</v>
      </c>
      <c r="H114" s="321">
        <v>10.173679999999999</v>
      </c>
      <c r="I114" s="319">
        <v>19.79768</v>
      </c>
      <c r="J114" s="319">
        <v>19.79768</v>
      </c>
      <c r="K114" s="325" t="s">
        <v>202</v>
      </c>
    </row>
    <row r="115" spans="1:11" ht="14.4" customHeight="1" thickBot="1" x14ac:dyDescent="0.35">
      <c r="A115" s="330" t="s">
        <v>301</v>
      </c>
      <c r="B115" s="319">
        <v>6429.0934535259303</v>
      </c>
      <c r="C115" s="319">
        <v>7983.9903531454602</v>
      </c>
      <c r="D115" s="319">
        <v>1554.8968996195299</v>
      </c>
      <c r="E115" s="320">
        <v>1.241853211632</v>
      </c>
      <c r="F115" s="319">
        <v>7356.8417250791799</v>
      </c>
      <c r="G115" s="319">
        <v>7356.8417250791799</v>
      </c>
      <c r="H115" s="321">
        <v>444.65821</v>
      </c>
      <c r="I115" s="319">
        <v>5558.2487600000004</v>
      </c>
      <c r="J115" s="319">
        <v>-1798.59296507918</v>
      </c>
      <c r="K115" s="320">
        <v>0.75552104662599995</v>
      </c>
    </row>
    <row r="116" spans="1:11" ht="14.4" customHeight="1" thickBot="1" x14ac:dyDescent="0.35">
      <c r="A116" s="331" t="s">
        <v>302</v>
      </c>
      <c r="B116" s="319">
        <v>6354.0934491684902</v>
      </c>
      <c r="C116" s="319">
        <v>7920.2443467521398</v>
      </c>
      <c r="D116" s="319">
        <v>1566.15089758365</v>
      </c>
      <c r="E116" s="320">
        <v>1.24647904695</v>
      </c>
      <c r="F116" s="319">
        <v>7245.9679655951804</v>
      </c>
      <c r="G116" s="319">
        <v>7245.9679655951804</v>
      </c>
      <c r="H116" s="321">
        <v>444.63625000000002</v>
      </c>
      <c r="I116" s="319">
        <v>5433.2995600000004</v>
      </c>
      <c r="J116" s="319">
        <v>-1812.66840559518</v>
      </c>
      <c r="K116" s="320">
        <v>0.74983764568</v>
      </c>
    </row>
    <row r="117" spans="1:11" ht="14.4" customHeight="1" thickBot="1" x14ac:dyDescent="0.35">
      <c r="A117" s="332" t="s">
        <v>303</v>
      </c>
      <c r="B117" s="319">
        <v>6354.0934491684902</v>
      </c>
      <c r="C117" s="319">
        <v>7920.2443467521398</v>
      </c>
      <c r="D117" s="319">
        <v>1566.15089758365</v>
      </c>
      <c r="E117" s="320">
        <v>1.24647904695</v>
      </c>
      <c r="F117" s="319">
        <v>7245.9679655951804</v>
      </c>
      <c r="G117" s="319">
        <v>7245.9679655951804</v>
      </c>
      <c r="H117" s="321">
        <v>444.63625000000002</v>
      </c>
      <c r="I117" s="319">
        <v>5433.2995600000004</v>
      </c>
      <c r="J117" s="319">
        <v>-1812.66840559518</v>
      </c>
      <c r="K117" s="320">
        <v>0.74983764568</v>
      </c>
    </row>
    <row r="118" spans="1:11" ht="14.4" customHeight="1" thickBot="1" x14ac:dyDescent="0.35">
      <c r="A118" s="333" t="s">
        <v>304</v>
      </c>
      <c r="B118" s="322">
        <v>1129.09310559954</v>
      </c>
      <c r="C118" s="322">
        <v>2768.3330404705598</v>
      </c>
      <c r="D118" s="322">
        <v>1639.2399348710201</v>
      </c>
      <c r="E118" s="323">
        <v>2.451819984323</v>
      </c>
      <c r="F118" s="322">
        <v>3687.9670473985202</v>
      </c>
      <c r="G118" s="322">
        <v>3687.9670473985202</v>
      </c>
      <c r="H118" s="324">
        <v>327.04606999999999</v>
      </c>
      <c r="I118" s="322">
        <v>3544.61213</v>
      </c>
      <c r="J118" s="322">
        <v>-143.354917398525</v>
      </c>
      <c r="K118" s="323">
        <v>0.96112901347599999</v>
      </c>
    </row>
    <row r="119" spans="1:11" ht="14.4" customHeight="1" thickBot="1" x14ac:dyDescent="0.35">
      <c r="A119" s="334" t="s">
        <v>305</v>
      </c>
      <c r="B119" s="319">
        <v>532.14831091745305</v>
      </c>
      <c r="C119" s="319">
        <v>1716.0327380890301</v>
      </c>
      <c r="D119" s="319">
        <v>1183.88442717158</v>
      </c>
      <c r="E119" s="320">
        <v>3.2247264585509998</v>
      </c>
      <c r="F119" s="319">
        <v>1755.30697353904</v>
      </c>
      <c r="G119" s="319">
        <v>1755.30697353904</v>
      </c>
      <c r="H119" s="321">
        <v>247.72807</v>
      </c>
      <c r="I119" s="319">
        <v>2452.4914899999999</v>
      </c>
      <c r="J119" s="319">
        <v>697.18451646096298</v>
      </c>
      <c r="K119" s="320">
        <v>1.397186661348</v>
      </c>
    </row>
    <row r="120" spans="1:11" ht="14.4" customHeight="1" thickBot="1" x14ac:dyDescent="0.35">
      <c r="A120" s="334" t="s">
        <v>306</v>
      </c>
      <c r="B120" s="319">
        <v>8.7748305098110002</v>
      </c>
      <c r="C120" s="319">
        <v>19.876328283267</v>
      </c>
      <c r="D120" s="319">
        <v>11.101497773455</v>
      </c>
      <c r="E120" s="320">
        <v>2.2651523879619999</v>
      </c>
      <c r="F120" s="319">
        <v>19.204886330409</v>
      </c>
      <c r="G120" s="319">
        <v>19.204886330409</v>
      </c>
      <c r="H120" s="321">
        <v>1.5564</v>
      </c>
      <c r="I120" s="319">
        <v>58.596699999999998</v>
      </c>
      <c r="J120" s="319">
        <v>39.39181366959</v>
      </c>
      <c r="K120" s="320">
        <v>3.0511349555449998</v>
      </c>
    </row>
    <row r="121" spans="1:11" ht="14.4" customHeight="1" thickBot="1" x14ac:dyDescent="0.35">
      <c r="A121" s="334" t="s">
        <v>307</v>
      </c>
      <c r="B121" s="319">
        <v>4.9406564584124654E-324</v>
      </c>
      <c r="C121" s="319">
        <v>4.9406564584124654E-324</v>
      </c>
      <c r="D121" s="319">
        <v>0</v>
      </c>
      <c r="E121" s="320">
        <v>1</v>
      </c>
      <c r="F121" s="319">
        <v>4.9406564584124654E-324</v>
      </c>
      <c r="G121" s="319">
        <v>0</v>
      </c>
      <c r="H121" s="321">
        <v>2.976</v>
      </c>
      <c r="I121" s="319">
        <v>2.976</v>
      </c>
      <c r="J121" s="319">
        <v>2.976</v>
      </c>
      <c r="K121" s="325" t="s">
        <v>202</v>
      </c>
    </row>
    <row r="122" spans="1:11" ht="14.4" customHeight="1" thickBot="1" x14ac:dyDescent="0.35">
      <c r="A122" s="334" t="s">
        <v>308</v>
      </c>
      <c r="B122" s="319">
        <v>4.9406564584124654E-324</v>
      </c>
      <c r="C122" s="319">
        <v>1.2499998855359999</v>
      </c>
      <c r="D122" s="319">
        <v>1.2499998855359999</v>
      </c>
      <c r="E122" s="325" t="s">
        <v>202</v>
      </c>
      <c r="F122" s="319">
        <v>1.949959784334</v>
      </c>
      <c r="G122" s="319">
        <v>1.949959784334</v>
      </c>
      <c r="H122" s="321">
        <v>4.9406564584124654E-324</v>
      </c>
      <c r="I122" s="319">
        <v>5.9287877500949585E-323</v>
      </c>
      <c r="J122" s="319">
        <v>-1.949959784334</v>
      </c>
      <c r="K122" s="320">
        <v>2.9643938750474793E-323</v>
      </c>
    </row>
    <row r="123" spans="1:11" ht="14.4" customHeight="1" thickBot="1" x14ac:dyDescent="0.35">
      <c r="A123" s="334" t="s">
        <v>309</v>
      </c>
      <c r="B123" s="319">
        <v>43.495912527081998</v>
      </c>
      <c r="C123" s="319">
        <v>87.308393612765997</v>
      </c>
      <c r="D123" s="319">
        <v>43.812481085682997</v>
      </c>
      <c r="E123" s="320">
        <v>2.0072781220159999</v>
      </c>
      <c r="F123" s="319">
        <v>72.302862832398006</v>
      </c>
      <c r="G123" s="319">
        <v>72.302862832398006</v>
      </c>
      <c r="H123" s="321">
        <v>7.2816000000000001</v>
      </c>
      <c r="I123" s="319">
        <v>119.6964</v>
      </c>
      <c r="J123" s="319">
        <v>47.393537167601004</v>
      </c>
      <c r="K123" s="320">
        <v>1.655486315631</v>
      </c>
    </row>
    <row r="124" spans="1:11" ht="14.4" customHeight="1" thickBot="1" x14ac:dyDescent="0.35">
      <c r="A124" s="334" t="s">
        <v>310</v>
      </c>
      <c r="B124" s="319">
        <v>544.67405164519005</v>
      </c>
      <c r="C124" s="319">
        <v>943.865580599954</v>
      </c>
      <c r="D124" s="319">
        <v>399.19152895476401</v>
      </c>
      <c r="E124" s="320">
        <v>1.732899846704</v>
      </c>
      <c r="F124" s="319">
        <v>1839.20236491234</v>
      </c>
      <c r="G124" s="319">
        <v>1839.20236491234</v>
      </c>
      <c r="H124" s="321">
        <v>67.504000000000005</v>
      </c>
      <c r="I124" s="319">
        <v>910.85154</v>
      </c>
      <c r="J124" s="319">
        <v>-928.35082491234402</v>
      </c>
      <c r="K124" s="320">
        <v>0.49524269725600001</v>
      </c>
    </row>
    <row r="125" spans="1:11" ht="14.4" customHeight="1" thickBot="1" x14ac:dyDescent="0.35">
      <c r="A125" s="333" t="s">
        <v>311</v>
      </c>
      <c r="B125" s="322">
        <v>4.9406564584124654E-324</v>
      </c>
      <c r="C125" s="322">
        <v>4.9406564584124654E-324</v>
      </c>
      <c r="D125" s="322">
        <v>0</v>
      </c>
      <c r="E125" s="323">
        <v>1</v>
      </c>
      <c r="F125" s="322">
        <v>4.9406564584124654E-324</v>
      </c>
      <c r="G125" s="322">
        <v>0</v>
      </c>
      <c r="H125" s="324">
        <v>4.9406564584124654E-324</v>
      </c>
      <c r="I125" s="322">
        <v>-0.11545999999999999</v>
      </c>
      <c r="J125" s="322">
        <v>-0.11545999999999999</v>
      </c>
      <c r="K125" s="326" t="s">
        <v>202</v>
      </c>
    </row>
    <row r="126" spans="1:11" ht="14.4" customHeight="1" thickBot="1" x14ac:dyDescent="0.35">
      <c r="A126" s="334" t="s">
        <v>312</v>
      </c>
      <c r="B126" s="319">
        <v>4.9406564584124654E-324</v>
      </c>
      <c r="C126" s="319">
        <v>4.9406564584124654E-324</v>
      </c>
      <c r="D126" s="319">
        <v>0</v>
      </c>
      <c r="E126" s="320">
        <v>1</v>
      </c>
      <c r="F126" s="319">
        <v>4.9406564584124654E-324</v>
      </c>
      <c r="G126" s="319">
        <v>0</v>
      </c>
      <c r="H126" s="321">
        <v>4.9406564584124654E-324</v>
      </c>
      <c r="I126" s="319">
        <v>-0.11545999999999999</v>
      </c>
      <c r="J126" s="319">
        <v>-0.11545999999999999</v>
      </c>
      <c r="K126" s="325" t="s">
        <v>202</v>
      </c>
    </row>
    <row r="127" spans="1:11" ht="14.4" customHeight="1" thickBot="1" x14ac:dyDescent="0.35">
      <c r="A127" s="333" t="s">
        <v>313</v>
      </c>
      <c r="B127" s="322">
        <v>5224.00038351085</v>
      </c>
      <c r="C127" s="322">
        <v>5018.4109921331001</v>
      </c>
      <c r="D127" s="322">
        <v>-205.589391377749</v>
      </c>
      <c r="E127" s="323">
        <v>0.96064521893400001</v>
      </c>
      <c r="F127" s="322">
        <v>3558.0009181966602</v>
      </c>
      <c r="G127" s="322">
        <v>3558.0009181966602</v>
      </c>
      <c r="H127" s="324">
        <v>117.59018</v>
      </c>
      <c r="I127" s="322">
        <v>1609.6329900000001</v>
      </c>
      <c r="J127" s="322">
        <v>-1948.3679281966599</v>
      </c>
      <c r="K127" s="323">
        <v>0.45239813788900002</v>
      </c>
    </row>
    <row r="128" spans="1:11" ht="14.4" customHeight="1" thickBot="1" x14ac:dyDescent="0.35">
      <c r="A128" s="334" t="s">
        <v>314</v>
      </c>
      <c r="B128" s="319">
        <v>2590.00011047724</v>
      </c>
      <c r="C128" s="319">
        <v>1987.1538534221299</v>
      </c>
      <c r="D128" s="319">
        <v>-602.846257055107</v>
      </c>
      <c r="E128" s="320">
        <v>0.76724083732000004</v>
      </c>
      <c r="F128" s="319">
        <v>1104.00029721393</v>
      </c>
      <c r="G128" s="319">
        <v>1104.00029721393</v>
      </c>
      <c r="H128" s="321">
        <v>51.453330000000001</v>
      </c>
      <c r="I128" s="319">
        <v>550.78216999999995</v>
      </c>
      <c r="J128" s="319">
        <v>-553.21812721393405</v>
      </c>
      <c r="K128" s="320">
        <v>0.49889675880500001</v>
      </c>
    </row>
    <row r="129" spans="1:11" ht="14.4" customHeight="1" thickBot="1" x14ac:dyDescent="0.35">
      <c r="A129" s="334" t="s">
        <v>315</v>
      </c>
      <c r="B129" s="319">
        <v>2634.00027303362</v>
      </c>
      <c r="C129" s="319">
        <v>3031.2571387109701</v>
      </c>
      <c r="D129" s="319">
        <v>397.25686567735801</v>
      </c>
      <c r="E129" s="320">
        <v>1.150818839976</v>
      </c>
      <c r="F129" s="319">
        <v>2454.0006209827302</v>
      </c>
      <c r="G129" s="319">
        <v>2454.0006209827302</v>
      </c>
      <c r="H129" s="321">
        <v>66.136849999999995</v>
      </c>
      <c r="I129" s="319">
        <v>1058.8508200000001</v>
      </c>
      <c r="J129" s="319">
        <v>-1395.1498009827301</v>
      </c>
      <c r="K129" s="320">
        <v>0.43147944256600002</v>
      </c>
    </row>
    <row r="130" spans="1:11" ht="14.4" customHeight="1" thickBot="1" x14ac:dyDescent="0.35">
      <c r="A130" s="333" t="s">
        <v>316</v>
      </c>
      <c r="B130" s="322">
        <v>4.9406564584124654E-324</v>
      </c>
      <c r="C130" s="322">
        <v>133.50031414847899</v>
      </c>
      <c r="D130" s="322">
        <v>133.50031414847899</v>
      </c>
      <c r="E130" s="326" t="s">
        <v>202</v>
      </c>
      <c r="F130" s="322">
        <v>0</v>
      </c>
      <c r="G130" s="322">
        <v>0</v>
      </c>
      <c r="H130" s="324">
        <v>4.9406564584124654E-324</v>
      </c>
      <c r="I130" s="322">
        <v>279.16989999999998</v>
      </c>
      <c r="J130" s="322">
        <v>279.16989999999998</v>
      </c>
      <c r="K130" s="326" t="s">
        <v>194</v>
      </c>
    </row>
    <row r="131" spans="1:11" ht="14.4" customHeight="1" thickBot="1" x14ac:dyDescent="0.35">
      <c r="A131" s="334" t="s">
        <v>317</v>
      </c>
      <c r="B131" s="319">
        <v>4.9406564584124654E-324</v>
      </c>
      <c r="C131" s="319">
        <v>4.9406564584124654E-324</v>
      </c>
      <c r="D131" s="319">
        <v>0</v>
      </c>
      <c r="E131" s="320">
        <v>1</v>
      </c>
      <c r="F131" s="319">
        <v>4.9406564584124654E-324</v>
      </c>
      <c r="G131" s="319">
        <v>0</v>
      </c>
      <c r="H131" s="321">
        <v>4.9406564584124654E-324</v>
      </c>
      <c r="I131" s="319">
        <v>162.93956</v>
      </c>
      <c r="J131" s="319">
        <v>162.93956</v>
      </c>
      <c r="K131" s="325" t="s">
        <v>202</v>
      </c>
    </row>
    <row r="132" spans="1:11" ht="14.4" customHeight="1" thickBot="1" x14ac:dyDescent="0.35">
      <c r="A132" s="334" t="s">
        <v>318</v>
      </c>
      <c r="B132" s="319">
        <v>4.9406564584124654E-324</v>
      </c>
      <c r="C132" s="319">
        <v>133.50031414847899</v>
      </c>
      <c r="D132" s="319">
        <v>133.50031414847899</v>
      </c>
      <c r="E132" s="325" t="s">
        <v>202</v>
      </c>
      <c r="F132" s="319">
        <v>0</v>
      </c>
      <c r="G132" s="319">
        <v>0</v>
      </c>
      <c r="H132" s="321">
        <v>4.9406564584124654E-324</v>
      </c>
      <c r="I132" s="319">
        <v>116.23034</v>
      </c>
      <c r="J132" s="319">
        <v>116.23034</v>
      </c>
      <c r="K132" s="325" t="s">
        <v>194</v>
      </c>
    </row>
    <row r="133" spans="1:11" ht="14.4" customHeight="1" thickBot="1" x14ac:dyDescent="0.35">
      <c r="A133" s="331" t="s">
        <v>319</v>
      </c>
      <c r="B133" s="319">
        <v>75.000004357449001</v>
      </c>
      <c r="C133" s="319">
        <v>63.746006393323</v>
      </c>
      <c r="D133" s="319">
        <v>-11.253997964126</v>
      </c>
      <c r="E133" s="320">
        <v>0.84994670252899995</v>
      </c>
      <c r="F133" s="319">
        <v>110.873759483993</v>
      </c>
      <c r="G133" s="319">
        <v>110.873759483993</v>
      </c>
      <c r="H133" s="321">
        <v>2.196E-2</v>
      </c>
      <c r="I133" s="319">
        <v>124.9492</v>
      </c>
      <c r="J133" s="319">
        <v>14.075440516006999</v>
      </c>
      <c r="K133" s="320">
        <v>1.126950151068</v>
      </c>
    </row>
    <row r="134" spans="1:11" ht="14.4" customHeight="1" thickBot="1" x14ac:dyDescent="0.35">
      <c r="A134" s="332" t="s">
        <v>320</v>
      </c>
      <c r="B134" s="319">
        <v>4.9406564584124654E-324</v>
      </c>
      <c r="C134" s="319">
        <v>7.0539993539999998E-2</v>
      </c>
      <c r="D134" s="319">
        <v>7.0539993539999998E-2</v>
      </c>
      <c r="E134" s="325" t="s">
        <v>202</v>
      </c>
      <c r="F134" s="319">
        <v>0</v>
      </c>
      <c r="G134" s="319">
        <v>0</v>
      </c>
      <c r="H134" s="321">
        <v>4.9406564584124654E-324</v>
      </c>
      <c r="I134" s="319">
        <v>5.9287877500949585E-323</v>
      </c>
      <c r="J134" s="319">
        <v>5.9287877500949585E-323</v>
      </c>
      <c r="K134" s="325" t="s">
        <v>194</v>
      </c>
    </row>
    <row r="135" spans="1:11" ht="14.4" customHeight="1" thickBot="1" x14ac:dyDescent="0.35">
      <c r="A135" s="333" t="s">
        <v>321</v>
      </c>
      <c r="B135" s="322">
        <v>4.9406564584124654E-324</v>
      </c>
      <c r="C135" s="322">
        <v>7.0539993539999998E-2</v>
      </c>
      <c r="D135" s="322">
        <v>7.0539993539999998E-2</v>
      </c>
      <c r="E135" s="326" t="s">
        <v>202</v>
      </c>
      <c r="F135" s="322">
        <v>0</v>
      </c>
      <c r="G135" s="322">
        <v>0</v>
      </c>
      <c r="H135" s="324">
        <v>4.9406564584124654E-324</v>
      </c>
      <c r="I135" s="322">
        <v>5.9287877500949585E-323</v>
      </c>
      <c r="J135" s="322">
        <v>5.9287877500949585E-323</v>
      </c>
      <c r="K135" s="326" t="s">
        <v>194</v>
      </c>
    </row>
    <row r="136" spans="1:11" ht="14.4" customHeight="1" thickBot="1" x14ac:dyDescent="0.35">
      <c r="A136" s="334" t="s">
        <v>322</v>
      </c>
      <c r="B136" s="319">
        <v>4.9406564584124654E-324</v>
      </c>
      <c r="C136" s="319">
        <v>7.0539993539999998E-2</v>
      </c>
      <c r="D136" s="319">
        <v>7.0539993539999998E-2</v>
      </c>
      <c r="E136" s="325" t="s">
        <v>202</v>
      </c>
      <c r="F136" s="319">
        <v>0</v>
      </c>
      <c r="G136" s="319">
        <v>0</v>
      </c>
      <c r="H136" s="321">
        <v>4.9406564584124654E-324</v>
      </c>
      <c r="I136" s="319">
        <v>5.9287877500949585E-323</v>
      </c>
      <c r="J136" s="319">
        <v>5.9287877500949585E-323</v>
      </c>
      <c r="K136" s="325" t="s">
        <v>194</v>
      </c>
    </row>
    <row r="137" spans="1:11" ht="14.4" customHeight="1" thickBot="1" x14ac:dyDescent="0.35">
      <c r="A137" s="332" t="s">
        <v>323</v>
      </c>
      <c r="B137" s="319">
        <v>75.000004357449001</v>
      </c>
      <c r="C137" s="319">
        <v>19.695948605096</v>
      </c>
      <c r="D137" s="319">
        <v>-55.304055752351999</v>
      </c>
      <c r="E137" s="320">
        <v>0.26261263281000002</v>
      </c>
      <c r="F137" s="319">
        <v>68.999590497309001</v>
      </c>
      <c r="G137" s="319">
        <v>68.999590497309001</v>
      </c>
      <c r="H137" s="321">
        <v>4.9406564584124654E-324</v>
      </c>
      <c r="I137" s="319">
        <v>34.09892</v>
      </c>
      <c r="J137" s="319">
        <v>-34.900670497309001</v>
      </c>
      <c r="K137" s="320">
        <v>0.49419017930699999</v>
      </c>
    </row>
    <row r="138" spans="1:11" ht="14.4" customHeight="1" thickBot="1" x14ac:dyDescent="0.35">
      <c r="A138" s="333" t="s">
        <v>324</v>
      </c>
      <c r="B138" s="322">
        <v>75.000004357449001</v>
      </c>
      <c r="C138" s="322">
        <v>19.695948605096</v>
      </c>
      <c r="D138" s="322">
        <v>-55.304055752351999</v>
      </c>
      <c r="E138" s="323">
        <v>0.26261263281000002</v>
      </c>
      <c r="F138" s="322">
        <v>68.999590497309001</v>
      </c>
      <c r="G138" s="322">
        <v>68.999590497309001</v>
      </c>
      <c r="H138" s="324">
        <v>4.9406564584124654E-324</v>
      </c>
      <c r="I138" s="322">
        <v>34.09892</v>
      </c>
      <c r="J138" s="322">
        <v>-34.900670497309001</v>
      </c>
      <c r="K138" s="323">
        <v>0.49419017930699999</v>
      </c>
    </row>
    <row r="139" spans="1:11" ht="14.4" customHeight="1" thickBot="1" x14ac:dyDescent="0.35">
      <c r="A139" s="334" t="s">
        <v>325</v>
      </c>
      <c r="B139" s="319">
        <v>4.9406564584124654E-324</v>
      </c>
      <c r="C139" s="319">
        <v>0.93279999999999996</v>
      </c>
      <c r="D139" s="319">
        <v>0.93279999999999996</v>
      </c>
      <c r="E139" s="325" t="s">
        <v>202</v>
      </c>
      <c r="F139" s="319">
        <v>0</v>
      </c>
      <c r="G139" s="319">
        <v>0</v>
      </c>
      <c r="H139" s="321">
        <v>4.9406564584124654E-324</v>
      </c>
      <c r="I139" s="319">
        <v>1.27776</v>
      </c>
      <c r="J139" s="319">
        <v>1.27776</v>
      </c>
      <c r="K139" s="325" t="s">
        <v>194</v>
      </c>
    </row>
    <row r="140" spans="1:11" ht="14.4" customHeight="1" thickBot="1" x14ac:dyDescent="0.35">
      <c r="A140" s="334" t="s">
        <v>326</v>
      </c>
      <c r="B140" s="319">
        <v>4.9406564584124654E-324</v>
      </c>
      <c r="C140" s="319">
        <v>-9.0971991669579992</v>
      </c>
      <c r="D140" s="319">
        <v>-9.0971991669579992</v>
      </c>
      <c r="E140" s="325" t="s">
        <v>202</v>
      </c>
      <c r="F140" s="319">
        <v>0</v>
      </c>
      <c r="G140" s="319">
        <v>0</v>
      </c>
      <c r="H140" s="321">
        <v>4.9406564584124654E-324</v>
      </c>
      <c r="I140" s="319">
        <v>2.399</v>
      </c>
      <c r="J140" s="319">
        <v>2.399</v>
      </c>
      <c r="K140" s="325" t="s">
        <v>194</v>
      </c>
    </row>
    <row r="141" spans="1:11" ht="14.4" customHeight="1" thickBot="1" x14ac:dyDescent="0.35">
      <c r="A141" s="334" t="s">
        <v>327</v>
      </c>
      <c r="B141" s="319">
        <v>4.9406564584124654E-324</v>
      </c>
      <c r="C141" s="319">
        <v>17.781318524886</v>
      </c>
      <c r="D141" s="319">
        <v>17.781318524886</v>
      </c>
      <c r="E141" s="325" t="s">
        <v>202</v>
      </c>
      <c r="F141" s="319">
        <v>0</v>
      </c>
      <c r="G141" s="319">
        <v>0</v>
      </c>
      <c r="H141" s="321">
        <v>4.9406564584124654E-324</v>
      </c>
      <c r="I141" s="319">
        <v>19.46593</v>
      </c>
      <c r="J141" s="319">
        <v>19.46593</v>
      </c>
      <c r="K141" s="325" t="s">
        <v>194</v>
      </c>
    </row>
    <row r="142" spans="1:11" ht="14.4" customHeight="1" thickBot="1" x14ac:dyDescent="0.35">
      <c r="A142" s="334" t="s">
        <v>328</v>
      </c>
      <c r="B142" s="319">
        <v>4.9406564584124654E-324</v>
      </c>
      <c r="C142" s="319">
        <v>10.079029247168</v>
      </c>
      <c r="D142" s="319">
        <v>10.079029247168</v>
      </c>
      <c r="E142" s="325" t="s">
        <v>202</v>
      </c>
      <c r="F142" s="319">
        <v>0</v>
      </c>
      <c r="G142" s="319">
        <v>0</v>
      </c>
      <c r="H142" s="321">
        <v>4.9406564584124654E-324</v>
      </c>
      <c r="I142" s="319">
        <v>10.95623</v>
      </c>
      <c r="J142" s="319">
        <v>10.95623</v>
      </c>
      <c r="K142" s="325" t="s">
        <v>194</v>
      </c>
    </row>
    <row r="143" spans="1:11" ht="14.4" customHeight="1" thickBot="1" x14ac:dyDescent="0.35">
      <c r="A143" s="336" t="s">
        <v>329</v>
      </c>
      <c r="B143" s="322">
        <v>4.9406564584124654E-324</v>
      </c>
      <c r="C143" s="322">
        <v>43.979517794685002</v>
      </c>
      <c r="D143" s="322">
        <v>43.979517794685002</v>
      </c>
      <c r="E143" s="326" t="s">
        <v>202</v>
      </c>
      <c r="F143" s="322">
        <v>41.874168986683003</v>
      </c>
      <c r="G143" s="322">
        <v>41.874168986683003</v>
      </c>
      <c r="H143" s="324">
        <v>2.196E-2</v>
      </c>
      <c r="I143" s="322">
        <v>90.850279999999998</v>
      </c>
      <c r="J143" s="322">
        <v>48.976111013316</v>
      </c>
      <c r="K143" s="323">
        <v>2.1696019813279999</v>
      </c>
    </row>
    <row r="144" spans="1:11" ht="14.4" customHeight="1" thickBot="1" x14ac:dyDescent="0.35">
      <c r="A144" s="333" t="s">
        <v>330</v>
      </c>
      <c r="B144" s="322">
        <v>4.9406564584124654E-324</v>
      </c>
      <c r="C144" s="322">
        <v>4.5519996239E-2</v>
      </c>
      <c r="D144" s="322">
        <v>4.5519996239E-2</v>
      </c>
      <c r="E144" s="326" t="s">
        <v>202</v>
      </c>
      <c r="F144" s="322">
        <v>0</v>
      </c>
      <c r="G144" s="322">
        <v>0</v>
      </c>
      <c r="H144" s="324">
        <v>-1.0399999999999999E-3</v>
      </c>
      <c r="I144" s="322">
        <v>-3.3020000000000001E-2</v>
      </c>
      <c r="J144" s="322">
        <v>-3.3020000000000001E-2</v>
      </c>
      <c r="K144" s="326" t="s">
        <v>194</v>
      </c>
    </row>
    <row r="145" spans="1:11" ht="14.4" customHeight="1" thickBot="1" x14ac:dyDescent="0.35">
      <c r="A145" s="334" t="s">
        <v>331</v>
      </c>
      <c r="B145" s="319">
        <v>4.9406564584124654E-324</v>
      </c>
      <c r="C145" s="319">
        <v>4.5519996239E-2</v>
      </c>
      <c r="D145" s="319">
        <v>4.5519996239E-2</v>
      </c>
      <c r="E145" s="325" t="s">
        <v>202</v>
      </c>
      <c r="F145" s="319">
        <v>0</v>
      </c>
      <c r="G145" s="319">
        <v>0</v>
      </c>
      <c r="H145" s="321">
        <v>-1.0399999999999999E-3</v>
      </c>
      <c r="I145" s="319">
        <v>-3.3020000000000001E-2</v>
      </c>
      <c r="J145" s="319">
        <v>-3.3020000000000001E-2</v>
      </c>
      <c r="K145" s="325" t="s">
        <v>194</v>
      </c>
    </row>
    <row r="146" spans="1:11" ht="14.4" customHeight="1" thickBot="1" x14ac:dyDescent="0.35">
      <c r="A146" s="333" t="s">
        <v>332</v>
      </c>
      <c r="B146" s="322">
        <v>4.9406564584124654E-324</v>
      </c>
      <c r="C146" s="322">
        <v>43.933997798446001</v>
      </c>
      <c r="D146" s="322">
        <v>43.933997798446001</v>
      </c>
      <c r="E146" s="326" t="s">
        <v>202</v>
      </c>
      <c r="F146" s="322">
        <v>41.874168986683003</v>
      </c>
      <c r="G146" s="322">
        <v>41.874168986683003</v>
      </c>
      <c r="H146" s="324">
        <v>2.3E-2</v>
      </c>
      <c r="I146" s="322">
        <v>90.883300000000006</v>
      </c>
      <c r="J146" s="322">
        <v>49.009131013316001</v>
      </c>
      <c r="K146" s="323">
        <v>2.1703905342910002</v>
      </c>
    </row>
    <row r="147" spans="1:11" ht="14.4" customHeight="1" thickBot="1" x14ac:dyDescent="0.35">
      <c r="A147" s="334" t="s">
        <v>333</v>
      </c>
      <c r="B147" s="319">
        <v>4.9406564584124654E-324</v>
      </c>
      <c r="C147" s="319">
        <v>0.38399996868199998</v>
      </c>
      <c r="D147" s="319">
        <v>0.38399996868199998</v>
      </c>
      <c r="E147" s="325" t="s">
        <v>202</v>
      </c>
      <c r="F147" s="319">
        <v>0</v>
      </c>
      <c r="G147" s="319">
        <v>0</v>
      </c>
      <c r="H147" s="321">
        <v>2.3E-2</v>
      </c>
      <c r="I147" s="319">
        <v>0.13700000000000001</v>
      </c>
      <c r="J147" s="319">
        <v>0.13700000000000001</v>
      </c>
      <c r="K147" s="325" t="s">
        <v>194</v>
      </c>
    </row>
    <row r="148" spans="1:11" ht="14.4" customHeight="1" thickBot="1" x14ac:dyDescent="0.35">
      <c r="A148" s="334" t="s">
        <v>334</v>
      </c>
      <c r="B148" s="319">
        <v>4.9406564584124654E-324</v>
      </c>
      <c r="C148" s="319">
        <v>42.299997944227002</v>
      </c>
      <c r="D148" s="319">
        <v>42.299997944227002</v>
      </c>
      <c r="E148" s="325" t="s">
        <v>202</v>
      </c>
      <c r="F148" s="319">
        <v>40.682947010132999</v>
      </c>
      <c r="G148" s="319">
        <v>40.682947010132999</v>
      </c>
      <c r="H148" s="321">
        <v>4.9406564584124654E-324</v>
      </c>
      <c r="I148" s="319">
        <v>89.3</v>
      </c>
      <c r="J148" s="319">
        <v>48.617052989866004</v>
      </c>
      <c r="K148" s="320">
        <v>2.1950228919680002</v>
      </c>
    </row>
    <row r="149" spans="1:11" ht="14.4" customHeight="1" thickBot="1" x14ac:dyDescent="0.35">
      <c r="A149" s="334" t="s">
        <v>335</v>
      </c>
      <c r="B149" s="319">
        <v>4.9406564584124654E-324</v>
      </c>
      <c r="C149" s="319">
        <v>1.2499998855359999</v>
      </c>
      <c r="D149" s="319">
        <v>1.2499998855359999</v>
      </c>
      <c r="E149" s="325" t="s">
        <v>202</v>
      </c>
      <c r="F149" s="319">
        <v>1.1912219765500001</v>
      </c>
      <c r="G149" s="319">
        <v>1.1912219765500001</v>
      </c>
      <c r="H149" s="321">
        <v>4.9406564584124654E-324</v>
      </c>
      <c r="I149" s="319">
        <v>1.4462999999999999</v>
      </c>
      <c r="J149" s="319">
        <v>0.25507802344899999</v>
      </c>
      <c r="K149" s="320">
        <v>1.214131394879</v>
      </c>
    </row>
    <row r="150" spans="1:11" ht="14.4" customHeight="1" thickBot="1" x14ac:dyDescent="0.35">
      <c r="A150" s="330" t="s">
        <v>336</v>
      </c>
      <c r="B150" s="319">
        <v>1226.9991501705599</v>
      </c>
      <c r="C150" s="319">
        <v>1246.39764564502</v>
      </c>
      <c r="D150" s="319">
        <v>19.398495474455999</v>
      </c>
      <c r="E150" s="320">
        <v>1.015809705713</v>
      </c>
      <c r="F150" s="319">
        <v>1252.2140167810501</v>
      </c>
      <c r="G150" s="319">
        <v>1252.2140167810501</v>
      </c>
      <c r="H150" s="321">
        <v>132.98299</v>
      </c>
      <c r="I150" s="319">
        <v>1128.3203599999999</v>
      </c>
      <c r="J150" s="319">
        <v>-123.893656781053</v>
      </c>
      <c r="K150" s="320">
        <v>0.901060317868</v>
      </c>
    </row>
    <row r="151" spans="1:11" ht="14.4" customHeight="1" thickBot="1" x14ac:dyDescent="0.35">
      <c r="A151" s="335" t="s">
        <v>337</v>
      </c>
      <c r="B151" s="322">
        <v>1226.9991501705599</v>
      </c>
      <c r="C151" s="322">
        <v>1246.39764564502</v>
      </c>
      <c r="D151" s="322">
        <v>19.398495474455999</v>
      </c>
      <c r="E151" s="323">
        <v>1.015809705713</v>
      </c>
      <c r="F151" s="322">
        <v>1252.2140167810501</v>
      </c>
      <c r="G151" s="322">
        <v>1252.2140167810501</v>
      </c>
      <c r="H151" s="324">
        <v>132.98299</v>
      </c>
      <c r="I151" s="322">
        <v>1128.3203599999999</v>
      </c>
      <c r="J151" s="322">
        <v>-123.893656781053</v>
      </c>
      <c r="K151" s="323">
        <v>0.901060317868</v>
      </c>
    </row>
    <row r="152" spans="1:11" ht="14.4" customHeight="1" thickBot="1" x14ac:dyDescent="0.35">
      <c r="A152" s="336" t="s">
        <v>70</v>
      </c>
      <c r="B152" s="322">
        <v>1226.9991501705599</v>
      </c>
      <c r="C152" s="322">
        <v>1246.39764564502</v>
      </c>
      <c r="D152" s="322">
        <v>19.398495474455999</v>
      </c>
      <c r="E152" s="323">
        <v>1.015809705713</v>
      </c>
      <c r="F152" s="322">
        <v>1252.2140167810501</v>
      </c>
      <c r="G152" s="322">
        <v>1252.2140167810501</v>
      </c>
      <c r="H152" s="324">
        <v>132.98299</v>
      </c>
      <c r="I152" s="322">
        <v>1128.3203599999999</v>
      </c>
      <c r="J152" s="322">
        <v>-123.893656781053</v>
      </c>
      <c r="K152" s="323">
        <v>0.901060317868</v>
      </c>
    </row>
    <row r="153" spans="1:11" ht="14.4" customHeight="1" thickBot="1" x14ac:dyDescent="0.35">
      <c r="A153" s="333" t="s">
        <v>338</v>
      </c>
      <c r="B153" s="322">
        <v>27.999940607016001</v>
      </c>
      <c r="C153" s="322">
        <v>30.689997940702</v>
      </c>
      <c r="D153" s="322">
        <v>2.690057333685</v>
      </c>
      <c r="E153" s="323">
        <v>1.0960736799919999</v>
      </c>
      <c r="F153" s="322">
        <v>17.999999999999002</v>
      </c>
      <c r="G153" s="322">
        <v>17.999999999999002</v>
      </c>
      <c r="H153" s="324">
        <v>2.145</v>
      </c>
      <c r="I153" s="322">
        <v>26.977499999999999</v>
      </c>
      <c r="J153" s="322">
        <v>8.9774999999999991</v>
      </c>
      <c r="K153" s="323">
        <v>1.49875</v>
      </c>
    </row>
    <row r="154" spans="1:11" ht="14.4" customHeight="1" thickBot="1" x14ac:dyDescent="0.35">
      <c r="A154" s="334" t="s">
        <v>339</v>
      </c>
      <c r="B154" s="319">
        <v>27.999940607016001</v>
      </c>
      <c r="C154" s="319">
        <v>30.689997940702</v>
      </c>
      <c r="D154" s="319">
        <v>2.690057333685</v>
      </c>
      <c r="E154" s="320">
        <v>1.0960736799919999</v>
      </c>
      <c r="F154" s="319">
        <v>17.999999999999002</v>
      </c>
      <c r="G154" s="319">
        <v>17.999999999999002</v>
      </c>
      <c r="H154" s="321">
        <v>2.145</v>
      </c>
      <c r="I154" s="319">
        <v>26.977499999999999</v>
      </c>
      <c r="J154" s="319">
        <v>8.9774999999999991</v>
      </c>
      <c r="K154" s="320">
        <v>1.49875</v>
      </c>
    </row>
    <row r="155" spans="1:11" ht="14.4" customHeight="1" thickBot="1" x14ac:dyDescent="0.35">
      <c r="A155" s="333" t="s">
        <v>340</v>
      </c>
      <c r="B155" s="322">
        <v>50.999964677015001</v>
      </c>
      <c r="C155" s="322">
        <v>12.839999070799999</v>
      </c>
      <c r="D155" s="322">
        <v>-38.159965606215003</v>
      </c>
      <c r="E155" s="323">
        <v>0.25176486203600001</v>
      </c>
      <c r="F155" s="322">
        <v>7.6872032858579997</v>
      </c>
      <c r="G155" s="322">
        <v>7.6872032858579997</v>
      </c>
      <c r="H155" s="324">
        <v>0.85</v>
      </c>
      <c r="I155" s="322">
        <v>9.15</v>
      </c>
      <c r="J155" s="322">
        <v>1.4627967141410001</v>
      </c>
      <c r="K155" s="323">
        <v>1.19028984401</v>
      </c>
    </row>
    <row r="156" spans="1:11" ht="14.4" customHeight="1" thickBot="1" x14ac:dyDescent="0.35">
      <c r="A156" s="334" t="s">
        <v>341</v>
      </c>
      <c r="B156" s="319">
        <v>50.999964677015001</v>
      </c>
      <c r="C156" s="319">
        <v>12.839999070799999</v>
      </c>
      <c r="D156" s="319">
        <v>-38.159965606215003</v>
      </c>
      <c r="E156" s="320">
        <v>0.25176486203600001</v>
      </c>
      <c r="F156" s="319">
        <v>7.6872032858579997</v>
      </c>
      <c r="G156" s="319">
        <v>7.6872032858579997</v>
      </c>
      <c r="H156" s="321">
        <v>0.85</v>
      </c>
      <c r="I156" s="319">
        <v>9.15</v>
      </c>
      <c r="J156" s="319">
        <v>1.4627967141410001</v>
      </c>
      <c r="K156" s="320">
        <v>1.19028984401</v>
      </c>
    </row>
    <row r="157" spans="1:11" ht="14.4" customHeight="1" thickBot="1" x14ac:dyDescent="0.35">
      <c r="A157" s="333" t="s">
        <v>342</v>
      </c>
      <c r="B157" s="322">
        <v>26.000021992175999</v>
      </c>
      <c r="C157" s="322">
        <v>34.428897638366003</v>
      </c>
      <c r="D157" s="322">
        <v>8.4288756461900007</v>
      </c>
      <c r="E157" s="323">
        <v>1.3241872506379999</v>
      </c>
      <c r="F157" s="322">
        <v>34.52681349521</v>
      </c>
      <c r="G157" s="322">
        <v>34.52681349521</v>
      </c>
      <c r="H157" s="324">
        <v>2.5424000000000002</v>
      </c>
      <c r="I157" s="322">
        <v>35.698300000000003</v>
      </c>
      <c r="J157" s="322">
        <v>1.171486504789</v>
      </c>
      <c r="K157" s="323">
        <v>1.0339297602699999</v>
      </c>
    </row>
    <row r="158" spans="1:11" ht="14.4" customHeight="1" thickBot="1" x14ac:dyDescent="0.35">
      <c r="A158" s="334" t="s">
        <v>343</v>
      </c>
      <c r="B158" s="319">
        <v>26.000021992175999</v>
      </c>
      <c r="C158" s="319">
        <v>34.428897638366003</v>
      </c>
      <c r="D158" s="319">
        <v>8.4288756461900007</v>
      </c>
      <c r="E158" s="320">
        <v>1.3241872506379999</v>
      </c>
      <c r="F158" s="319">
        <v>34.52681349521</v>
      </c>
      <c r="G158" s="319">
        <v>34.52681349521</v>
      </c>
      <c r="H158" s="321">
        <v>2.5424000000000002</v>
      </c>
      <c r="I158" s="319">
        <v>35.698300000000003</v>
      </c>
      <c r="J158" s="319">
        <v>1.171486504789</v>
      </c>
      <c r="K158" s="320">
        <v>1.0339297602699999</v>
      </c>
    </row>
    <row r="159" spans="1:11" ht="14.4" customHeight="1" thickBot="1" x14ac:dyDescent="0.35">
      <c r="A159" s="333" t="s">
        <v>344</v>
      </c>
      <c r="B159" s="322">
        <v>4.9406564584124654E-324</v>
      </c>
      <c r="C159" s="322">
        <v>2.870999778167</v>
      </c>
      <c r="D159" s="322">
        <v>2.870999778167</v>
      </c>
      <c r="E159" s="326" t="s">
        <v>202</v>
      </c>
      <c r="F159" s="322">
        <v>0</v>
      </c>
      <c r="G159" s="322">
        <v>0</v>
      </c>
      <c r="H159" s="324">
        <v>0.25600000000000001</v>
      </c>
      <c r="I159" s="322">
        <v>2.4780000000000002</v>
      </c>
      <c r="J159" s="322">
        <v>2.4780000000000002</v>
      </c>
      <c r="K159" s="326" t="s">
        <v>194</v>
      </c>
    </row>
    <row r="160" spans="1:11" ht="14.4" customHeight="1" thickBot="1" x14ac:dyDescent="0.35">
      <c r="A160" s="334" t="s">
        <v>345</v>
      </c>
      <c r="B160" s="319">
        <v>4.9406564584124654E-324</v>
      </c>
      <c r="C160" s="319">
        <v>2.870999778167</v>
      </c>
      <c r="D160" s="319">
        <v>2.870999778167</v>
      </c>
      <c r="E160" s="325" t="s">
        <v>202</v>
      </c>
      <c r="F160" s="319">
        <v>0</v>
      </c>
      <c r="G160" s="319">
        <v>0</v>
      </c>
      <c r="H160" s="321">
        <v>0.25600000000000001</v>
      </c>
      <c r="I160" s="319">
        <v>2.4780000000000002</v>
      </c>
      <c r="J160" s="319">
        <v>2.4780000000000002</v>
      </c>
      <c r="K160" s="325" t="s">
        <v>194</v>
      </c>
    </row>
    <row r="161" spans="1:11" ht="14.4" customHeight="1" thickBot="1" x14ac:dyDescent="0.35">
      <c r="A161" s="333" t="s">
        <v>346</v>
      </c>
      <c r="B161" s="322">
        <v>441.99965386749898</v>
      </c>
      <c r="C161" s="322">
        <v>392.69528409536002</v>
      </c>
      <c r="D161" s="322">
        <v>-49.304369772138998</v>
      </c>
      <c r="E161" s="323">
        <v>0.88845156474499998</v>
      </c>
      <c r="F161" s="322">
        <v>366.999999999995</v>
      </c>
      <c r="G161" s="322">
        <v>366.999999999995</v>
      </c>
      <c r="H161" s="324">
        <v>31.053319999999999</v>
      </c>
      <c r="I161" s="322">
        <v>348.14350999999999</v>
      </c>
      <c r="J161" s="322">
        <v>-18.856489999994999</v>
      </c>
      <c r="K161" s="323">
        <v>0.94861991825600001</v>
      </c>
    </row>
    <row r="162" spans="1:11" ht="14.4" customHeight="1" thickBot="1" x14ac:dyDescent="0.35">
      <c r="A162" s="334" t="s">
        <v>347</v>
      </c>
      <c r="B162" s="319">
        <v>440.99969456007898</v>
      </c>
      <c r="C162" s="319">
        <v>392.22849413149999</v>
      </c>
      <c r="D162" s="319">
        <v>-48.771200428579</v>
      </c>
      <c r="E162" s="320">
        <v>0.88940763218100005</v>
      </c>
      <c r="F162" s="319">
        <v>366.999999999995</v>
      </c>
      <c r="G162" s="319">
        <v>366.999999999995</v>
      </c>
      <c r="H162" s="321">
        <v>31.04449</v>
      </c>
      <c r="I162" s="319">
        <v>348.03755000000001</v>
      </c>
      <c r="J162" s="319">
        <v>-18.962449999994998</v>
      </c>
      <c r="K162" s="320">
        <v>0.94833119890999995</v>
      </c>
    </row>
    <row r="163" spans="1:11" ht="14.4" customHeight="1" thickBot="1" x14ac:dyDescent="0.35">
      <c r="A163" s="334" t="s">
        <v>348</v>
      </c>
      <c r="B163" s="319">
        <v>0.99995930742000005</v>
      </c>
      <c r="C163" s="319">
        <v>0.46678996385999999</v>
      </c>
      <c r="D163" s="319">
        <v>-0.53316934355900003</v>
      </c>
      <c r="E163" s="320">
        <v>0.46680895952099999</v>
      </c>
      <c r="F163" s="319">
        <v>0</v>
      </c>
      <c r="G163" s="319">
        <v>0</v>
      </c>
      <c r="H163" s="321">
        <v>8.8299999999999993E-3</v>
      </c>
      <c r="I163" s="319">
        <v>0.10596</v>
      </c>
      <c r="J163" s="319">
        <v>0.10596</v>
      </c>
      <c r="K163" s="325" t="s">
        <v>194</v>
      </c>
    </row>
    <row r="164" spans="1:11" ht="14.4" customHeight="1" thickBot="1" x14ac:dyDescent="0.35">
      <c r="A164" s="333" t="s">
        <v>349</v>
      </c>
      <c r="B164" s="322">
        <v>4.9406564584124654E-324</v>
      </c>
      <c r="C164" s="322">
        <v>29.899587989113002</v>
      </c>
      <c r="D164" s="322">
        <v>29.899587989113002</v>
      </c>
      <c r="E164" s="326" t="s">
        <v>202</v>
      </c>
      <c r="F164" s="322">
        <v>0</v>
      </c>
      <c r="G164" s="322">
        <v>0</v>
      </c>
      <c r="H164" s="324">
        <v>4.9406564584124654E-324</v>
      </c>
      <c r="I164" s="322">
        <v>5.9287877500949585E-323</v>
      </c>
      <c r="J164" s="322">
        <v>5.9287877500949585E-323</v>
      </c>
      <c r="K164" s="326" t="s">
        <v>194</v>
      </c>
    </row>
    <row r="165" spans="1:11" ht="14.4" customHeight="1" thickBot="1" x14ac:dyDescent="0.35">
      <c r="A165" s="334" t="s">
        <v>350</v>
      </c>
      <c r="B165" s="319">
        <v>4.9406564584124654E-324</v>
      </c>
      <c r="C165" s="319">
        <v>29.899587989113002</v>
      </c>
      <c r="D165" s="319">
        <v>29.899587989113002</v>
      </c>
      <c r="E165" s="325" t="s">
        <v>202</v>
      </c>
      <c r="F165" s="319">
        <v>0</v>
      </c>
      <c r="G165" s="319">
        <v>0</v>
      </c>
      <c r="H165" s="321">
        <v>4.9406564584124654E-324</v>
      </c>
      <c r="I165" s="319">
        <v>5.9287877500949585E-323</v>
      </c>
      <c r="J165" s="319">
        <v>5.9287877500949585E-323</v>
      </c>
      <c r="K165" s="325" t="s">
        <v>194</v>
      </c>
    </row>
    <row r="166" spans="1:11" ht="14.4" customHeight="1" thickBot="1" x14ac:dyDescent="0.35">
      <c r="A166" s="333" t="s">
        <v>351</v>
      </c>
      <c r="B166" s="322">
        <v>679.99956902685096</v>
      </c>
      <c r="C166" s="322">
        <v>742.97287913250398</v>
      </c>
      <c r="D166" s="322">
        <v>62.973310105652999</v>
      </c>
      <c r="E166" s="323">
        <v>1.0926078676719999</v>
      </c>
      <c r="F166" s="322">
        <v>824.99999999998897</v>
      </c>
      <c r="G166" s="322">
        <v>824.99999999998897</v>
      </c>
      <c r="H166" s="324">
        <v>96.136269999999996</v>
      </c>
      <c r="I166" s="322">
        <v>705.87305000000003</v>
      </c>
      <c r="J166" s="322">
        <v>-119.12694999998899</v>
      </c>
      <c r="K166" s="323">
        <v>0.85560369696899996</v>
      </c>
    </row>
    <row r="167" spans="1:11" ht="14.4" customHeight="1" thickBot="1" x14ac:dyDescent="0.35">
      <c r="A167" s="334" t="s">
        <v>352</v>
      </c>
      <c r="B167" s="319">
        <v>679.99956902685096</v>
      </c>
      <c r="C167" s="319">
        <v>742.97287913250398</v>
      </c>
      <c r="D167" s="319">
        <v>62.973310105652999</v>
      </c>
      <c r="E167" s="320">
        <v>1.0926078676719999</v>
      </c>
      <c r="F167" s="319">
        <v>824.99999999998897</v>
      </c>
      <c r="G167" s="319">
        <v>824.99999999998897</v>
      </c>
      <c r="H167" s="321">
        <v>96.136269999999996</v>
      </c>
      <c r="I167" s="319">
        <v>705.87305000000003</v>
      </c>
      <c r="J167" s="319">
        <v>-119.12694999998899</v>
      </c>
      <c r="K167" s="320">
        <v>0.85560369696899996</v>
      </c>
    </row>
    <row r="168" spans="1:11" ht="14.4" customHeight="1" thickBot="1" x14ac:dyDescent="0.35">
      <c r="A168" s="338" t="s">
        <v>353</v>
      </c>
      <c r="B168" s="322">
        <v>4.9406564584124654E-324</v>
      </c>
      <c r="C168" s="322">
        <v>4.9406564584124654E-324</v>
      </c>
      <c r="D168" s="322">
        <v>0</v>
      </c>
      <c r="E168" s="323">
        <v>1</v>
      </c>
      <c r="F168" s="322">
        <v>0</v>
      </c>
      <c r="G168" s="322">
        <v>0</v>
      </c>
      <c r="H168" s="324">
        <v>4.9406564584124654E-324</v>
      </c>
      <c r="I168" s="322">
        <v>6.1399999999999996E-3</v>
      </c>
      <c r="J168" s="322">
        <v>6.1399999999999996E-3</v>
      </c>
      <c r="K168" s="326" t="s">
        <v>194</v>
      </c>
    </row>
    <row r="169" spans="1:11" ht="14.4" customHeight="1" thickBot="1" x14ac:dyDescent="0.35">
      <c r="A169" s="335" t="s">
        <v>354</v>
      </c>
      <c r="B169" s="322">
        <v>4.9406564584124654E-324</v>
      </c>
      <c r="C169" s="322">
        <v>4.9406564584124654E-324</v>
      </c>
      <c r="D169" s="322">
        <v>0</v>
      </c>
      <c r="E169" s="323">
        <v>1</v>
      </c>
      <c r="F169" s="322">
        <v>0</v>
      </c>
      <c r="G169" s="322">
        <v>0</v>
      </c>
      <c r="H169" s="324">
        <v>4.9406564584124654E-324</v>
      </c>
      <c r="I169" s="322">
        <v>6.1399999999999996E-3</v>
      </c>
      <c r="J169" s="322">
        <v>6.1399999999999996E-3</v>
      </c>
      <c r="K169" s="326" t="s">
        <v>194</v>
      </c>
    </row>
    <row r="170" spans="1:11" ht="14.4" customHeight="1" thickBot="1" x14ac:dyDescent="0.35">
      <c r="A170" s="336" t="s">
        <v>355</v>
      </c>
      <c r="B170" s="322">
        <v>4.9406564584124654E-324</v>
      </c>
      <c r="C170" s="322">
        <v>4.9406564584124654E-324</v>
      </c>
      <c r="D170" s="322">
        <v>0</v>
      </c>
      <c r="E170" s="323">
        <v>1</v>
      </c>
      <c r="F170" s="322">
        <v>0</v>
      </c>
      <c r="G170" s="322">
        <v>0</v>
      </c>
      <c r="H170" s="324">
        <v>4.9406564584124654E-324</v>
      </c>
      <c r="I170" s="322">
        <v>6.1399999999999996E-3</v>
      </c>
      <c r="J170" s="322">
        <v>6.1399999999999996E-3</v>
      </c>
      <c r="K170" s="326" t="s">
        <v>194</v>
      </c>
    </row>
    <row r="171" spans="1:11" ht="14.4" customHeight="1" thickBot="1" x14ac:dyDescent="0.35">
      <c r="A171" s="333" t="s">
        <v>356</v>
      </c>
      <c r="B171" s="322">
        <v>4.9406564584124654E-324</v>
      </c>
      <c r="C171" s="322">
        <v>4.9406564584124654E-324</v>
      </c>
      <c r="D171" s="322">
        <v>0</v>
      </c>
      <c r="E171" s="323">
        <v>1</v>
      </c>
      <c r="F171" s="322">
        <v>4.9406564584124654E-324</v>
      </c>
      <c r="G171" s="322">
        <v>0</v>
      </c>
      <c r="H171" s="324">
        <v>4.9406564584124654E-324</v>
      </c>
      <c r="I171" s="322">
        <v>6.1399999999999996E-3</v>
      </c>
      <c r="J171" s="322">
        <v>6.1399999999999996E-3</v>
      </c>
      <c r="K171" s="326" t="s">
        <v>202</v>
      </c>
    </row>
    <row r="172" spans="1:11" ht="14.4" customHeight="1" thickBot="1" x14ac:dyDescent="0.35">
      <c r="A172" s="334" t="s">
        <v>357</v>
      </c>
      <c r="B172" s="319">
        <v>4.9406564584124654E-324</v>
      </c>
      <c r="C172" s="319">
        <v>4.9406564584124654E-324</v>
      </c>
      <c r="D172" s="319">
        <v>0</v>
      </c>
      <c r="E172" s="320">
        <v>1</v>
      </c>
      <c r="F172" s="319">
        <v>4.9406564584124654E-324</v>
      </c>
      <c r="G172" s="319">
        <v>0</v>
      </c>
      <c r="H172" s="321">
        <v>4.9406564584124654E-324</v>
      </c>
      <c r="I172" s="319">
        <v>6.1399999999999996E-3</v>
      </c>
      <c r="J172" s="319">
        <v>6.1399999999999996E-3</v>
      </c>
      <c r="K172" s="325" t="s">
        <v>202</v>
      </c>
    </row>
    <row r="173" spans="1:11" ht="14.4" customHeight="1" thickBot="1" x14ac:dyDescent="0.35">
      <c r="A173" s="339"/>
      <c r="B173" s="319">
        <v>-3898.4294186915299</v>
      </c>
      <c r="C173" s="319">
        <v>4.9406564584124654E-324</v>
      </c>
      <c r="D173" s="319">
        <v>3898.4294186915299</v>
      </c>
      <c r="E173" s="320">
        <v>0</v>
      </c>
      <c r="F173" s="319">
        <v>-2951.1539475695499</v>
      </c>
      <c r="G173" s="319">
        <v>-2951.1539475695499</v>
      </c>
      <c r="H173" s="321">
        <v>-640.28174000000502</v>
      </c>
      <c r="I173" s="319">
        <v>-4827.5262700000003</v>
      </c>
      <c r="J173" s="319">
        <v>-1876.3723224304599</v>
      </c>
      <c r="K173" s="320">
        <v>1.635809705547</v>
      </c>
    </row>
    <row r="174" spans="1:11" ht="14.4" customHeight="1" thickBot="1" x14ac:dyDescent="0.35">
      <c r="A174" s="340" t="s">
        <v>89</v>
      </c>
      <c r="B174" s="327">
        <v>-3898.4294186915299</v>
      </c>
      <c r="C174" s="327">
        <v>-2638.3812324995401</v>
      </c>
      <c r="D174" s="327">
        <v>1260.04818619199</v>
      </c>
      <c r="E174" s="328">
        <v>0.195775993151</v>
      </c>
      <c r="F174" s="327">
        <v>-2951.1539475695499</v>
      </c>
      <c r="G174" s="327">
        <v>-2951.1539475695499</v>
      </c>
      <c r="H174" s="327">
        <v>-640.28174000000502</v>
      </c>
      <c r="I174" s="327">
        <v>-4827.5262700000003</v>
      </c>
      <c r="J174" s="327">
        <v>-1876.3723224304599</v>
      </c>
      <c r="K174" s="329">
        <v>1.635809705547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H17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85" bestFit="1" customWidth="1"/>
    <col min="2" max="2" width="9.33203125" style="85" customWidth="1"/>
    <col min="3" max="3" width="28.88671875" style="65" bestFit="1" customWidth="1"/>
    <col min="4" max="5" width="11.109375" style="86" customWidth="1"/>
    <col min="6" max="6" width="6.6640625" style="87" customWidth="1"/>
    <col min="7" max="7" width="12.21875" style="94" bestFit="1" customWidth="1"/>
    <col min="8" max="8" width="0" style="65" hidden="1" customWidth="1"/>
    <col min="9" max="16384" width="8.88671875" style="65"/>
  </cols>
  <sheetData>
    <row r="1" spans="1:8" ht="18.600000000000001" customHeight="1" thickBot="1" x14ac:dyDescent="0.4">
      <c r="A1" s="268" t="s">
        <v>169</v>
      </c>
      <c r="B1" s="269"/>
      <c r="C1" s="269"/>
      <c r="D1" s="269"/>
      <c r="E1" s="269"/>
      <c r="F1" s="269"/>
      <c r="G1" s="242"/>
    </row>
    <row r="2" spans="1:8" ht="14.4" customHeight="1" thickBot="1" x14ac:dyDescent="0.35">
      <c r="A2" s="318" t="s">
        <v>193</v>
      </c>
      <c r="B2" s="92"/>
      <c r="C2" s="92"/>
      <c r="D2" s="92"/>
      <c r="E2" s="92"/>
      <c r="F2" s="92"/>
    </row>
    <row r="3" spans="1:8" ht="14.4" customHeight="1" thickBot="1" x14ac:dyDescent="0.35">
      <c r="A3" s="118" t="s">
        <v>0</v>
      </c>
      <c r="B3" s="119" t="s">
        <v>1</v>
      </c>
      <c r="C3" s="144" t="s">
        <v>2</v>
      </c>
      <c r="D3" s="145" t="s">
        <v>3</v>
      </c>
      <c r="E3" s="145" t="s">
        <v>4</v>
      </c>
      <c r="F3" s="145" t="s">
        <v>5</v>
      </c>
      <c r="G3" s="146" t="s">
        <v>176</v>
      </c>
    </row>
    <row r="4" spans="1:8" ht="14.4" customHeight="1" x14ac:dyDescent="0.3">
      <c r="A4" s="341" t="s">
        <v>358</v>
      </c>
      <c r="B4" s="342" t="s">
        <v>359</v>
      </c>
      <c r="C4" s="343" t="s">
        <v>360</v>
      </c>
      <c r="D4" s="343" t="s">
        <v>359</v>
      </c>
      <c r="E4" s="343" t="s">
        <v>359</v>
      </c>
      <c r="F4" s="344" t="s">
        <v>359</v>
      </c>
      <c r="G4" s="343" t="s">
        <v>359</v>
      </c>
      <c r="H4" s="343" t="s">
        <v>90</v>
      </c>
    </row>
    <row r="5" spans="1:8" ht="14.4" customHeight="1" x14ac:dyDescent="0.3">
      <c r="A5" s="341" t="s">
        <v>358</v>
      </c>
      <c r="B5" s="342" t="s">
        <v>361</v>
      </c>
      <c r="C5" s="343" t="s">
        <v>362</v>
      </c>
      <c r="D5" s="343">
        <v>1002865.316964453</v>
      </c>
      <c r="E5" s="343">
        <v>565245.94948360126</v>
      </c>
      <c r="F5" s="344">
        <v>0.5636309681089875</v>
      </c>
      <c r="G5" s="343">
        <v>-437619.36748085171</v>
      </c>
      <c r="H5" s="343" t="s">
        <v>2</v>
      </c>
    </row>
    <row r="6" spans="1:8" ht="14.4" customHeight="1" x14ac:dyDescent="0.3">
      <c r="A6" s="341" t="s">
        <v>358</v>
      </c>
      <c r="B6" s="342" t="s">
        <v>363</v>
      </c>
      <c r="C6" s="343" t="s">
        <v>364</v>
      </c>
      <c r="D6" s="343">
        <v>1000.01067173319</v>
      </c>
      <c r="E6" s="343">
        <v>37.469831378810802</v>
      </c>
      <c r="F6" s="344">
        <v>3.7469431515034894E-2</v>
      </c>
      <c r="G6" s="343">
        <v>-962.54084035437916</v>
      </c>
      <c r="H6" s="343" t="s">
        <v>2</v>
      </c>
    </row>
    <row r="7" spans="1:8" ht="14.4" customHeight="1" x14ac:dyDescent="0.3">
      <c r="A7" s="341" t="s">
        <v>358</v>
      </c>
      <c r="B7" s="342" t="s">
        <v>6</v>
      </c>
      <c r="C7" s="343" t="s">
        <v>360</v>
      </c>
      <c r="D7" s="343">
        <v>1003865.3276361861</v>
      </c>
      <c r="E7" s="343">
        <v>565283.41931498004</v>
      </c>
      <c r="F7" s="344">
        <v>0.56310682693470426</v>
      </c>
      <c r="G7" s="343">
        <v>-438581.90832120611</v>
      </c>
      <c r="H7" s="343" t="s">
        <v>365</v>
      </c>
    </row>
    <row r="9" spans="1:8" ht="14.4" customHeight="1" x14ac:dyDescent="0.3">
      <c r="A9" s="341" t="s">
        <v>358</v>
      </c>
      <c r="B9" s="342" t="s">
        <v>359</v>
      </c>
      <c r="C9" s="343" t="s">
        <v>360</v>
      </c>
      <c r="D9" s="343" t="s">
        <v>359</v>
      </c>
      <c r="E9" s="343" t="s">
        <v>359</v>
      </c>
      <c r="F9" s="344" t="s">
        <v>359</v>
      </c>
      <c r="G9" s="343" t="s">
        <v>359</v>
      </c>
      <c r="H9" s="343" t="s">
        <v>90</v>
      </c>
    </row>
    <row r="10" spans="1:8" ht="14.4" customHeight="1" x14ac:dyDescent="0.3">
      <c r="A10" s="341" t="s">
        <v>366</v>
      </c>
      <c r="B10" s="342" t="s">
        <v>361</v>
      </c>
      <c r="C10" s="343" t="s">
        <v>362</v>
      </c>
      <c r="D10" s="343">
        <v>196199.85642596299</v>
      </c>
      <c r="E10" s="343">
        <v>130731.490926631</v>
      </c>
      <c r="F10" s="344">
        <v>0.66631797447804553</v>
      </c>
      <c r="G10" s="343">
        <v>-65468.365499331994</v>
      </c>
      <c r="H10" s="343" t="s">
        <v>2</v>
      </c>
    </row>
    <row r="11" spans="1:8" ht="14.4" customHeight="1" x14ac:dyDescent="0.3">
      <c r="A11" s="341" t="s">
        <v>366</v>
      </c>
      <c r="B11" s="342" t="s">
        <v>363</v>
      </c>
      <c r="C11" s="343" t="s">
        <v>364</v>
      </c>
      <c r="D11" s="343">
        <v>1000.01067173319</v>
      </c>
      <c r="E11" s="343">
        <v>37.469831378810802</v>
      </c>
      <c r="F11" s="344">
        <v>3.7469431515034894E-2</v>
      </c>
      <c r="G11" s="343">
        <v>-962.54084035437916</v>
      </c>
      <c r="H11" s="343" t="s">
        <v>2</v>
      </c>
    </row>
    <row r="12" spans="1:8" ht="14.4" customHeight="1" x14ac:dyDescent="0.3">
      <c r="A12" s="341" t="s">
        <v>366</v>
      </c>
      <c r="B12" s="342" t="s">
        <v>6</v>
      </c>
      <c r="C12" s="343" t="s">
        <v>367</v>
      </c>
      <c r="D12" s="343">
        <v>197199.86709769617</v>
      </c>
      <c r="E12" s="343">
        <v>130768.96075800981</v>
      </c>
      <c r="F12" s="344">
        <v>0.6631290511632274</v>
      </c>
      <c r="G12" s="343">
        <v>-66430.906339686364</v>
      </c>
      <c r="H12" s="343" t="s">
        <v>368</v>
      </c>
    </row>
    <row r="13" spans="1:8" ht="14.4" customHeight="1" x14ac:dyDescent="0.3">
      <c r="A13" s="341" t="s">
        <v>359</v>
      </c>
      <c r="B13" s="342" t="s">
        <v>359</v>
      </c>
      <c r="C13" s="343" t="s">
        <v>359</v>
      </c>
      <c r="D13" s="343" t="s">
        <v>359</v>
      </c>
      <c r="E13" s="343" t="s">
        <v>359</v>
      </c>
      <c r="F13" s="344" t="s">
        <v>359</v>
      </c>
      <c r="G13" s="343" t="s">
        <v>359</v>
      </c>
      <c r="H13" s="343" t="s">
        <v>369</v>
      </c>
    </row>
    <row r="14" spans="1:8" ht="14.4" customHeight="1" x14ac:dyDescent="0.3">
      <c r="A14" s="341" t="s">
        <v>370</v>
      </c>
      <c r="B14" s="342" t="s">
        <v>361</v>
      </c>
      <c r="C14" s="343" t="s">
        <v>362</v>
      </c>
      <c r="D14" s="343">
        <v>806665.46053849009</v>
      </c>
      <c r="E14" s="343">
        <v>434514.45855697023</v>
      </c>
      <c r="F14" s="344">
        <v>0.53865509286453128</v>
      </c>
      <c r="G14" s="343">
        <v>-372151.00198151986</v>
      </c>
      <c r="H14" s="343" t="s">
        <v>2</v>
      </c>
    </row>
    <row r="15" spans="1:8" ht="14.4" customHeight="1" x14ac:dyDescent="0.3">
      <c r="A15" s="341" t="s">
        <v>370</v>
      </c>
      <c r="B15" s="342" t="s">
        <v>6</v>
      </c>
      <c r="C15" s="343" t="s">
        <v>371</v>
      </c>
      <c r="D15" s="343">
        <v>806665.46053849009</v>
      </c>
      <c r="E15" s="343">
        <v>434514.45855697023</v>
      </c>
      <c r="F15" s="344">
        <v>0.53865509286453128</v>
      </c>
      <c r="G15" s="343">
        <v>-372151.00198151986</v>
      </c>
      <c r="H15" s="343" t="s">
        <v>368</v>
      </c>
    </row>
    <row r="16" spans="1:8" ht="14.4" customHeight="1" x14ac:dyDescent="0.3">
      <c r="A16" s="341" t="s">
        <v>359</v>
      </c>
      <c r="B16" s="342" t="s">
        <v>359</v>
      </c>
      <c r="C16" s="343" t="s">
        <v>359</v>
      </c>
      <c r="D16" s="343" t="s">
        <v>359</v>
      </c>
      <c r="E16" s="343" t="s">
        <v>359</v>
      </c>
      <c r="F16" s="344" t="s">
        <v>359</v>
      </c>
      <c r="G16" s="343" t="s">
        <v>359</v>
      </c>
      <c r="H16" s="343" t="s">
        <v>369</v>
      </c>
    </row>
    <row r="17" spans="1:8" ht="14.4" customHeight="1" x14ac:dyDescent="0.3">
      <c r="A17" s="341" t="s">
        <v>358</v>
      </c>
      <c r="B17" s="342" t="s">
        <v>6</v>
      </c>
      <c r="C17" s="343" t="s">
        <v>360</v>
      </c>
      <c r="D17" s="343">
        <v>1003865.3276361861</v>
      </c>
      <c r="E17" s="343">
        <v>565283.41931498004</v>
      </c>
      <c r="F17" s="344">
        <v>0.56310682693470426</v>
      </c>
      <c r="G17" s="343">
        <v>-438581.90832120611</v>
      </c>
      <c r="H17" s="343" t="s">
        <v>365</v>
      </c>
    </row>
  </sheetData>
  <autoFilter ref="A3:G3"/>
  <mergeCells count="1">
    <mergeCell ref="A1:G1"/>
  </mergeCells>
  <conditionalFormatting sqref="F8 F18:F65536">
    <cfRule type="cellIs" dxfId="54" priority="19" stopIfTrue="1" operator="greaterThan">
      <formula>1</formula>
    </cfRule>
  </conditionalFormatting>
  <conditionalFormatting sqref="F4:F7">
    <cfRule type="cellIs" dxfId="53" priority="14" operator="greaterThan">
      <formula>1</formula>
    </cfRule>
  </conditionalFormatting>
  <conditionalFormatting sqref="B4:B7">
    <cfRule type="expression" dxfId="52" priority="18">
      <formula>AND(LEFT(H4,6)&lt;&gt;"mezera",H4&lt;&gt;"")</formula>
    </cfRule>
  </conditionalFormatting>
  <conditionalFormatting sqref="A4:A7">
    <cfRule type="expression" dxfId="51" priority="15">
      <formula>AND(H4&lt;&gt;"",H4&lt;&gt;"mezeraKL")</formula>
    </cfRule>
  </conditionalFormatting>
  <conditionalFormatting sqref="B4:G7">
    <cfRule type="expression" dxfId="50" priority="16">
      <formula>$H4="SumaNS"</formula>
    </cfRule>
    <cfRule type="expression" dxfId="49" priority="17">
      <formula>OR($H4="KL",$H4="SumaKL")</formula>
    </cfRule>
  </conditionalFormatting>
  <conditionalFormatting sqref="A4:G7">
    <cfRule type="expression" dxfId="48" priority="13">
      <formula>$H4&lt;&gt;""</formula>
    </cfRule>
  </conditionalFormatting>
  <conditionalFormatting sqref="G4:G7">
    <cfRule type="cellIs" dxfId="47" priority="12" operator="greaterThan">
      <formula>0</formula>
    </cfRule>
  </conditionalFormatting>
  <conditionalFormatting sqref="F4:F7">
    <cfRule type="cellIs" dxfId="46" priority="9" operator="greaterThan">
      <formula>1</formula>
    </cfRule>
  </conditionalFormatting>
  <conditionalFormatting sqref="F4:F7">
    <cfRule type="expression" dxfId="45" priority="10">
      <formula>$H4="SumaNS"</formula>
    </cfRule>
    <cfRule type="expression" dxfId="44" priority="11">
      <formula>OR($H4="KL",$H4="SumaKL")</formula>
    </cfRule>
  </conditionalFormatting>
  <conditionalFormatting sqref="F4:F7">
    <cfRule type="expression" dxfId="43" priority="8">
      <formula>$H4&lt;&gt;""</formula>
    </cfRule>
  </conditionalFormatting>
  <conditionalFormatting sqref="F9:F17">
    <cfRule type="cellIs" dxfId="42" priority="3" operator="greaterThan">
      <formula>1</formula>
    </cfRule>
  </conditionalFormatting>
  <conditionalFormatting sqref="B9:B17">
    <cfRule type="expression" dxfId="41" priority="7">
      <formula>AND(LEFT(H9,6)&lt;&gt;"mezera",H9&lt;&gt;"")</formula>
    </cfRule>
  </conditionalFormatting>
  <conditionalFormatting sqref="A9:A17">
    <cfRule type="expression" dxfId="40" priority="4">
      <formula>AND(H9&lt;&gt;"",H9&lt;&gt;"mezeraKL")</formula>
    </cfRule>
  </conditionalFormatting>
  <conditionalFormatting sqref="B9:G17">
    <cfRule type="expression" dxfId="39" priority="5">
      <formula>$H9="SumaNS"</formula>
    </cfRule>
    <cfRule type="expression" dxfId="38" priority="6">
      <formula>OR($H9="KL",$H9="SumaKL")</formula>
    </cfRule>
  </conditionalFormatting>
  <conditionalFormatting sqref="A9:G17">
    <cfRule type="expression" dxfId="37" priority="2">
      <formula>$H9&lt;&gt;""</formula>
    </cfRule>
  </conditionalFormatting>
  <conditionalFormatting sqref="G9:G17">
    <cfRule type="cellIs" dxfId="36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41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65" hidden="1" customWidth="1" outlineLevel="1"/>
    <col min="2" max="2" width="28.33203125" style="65" hidden="1" customWidth="1" outlineLevel="1"/>
    <col min="3" max="3" width="5.33203125" style="86" bestFit="1" customWidth="1" collapsed="1"/>
    <col min="4" max="4" width="18.77734375" style="88" customWidth="1"/>
    <col min="5" max="5" width="9" style="86" bestFit="1" customWidth="1"/>
    <col min="6" max="6" width="18.77734375" style="88" customWidth="1"/>
    <col min="7" max="7" width="5" style="86" customWidth="1"/>
    <col min="8" max="8" width="12.44140625" style="86" hidden="1" customWidth="1" outlineLevel="1"/>
    <col min="9" max="9" width="8.5546875" style="86" hidden="1" customWidth="1" outlineLevel="1"/>
    <col min="10" max="10" width="25.77734375" style="86" customWidth="1" collapsed="1"/>
    <col min="11" max="11" width="8.77734375" style="86" customWidth="1"/>
    <col min="12" max="13" width="7.77734375" style="94" customWidth="1"/>
    <col min="14" max="14" width="11.109375" style="94" customWidth="1"/>
    <col min="15" max="16384" width="8.88671875" style="65"/>
  </cols>
  <sheetData>
    <row r="1" spans="1:14" ht="18.600000000000001" customHeight="1" thickBot="1" x14ac:dyDescent="0.4">
      <c r="A1" s="274" t="s">
        <v>168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</row>
    <row r="2" spans="1:14" ht="14.4" customHeight="1" thickBot="1" x14ac:dyDescent="0.35">
      <c r="A2" s="318" t="s">
        <v>193</v>
      </c>
      <c r="B2" s="84"/>
      <c r="C2" s="147"/>
      <c r="D2" s="147"/>
      <c r="E2" s="147"/>
      <c r="F2" s="147"/>
      <c r="G2" s="147"/>
      <c r="H2" s="147"/>
      <c r="I2" s="147"/>
      <c r="J2" s="147"/>
      <c r="K2" s="147"/>
      <c r="L2" s="148"/>
      <c r="M2" s="148"/>
      <c r="N2" s="148"/>
    </row>
    <row r="3" spans="1:14" ht="14.4" customHeight="1" thickBot="1" x14ac:dyDescent="0.35">
      <c r="A3" s="84"/>
      <c r="B3" s="84"/>
      <c r="C3" s="270"/>
      <c r="D3" s="271"/>
      <c r="E3" s="271"/>
      <c r="F3" s="271"/>
      <c r="G3" s="271"/>
      <c r="H3" s="271"/>
      <c r="I3" s="271"/>
      <c r="J3" s="272" t="s">
        <v>158</v>
      </c>
      <c r="K3" s="273"/>
      <c r="L3" s="149">
        <f>IF(M3&lt;&gt;0,N3/M3,0)</f>
        <v>401.7650457107178</v>
      </c>
      <c r="M3" s="149">
        <f>SUBTOTAL(9,M5:M1048576)</f>
        <v>1407</v>
      </c>
      <c r="N3" s="150">
        <f>SUBTOTAL(9,N5:N1048576)</f>
        <v>565283.41931497992</v>
      </c>
    </row>
    <row r="4" spans="1:14" s="85" customFormat="1" ht="14.4" customHeight="1" thickBot="1" x14ac:dyDescent="0.35">
      <c r="A4" s="345" t="s">
        <v>7</v>
      </c>
      <c r="B4" s="346" t="s">
        <v>8</v>
      </c>
      <c r="C4" s="346" t="s">
        <v>0</v>
      </c>
      <c r="D4" s="346" t="s">
        <v>9</v>
      </c>
      <c r="E4" s="346" t="s">
        <v>10</v>
      </c>
      <c r="F4" s="346" t="s">
        <v>2</v>
      </c>
      <c r="G4" s="346" t="s">
        <v>11</v>
      </c>
      <c r="H4" s="346" t="s">
        <v>12</v>
      </c>
      <c r="I4" s="346" t="s">
        <v>13</v>
      </c>
      <c r="J4" s="347" t="s">
        <v>14</v>
      </c>
      <c r="K4" s="347" t="s">
        <v>15</v>
      </c>
      <c r="L4" s="348" t="s">
        <v>177</v>
      </c>
      <c r="M4" s="348" t="s">
        <v>16</v>
      </c>
      <c r="N4" s="349" t="s">
        <v>192</v>
      </c>
    </row>
    <row r="5" spans="1:14" ht="14.4" customHeight="1" x14ac:dyDescent="0.3">
      <c r="A5" s="350" t="s">
        <v>358</v>
      </c>
      <c r="B5" s="351" t="s">
        <v>360</v>
      </c>
      <c r="C5" s="352" t="s">
        <v>366</v>
      </c>
      <c r="D5" s="353" t="s">
        <v>367</v>
      </c>
      <c r="E5" s="352" t="s">
        <v>361</v>
      </c>
      <c r="F5" s="353" t="s">
        <v>362</v>
      </c>
      <c r="G5" s="352" t="s">
        <v>372</v>
      </c>
      <c r="H5" s="352" t="s">
        <v>373</v>
      </c>
      <c r="I5" s="352" t="s">
        <v>373</v>
      </c>
      <c r="J5" s="352" t="s">
        <v>374</v>
      </c>
      <c r="K5" s="352" t="s">
        <v>375</v>
      </c>
      <c r="L5" s="354">
        <v>255.61574185619986</v>
      </c>
      <c r="M5" s="354">
        <v>87</v>
      </c>
      <c r="N5" s="355">
        <v>22238.569541489389</v>
      </c>
    </row>
    <row r="6" spans="1:14" ht="14.4" customHeight="1" x14ac:dyDescent="0.3">
      <c r="A6" s="356" t="s">
        <v>358</v>
      </c>
      <c r="B6" s="357" t="s">
        <v>360</v>
      </c>
      <c r="C6" s="358" t="s">
        <v>366</v>
      </c>
      <c r="D6" s="359" t="s">
        <v>367</v>
      </c>
      <c r="E6" s="358" t="s">
        <v>361</v>
      </c>
      <c r="F6" s="359" t="s">
        <v>362</v>
      </c>
      <c r="G6" s="358" t="s">
        <v>372</v>
      </c>
      <c r="H6" s="358" t="s">
        <v>376</v>
      </c>
      <c r="I6" s="358" t="s">
        <v>377</v>
      </c>
      <c r="J6" s="358" t="s">
        <v>378</v>
      </c>
      <c r="K6" s="358" t="s">
        <v>379</v>
      </c>
      <c r="L6" s="360">
        <v>84.626597949919926</v>
      </c>
      <c r="M6" s="360">
        <v>3</v>
      </c>
      <c r="N6" s="361">
        <v>253.87979384975978</v>
      </c>
    </row>
    <row r="7" spans="1:14" ht="14.4" customHeight="1" x14ac:dyDescent="0.3">
      <c r="A7" s="356" t="s">
        <v>358</v>
      </c>
      <c r="B7" s="357" t="s">
        <v>360</v>
      </c>
      <c r="C7" s="358" t="s">
        <v>366</v>
      </c>
      <c r="D7" s="359" t="s">
        <v>367</v>
      </c>
      <c r="E7" s="358" t="s">
        <v>361</v>
      </c>
      <c r="F7" s="359" t="s">
        <v>362</v>
      </c>
      <c r="G7" s="358" t="s">
        <v>372</v>
      </c>
      <c r="H7" s="358" t="s">
        <v>380</v>
      </c>
      <c r="I7" s="358" t="s">
        <v>381</v>
      </c>
      <c r="J7" s="358" t="s">
        <v>382</v>
      </c>
      <c r="K7" s="358" t="s">
        <v>383</v>
      </c>
      <c r="L7" s="360">
        <v>94.243560221542282</v>
      </c>
      <c r="M7" s="360">
        <v>430</v>
      </c>
      <c r="N7" s="361">
        <v>40524.730895263179</v>
      </c>
    </row>
    <row r="8" spans="1:14" ht="14.4" customHeight="1" x14ac:dyDescent="0.3">
      <c r="A8" s="356" t="s">
        <v>358</v>
      </c>
      <c r="B8" s="357" t="s">
        <v>360</v>
      </c>
      <c r="C8" s="358" t="s">
        <v>366</v>
      </c>
      <c r="D8" s="359" t="s">
        <v>367</v>
      </c>
      <c r="E8" s="358" t="s">
        <v>361</v>
      </c>
      <c r="F8" s="359" t="s">
        <v>362</v>
      </c>
      <c r="G8" s="358" t="s">
        <v>372</v>
      </c>
      <c r="H8" s="358" t="s">
        <v>384</v>
      </c>
      <c r="I8" s="358" t="s">
        <v>385</v>
      </c>
      <c r="J8" s="358" t="s">
        <v>386</v>
      </c>
      <c r="K8" s="358" t="s">
        <v>387</v>
      </c>
      <c r="L8" s="360">
        <v>42.274999999999999</v>
      </c>
      <c r="M8" s="360">
        <v>4</v>
      </c>
      <c r="N8" s="361">
        <v>169.1</v>
      </c>
    </row>
    <row r="9" spans="1:14" ht="14.4" customHeight="1" x14ac:dyDescent="0.3">
      <c r="A9" s="356" t="s">
        <v>358</v>
      </c>
      <c r="B9" s="357" t="s">
        <v>360</v>
      </c>
      <c r="C9" s="358" t="s">
        <v>366</v>
      </c>
      <c r="D9" s="359" t="s">
        <v>367</v>
      </c>
      <c r="E9" s="358" t="s">
        <v>361</v>
      </c>
      <c r="F9" s="359" t="s">
        <v>362</v>
      </c>
      <c r="G9" s="358" t="s">
        <v>372</v>
      </c>
      <c r="H9" s="358" t="s">
        <v>388</v>
      </c>
      <c r="I9" s="358" t="s">
        <v>389</v>
      </c>
      <c r="J9" s="358" t="s">
        <v>390</v>
      </c>
      <c r="K9" s="358" t="s">
        <v>391</v>
      </c>
      <c r="L9" s="360">
        <v>60.350037913935125</v>
      </c>
      <c r="M9" s="360">
        <v>12</v>
      </c>
      <c r="N9" s="361">
        <v>724.2004549672215</v>
      </c>
    </row>
    <row r="10" spans="1:14" ht="14.4" customHeight="1" x14ac:dyDescent="0.3">
      <c r="A10" s="356" t="s">
        <v>358</v>
      </c>
      <c r="B10" s="357" t="s">
        <v>360</v>
      </c>
      <c r="C10" s="358" t="s">
        <v>366</v>
      </c>
      <c r="D10" s="359" t="s">
        <v>367</v>
      </c>
      <c r="E10" s="358" t="s">
        <v>361</v>
      </c>
      <c r="F10" s="359" t="s">
        <v>362</v>
      </c>
      <c r="G10" s="358" t="s">
        <v>372</v>
      </c>
      <c r="H10" s="358" t="s">
        <v>392</v>
      </c>
      <c r="I10" s="358" t="s">
        <v>393</v>
      </c>
      <c r="J10" s="358" t="s">
        <v>394</v>
      </c>
      <c r="K10" s="358"/>
      <c r="L10" s="360">
        <v>196.28990317732647</v>
      </c>
      <c r="M10" s="360">
        <v>6</v>
      </c>
      <c r="N10" s="361">
        <v>1177.7394190639588</v>
      </c>
    </row>
    <row r="11" spans="1:14" ht="14.4" customHeight="1" x14ac:dyDescent="0.3">
      <c r="A11" s="356" t="s">
        <v>358</v>
      </c>
      <c r="B11" s="357" t="s">
        <v>360</v>
      </c>
      <c r="C11" s="358" t="s">
        <v>366</v>
      </c>
      <c r="D11" s="359" t="s">
        <v>367</v>
      </c>
      <c r="E11" s="358" t="s">
        <v>361</v>
      </c>
      <c r="F11" s="359" t="s">
        <v>362</v>
      </c>
      <c r="G11" s="358" t="s">
        <v>372</v>
      </c>
      <c r="H11" s="358" t="s">
        <v>395</v>
      </c>
      <c r="I11" s="358" t="s">
        <v>396</v>
      </c>
      <c r="J11" s="358" t="s">
        <v>397</v>
      </c>
      <c r="K11" s="358" t="s">
        <v>398</v>
      </c>
      <c r="L11" s="360">
        <v>54.2319238577726</v>
      </c>
      <c r="M11" s="360">
        <v>195</v>
      </c>
      <c r="N11" s="361">
        <v>10575.225152265657</v>
      </c>
    </row>
    <row r="12" spans="1:14" ht="14.4" customHeight="1" x14ac:dyDescent="0.3">
      <c r="A12" s="356" t="s">
        <v>358</v>
      </c>
      <c r="B12" s="357" t="s">
        <v>360</v>
      </c>
      <c r="C12" s="358" t="s">
        <v>366</v>
      </c>
      <c r="D12" s="359" t="s">
        <v>367</v>
      </c>
      <c r="E12" s="358" t="s">
        <v>361</v>
      </c>
      <c r="F12" s="359" t="s">
        <v>362</v>
      </c>
      <c r="G12" s="358" t="s">
        <v>372</v>
      </c>
      <c r="H12" s="358" t="s">
        <v>399</v>
      </c>
      <c r="I12" s="358" t="s">
        <v>400</v>
      </c>
      <c r="J12" s="358" t="s">
        <v>401</v>
      </c>
      <c r="K12" s="358"/>
      <c r="L12" s="360">
        <v>97.467705575980048</v>
      </c>
      <c r="M12" s="360">
        <v>11</v>
      </c>
      <c r="N12" s="361">
        <v>1072.1447613357805</v>
      </c>
    </row>
    <row r="13" spans="1:14" ht="14.4" customHeight="1" x14ac:dyDescent="0.3">
      <c r="A13" s="356" t="s">
        <v>358</v>
      </c>
      <c r="B13" s="357" t="s">
        <v>360</v>
      </c>
      <c r="C13" s="358" t="s">
        <v>366</v>
      </c>
      <c r="D13" s="359" t="s">
        <v>367</v>
      </c>
      <c r="E13" s="358" t="s">
        <v>361</v>
      </c>
      <c r="F13" s="359" t="s">
        <v>362</v>
      </c>
      <c r="G13" s="358" t="s">
        <v>372</v>
      </c>
      <c r="H13" s="358" t="s">
        <v>402</v>
      </c>
      <c r="I13" s="358" t="s">
        <v>400</v>
      </c>
      <c r="J13" s="358" t="s">
        <v>403</v>
      </c>
      <c r="K13" s="358"/>
      <c r="L13" s="360">
        <v>211.09582836766501</v>
      </c>
      <c r="M13" s="360">
        <v>3</v>
      </c>
      <c r="N13" s="361">
        <v>633.28748510299499</v>
      </c>
    </row>
    <row r="14" spans="1:14" ht="14.4" customHeight="1" x14ac:dyDescent="0.3">
      <c r="A14" s="356" t="s">
        <v>358</v>
      </c>
      <c r="B14" s="357" t="s">
        <v>360</v>
      </c>
      <c r="C14" s="358" t="s">
        <v>366</v>
      </c>
      <c r="D14" s="359" t="s">
        <v>367</v>
      </c>
      <c r="E14" s="358" t="s">
        <v>361</v>
      </c>
      <c r="F14" s="359" t="s">
        <v>362</v>
      </c>
      <c r="G14" s="358" t="s">
        <v>372</v>
      </c>
      <c r="H14" s="358" t="s">
        <v>404</v>
      </c>
      <c r="I14" s="358" t="s">
        <v>405</v>
      </c>
      <c r="J14" s="358" t="s">
        <v>406</v>
      </c>
      <c r="K14" s="358" t="s">
        <v>407</v>
      </c>
      <c r="L14" s="360">
        <v>66.784939171577548</v>
      </c>
      <c r="M14" s="360">
        <v>2</v>
      </c>
      <c r="N14" s="361">
        <v>133.5698783431551</v>
      </c>
    </row>
    <row r="15" spans="1:14" ht="14.4" customHeight="1" x14ac:dyDescent="0.3">
      <c r="A15" s="356" t="s">
        <v>358</v>
      </c>
      <c r="B15" s="357" t="s">
        <v>360</v>
      </c>
      <c r="C15" s="358" t="s">
        <v>366</v>
      </c>
      <c r="D15" s="359" t="s">
        <v>367</v>
      </c>
      <c r="E15" s="358" t="s">
        <v>361</v>
      </c>
      <c r="F15" s="359" t="s">
        <v>362</v>
      </c>
      <c r="G15" s="358" t="s">
        <v>372</v>
      </c>
      <c r="H15" s="358" t="s">
        <v>408</v>
      </c>
      <c r="I15" s="358" t="s">
        <v>409</v>
      </c>
      <c r="J15" s="358" t="s">
        <v>410</v>
      </c>
      <c r="K15" s="358" t="s">
        <v>411</v>
      </c>
      <c r="L15" s="360">
        <v>54.65</v>
      </c>
      <c r="M15" s="360">
        <v>1</v>
      </c>
      <c r="N15" s="361">
        <v>54.65</v>
      </c>
    </row>
    <row r="16" spans="1:14" ht="14.4" customHeight="1" x14ac:dyDescent="0.3">
      <c r="A16" s="356" t="s">
        <v>358</v>
      </c>
      <c r="B16" s="357" t="s">
        <v>360</v>
      </c>
      <c r="C16" s="358" t="s">
        <v>366</v>
      </c>
      <c r="D16" s="359" t="s">
        <v>367</v>
      </c>
      <c r="E16" s="358" t="s">
        <v>361</v>
      </c>
      <c r="F16" s="359" t="s">
        <v>362</v>
      </c>
      <c r="G16" s="358" t="s">
        <v>372</v>
      </c>
      <c r="H16" s="358" t="s">
        <v>412</v>
      </c>
      <c r="I16" s="358" t="s">
        <v>413</v>
      </c>
      <c r="J16" s="358" t="s">
        <v>414</v>
      </c>
      <c r="K16" s="358" t="s">
        <v>415</v>
      </c>
      <c r="L16" s="360">
        <v>28.715000000000003</v>
      </c>
      <c r="M16" s="360">
        <v>2</v>
      </c>
      <c r="N16" s="361">
        <v>57.430000000000007</v>
      </c>
    </row>
    <row r="17" spans="1:14" ht="14.4" customHeight="1" x14ac:dyDescent="0.3">
      <c r="A17" s="356" t="s">
        <v>358</v>
      </c>
      <c r="B17" s="357" t="s">
        <v>360</v>
      </c>
      <c r="C17" s="358" t="s">
        <v>366</v>
      </c>
      <c r="D17" s="359" t="s">
        <v>367</v>
      </c>
      <c r="E17" s="358" t="s">
        <v>361</v>
      </c>
      <c r="F17" s="359" t="s">
        <v>362</v>
      </c>
      <c r="G17" s="358" t="s">
        <v>372</v>
      </c>
      <c r="H17" s="358" t="s">
        <v>416</v>
      </c>
      <c r="I17" s="358" t="s">
        <v>417</v>
      </c>
      <c r="J17" s="358" t="s">
        <v>418</v>
      </c>
      <c r="K17" s="358" t="s">
        <v>419</v>
      </c>
      <c r="L17" s="360">
        <v>49.62</v>
      </c>
      <c r="M17" s="360">
        <v>5</v>
      </c>
      <c r="N17" s="361">
        <v>248.1</v>
      </c>
    </row>
    <row r="18" spans="1:14" ht="14.4" customHeight="1" x14ac:dyDescent="0.3">
      <c r="A18" s="356" t="s">
        <v>358</v>
      </c>
      <c r="B18" s="357" t="s">
        <v>360</v>
      </c>
      <c r="C18" s="358" t="s">
        <v>366</v>
      </c>
      <c r="D18" s="359" t="s">
        <v>367</v>
      </c>
      <c r="E18" s="358" t="s">
        <v>361</v>
      </c>
      <c r="F18" s="359" t="s">
        <v>362</v>
      </c>
      <c r="G18" s="358" t="s">
        <v>372</v>
      </c>
      <c r="H18" s="358" t="s">
        <v>420</v>
      </c>
      <c r="I18" s="358" t="s">
        <v>400</v>
      </c>
      <c r="J18" s="358" t="s">
        <v>421</v>
      </c>
      <c r="K18" s="358"/>
      <c r="L18" s="360">
        <v>53.18797339672853</v>
      </c>
      <c r="M18" s="360">
        <v>12</v>
      </c>
      <c r="N18" s="361">
        <v>638.25568076074239</v>
      </c>
    </row>
    <row r="19" spans="1:14" ht="14.4" customHeight="1" x14ac:dyDescent="0.3">
      <c r="A19" s="356" t="s">
        <v>358</v>
      </c>
      <c r="B19" s="357" t="s">
        <v>360</v>
      </c>
      <c r="C19" s="358" t="s">
        <v>366</v>
      </c>
      <c r="D19" s="359" t="s">
        <v>367</v>
      </c>
      <c r="E19" s="358" t="s">
        <v>361</v>
      </c>
      <c r="F19" s="359" t="s">
        <v>362</v>
      </c>
      <c r="G19" s="358" t="s">
        <v>372</v>
      </c>
      <c r="H19" s="358" t="s">
        <v>422</v>
      </c>
      <c r="I19" s="358" t="s">
        <v>400</v>
      </c>
      <c r="J19" s="358" t="s">
        <v>423</v>
      </c>
      <c r="K19" s="358"/>
      <c r="L19" s="360">
        <v>194.90474804673261</v>
      </c>
      <c r="M19" s="360">
        <v>8</v>
      </c>
      <c r="N19" s="361">
        <v>1559.2379843738609</v>
      </c>
    </row>
    <row r="20" spans="1:14" ht="14.4" customHeight="1" x14ac:dyDescent="0.3">
      <c r="A20" s="356" t="s">
        <v>358</v>
      </c>
      <c r="B20" s="357" t="s">
        <v>360</v>
      </c>
      <c r="C20" s="358" t="s">
        <v>366</v>
      </c>
      <c r="D20" s="359" t="s">
        <v>367</v>
      </c>
      <c r="E20" s="358" t="s">
        <v>361</v>
      </c>
      <c r="F20" s="359" t="s">
        <v>362</v>
      </c>
      <c r="G20" s="358" t="s">
        <v>372</v>
      </c>
      <c r="H20" s="358" t="s">
        <v>424</v>
      </c>
      <c r="I20" s="358" t="s">
        <v>425</v>
      </c>
      <c r="J20" s="358" t="s">
        <v>426</v>
      </c>
      <c r="K20" s="358" t="s">
        <v>427</v>
      </c>
      <c r="L20" s="360">
        <v>38.94</v>
      </c>
      <c r="M20" s="360">
        <v>1</v>
      </c>
      <c r="N20" s="361">
        <v>38.94</v>
      </c>
    </row>
    <row r="21" spans="1:14" ht="14.4" customHeight="1" x14ac:dyDescent="0.3">
      <c r="A21" s="356" t="s">
        <v>358</v>
      </c>
      <c r="B21" s="357" t="s">
        <v>360</v>
      </c>
      <c r="C21" s="358" t="s">
        <v>366</v>
      </c>
      <c r="D21" s="359" t="s">
        <v>367</v>
      </c>
      <c r="E21" s="358" t="s">
        <v>361</v>
      </c>
      <c r="F21" s="359" t="s">
        <v>362</v>
      </c>
      <c r="G21" s="358" t="s">
        <v>372</v>
      </c>
      <c r="H21" s="358" t="s">
        <v>428</v>
      </c>
      <c r="I21" s="358" t="s">
        <v>429</v>
      </c>
      <c r="J21" s="358" t="s">
        <v>430</v>
      </c>
      <c r="K21" s="358" t="s">
        <v>431</v>
      </c>
      <c r="L21" s="360">
        <v>694.96954363356531</v>
      </c>
      <c r="M21" s="360">
        <v>66</v>
      </c>
      <c r="N21" s="361">
        <v>45867.989879815308</v>
      </c>
    </row>
    <row r="22" spans="1:14" ht="14.4" customHeight="1" x14ac:dyDescent="0.3">
      <c r="A22" s="356" t="s">
        <v>358</v>
      </c>
      <c r="B22" s="357" t="s">
        <v>360</v>
      </c>
      <c r="C22" s="358" t="s">
        <v>366</v>
      </c>
      <c r="D22" s="359" t="s">
        <v>367</v>
      </c>
      <c r="E22" s="358" t="s">
        <v>361</v>
      </c>
      <c r="F22" s="359" t="s">
        <v>362</v>
      </c>
      <c r="G22" s="358" t="s">
        <v>372</v>
      </c>
      <c r="H22" s="358" t="s">
        <v>432</v>
      </c>
      <c r="I22" s="358" t="s">
        <v>433</v>
      </c>
      <c r="J22" s="358" t="s">
        <v>434</v>
      </c>
      <c r="K22" s="358" t="s">
        <v>435</v>
      </c>
      <c r="L22" s="360">
        <v>1191.1099999999999</v>
      </c>
      <c r="M22" s="360">
        <v>4</v>
      </c>
      <c r="N22" s="361">
        <v>4764.4399999999996</v>
      </c>
    </row>
    <row r="23" spans="1:14" ht="14.4" customHeight="1" x14ac:dyDescent="0.3">
      <c r="A23" s="356" t="s">
        <v>358</v>
      </c>
      <c r="B23" s="357" t="s">
        <v>360</v>
      </c>
      <c r="C23" s="358" t="s">
        <v>366</v>
      </c>
      <c r="D23" s="359" t="s">
        <v>367</v>
      </c>
      <c r="E23" s="358" t="s">
        <v>363</v>
      </c>
      <c r="F23" s="359" t="s">
        <v>364</v>
      </c>
      <c r="G23" s="358" t="s">
        <v>372</v>
      </c>
      <c r="H23" s="358" t="s">
        <v>436</v>
      </c>
      <c r="I23" s="358" t="s">
        <v>437</v>
      </c>
      <c r="J23" s="358" t="s">
        <v>438</v>
      </c>
      <c r="K23" s="358" t="s">
        <v>439</v>
      </c>
      <c r="L23" s="360">
        <v>37.469831378810802</v>
      </c>
      <c r="M23" s="360">
        <v>1</v>
      </c>
      <c r="N23" s="361">
        <v>37.469831378810802</v>
      </c>
    </row>
    <row r="24" spans="1:14" ht="14.4" customHeight="1" x14ac:dyDescent="0.3">
      <c r="A24" s="356" t="s">
        <v>358</v>
      </c>
      <c r="B24" s="357" t="s">
        <v>360</v>
      </c>
      <c r="C24" s="358" t="s">
        <v>370</v>
      </c>
      <c r="D24" s="359" t="s">
        <v>371</v>
      </c>
      <c r="E24" s="358" t="s">
        <v>361</v>
      </c>
      <c r="F24" s="359" t="s">
        <v>362</v>
      </c>
      <c r="G24" s="358" t="s">
        <v>372</v>
      </c>
      <c r="H24" s="358" t="s">
        <v>428</v>
      </c>
      <c r="I24" s="358" t="s">
        <v>429</v>
      </c>
      <c r="J24" s="358" t="s">
        <v>430</v>
      </c>
      <c r="K24" s="358" t="s">
        <v>431</v>
      </c>
      <c r="L24" s="360">
        <v>694.97</v>
      </c>
      <c r="M24" s="360">
        <v>2</v>
      </c>
      <c r="N24" s="361">
        <v>1389.94</v>
      </c>
    </row>
    <row r="25" spans="1:14" ht="14.4" customHeight="1" x14ac:dyDescent="0.3">
      <c r="A25" s="356" t="s">
        <v>358</v>
      </c>
      <c r="B25" s="357" t="s">
        <v>360</v>
      </c>
      <c r="C25" s="358" t="s">
        <v>370</v>
      </c>
      <c r="D25" s="359" t="s">
        <v>371</v>
      </c>
      <c r="E25" s="358" t="s">
        <v>361</v>
      </c>
      <c r="F25" s="359" t="s">
        <v>362</v>
      </c>
      <c r="G25" s="358" t="s">
        <v>372</v>
      </c>
      <c r="H25" s="358" t="s">
        <v>440</v>
      </c>
      <c r="I25" s="358" t="s">
        <v>440</v>
      </c>
      <c r="J25" s="358" t="s">
        <v>441</v>
      </c>
      <c r="K25" s="358" t="s">
        <v>442</v>
      </c>
      <c r="L25" s="360">
        <v>1080.84375</v>
      </c>
      <c r="M25" s="360">
        <v>8</v>
      </c>
      <c r="N25" s="361">
        <v>8646.75</v>
      </c>
    </row>
    <row r="26" spans="1:14" ht="14.4" customHeight="1" x14ac:dyDescent="0.3">
      <c r="A26" s="356" t="s">
        <v>358</v>
      </c>
      <c r="B26" s="357" t="s">
        <v>360</v>
      </c>
      <c r="C26" s="358" t="s">
        <v>370</v>
      </c>
      <c r="D26" s="359" t="s">
        <v>371</v>
      </c>
      <c r="E26" s="358" t="s">
        <v>361</v>
      </c>
      <c r="F26" s="359" t="s">
        <v>362</v>
      </c>
      <c r="G26" s="358" t="s">
        <v>372</v>
      </c>
      <c r="H26" s="358" t="s">
        <v>443</v>
      </c>
      <c r="I26" s="358" t="s">
        <v>443</v>
      </c>
      <c r="J26" s="358" t="s">
        <v>444</v>
      </c>
      <c r="K26" s="358" t="s">
        <v>445</v>
      </c>
      <c r="L26" s="360">
        <v>2414.0300000000002</v>
      </c>
      <c r="M26" s="360">
        <v>3</v>
      </c>
      <c r="N26" s="361">
        <v>7242.09</v>
      </c>
    </row>
    <row r="27" spans="1:14" ht="14.4" customHeight="1" x14ac:dyDescent="0.3">
      <c r="A27" s="356" t="s">
        <v>358</v>
      </c>
      <c r="B27" s="357" t="s">
        <v>360</v>
      </c>
      <c r="C27" s="358" t="s">
        <v>370</v>
      </c>
      <c r="D27" s="359" t="s">
        <v>371</v>
      </c>
      <c r="E27" s="358" t="s">
        <v>361</v>
      </c>
      <c r="F27" s="359" t="s">
        <v>362</v>
      </c>
      <c r="G27" s="358" t="s">
        <v>372</v>
      </c>
      <c r="H27" s="358" t="s">
        <v>446</v>
      </c>
      <c r="I27" s="358" t="s">
        <v>446</v>
      </c>
      <c r="J27" s="358" t="s">
        <v>447</v>
      </c>
      <c r="K27" s="358" t="s">
        <v>448</v>
      </c>
      <c r="L27" s="360">
        <v>269.43</v>
      </c>
      <c r="M27" s="360">
        <v>1</v>
      </c>
      <c r="N27" s="361">
        <v>269.43</v>
      </c>
    </row>
    <row r="28" spans="1:14" ht="14.4" customHeight="1" x14ac:dyDescent="0.3">
      <c r="A28" s="356" t="s">
        <v>358</v>
      </c>
      <c r="B28" s="357" t="s">
        <v>360</v>
      </c>
      <c r="C28" s="358" t="s">
        <v>370</v>
      </c>
      <c r="D28" s="359" t="s">
        <v>371</v>
      </c>
      <c r="E28" s="358" t="s">
        <v>361</v>
      </c>
      <c r="F28" s="359" t="s">
        <v>362</v>
      </c>
      <c r="G28" s="358" t="s">
        <v>372</v>
      </c>
      <c r="H28" s="358" t="s">
        <v>449</v>
      </c>
      <c r="I28" s="358" t="s">
        <v>450</v>
      </c>
      <c r="J28" s="358" t="s">
        <v>451</v>
      </c>
      <c r="K28" s="358" t="s">
        <v>452</v>
      </c>
      <c r="L28" s="360">
        <v>1274.1042950791521</v>
      </c>
      <c r="M28" s="360">
        <v>131</v>
      </c>
      <c r="N28" s="361">
        <v>166907.66265536891</v>
      </c>
    </row>
    <row r="29" spans="1:14" ht="14.4" customHeight="1" x14ac:dyDescent="0.3">
      <c r="A29" s="356" t="s">
        <v>358</v>
      </c>
      <c r="B29" s="357" t="s">
        <v>360</v>
      </c>
      <c r="C29" s="358" t="s">
        <v>370</v>
      </c>
      <c r="D29" s="359" t="s">
        <v>371</v>
      </c>
      <c r="E29" s="358" t="s">
        <v>361</v>
      </c>
      <c r="F29" s="359" t="s">
        <v>362</v>
      </c>
      <c r="G29" s="358" t="s">
        <v>372</v>
      </c>
      <c r="H29" s="358" t="s">
        <v>453</v>
      </c>
      <c r="I29" s="358" t="s">
        <v>454</v>
      </c>
      <c r="J29" s="358" t="s">
        <v>455</v>
      </c>
      <c r="K29" s="358" t="s">
        <v>456</v>
      </c>
      <c r="L29" s="360">
        <v>2249.415</v>
      </c>
      <c r="M29" s="360">
        <v>4</v>
      </c>
      <c r="N29" s="361">
        <v>8997.66</v>
      </c>
    </row>
    <row r="30" spans="1:14" ht="14.4" customHeight="1" x14ac:dyDescent="0.3">
      <c r="A30" s="356" t="s">
        <v>358</v>
      </c>
      <c r="B30" s="357" t="s">
        <v>360</v>
      </c>
      <c r="C30" s="358" t="s">
        <v>370</v>
      </c>
      <c r="D30" s="359" t="s">
        <v>371</v>
      </c>
      <c r="E30" s="358" t="s">
        <v>361</v>
      </c>
      <c r="F30" s="359" t="s">
        <v>362</v>
      </c>
      <c r="G30" s="358" t="s">
        <v>372</v>
      </c>
      <c r="H30" s="358" t="s">
        <v>457</v>
      </c>
      <c r="I30" s="358" t="s">
        <v>458</v>
      </c>
      <c r="J30" s="358" t="s">
        <v>459</v>
      </c>
      <c r="K30" s="358" t="s">
        <v>460</v>
      </c>
      <c r="L30" s="360">
        <v>418.21010549126902</v>
      </c>
      <c r="M30" s="360">
        <v>1</v>
      </c>
      <c r="N30" s="361">
        <v>418.21010549126902</v>
      </c>
    </row>
    <row r="31" spans="1:14" ht="14.4" customHeight="1" x14ac:dyDescent="0.3">
      <c r="A31" s="356" t="s">
        <v>358</v>
      </c>
      <c r="B31" s="357" t="s">
        <v>360</v>
      </c>
      <c r="C31" s="358" t="s">
        <v>370</v>
      </c>
      <c r="D31" s="359" t="s">
        <v>371</v>
      </c>
      <c r="E31" s="358" t="s">
        <v>361</v>
      </c>
      <c r="F31" s="359" t="s">
        <v>362</v>
      </c>
      <c r="G31" s="358" t="s">
        <v>372</v>
      </c>
      <c r="H31" s="358" t="s">
        <v>461</v>
      </c>
      <c r="I31" s="358" t="s">
        <v>400</v>
      </c>
      <c r="J31" s="358" t="s">
        <v>462</v>
      </c>
      <c r="K31" s="358" t="s">
        <v>463</v>
      </c>
      <c r="L31" s="360">
        <v>653.51540665123889</v>
      </c>
      <c r="M31" s="360">
        <v>40</v>
      </c>
      <c r="N31" s="361">
        <v>26140.616266049554</v>
      </c>
    </row>
    <row r="32" spans="1:14" ht="14.4" customHeight="1" x14ac:dyDescent="0.3">
      <c r="A32" s="356" t="s">
        <v>358</v>
      </c>
      <c r="B32" s="357" t="s">
        <v>360</v>
      </c>
      <c r="C32" s="358" t="s">
        <v>370</v>
      </c>
      <c r="D32" s="359" t="s">
        <v>371</v>
      </c>
      <c r="E32" s="358" t="s">
        <v>361</v>
      </c>
      <c r="F32" s="359" t="s">
        <v>362</v>
      </c>
      <c r="G32" s="358" t="s">
        <v>372</v>
      </c>
      <c r="H32" s="358" t="s">
        <v>464</v>
      </c>
      <c r="I32" s="358" t="s">
        <v>464</v>
      </c>
      <c r="J32" s="358" t="s">
        <v>465</v>
      </c>
      <c r="K32" s="358" t="s">
        <v>448</v>
      </c>
      <c r="L32" s="360">
        <v>1896.2449999999999</v>
      </c>
      <c r="M32" s="360">
        <v>8</v>
      </c>
      <c r="N32" s="361">
        <v>15169.96</v>
      </c>
    </row>
    <row r="33" spans="1:14" ht="14.4" customHeight="1" x14ac:dyDescent="0.3">
      <c r="A33" s="356" t="s">
        <v>358</v>
      </c>
      <c r="B33" s="357" t="s">
        <v>360</v>
      </c>
      <c r="C33" s="358" t="s">
        <v>370</v>
      </c>
      <c r="D33" s="359" t="s">
        <v>371</v>
      </c>
      <c r="E33" s="358" t="s">
        <v>361</v>
      </c>
      <c r="F33" s="359" t="s">
        <v>362</v>
      </c>
      <c r="G33" s="358" t="s">
        <v>372</v>
      </c>
      <c r="H33" s="358" t="s">
        <v>466</v>
      </c>
      <c r="I33" s="358" t="s">
        <v>467</v>
      </c>
      <c r="J33" s="358" t="s">
        <v>468</v>
      </c>
      <c r="K33" s="358" t="s">
        <v>469</v>
      </c>
      <c r="L33" s="360">
        <v>590.57280818382003</v>
      </c>
      <c r="M33" s="360">
        <v>77</v>
      </c>
      <c r="N33" s="361">
        <v>45474.106230154146</v>
      </c>
    </row>
    <row r="34" spans="1:14" ht="14.4" customHeight="1" x14ac:dyDescent="0.3">
      <c r="A34" s="356" t="s">
        <v>358</v>
      </c>
      <c r="B34" s="357" t="s">
        <v>360</v>
      </c>
      <c r="C34" s="358" t="s">
        <v>370</v>
      </c>
      <c r="D34" s="359" t="s">
        <v>371</v>
      </c>
      <c r="E34" s="358" t="s">
        <v>361</v>
      </c>
      <c r="F34" s="359" t="s">
        <v>362</v>
      </c>
      <c r="G34" s="358" t="s">
        <v>372</v>
      </c>
      <c r="H34" s="358" t="s">
        <v>470</v>
      </c>
      <c r="I34" s="358" t="s">
        <v>471</v>
      </c>
      <c r="J34" s="358" t="s">
        <v>472</v>
      </c>
      <c r="K34" s="358" t="s">
        <v>473</v>
      </c>
      <c r="L34" s="360">
        <v>947.85196102536906</v>
      </c>
      <c r="M34" s="360">
        <v>81</v>
      </c>
      <c r="N34" s="361">
        <v>76776.008843054893</v>
      </c>
    </row>
    <row r="35" spans="1:14" ht="14.4" customHeight="1" x14ac:dyDescent="0.3">
      <c r="A35" s="356" t="s">
        <v>358</v>
      </c>
      <c r="B35" s="357" t="s">
        <v>360</v>
      </c>
      <c r="C35" s="358" t="s">
        <v>370</v>
      </c>
      <c r="D35" s="359" t="s">
        <v>371</v>
      </c>
      <c r="E35" s="358" t="s">
        <v>361</v>
      </c>
      <c r="F35" s="359" t="s">
        <v>362</v>
      </c>
      <c r="G35" s="358" t="s">
        <v>372</v>
      </c>
      <c r="H35" s="358" t="s">
        <v>474</v>
      </c>
      <c r="I35" s="358" t="s">
        <v>475</v>
      </c>
      <c r="J35" s="358" t="s">
        <v>476</v>
      </c>
      <c r="K35" s="358" t="s">
        <v>477</v>
      </c>
      <c r="L35" s="360">
        <v>415.87197003198372</v>
      </c>
      <c r="M35" s="360">
        <v>94</v>
      </c>
      <c r="N35" s="361">
        <v>39091.965183006469</v>
      </c>
    </row>
    <row r="36" spans="1:14" ht="14.4" customHeight="1" x14ac:dyDescent="0.3">
      <c r="A36" s="356" t="s">
        <v>358</v>
      </c>
      <c r="B36" s="357" t="s">
        <v>360</v>
      </c>
      <c r="C36" s="358" t="s">
        <v>370</v>
      </c>
      <c r="D36" s="359" t="s">
        <v>371</v>
      </c>
      <c r="E36" s="358" t="s">
        <v>361</v>
      </c>
      <c r="F36" s="359" t="s">
        <v>362</v>
      </c>
      <c r="G36" s="358" t="s">
        <v>372</v>
      </c>
      <c r="H36" s="358" t="s">
        <v>478</v>
      </c>
      <c r="I36" s="358" t="s">
        <v>478</v>
      </c>
      <c r="J36" s="358" t="s">
        <v>479</v>
      </c>
      <c r="K36" s="358" t="s">
        <v>480</v>
      </c>
      <c r="L36" s="360">
        <v>1189.7850000000001</v>
      </c>
      <c r="M36" s="360">
        <v>4</v>
      </c>
      <c r="N36" s="361">
        <v>4759.1400000000003</v>
      </c>
    </row>
    <row r="37" spans="1:14" ht="14.4" customHeight="1" x14ac:dyDescent="0.3">
      <c r="A37" s="356" t="s">
        <v>358</v>
      </c>
      <c r="B37" s="357" t="s">
        <v>360</v>
      </c>
      <c r="C37" s="358" t="s">
        <v>370</v>
      </c>
      <c r="D37" s="359" t="s">
        <v>371</v>
      </c>
      <c r="E37" s="358" t="s">
        <v>361</v>
      </c>
      <c r="F37" s="359" t="s">
        <v>362</v>
      </c>
      <c r="G37" s="358" t="s">
        <v>372</v>
      </c>
      <c r="H37" s="358" t="s">
        <v>481</v>
      </c>
      <c r="I37" s="358" t="s">
        <v>482</v>
      </c>
      <c r="J37" s="358" t="s">
        <v>444</v>
      </c>
      <c r="K37" s="358" t="s">
        <v>448</v>
      </c>
      <c r="L37" s="360">
        <v>126.90727272727273</v>
      </c>
      <c r="M37" s="360">
        <v>22</v>
      </c>
      <c r="N37" s="361">
        <v>2791.96</v>
      </c>
    </row>
    <row r="38" spans="1:14" ht="14.4" customHeight="1" x14ac:dyDescent="0.3">
      <c r="A38" s="356" t="s">
        <v>358</v>
      </c>
      <c r="B38" s="357" t="s">
        <v>360</v>
      </c>
      <c r="C38" s="358" t="s">
        <v>370</v>
      </c>
      <c r="D38" s="359" t="s">
        <v>371</v>
      </c>
      <c r="E38" s="358" t="s">
        <v>361</v>
      </c>
      <c r="F38" s="359" t="s">
        <v>362</v>
      </c>
      <c r="G38" s="358" t="s">
        <v>372</v>
      </c>
      <c r="H38" s="358" t="s">
        <v>483</v>
      </c>
      <c r="I38" s="358" t="s">
        <v>484</v>
      </c>
      <c r="J38" s="358" t="s">
        <v>485</v>
      </c>
      <c r="K38" s="358" t="s">
        <v>486</v>
      </c>
      <c r="L38" s="360">
        <v>283.61554452158401</v>
      </c>
      <c r="M38" s="360">
        <v>65</v>
      </c>
      <c r="N38" s="361">
        <v>18435.010393902961</v>
      </c>
    </row>
    <row r="39" spans="1:14" ht="14.4" customHeight="1" x14ac:dyDescent="0.3">
      <c r="A39" s="356" t="s">
        <v>358</v>
      </c>
      <c r="B39" s="357" t="s">
        <v>360</v>
      </c>
      <c r="C39" s="358" t="s">
        <v>370</v>
      </c>
      <c r="D39" s="359" t="s">
        <v>371</v>
      </c>
      <c r="E39" s="358" t="s">
        <v>361</v>
      </c>
      <c r="F39" s="359" t="s">
        <v>362</v>
      </c>
      <c r="G39" s="358" t="s">
        <v>372</v>
      </c>
      <c r="H39" s="358" t="s">
        <v>432</v>
      </c>
      <c r="I39" s="358" t="s">
        <v>433</v>
      </c>
      <c r="J39" s="358" t="s">
        <v>434</v>
      </c>
      <c r="K39" s="358" t="s">
        <v>435</v>
      </c>
      <c r="L39" s="360">
        <v>1199.3488865846712</v>
      </c>
      <c r="M39" s="360">
        <v>8</v>
      </c>
      <c r="N39" s="361">
        <v>9594.7910926773693</v>
      </c>
    </row>
    <row r="40" spans="1:14" ht="14.4" customHeight="1" x14ac:dyDescent="0.3">
      <c r="A40" s="356" t="s">
        <v>358</v>
      </c>
      <c r="B40" s="357" t="s">
        <v>360</v>
      </c>
      <c r="C40" s="358" t="s">
        <v>370</v>
      </c>
      <c r="D40" s="359" t="s">
        <v>371</v>
      </c>
      <c r="E40" s="358" t="s">
        <v>361</v>
      </c>
      <c r="F40" s="359" t="s">
        <v>362</v>
      </c>
      <c r="G40" s="358" t="s">
        <v>372</v>
      </c>
      <c r="H40" s="358" t="s">
        <v>487</v>
      </c>
      <c r="I40" s="358" t="s">
        <v>488</v>
      </c>
      <c r="J40" s="358" t="s">
        <v>489</v>
      </c>
      <c r="K40" s="358" t="s">
        <v>490</v>
      </c>
      <c r="L40" s="360">
        <v>492.5</v>
      </c>
      <c r="M40" s="360">
        <v>2</v>
      </c>
      <c r="N40" s="361">
        <v>985</v>
      </c>
    </row>
    <row r="41" spans="1:14" ht="14.4" customHeight="1" thickBot="1" x14ac:dyDescent="0.35">
      <c r="A41" s="362" t="s">
        <v>358</v>
      </c>
      <c r="B41" s="363" t="s">
        <v>360</v>
      </c>
      <c r="C41" s="364" t="s">
        <v>370</v>
      </c>
      <c r="D41" s="365" t="s">
        <v>371</v>
      </c>
      <c r="E41" s="364" t="s">
        <v>361</v>
      </c>
      <c r="F41" s="365" t="s">
        <v>362</v>
      </c>
      <c r="G41" s="364" t="s">
        <v>372</v>
      </c>
      <c r="H41" s="364" t="s">
        <v>491</v>
      </c>
      <c r="I41" s="364" t="s">
        <v>491</v>
      </c>
      <c r="J41" s="364" t="s">
        <v>492</v>
      </c>
      <c r="K41" s="364" t="s">
        <v>493</v>
      </c>
      <c r="L41" s="366">
        <v>474.71926242153268</v>
      </c>
      <c r="M41" s="366">
        <v>3</v>
      </c>
      <c r="N41" s="367">
        <v>1424.157787264598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M13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65" customWidth="1"/>
    <col min="2" max="2" width="34.21875" style="65" customWidth="1"/>
    <col min="3" max="3" width="11.109375" style="65" bestFit="1" customWidth="1"/>
    <col min="4" max="4" width="7.33203125" style="65" bestFit="1" customWidth="1"/>
    <col min="5" max="5" width="11.109375" style="65" bestFit="1" customWidth="1"/>
    <col min="6" max="6" width="5.33203125" style="65" customWidth="1"/>
    <col min="7" max="7" width="7.33203125" style="65" bestFit="1" customWidth="1"/>
    <col min="8" max="8" width="5.33203125" style="65" customWidth="1"/>
    <col min="9" max="9" width="11.109375" style="65" customWidth="1"/>
    <col min="10" max="10" width="5.33203125" style="65" customWidth="1"/>
    <col min="11" max="11" width="7.33203125" style="65" customWidth="1"/>
    <col min="12" max="12" width="5.33203125" style="65" customWidth="1"/>
    <col min="13" max="13" width="0" style="65" hidden="1" customWidth="1"/>
    <col min="14" max="16384" width="8.88671875" style="65"/>
  </cols>
  <sheetData>
    <row r="1" spans="1:13" ht="18.600000000000001" customHeight="1" thickBot="1" x14ac:dyDescent="0.4">
      <c r="A1" s="275" t="s">
        <v>170</v>
      </c>
      <c r="B1" s="285"/>
      <c r="C1" s="285"/>
      <c r="D1" s="285"/>
      <c r="E1" s="285"/>
      <c r="F1" s="285"/>
      <c r="G1" s="285"/>
      <c r="H1" s="285"/>
      <c r="I1" s="242"/>
      <c r="J1" s="242"/>
      <c r="K1" s="242"/>
      <c r="L1" s="242"/>
    </row>
    <row r="2" spans="1:13" ht="14.4" customHeight="1" thickBot="1" x14ac:dyDescent="0.35">
      <c r="A2" s="318" t="s">
        <v>193</v>
      </c>
      <c r="B2" s="92"/>
      <c r="C2" s="92"/>
      <c r="D2" s="92"/>
      <c r="E2" s="92"/>
      <c r="F2" s="92"/>
      <c r="G2" s="92"/>
      <c r="H2" s="92"/>
    </row>
    <row r="3" spans="1:13" ht="14.4" customHeight="1" thickBot="1" x14ac:dyDescent="0.35">
      <c r="A3" s="95"/>
      <c r="B3" s="95"/>
      <c r="C3" s="287" t="s">
        <v>18</v>
      </c>
      <c r="D3" s="286"/>
      <c r="E3" s="286" t="s">
        <v>19</v>
      </c>
      <c r="F3" s="286"/>
      <c r="G3" s="286"/>
      <c r="H3" s="286"/>
      <c r="I3" s="286" t="s">
        <v>181</v>
      </c>
      <c r="J3" s="286"/>
      <c r="K3" s="286"/>
      <c r="L3" s="288"/>
    </row>
    <row r="4" spans="1:13" ht="14.4" customHeight="1" thickBot="1" x14ac:dyDescent="0.35">
      <c r="A4" s="118" t="s">
        <v>20</v>
      </c>
      <c r="B4" s="119" t="s">
        <v>21</v>
      </c>
      <c r="C4" s="120" t="s">
        <v>22</v>
      </c>
      <c r="D4" s="120" t="s">
        <v>23</v>
      </c>
      <c r="E4" s="120" t="s">
        <v>22</v>
      </c>
      <c r="F4" s="120" t="s">
        <v>5</v>
      </c>
      <c r="G4" s="120" t="s">
        <v>23</v>
      </c>
      <c r="H4" s="120" t="s">
        <v>5</v>
      </c>
      <c r="I4" s="120" t="s">
        <v>22</v>
      </c>
      <c r="J4" s="120" t="s">
        <v>5</v>
      </c>
      <c r="K4" s="120" t="s">
        <v>23</v>
      </c>
      <c r="L4" s="121" t="s">
        <v>5</v>
      </c>
    </row>
    <row r="5" spans="1:13" ht="14.4" customHeight="1" x14ac:dyDescent="0.3">
      <c r="A5" s="341">
        <v>19</v>
      </c>
      <c r="B5" s="342" t="s">
        <v>360</v>
      </c>
      <c r="C5" s="343">
        <v>47966.919999999991</v>
      </c>
      <c r="D5" s="343">
        <v>403</v>
      </c>
      <c r="E5" s="343">
        <v>32057.94999999999</v>
      </c>
      <c r="F5" s="344">
        <v>0.66833455222891103</v>
      </c>
      <c r="G5" s="343">
        <v>288</v>
      </c>
      <c r="H5" s="344">
        <v>0.71464019851116622</v>
      </c>
      <c r="I5" s="343">
        <v>15908.970000000001</v>
      </c>
      <c r="J5" s="344">
        <v>0.33166544777108897</v>
      </c>
      <c r="K5" s="343">
        <v>115</v>
      </c>
      <c r="L5" s="344">
        <v>0.28535980148883372</v>
      </c>
      <c r="M5" s="343" t="s">
        <v>90</v>
      </c>
    </row>
    <row r="6" spans="1:13" ht="14.4" customHeight="1" x14ac:dyDescent="0.3">
      <c r="A6" s="341">
        <v>19</v>
      </c>
      <c r="B6" s="342" t="s">
        <v>494</v>
      </c>
      <c r="C6" s="343">
        <v>47966.919999999991</v>
      </c>
      <c r="D6" s="343">
        <v>403</v>
      </c>
      <c r="E6" s="343">
        <v>32057.94999999999</v>
      </c>
      <c r="F6" s="344">
        <v>0.66833455222891103</v>
      </c>
      <c r="G6" s="343">
        <v>288</v>
      </c>
      <c r="H6" s="344">
        <v>0.71464019851116622</v>
      </c>
      <c r="I6" s="343">
        <v>15908.970000000001</v>
      </c>
      <c r="J6" s="344">
        <v>0.33166544777108897</v>
      </c>
      <c r="K6" s="343">
        <v>115</v>
      </c>
      <c r="L6" s="344">
        <v>0.28535980148883372</v>
      </c>
      <c r="M6" s="343" t="s">
        <v>2</v>
      </c>
    </row>
    <row r="7" spans="1:13" ht="14.4" customHeight="1" x14ac:dyDescent="0.3">
      <c r="A7" s="341" t="s">
        <v>358</v>
      </c>
      <c r="B7" s="342" t="s">
        <v>6</v>
      </c>
      <c r="C7" s="343">
        <v>47966.919999999991</v>
      </c>
      <c r="D7" s="343">
        <v>403</v>
      </c>
      <c r="E7" s="343">
        <v>32057.94999999999</v>
      </c>
      <c r="F7" s="344">
        <v>0.66833455222891103</v>
      </c>
      <c r="G7" s="343">
        <v>288</v>
      </c>
      <c r="H7" s="344">
        <v>0.71464019851116622</v>
      </c>
      <c r="I7" s="343">
        <v>15908.970000000001</v>
      </c>
      <c r="J7" s="344">
        <v>0.33166544777108897</v>
      </c>
      <c r="K7" s="343">
        <v>115</v>
      </c>
      <c r="L7" s="344">
        <v>0.28535980148883372</v>
      </c>
      <c r="M7" s="343" t="s">
        <v>365</v>
      </c>
    </row>
    <row r="9" spans="1:13" ht="14.4" customHeight="1" x14ac:dyDescent="0.3">
      <c r="A9" s="341">
        <v>19</v>
      </c>
      <c r="B9" s="342" t="s">
        <v>360</v>
      </c>
      <c r="C9" s="343" t="s">
        <v>359</v>
      </c>
      <c r="D9" s="343" t="s">
        <v>359</v>
      </c>
      <c r="E9" s="343" t="s">
        <v>359</v>
      </c>
      <c r="F9" s="344" t="s">
        <v>359</v>
      </c>
      <c r="G9" s="343" t="s">
        <v>359</v>
      </c>
      <c r="H9" s="344" t="s">
        <v>359</v>
      </c>
      <c r="I9" s="343" t="s">
        <v>359</v>
      </c>
      <c r="J9" s="344" t="s">
        <v>359</v>
      </c>
      <c r="K9" s="343" t="s">
        <v>359</v>
      </c>
      <c r="L9" s="344" t="s">
        <v>359</v>
      </c>
      <c r="M9" s="343" t="s">
        <v>90</v>
      </c>
    </row>
    <row r="10" spans="1:13" ht="14.4" customHeight="1" x14ac:dyDescent="0.3">
      <c r="A10" s="341">
        <v>89301192</v>
      </c>
      <c r="B10" s="342" t="s">
        <v>494</v>
      </c>
      <c r="C10" s="343">
        <v>47966.919999999991</v>
      </c>
      <c r="D10" s="343">
        <v>403</v>
      </c>
      <c r="E10" s="343">
        <v>32057.94999999999</v>
      </c>
      <c r="F10" s="344">
        <v>0.66833455222891103</v>
      </c>
      <c r="G10" s="343">
        <v>288</v>
      </c>
      <c r="H10" s="344">
        <v>0.71464019851116622</v>
      </c>
      <c r="I10" s="343">
        <v>15908.970000000001</v>
      </c>
      <c r="J10" s="344">
        <v>0.33166544777108897</v>
      </c>
      <c r="K10" s="343">
        <v>115</v>
      </c>
      <c r="L10" s="344">
        <v>0.28535980148883372</v>
      </c>
      <c r="M10" s="343" t="s">
        <v>2</v>
      </c>
    </row>
    <row r="11" spans="1:13" ht="14.4" customHeight="1" x14ac:dyDescent="0.3">
      <c r="A11" s="341" t="s">
        <v>495</v>
      </c>
      <c r="B11" s="342" t="s">
        <v>496</v>
      </c>
      <c r="C11" s="343">
        <v>47966.919999999991</v>
      </c>
      <c r="D11" s="343">
        <v>403</v>
      </c>
      <c r="E11" s="343">
        <v>32057.94999999999</v>
      </c>
      <c r="F11" s="344">
        <v>0.66833455222891103</v>
      </c>
      <c r="G11" s="343">
        <v>288</v>
      </c>
      <c r="H11" s="344">
        <v>0.71464019851116622</v>
      </c>
      <c r="I11" s="343">
        <v>15908.970000000001</v>
      </c>
      <c r="J11" s="344">
        <v>0.33166544777108897</v>
      </c>
      <c r="K11" s="343">
        <v>115</v>
      </c>
      <c r="L11" s="344">
        <v>0.28535980148883372</v>
      </c>
      <c r="M11" s="343" t="s">
        <v>368</v>
      </c>
    </row>
    <row r="12" spans="1:13" ht="14.4" customHeight="1" x14ac:dyDescent="0.3">
      <c r="A12" s="341" t="s">
        <v>359</v>
      </c>
      <c r="B12" s="342" t="s">
        <v>359</v>
      </c>
      <c r="C12" s="343" t="s">
        <v>359</v>
      </c>
      <c r="D12" s="343" t="s">
        <v>359</v>
      </c>
      <c r="E12" s="343" t="s">
        <v>359</v>
      </c>
      <c r="F12" s="344" t="s">
        <v>359</v>
      </c>
      <c r="G12" s="343" t="s">
        <v>359</v>
      </c>
      <c r="H12" s="344" t="s">
        <v>359</v>
      </c>
      <c r="I12" s="343" t="s">
        <v>359</v>
      </c>
      <c r="J12" s="344" t="s">
        <v>359</v>
      </c>
      <c r="K12" s="343" t="s">
        <v>359</v>
      </c>
      <c r="L12" s="344" t="s">
        <v>359</v>
      </c>
      <c r="M12" s="343" t="s">
        <v>369</v>
      </c>
    </row>
    <row r="13" spans="1:13" ht="14.4" customHeight="1" x14ac:dyDescent="0.3">
      <c r="A13" s="341" t="s">
        <v>358</v>
      </c>
      <c r="B13" s="342" t="s">
        <v>497</v>
      </c>
      <c r="C13" s="343">
        <v>47966.919999999991</v>
      </c>
      <c r="D13" s="343">
        <v>403</v>
      </c>
      <c r="E13" s="343">
        <v>32057.94999999999</v>
      </c>
      <c r="F13" s="344">
        <v>0.66833455222891103</v>
      </c>
      <c r="G13" s="343">
        <v>288</v>
      </c>
      <c r="H13" s="344">
        <v>0.71464019851116622</v>
      </c>
      <c r="I13" s="343">
        <v>15908.970000000001</v>
      </c>
      <c r="J13" s="344">
        <v>0.33166544777108897</v>
      </c>
      <c r="K13" s="343">
        <v>115</v>
      </c>
      <c r="L13" s="344">
        <v>0.28535980148883372</v>
      </c>
      <c r="M13" s="343" t="s">
        <v>365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2">
      <formula>AND(LEFT(M5,6)&lt;&gt;"mezera",M5&lt;&gt;"")</formula>
    </cfRule>
  </conditionalFormatting>
  <conditionalFormatting sqref="A5:A7">
    <cfRule type="expression" dxfId="33" priority="9">
      <formula>AND(M5&lt;&gt;"",M5&lt;&gt;"mezeraKL")</formula>
    </cfRule>
  </conditionalFormatting>
  <conditionalFormatting sqref="B5:L7">
    <cfRule type="expression" dxfId="32" priority="10">
      <formula>$M5="SumaNS"</formula>
    </cfRule>
    <cfRule type="expression" dxfId="31" priority="11">
      <formula>OR($M5="KL",$M5="SumaKL")</formula>
    </cfRule>
  </conditionalFormatting>
  <conditionalFormatting sqref="F5:F7">
    <cfRule type="cellIs" dxfId="30" priority="8" operator="lessThan">
      <formula>0.6</formula>
    </cfRule>
  </conditionalFormatting>
  <conditionalFormatting sqref="A5:L7">
    <cfRule type="expression" dxfId="29" priority="7">
      <formula>$M5&lt;&gt;""</formula>
    </cfRule>
  </conditionalFormatting>
  <conditionalFormatting sqref="B9:B13">
    <cfRule type="expression" dxfId="28" priority="6">
      <formula>AND(LEFT(M9,6)&lt;&gt;"mezera",M9&lt;&gt;"")</formula>
    </cfRule>
  </conditionalFormatting>
  <conditionalFormatting sqref="A9:A13">
    <cfRule type="expression" dxfId="27" priority="3">
      <formula>AND(M9&lt;&gt;"",M9&lt;&gt;"mezeraKL")</formula>
    </cfRule>
  </conditionalFormatting>
  <conditionalFormatting sqref="B9:L13">
    <cfRule type="expression" dxfId="26" priority="4">
      <formula>$M9="SumaNS"</formula>
    </cfRule>
    <cfRule type="expression" dxfId="25" priority="5">
      <formula>OR($M9="KL",$M9="SumaKL")</formula>
    </cfRule>
  </conditionalFormatting>
  <conditionalFormatting sqref="F9:F13">
    <cfRule type="cellIs" dxfId="24" priority="2" operator="lessThan">
      <formula>0.6</formula>
    </cfRule>
  </conditionalFormatting>
  <conditionalFormatting sqref="A9:L13">
    <cfRule type="expression" dxfId="23" priority="1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21</vt:i4>
      </vt:variant>
      <vt:variant>
        <vt:lpstr>Pojmenované oblasti</vt:lpstr>
      </vt:variant>
      <vt:variant>
        <vt:i4>1</vt:i4>
      </vt:variant>
    </vt:vector>
  </HeadingPairs>
  <TitlesOfParts>
    <vt:vector size="2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ZV Vykáz.-A</vt:lpstr>
      <vt:lpstr>ZV Vykáz.-A Detail</vt:lpstr>
      <vt:lpstr>ZV Vykáz.-H</vt:lpstr>
      <vt:lpstr>ZV Vykáz.-H Detail</vt:lpstr>
      <vt:lpstr>ZV Vyžád.</vt:lpstr>
      <vt:lpstr>ZV Vyžád.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2013-09-11T08:45:36Z</cp:lastPrinted>
  <dcterms:created xsi:type="dcterms:W3CDTF">2013-04-17T20:15:29Z</dcterms:created>
  <dcterms:modified xsi:type="dcterms:W3CDTF">2014-01-27T12:47:54Z</dcterms:modified>
</cp:coreProperties>
</file>