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éky Recepty" sheetId="346" r:id="rId11"/>
    <sheet name="LRp Lékaři" sheetId="415" r:id="rId12"/>
    <sheet name="LRp Detail" sheetId="347" r:id="rId13"/>
    <sheet name="LRp PL" sheetId="388" r:id="rId14"/>
    <sheet name="LRp PL Detail" sheetId="390" r:id="rId15"/>
    <sheet name="Materiál Žádanky" sheetId="420" r:id="rId16"/>
    <sheet name="MŽ Detail" sheetId="403" r:id="rId17"/>
    <sheet name="Osobní náklady" sheetId="419" r:id="rId18"/>
    <sheet name="ON Data" sheetId="418" state="hidden" r:id="rId19"/>
    <sheet name="ZV Vykáz.-A" sheetId="344" r:id="rId20"/>
    <sheet name="ZV Vykáz.-A Detail" sheetId="345" r:id="rId21"/>
    <sheet name="ZV Vykáz.-H" sheetId="410" r:id="rId22"/>
    <sheet name="ZV Vykáz.-H Detail" sheetId="377" r:id="rId23"/>
    <sheet name="ZV Vyžád." sheetId="342" r:id="rId24"/>
    <sheet name="ZV Vyžád. Detail" sheetId="343" r:id="rId25"/>
  </sheets>
  <definedNames>
    <definedName name="_xlnm._FilterDatabase" localSheetId="5" hidden="1">HV!$A$5:$A$5</definedName>
    <definedName name="_xlnm._FilterDatabase" localSheetId="10" hidden="1">'Léky Recepty'!$A$4:$M$4</definedName>
    <definedName name="_xlnm._FilterDatabase" localSheetId="6" hidden="1">'Léky Žádanky'!$A$4:$I$4</definedName>
    <definedName name="_xlnm._FilterDatabase" localSheetId="12" hidden="1">'LRp Detail'!$A$6:$U$6</definedName>
    <definedName name="_xlnm._FilterDatabase" localSheetId="11" hidden="1">'LRp Lékaři'!$A$4:$N$4</definedName>
    <definedName name="_xlnm._FilterDatabase" localSheetId="13" hidden="1">'LRp PL'!$A$3:$F$50</definedName>
    <definedName name="_xlnm._FilterDatabase" localSheetId="14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5" hidden="1">'Materiál Žádanky'!$A$4:$I$4</definedName>
    <definedName name="_xlnm._FilterDatabase" localSheetId="16" hidden="1">'MŽ Detail'!$A$4:$K$4</definedName>
    <definedName name="_xlnm._FilterDatabase" localSheetId="20" hidden="1">'ZV Vykáz.-A Detail'!$A$5:$P$5</definedName>
    <definedName name="_xlnm._FilterDatabase" localSheetId="22" hidden="1">'ZV Vykáz.-H Detail'!$A$5:$Q$5</definedName>
    <definedName name="_xlnm._FilterDatabase" localSheetId="23" hidden="1">'ZV Vyžád.'!$A$5:$M$5</definedName>
    <definedName name="_xlnm._FilterDatabase" localSheetId="24" hidden="1">'ZV Vyžád.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G26" i="419" l="1"/>
  <c r="AG25" i="419"/>
  <c r="C11" i="340" l="1"/>
  <c r="A20" i="383" l="1"/>
  <c r="A11" i="383"/>
  <c r="D15" i="414"/>
  <c r="C15" i="414"/>
  <c r="AG20" i="419" l="1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F27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22" i="414" l="1"/>
  <c r="A17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8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2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9" i="414" s="1"/>
  <c r="C11" i="339"/>
  <c r="H11" i="339" l="1"/>
  <c r="G11" i="339"/>
  <c r="A20" i="414"/>
  <c r="A19" i="414"/>
  <c r="A14" i="414"/>
  <c r="A11" i="414"/>
  <c r="A10" i="414"/>
  <c r="A8" i="414"/>
  <c r="A7" i="414"/>
  <c r="A15" i="414"/>
  <c r="A4" i="414"/>
  <c r="A6" i="339" l="1"/>
  <c r="A5" i="339"/>
  <c r="C18" i="414"/>
  <c r="D4" i="414"/>
  <c r="D18" i="414"/>
  <c r="D11" i="414" l="1"/>
  <c r="D8" i="414"/>
  <c r="C14" i="414" l="1"/>
  <c r="C7" i="414"/>
  <c r="D10" i="414" l="1"/>
  <c r="E10" i="414" s="1"/>
  <c r="E20" i="414"/>
  <c r="E19" i="414"/>
  <c r="E14" i="414"/>
  <c r="E7" i="414"/>
  <c r="E11" i="414"/>
  <c r="E8" i="414"/>
  <c r="A16" i="383" l="1"/>
  <c r="A19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H3" i="390" s="1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Q3" i="347" s="1"/>
  <c r="M3" i="387"/>
  <c r="K3" i="387" s="1"/>
  <c r="L3" i="387"/>
  <c r="J3" i="387"/>
  <c r="I3" i="387"/>
  <c r="G3" i="387"/>
  <c r="H3" i="387" s="1"/>
  <c r="F3" i="387"/>
  <c r="N3" i="220"/>
  <c r="L3" i="220" s="1"/>
  <c r="C21" i="414"/>
  <c r="D21" i="414"/>
  <c r="C22" i="414" l="1"/>
  <c r="E22" i="414" s="1"/>
  <c r="F13" i="339"/>
  <c r="E13" i="339"/>
  <c r="E15" i="339" s="1"/>
  <c r="H12" i="339"/>
  <c r="G12" i="339"/>
  <c r="K3" i="390"/>
  <c r="A4" i="383"/>
  <c r="A30" i="383"/>
  <c r="A29" i="383"/>
  <c r="A28" i="383"/>
  <c r="A27" i="383"/>
  <c r="A26" i="383"/>
  <c r="A25" i="383"/>
  <c r="A22" i="383"/>
  <c r="A21" i="383"/>
  <c r="A18" i="383"/>
  <c r="A17" i="383"/>
  <c r="A15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Q3" i="343"/>
  <c r="P3" i="343"/>
  <c r="C13" i="339"/>
  <c r="C15" i="339" s="1"/>
  <c r="B13" i="339"/>
  <c r="B15" i="339" s="1"/>
  <c r="C4" i="414"/>
  <c r="D17" i="414"/>
  <c r="H13" i="339" l="1"/>
  <c r="F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1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<sst xmlns="http://schemas.openxmlformats.org/spreadsheetml/2006/main" count="3298" uniqueCount="1143">
  <si>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</si>
  <si>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</si>
  <si>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</si>
  <si>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</si>
  <si>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</si>
  <si>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</si>
  <si>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</si>
  <si>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</si>
  <si>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</si>
  <si>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</si>
  <si>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</si>
  <si>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</si>
  <si>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</si>
  <si>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</si>
  <si>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</si>
  <si>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</si>
  <si>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</si>
  <si>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</si>
  <si>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</si>
  <si>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</si>
  <si>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</si>
  <si>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</si>
  <si>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</si>
  <si>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</si>
  <si>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</si>
  <si>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</si>
  <si>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</si>
  <si>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</si>
  <si>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</si>
  <si>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</si>
  <si>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</si>
  <si>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</si>
  <si>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</si>
  <si>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</si>
  <si>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</si>
  <si>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</si>
  <si>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</si>
  <si>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</si>
  <si>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</si>
  <si>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</si>
  <si>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</si>
  <si>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</si>
  <si>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</si>
  <si>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</si>
  <si>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</si>
  <si>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</si>
  <si>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</si>
  <si>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</si>
  <si>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</si>
  <si>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</si>
  <si>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</si>
  <si>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</si>
  <si>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</si>
  <si>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</si>
  <si>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</si>
  <si>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</si>
  <si>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</si>
  <si>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</si>
  <si>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</si>
  <si>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</si>
  <si>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</si>
  <si>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</si>
  <si>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</si>
  <si>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</si>
  <si>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</si>
  <si>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</si>
  <si>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</si>
  <si>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</si>
  <si>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</si>
  <si>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</si>
  <si>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</si>
  <si>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</si>
  <si>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</si>
  <si>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</si>
  <si>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</si>
  <si>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</si>
  <si>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</si>
  <si>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</si>
  <si>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</si>
  <si>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</si>
  <si>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</si>
  <si>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</si>
  <si>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</si>
  <si>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</si>
  <si>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</si>
  <si>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</si>
  <si>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</si>
  <si>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</si>
  <si>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</si>
  <si>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</si>
  <si>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</si>
  <si>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</si>
  <si>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</si>
  <si>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</si>
  <si>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</si>
  <si>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</si>
  <si>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</si>
  <si>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</si>
  <si>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</si>
  <si>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</si>
  <si>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</si>
  <si>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</si>
  <si>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</si>
  <si>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</si>
  <si>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</si>
  <si>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</si>
  <si>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</si>
  <si>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</si>
  <si>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</si>
  <si>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</si>
  <si>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</si>
  <si>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</si>
  <si>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</si>
  <si>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</si>
  <si>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</si>
  <si>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</si>
  <si>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</si>
  <si>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</si>
  <si>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</si>
  <si>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</si>
  <si>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</si>
  <si>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</si>
  <si>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</si>
  <si>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</si>
  <si>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</si>
  <si>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</si>
  <si>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</si>
  <si>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</si>
  <si>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</si>
  <si>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</si>
  <si>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</si>
  <si>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</si>
  <si>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</si>
  <si>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</si>
  <si>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</si>
  <si>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</si>
  <si>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</si>
  <si>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</si>
  <si>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</si>
  <si>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</si>
  <si>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</si>
  <si>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</si>
  <si>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</si>
  <si>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</si>
  <si>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</si>
  <si>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</si>
  <si>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</si>
  <si>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</si>
  <si>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</si>
  <si>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</si>
  <si>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</si>
  <si>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</si>
  <si>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</si>
  <si>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</si>
  <si>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</si>
  <si>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</si>
  <si>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</si>
  <si>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</si>
  <si>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</si>
  <si>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</si>
  <si>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</si>
  <si>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</si>
  <si>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</si>
  <si>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</si>
  <si>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</si>
  <si>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</si>
  <si>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</si>
  <si>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</si>
  <si>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</si>
  <si>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</si>
  <si>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</si>
  <si>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</si>
  <si>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</si>
  <si>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</si>
  <si>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</si>
  <si>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</si>
  <si>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</si>
  <si>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</si>
  <si>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</si>
  <si>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</si>
  <si>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</si>
  <si>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</si>
  <si>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</si>
  <si>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</si>
  <si>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</si>
  <si>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</si>
  <si>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</si>
  <si>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</si>
  <si>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</si>
  <si>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</si>
  <si>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</si>
  <si>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</si>
  <si>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</si>
  <si>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</si>
  <si>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</si>
  <si>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</si>
  <si>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</si>
  <si>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</si>
  <si>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</si>
  <si>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</si>
  <si>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</si>
  <si>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</si>
  <si>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</si>
  <si>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</si>
  <si>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</si>
  <si>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</si>
  <si>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</si>
  <si>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</si>
  <si>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</si>
  <si>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</si>
  <si>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</si>
  <si>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</si>
  <si>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</si>
  <si>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</si>
  <si>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</si>
  <si>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</si>
  <si>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</si>
  <si>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</si>
  <si>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</si>
  <si>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</si>
  <si>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</si>
  <si>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</si>
  <si>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</si>
  <si>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</si>
  <si>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</si>
  <si>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</si>
  <si>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</si>
  <si>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</si>
  <si>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</si>
  <si>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</si>
  <si>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</si>
  <si>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</si>
  <si>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</si>
  <si>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</si>
  <si>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</si>
  <si>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</si>
  <si>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</si>
  <si>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</si>
  <si>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</si>
  <si>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</si>
  <si>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</si>
  <si>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</si>
  <si>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</si>
  <si>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</si>
  <si>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</si>
  <si>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</si>
  <si>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</si>
  <si>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</si>
  <si>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</si>
  <si>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</si>
  <si>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</si>
  <si>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</si>
  <si>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</si>
  <si>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</si>
  <si>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</si>
  <si>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</si>
  <si>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</si>
  <si>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</si>
  <si>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</si>
  <si>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</si>
  <si>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</si>
  <si>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</si>
  <si>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</si>
  <si>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</si>
  <si>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</si>
  <si>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</si>
  <si>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</si>
  <si>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</si>
  <si>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</si>
  <si>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</si>
  <si>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</si>
  <si>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</si>
  <si>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Klinika pracovního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</si>
  <si>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</si>
  <si>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</si>
  <si>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</si>
  <si>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</si>
  <si>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</si>
  <si>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</si>
  <si>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paušál+TISS (LEK)</t>
  </si>
  <si>
    <t>50113013     léky (paušál) - antibiotika (LEK)</t>
  </si>
  <si>
    <t>50115     Zdravotnické prostředky</t>
  </si>
  <si>
    <t>50115020     diagnostika laboratorní-LEK (sk.Z_501)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</si>
  <si>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</si>
  <si>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</si>
  <si>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</si>
  <si>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</si>
  <si>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</si>
  <si>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</si>
  <si>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</si>
  <si>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</si>
  <si>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</si>
  <si>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</si>
  <si>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</si>
  <si>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50117015     IT - spotřební materiál (sk. P37, 48)</t>
  </si>
  <si>
    <t>50117024     všeob.mat. - ostatní-vyjímky (V44) od 0,01 do 999,99</t>
  </si>
  <si>
    <t>--</t>
  </si>
  <si>
    <t>50118     Náhradní díly</t>
  </si>
  <si>
    <t>50118003     ND - ostatní techn.(dispečink)</t>
  </si>
  <si>
    <t>50118006     ND - ZVIT (sk.B63)</t>
  </si>
  <si>
    <t>50119     DDHM a textil</t>
  </si>
  <si>
    <t>50119077     OOPP a prádlo pro zaměstnance (sk.T14)</t>
  </si>
  <si>
    <t>50119099     netkaný textil (sk.T18)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</si>
  <si>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</si>
  <si>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</si>
  <si>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</si>
  <si>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</si>
  <si>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</si>
  <si>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</si>
  <si>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</si>
  <si>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</si>
  <si>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</si>
  <si>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</si>
  <si>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</si>
  <si>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</si>
  <si>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</si>
  <si>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</si>
  <si>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</si>
  <si>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</si>
  <si>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</si>
  <si>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</si>
  <si>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</si>
  <si>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</si>
  <si>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</si>
  <si>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</si>
  <si>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</si>
  <si>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</si>
  <si>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</si>
  <si>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</si>
  <si>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</si>
  <si>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</si>
  <si>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</si>
  <si>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</si>
  <si>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</si>
  <si>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</si>
  <si>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</si>
  <si>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</si>
  <si>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</si>
  <si>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</si>
  <si>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</si>
  <si>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52125     Odstupné</t>
  </si>
  <si>
    <t>52125000     odstupné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</si>
  <si>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</si>
  <si>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</si>
  <si>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</si>
  <si>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</si>
  <si>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</si>
  <si>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</si>
  <si>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</si>
  <si>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</si>
  <si>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</si>
  <si>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</si>
  <si>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</si>
  <si>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</si>
  <si>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</si>
  <si>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</si>
  <si>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</si>
  <si>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</si>
  <si>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</si>
  <si>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</si>
  <si>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</si>
  <si>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</si>
  <si>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</si>
  <si>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</si>
  <si>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</si>
  <si>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</si>
  <si>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</si>
  <si>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</si>
  <si>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</si>
  <si>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</si>
  <si>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</si>
  <si>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</si>
  <si>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</si>
  <si>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</si>
  <si>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</si>
  <si>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</si>
  <si>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</si>
  <si>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</si>
  <si>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</si>
  <si>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</si>
  <si>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</si>
  <si>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</si>
  <si>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</si>
  <si>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</si>
  <si>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</si>
  <si>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</si>
  <si>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</si>
  <si>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</si>
  <si>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</si>
  <si>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</si>
  <si>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</si>
  <si>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</si>
  <si>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</si>
  <si>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</si>
  <si>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</si>
  <si>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</si>
  <si>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</si>
  <si>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</si>
  <si>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</si>
  <si>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</si>
  <si>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</si>
  <si>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64924443     znalecké posudky - Znaleký ústav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</si>
  <si>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</si>
  <si>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</si>
  <si>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</si>
  <si>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</si>
  <si>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</si>
  <si>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</si>
  <si>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</si>
  <si>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</si>
  <si>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</si>
  <si>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</si>
  <si>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</si>
  <si>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</si>
  <si>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</si>
  <si>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</si>
  <si>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</si>
  <si>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</si>
  <si>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</si>
  <si>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</si>
  <si>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</si>
  <si>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</si>
  <si>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</si>
  <si>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</si>
  <si>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19</t>
  </si>
  <si>
    <t>Klinika pracovního lékařství</t>
  </si>
  <si>
    <t/>
  </si>
  <si>
    <t>50113190     medicinální plyny</t>
  </si>
  <si>
    <t>Klinika pracovního lékařství Celkem</t>
  </si>
  <si>
    <t>SumaKL</t>
  </si>
  <si>
    <t>1911</t>
  </si>
  <si>
    <t>(prázdné)</t>
  </si>
  <si>
    <t>(prázdné) Celkem</t>
  </si>
  <si>
    <t>SumaNS</t>
  </si>
  <si>
    <t>mezeraNS</t>
  </si>
  <si>
    <t>1921</t>
  </si>
  <si>
    <t>ambulance</t>
  </si>
  <si>
    <t>ambulance Celkem</t>
  </si>
  <si>
    <t>1923</t>
  </si>
  <si>
    <t>ambulance - Centrum očkování</t>
  </si>
  <si>
    <t>ambulance - Centrum očkování Celkem</t>
  </si>
  <si>
    <t>50113001</t>
  </si>
  <si>
    <t>O</t>
  </si>
  <si>
    <t>51366</t>
  </si>
  <si>
    <t>CHLORID SODNÝ 0,9% BRAUN</t>
  </si>
  <si>
    <t>INF SOL 20X100MLPELAH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</si>
  <si>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</si>
  <si>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</si>
  <si>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</si>
  <si>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</si>
  <si>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</si>
  <si>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</si>
  <si>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</si>
  <si>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</si>
  <si>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107981</t>
  </si>
  <si>
    <t>7981</t>
  </si>
  <si>
    <t>NOVALGIN</t>
  </si>
  <si>
    <t>INJ 10X2ML/1000MG</t>
  </si>
  <si>
    <t>155947</t>
  </si>
  <si>
    <t>55947</t>
  </si>
  <si>
    <t>OPHTAL LIQ 2X50ML</t>
  </si>
  <si>
    <t>158249</t>
  </si>
  <si>
    <t>58249</t>
  </si>
  <si>
    <t>GUAJACURAN « 5 % INJ</t>
  </si>
  <si>
    <t>189212</t>
  </si>
  <si>
    <t>89212</t>
  </si>
  <si>
    <t>INJECTIO PROCAIN.CHLOR.0.2% ARD</t>
  </si>
  <si>
    <t>INJ 1X200ML 0.2%</t>
  </si>
  <si>
    <t>395997</t>
  </si>
  <si>
    <t>DZ SOFTASEPT N BEZBARVÝ 250 ml</t>
  </si>
  <si>
    <t>846629</t>
  </si>
  <si>
    <t>100013</t>
  </si>
  <si>
    <t>IBALGIN 400 TBL 24</t>
  </si>
  <si>
    <t xml:space="preserve">POR TBL FLM 24X400MG </t>
  </si>
  <si>
    <t>920304</t>
  </si>
  <si>
    <t>KL EKG GEL 100G</t>
  </si>
  <si>
    <t>930035</t>
  </si>
  <si>
    <t>KL GLUCOSUM 75g</t>
  </si>
  <si>
    <t>841498</t>
  </si>
  <si>
    <t>Carbosorb tbl.20-blistr</t>
  </si>
  <si>
    <t>900321</t>
  </si>
  <si>
    <t>KL PRIPRAVEK</t>
  </si>
  <si>
    <t>169755</t>
  </si>
  <si>
    <t>69755</t>
  </si>
  <si>
    <t>ARDEANUTRISOL G 40</t>
  </si>
  <si>
    <t>INF 1X80ML</t>
  </si>
  <si>
    <t>P</t>
  </si>
  <si>
    <t>131934</t>
  </si>
  <si>
    <t>31934</t>
  </si>
  <si>
    <t>VENTOLIN INHALER N</t>
  </si>
  <si>
    <t>INHSUSPSS200X100RG</t>
  </si>
  <si>
    <t>126816</t>
  </si>
  <si>
    <t>26816</t>
  </si>
  <si>
    <t>TWINRIX ADULT</t>
  </si>
  <si>
    <t>INJSUS 1X1ML+STŘ+SJ</t>
  </si>
  <si>
    <t>147208</t>
  </si>
  <si>
    <t>STAMARIL PASTEUR</t>
  </si>
  <si>
    <t>INJ PSULQF1X1DÁV+ST</t>
  </si>
  <si>
    <t>155111</t>
  </si>
  <si>
    <t>55111</t>
  </si>
  <si>
    <t>FSME-IMMUN 0.5ML BAXTER</t>
  </si>
  <si>
    <t>INJ SUS1X0.5ML/DÁV</t>
  </si>
  <si>
    <t>156573</t>
  </si>
  <si>
    <t>56573</t>
  </si>
  <si>
    <t>HAVRIX 1440</t>
  </si>
  <si>
    <t>INJ SUS 1X1ML STŘ</t>
  </si>
  <si>
    <t>186403</t>
  </si>
  <si>
    <t>85170</t>
  </si>
  <si>
    <t>TYPHIM VI(TYPHOIDE POLYS.VACC.)</t>
  </si>
  <si>
    <t>INJ 1X0.5ML/DAV+STR</t>
  </si>
  <si>
    <t>847178</t>
  </si>
  <si>
    <t>107496</t>
  </si>
  <si>
    <t>VERORAB</t>
  </si>
  <si>
    <t>INJ PSU LQF 1DAV.+0.5ML ST</t>
  </si>
  <si>
    <t>849437</t>
  </si>
  <si>
    <t>167572</t>
  </si>
  <si>
    <t>MENVEO  INJ PSL SOL 1 + 1</t>
  </si>
  <si>
    <t xml:space="preserve">INJ PSL SOL 1+1ISP </t>
  </si>
  <si>
    <t>156571</t>
  </si>
  <si>
    <t>56571</t>
  </si>
  <si>
    <t>HAVRIX 720 JUNIOR MONODOSE</t>
  </si>
  <si>
    <t>INJSUS1X0.5ML STŘ</t>
  </si>
  <si>
    <t>132827</t>
  </si>
  <si>
    <t>32827</t>
  </si>
  <si>
    <t>ENCEPUR PRO DOSPĚLÉ</t>
  </si>
  <si>
    <t>INJ SUS 1X0.5ML+JEH</t>
  </si>
  <si>
    <t>155106</t>
  </si>
  <si>
    <t>55106</t>
  </si>
  <si>
    <t>FSME-IMMUN 0.25ML BAXTER</t>
  </si>
  <si>
    <t>INJ SUS1X0.25ML/DÁV</t>
  </si>
  <si>
    <t>Klinika pracovního lékařství, ambulance</t>
  </si>
  <si>
    <t>PRAC, ambulance - Centrum očkování</t>
  </si>
  <si>
    <t>Lékárna - léčiva</t>
  </si>
  <si>
    <t>1921 - Klinika pracovního lékařství, ambulance</t>
  </si>
  <si>
    <t>R03AC02 - Salbutamol</t>
  </si>
  <si>
    <t>R03AC02</t>
  </si>
  <si>
    <t>INH SUS PSS 200X100RG</t>
  </si>
  <si>
    <t>Přehled plnění pozitivního listu - spotřeba léčivých přípravků - orientační přehled</t>
  </si>
  <si>
    <t>HVLP</t>
  </si>
  <si>
    <t>89301192</t>
  </si>
  <si>
    <t>Všeobecná ambulance Celkem</t>
  </si>
  <si>
    <t>Boriková Alena</t>
  </si>
  <si>
    <t>Fialová Jarmila</t>
  </si>
  <si>
    <t>Holá Jaroslava</t>
  </si>
  <si>
    <t>Nakládalová Marie</t>
  </si>
  <si>
    <t>Radiměřská Dagmar</t>
  </si>
  <si>
    <t>Vildová Helena</t>
  </si>
  <si>
    <t>Aciklovir</t>
  </si>
  <si>
    <t>84128</t>
  </si>
  <si>
    <t>HERPESIN 400</t>
  </si>
  <si>
    <t>POR TBL NOB 25X400MG</t>
  </si>
  <si>
    <t>Erythromycin</t>
  </si>
  <si>
    <t>97514</t>
  </si>
  <si>
    <t>AKNEMYCIN</t>
  </si>
  <si>
    <t>DRM SOL 1X25ML/500MG LAG I</t>
  </si>
  <si>
    <t>Fenoxymethylpenicilin</t>
  </si>
  <si>
    <t>45997</t>
  </si>
  <si>
    <t>OSPEN 1000</t>
  </si>
  <si>
    <t>POR TBL FLM 30X1000KU</t>
  </si>
  <si>
    <t>Jiná antibiotika pro lokální aplikaci</t>
  </si>
  <si>
    <t>1066</t>
  </si>
  <si>
    <t>FRAMYKOIN</t>
  </si>
  <si>
    <t>DRM UNG 1X10GM</t>
  </si>
  <si>
    <t>Kodein</t>
  </si>
  <si>
    <t>90</t>
  </si>
  <si>
    <t>CODEIN SLOVAKOFARMA 30 MG</t>
  </si>
  <si>
    <t>POR TBL NOB 10X30MG</t>
  </si>
  <si>
    <t>Kyanokobalamin</t>
  </si>
  <si>
    <t>643</t>
  </si>
  <si>
    <t>VITAMIN B12 LÉČIVA 1000 MCG</t>
  </si>
  <si>
    <t>INJ SOL 5X1ML/1000RG</t>
  </si>
  <si>
    <t>Makrogol</t>
  </si>
  <si>
    <t>58827</t>
  </si>
  <si>
    <t>FORTRANS</t>
  </si>
  <si>
    <t>POR PLV SOL 1X4(SÁČKY)</t>
  </si>
  <si>
    <t>Meflochin</t>
  </si>
  <si>
    <t>14946</t>
  </si>
  <si>
    <t>LARIAM</t>
  </si>
  <si>
    <t>POR TBL NOB 8X250MG</t>
  </si>
  <si>
    <t>Pentoxifylin</t>
  </si>
  <si>
    <t>155875</t>
  </si>
  <si>
    <t>TRENTAL</t>
  </si>
  <si>
    <t>INF SOL 5X5ML/100MG</t>
  </si>
  <si>
    <t>45008</t>
  </si>
  <si>
    <t>43709</t>
  </si>
  <si>
    <t>INF SOL 2X5X15ML/300MG</t>
  </si>
  <si>
    <t>Progvanil, kombinace</t>
  </si>
  <si>
    <t>30690</t>
  </si>
  <si>
    <t>MALARONE</t>
  </si>
  <si>
    <t>POR TBL FLM 12</t>
  </si>
  <si>
    <t>Rifaximin</t>
  </si>
  <si>
    <t>44285</t>
  </si>
  <si>
    <t>NORMIX</t>
  </si>
  <si>
    <t>POR TBL FLM 12X200MG</t>
  </si>
  <si>
    <t>Různé jiné kombinace železa</t>
  </si>
  <si>
    <t>119653</t>
  </si>
  <si>
    <t>SORBIFER DURULES</t>
  </si>
  <si>
    <t>POR TBL FLM 60X100MG</t>
  </si>
  <si>
    <t>Kyselina acetylsalicylová</t>
  </si>
  <si>
    <t>155782</t>
  </si>
  <si>
    <t>GODASAL 100</t>
  </si>
  <si>
    <t>POR TBL NOB 100</t>
  </si>
  <si>
    <t>Rosuvastatin</t>
  </si>
  <si>
    <t>148070</t>
  </si>
  <si>
    <t>ROSUCARD 10 MG POTAHOVANÉ TABLETY</t>
  </si>
  <si>
    <t>POR TBL FLM 90X10MG</t>
  </si>
  <si>
    <t>Amoxicilin a enzymový inhibitor</t>
  </si>
  <si>
    <t>5951</t>
  </si>
  <si>
    <t>AMOKSIKLAV 1 G</t>
  </si>
  <si>
    <t>POR TBL FLM 14X1GM</t>
  </si>
  <si>
    <t>Azithromycin</t>
  </si>
  <si>
    <t>45010</t>
  </si>
  <si>
    <t>AZITROMYCIN SANDOZ 500 MG</t>
  </si>
  <si>
    <t>POR TBL FLM 3X500MG</t>
  </si>
  <si>
    <t>Diklofenak</t>
  </si>
  <si>
    <t>119672</t>
  </si>
  <si>
    <t>DICLOFENAC DUO PHARMASWISS 75 MG</t>
  </si>
  <si>
    <t>POR CPS RDR 30X75MG</t>
  </si>
  <si>
    <t>Hydroxyzin</t>
  </si>
  <si>
    <t>85060</t>
  </si>
  <si>
    <t>ATARAX</t>
  </si>
  <si>
    <t>POR TBL FLM 25X25MG</t>
  </si>
  <si>
    <t>Indapamid</t>
  </si>
  <si>
    <t>151949</t>
  </si>
  <si>
    <t>INDAP</t>
  </si>
  <si>
    <t>POR CPS DUR 100X2.5MG</t>
  </si>
  <si>
    <t>96696</t>
  </si>
  <si>
    <t>POR CPS DUR 30X2.5MG</t>
  </si>
  <si>
    <t>Losartan</t>
  </si>
  <si>
    <t>13892</t>
  </si>
  <si>
    <t>LOZAP 50 ZENTIVA</t>
  </si>
  <si>
    <t>POR TBL FLM 30X50MG</t>
  </si>
  <si>
    <t>13894</t>
  </si>
  <si>
    <t>POR TBL FLM 90X50MG</t>
  </si>
  <si>
    <t>Pitofenon a analgetika</t>
  </si>
  <si>
    <t>176954</t>
  </si>
  <si>
    <t>ALGIFEN NEO</t>
  </si>
  <si>
    <t>POR GTT SOL 1X50ML</t>
  </si>
  <si>
    <t>Ramipril a diuretika</t>
  </si>
  <si>
    <t>125099</t>
  </si>
  <si>
    <t>TRITAZIDE 5 MG/25 MG</t>
  </si>
  <si>
    <t>POR TBL NOB 28</t>
  </si>
  <si>
    <t>Zolpidem</t>
  </si>
  <si>
    <t>163145</t>
  </si>
  <si>
    <t>HYPNOGEN</t>
  </si>
  <si>
    <t>POR TBL FLM 30X10MG</t>
  </si>
  <si>
    <t>Atorvastatin</t>
  </si>
  <si>
    <t>93019</t>
  </si>
  <si>
    <t>SORTIS 40 MG</t>
  </si>
  <si>
    <t>POR TBL FLM 30X40MG</t>
  </si>
  <si>
    <t>Erdostein</t>
  </si>
  <si>
    <t>95560</t>
  </si>
  <si>
    <t>ERDOMED</t>
  </si>
  <si>
    <t>POR CPS DUR 30X300MG</t>
  </si>
  <si>
    <t>Jiná</t>
  </si>
  <si>
    <t>132658</t>
  </si>
  <si>
    <t>Jiný</t>
  </si>
  <si>
    <t>Klarithromycin</t>
  </si>
  <si>
    <t>53853</t>
  </si>
  <si>
    <t>KLACID 500</t>
  </si>
  <si>
    <t>POR TBL FLM 14X500MG</t>
  </si>
  <si>
    <t>Klopidogrel</t>
  </si>
  <si>
    <t>TROMBEX 75 MG POTAHOVANÉ TABLETY</t>
  </si>
  <si>
    <t>POR TBL FLM 90X75MG</t>
  </si>
  <si>
    <t>Levothyroxin, sodná sůl</t>
  </si>
  <si>
    <t>47141</t>
  </si>
  <si>
    <t>LETROX 50</t>
  </si>
  <si>
    <t>POR TBL NOB 100X50RG I</t>
  </si>
  <si>
    <t>Nifuroxazid</t>
  </si>
  <si>
    <t>46405</t>
  </si>
  <si>
    <t>ERCEFURYL 200 MG CPS.</t>
  </si>
  <si>
    <t>POR CPS DUR 14X200MG</t>
  </si>
  <si>
    <t>Telmisartan</t>
  </si>
  <si>
    <t>167670</t>
  </si>
  <si>
    <t>TOLURA 40 MG</t>
  </si>
  <si>
    <t>POR TBL NOB 90X40MG</t>
  </si>
  <si>
    <t>16286</t>
  </si>
  <si>
    <t>STILNOX</t>
  </si>
  <si>
    <t>POR TBL FLM 20X10MG</t>
  </si>
  <si>
    <t>75632</t>
  </si>
  <si>
    <t>DICLOFENAC AL RETARD</t>
  </si>
  <si>
    <t>POR TBL RET 50X100MG</t>
  </si>
  <si>
    <t>75633</t>
  </si>
  <si>
    <t>POR TBL RET 100X100MG</t>
  </si>
  <si>
    <t>Metformin</t>
  </si>
  <si>
    <t>122136</t>
  </si>
  <si>
    <t>METFIREX 1 G</t>
  </si>
  <si>
    <t>POR TBL FLM 60X1000MG</t>
  </si>
  <si>
    <t>Methylprednisolon</t>
  </si>
  <si>
    <t>40368</t>
  </si>
  <si>
    <t>MEDROL 4 MG</t>
  </si>
  <si>
    <t>POR TBL NOB 30X4MG</t>
  </si>
  <si>
    <t>Metoprolol</t>
  </si>
  <si>
    <t>46980</t>
  </si>
  <si>
    <t>BETALOC SR 200 MG</t>
  </si>
  <si>
    <t>POR TBL PRO 100X200MG</t>
  </si>
  <si>
    <t>Nimesulid</t>
  </si>
  <si>
    <t>12891</t>
  </si>
  <si>
    <t>AULIN</t>
  </si>
  <si>
    <t>POR TBL NOB 15X100MG</t>
  </si>
  <si>
    <t>Sumatriptan</t>
  </si>
  <si>
    <t>14786</t>
  </si>
  <si>
    <t>ROSEMIG 100 MG</t>
  </si>
  <si>
    <t>POR TBL FLM 2X100MG</t>
  </si>
  <si>
    <t>Telmisartan a diuretika</t>
  </si>
  <si>
    <t>26578</t>
  </si>
  <si>
    <t>MICARDISPLUS 80/12,5 MG</t>
  </si>
  <si>
    <t>Antitusika a expektorancia</t>
  </si>
  <si>
    <t>95459</t>
  </si>
  <si>
    <t>STOPTUSSIN TABLETY</t>
  </si>
  <si>
    <t>POR TBL NOB 20</t>
  </si>
  <si>
    <t>Diosmin, kombinace</t>
  </si>
  <si>
    <t>201992</t>
  </si>
  <si>
    <t>DETRALEX</t>
  </si>
  <si>
    <t>POR TBL FLM 120X500MG</t>
  </si>
  <si>
    <t>48261</t>
  </si>
  <si>
    <t>PLV ADS 1X20GM</t>
  </si>
  <si>
    <t>Levocetirizin</t>
  </si>
  <si>
    <t>124346</t>
  </si>
  <si>
    <t>CEZERA 5 MG</t>
  </si>
  <si>
    <t>POR TBL FLM 90X5MG</t>
  </si>
  <si>
    <t>13888</t>
  </si>
  <si>
    <t>LOZAP 12,5 ZENTIVA</t>
  </si>
  <si>
    <t>POR TBL FLM 90X12.5MG</t>
  </si>
  <si>
    <t>12894</t>
  </si>
  <si>
    <t>POR GRA SUS 15SÁČ I</t>
  </si>
  <si>
    <t>Ramipril</t>
  </si>
  <si>
    <t>56977</t>
  </si>
  <si>
    <t>TRITACE 2,5 MG</t>
  </si>
  <si>
    <t>POR TBL NOB 30X2.5MG</t>
  </si>
  <si>
    <t>Ranitidin</t>
  </si>
  <si>
    <t>91280</t>
  </si>
  <si>
    <t>RANITAL 150 MG POTAHOVANÉ TABLETY</t>
  </si>
  <si>
    <t>POR TBL FLM 30X150MG</t>
  </si>
  <si>
    <t>146891</t>
  </si>
  <si>
    <t>ZOLPIDEM MYLAN</t>
  </si>
  <si>
    <t>POR TBL FLM 14X10MG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</si>
  <si>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</si>
  <si>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</si>
  <si>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</si>
  <si>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C09BA05 - Ramipril a diuretika</t>
  </si>
  <si>
    <t>C09CA07 - Telmisartan</t>
  </si>
  <si>
    <t>C07AB02 - Metoprolol</t>
  </si>
  <si>
    <t>H03AA01 - Levothyroxin, sodná sůl</t>
  </si>
  <si>
    <t>C10AA07 - Rosuvastatin</t>
  </si>
  <si>
    <t>J01FA09 - Klarithromycin</t>
  </si>
  <si>
    <t>M01AX17 - Nimesulid</t>
  </si>
  <si>
    <t>C09AA05 - Ramipril</t>
  </si>
  <si>
    <t>H02AB04 - Methylprednisolon</t>
  </si>
  <si>
    <t>A10BA02 - Metformin</t>
  </si>
  <si>
    <t>J01CR02 - Amoxicilin a enzymový inhibitor</t>
  </si>
  <si>
    <t>C09CA01 - Losartan</t>
  </si>
  <si>
    <t>J01FA10 - Azithromycin</t>
  </si>
  <si>
    <t>N02CC01 - Sumatriptan</t>
  </si>
  <si>
    <t>B01AC04 - Klopidogrel</t>
  </si>
  <si>
    <t>R06AE09 - Levocetirizin</t>
  </si>
  <si>
    <t>A02BA02 - Ranitidin</t>
  </si>
  <si>
    <t>C10AA05 - Atorvastatin</t>
  </si>
  <si>
    <t>C10AA07</t>
  </si>
  <si>
    <t>C09BA05</t>
  </si>
  <si>
    <t>C09CA01</t>
  </si>
  <si>
    <t>J01CR02</t>
  </si>
  <si>
    <t>J01FA10</t>
  </si>
  <si>
    <t>B01AC04</t>
  </si>
  <si>
    <t>C09CA07</t>
  </si>
  <si>
    <t>C10AA05</t>
  </si>
  <si>
    <t>H03AA01</t>
  </si>
  <si>
    <t>J01FA09</t>
  </si>
  <si>
    <t>A10BA02</t>
  </si>
  <si>
    <t>C07AB02</t>
  </si>
  <si>
    <t>H02AB04</t>
  </si>
  <si>
    <t>M01AX17</t>
  </si>
  <si>
    <t>N02CC01</t>
  </si>
  <si>
    <t>A02BA02</t>
  </si>
  <si>
    <t>C09AA05</t>
  </si>
  <si>
    <t>R06AE09</t>
  </si>
  <si>
    <t>Přehled plnění PL - Preskripce léčivých přípravků - orientační přehled</t>
  </si>
  <si>
    <t>1922</t>
  </si>
  <si>
    <t>ambulance - péče o zaměstnance FNO</t>
  </si>
  <si>
    <t>ambulance - péče o zaměstnance FNO Celkem</t>
  </si>
  <si>
    <t>ZA318</t>
  </si>
  <si>
    <t>Náplast transpore 1,25 cm x 9,14 m 1527-0</t>
  </si>
  <si>
    <t>ZA446</t>
  </si>
  <si>
    <t>Vata buničitá přířezy 20 x 30 cm 1230200129</t>
  </si>
  <si>
    <t>ZB404</t>
  </si>
  <si>
    <t>Náplast cosmos 8 cm x 1m 5403353</t>
  </si>
  <si>
    <t>ZC100</t>
  </si>
  <si>
    <t>Vata buničitá dělená 2 role / 500 ks 40 x 50 mm 1230200310</t>
  </si>
  <si>
    <t>ZA762</t>
  </si>
  <si>
    <t>Pohár na moč 100 ml UH 712252</t>
  </si>
  <si>
    <t>ZA788</t>
  </si>
  <si>
    <t>Stříkačka injekční 2-dílná 20 ml L Inject Solo 4606205V</t>
  </si>
  <si>
    <t>ZB756</t>
  </si>
  <si>
    <t>Zkumavka 3 ml K3 edta fialová 454086</t>
  </si>
  <si>
    <t>ZB759</t>
  </si>
  <si>
    <t>Zkumavka červená 8 ml gel 455071</t>
  </si>
  <si>
    <t>ZB763</t>
  </si>
  <si>
    <t>Zkumavka červená 9 ml 455092</t>
  </si>
  <si>
    <t>ZB771</t>
  </si>
  <si>
    <t>Držák jehly základní 450201</t>
  </si>
  <si>
    <t>ZB773</t>
  </si>
  <si>
    <t>Zkumavka šedá-glykemie 454085</t>
  </si>
  <si>
    <t>ZB775</t>
  </si>
  <si>
    <t>Zkumavka koagulace 4 ml modrá 454328</t>
  </si>
  <si>
    <t>ZB776</t>
  </si>
  <si>
    <t>Zkumavka zelená 3 ml 454082</t>
  </si>
  <si>
    <t>ZB777</t>
  </si>
  <si>
    <t>Zkumavka červená 4 ml gel 454071</t>
  </si>
  <si>
    <t>ZD903</t>
  </si>
  <si>
    <t>Kontejner+lopatka 30 ml nesterilní 331690251330</t>
  </si>
  <si>
    <t>ZF159</t>
  </si>
  <si>
    <t>Nádoba na kontaminovaný odpad 1 l 15-0002</t>
  </si>
  <si>
    <t>ZG515</t>
  </si>
  <si>
    <t>Zkumavka močová vacuette 10,5 ml bal. á 50 ks 331980455007</t>
  </si>
  <si>
    <t>ZI179</t>
  </si>
  <si>
    <t>Zkumavka s mediem+ flovakovaný tampon eSwab růžový 490CE.A</t>
  </si>
  <si>
    <t>ZB268</t>
  </si>
  <si>
    <t>Stojan sedimentační 836 072</t>
  </si>
  <si>
    <t>ZG466</t>
  </si>
  <si>
    <t>Náústek pro spirometr 26/24 flowscreen bal. á 100 ks 400847690</t>
  </si>
  <si>
    <t>ZA715</t>
  </si>
  <si>
    <t>Set infuzní intrafix 4062957</t>
  </si>
  <si>
    <t>ZA360</t>
  </si>
  <si>
    <t>Jehla sterican 0,5 x 25 mm oranžová 9186158</t>
  </si>
  <si>
    <t>ZB768</t>
  </si>
  <si>
    <t>Jehla vakuová 216/38 mm zelená 450076</t>
  </si>
  <si>
    <t>ZL949</t>
  </si>
  <si>
    <t>Rukavice nitril promedica bez p. L bílé 6N á 100 ks 9399W4</t>
  </si>
  <si>
    <t>DG211</t>
  </si>
  <si>
    <t>HEPTAPHAN, DIAG.PROUZKY 50 ks</t>
  </si>
  <si>
    <t>ZH011</t>
  </si>
  <si>
    <t>Náplast micropore 1,25 cm x 9,14 m bal. á 24 ks 1530-0</t>
  </si>
  <si>
    <t>ZL684</t>
  </si>
  <si>
    <t>Náplast santiband standard poinjekční jednotl. baleno 19 mm x 72 mm 652</t>
  </si>
  <si>
    <t>ZL790</t>
  </si>
  <si>
    <t>Obvaz sterilní hotový č. 3 A4101144</t>
  </si>
  <si>
    <t>ZL996</t>
  </si>
  <si>
    <t>Obinadlo hyrofilní sterilní  8 cm x 5 m  004310182</t>
  </si>
  <si>
    <t>ZL995</t>
  </si>
  <si>
    <t>Obinadlo hyrofilní sterilní  6 cm x 5 m  004310190</t>
  </si>
  <si>
    <t>ZL999</t>
  </si>
  <si>
    <t>Rychloobvaz 8 x 4 cm / 3 ks ( pro obj. 1 kus = 3 náplasti) 001445510</t>
  </si>
  <si>
    <t>ZA727</t>
  </si>
  <si>
    <t>Kontejner 30 ml sterilní 331690251750</t>
  </si>
  <si>
    <t>ZA728</t>
  </si>
  <si>
    <t>Lopatka lékařská nesterilní 1320100655</t>
  </si>
  <si>
    <t>ZB724</t>
  </si>
  <si>
    <t>Kapilára sedimentační kalibrovaná 727111</t>
  </si>
  <si>
    <t>ZB754</t>
  </si>
  <si>
    <t>Zkumavka černá 2 ml 454073</t>
  </si>
  <si>
    <t>ZB761</t>
  </si>
  <si>
    <t>Zkumavka červená 4 ml 454092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</si>
  <si>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</si>
  <si>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</si>
  <si>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</si>
  <si>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</si>
  <si>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</si>
  <si>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</si>
  <si>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</si>
  <si>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</si>
  <si>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</si>
  <si>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</si>
  <si>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50115020</t>
  </si>
  <si>
    <t>Diagnostika (132 03 001)</t>
  </si>
  <si>
    <t>PRAC, ambulance - péče o zaměstnance FNO</t>
  </si>
  <si>
    <t>Spotřeba zdravotnického materiálu - orientační přehled</t>
  </si>
  <si>
    <t>ON Data</t>
  </si>
  <si>
    <t>401 - Pracoviště pracovního lékařství</t>
  </si>
  <si>
    <t>902 - Samostatné pracoviště fyzioterapeutů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</si>
  <si>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</si>
  <si>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</si>
  <si>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</si>
  <si>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</si>
  <si>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401</t>
  </si>
  <si>
    <t>1</t>
  </si>
  <si>
    <t>0000498</t>
  </si>
  <si>
    <t>MAGNESIUM SULFURICUM BIOTIKA 10%</t>
  </si>
  <si>
    <t>0000499</t>
  </si>
  <si>
    <t>MAGNESIUM SULFURICUM BIOTIKA 20%</t>
  </si>
  <si>
    <t>0000527</t>
  </si>
  <si>
    <t>NATRIUM SALICYLICUM BIOTIKA</t>
  </si>
  <si>
    <t>0007981</t>
  </si>
  <si>
    <t>NOVALGIN INJEKCE</t>
  </si>
  <si>
    <t>0058249</t>
  </si>
  <si>
    <t>GUAJACURAN 5%</t>
  </si>
  <si>
    <t>0058712</t>
  </si>
  <si>
    <t>INFUSIO NATRII CHLORATI ISOTONICA MEDIEKOS F 1/1</t>
  </si>
  <si>
    <t>0083947</t>
  </si>
  <si>
    <t>0089212</t>
  </si>
  <si>
    <t>INJECTIO PROCAINII CHLORATI 0,2% ARDEAPHARMA</t>
  </si>
  <si>
    <t>V</t>
  </si>
  <si>
    <t>01195</t>
  </si>
  <si>
    <t>02110</t>
  </si>
  <si>
    <t>02130</t>
  </si>
  <si>
    <t>OČKOVÁNÍ V PŘÍPADECH, KDY OČKOVACÍ LÁTKA JE HRAZEN</t>
  </si>
  <si>
    <t>02156</t>
  </si>
  <si>
    <t>09127</t>
  </si>
  <si>
    <t>EKG VYŠETŘENÍ</t>
  </si>
  <si>
    <t>09511</t>
  </si>
  <si>
    <t>MINIMÁLNÍ KONTAKT LÉKAŘE S PACIENTEM</t>
  </si>
  <si>
    <t>09532</t>
  </si>
  <si>
    <t>PROHLÍDKA OSOBY DISPENZARIZOVANÉ</t>
  </si>
  <si>
    <t>09550</t>
  </si>
  <si>
    <t>SIGNÁLNÍ VÝKON - INFORMACE O VYDÁNÍ ROZHODNUTÍ O D</t>
  </si>
  <si>
    <t>09551</t>
  </si>
  <si>
    <t>SIGNÁLNÍ VÝKON - INFORMACE O VYDÁNÍ ROZHODNUTÍ O U</t>
  </si>
  <si>
    <t>12110</t>
  </si>
  <si>
    <t>FUNKČNÍ TEPENNÉ TESTY</t>
  </si>
  <si>
    <t>12230</t>
  </si>
  <si>
    <t>PLETYSMOGRAFICKÉ METODY JEDNODUCHÉ (NA JEDNÉ KONČE</t>
  </si>
  <si>
    <t>21115</t>
  </si>
  <si>
    <t>FYZIKÁLNÍ TERAPIE III</t>
  </si>
  <si>
    <t>41023</t>
  </si>
  <si>
    <t>KONTROLNÍ VYŠETŘENÍ PRACOVNÍM LÉKAŘEM</t>
  </si>
  <si>
    <t>09547</t>
  </si>
  <si>
    <t>REGULAČNÍ POPLATEK -- POJIŠTĚNEC OD ÚHRADY POPLATK</t>
  </si>
  <si>
    <t>25213</t>
  </si>
  <si>
    <t>SPIROMETRIE (OBVYKLE METODOU PRŮTOK - OBJEM)</t>
  </si>
  <si>
    <t>09543</t>
  </si>
  <si>
    <t>REGULAČNÍ POPLATEK ZA NÁVŠTĚVU -- POPLATEK UHRAZEN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</si>
  <si>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</si>
  <si>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</si>
  <si>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</si>
  <si>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</si>
  <si>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</si>
  <si>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</si>
  <si>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09223</t>
  </si>
  <si>
    <t>INTRAVENÓZNÍ INFÚZE U DOSPĚLÉHO NEBO DÍTĚTE NAD 10</t>
  </si>
  <si>
    <t>09513</t>
  </si>
  <si>
    <t>TELEFONICKÁ KONZULTACE OŠETŘUJÍCÍHO LÉKAŘE PACIENT</t>
  </si>
  <si>
    <t>41022</t>
  </si>
  <si>
    <t>CÍLENÉ VYŠETŘENÍ PRACOVNÍM LÉKAŘEM</t>
  </si>
  <si>
    <t>09523</t>
  </si>
  <si>
    <t>EDUKAČNÍ POHOVOR LÉKAŘE S NEMOCNÝM ČI RODINOU</t>
  </si>
  <si>
    <t>09125</t>
  </si>
  <si>
    <t>PULZNÍ OXYMETRIE</t>
  </si>
  <si>
    <t>09133</t>
  </si>
  <si>
    <t>SEDIMENTACE ERYTROCYTŮ</t>
  </si>
  <si>
    <t>09115</t>
  </si>
  <si>
    <t>ODBĚR BIOLOGICKÉHO MATERIÁLU JINÉHO NEŽ KREV NA KV</t>
  </si>
  <si>
    <t>12232</t>
  </si>
  <si>
    <t xml:space="preserve">PLETYSMOGRAFICKÉ METODY ZÁTĚŽOVÉ A SLOŽITĚJŠÍ (NA </t>
  </si>
  <si>
    <t>41021</t>
  </si>
  <si>
    <t>KOMPLEXNÍ VYŠETŘENÍ PRACOVNÍM LÉKAŘEM</t>
  </si>
  <si>
    <t>41040</t>
  </si>
  <si>
    <t>POSOUZENÍ ZDRAVOTNÍHO STAVU Z HLEDISKA PROFESIONÁL</t>
  </si>
  <si>
    <t>01193</t>
  </si>
  <si>
    <t>902</t>
  </si>
  <si>
    <t>Zdravotní výkony + ZUM + ZULP vykázané na pracovišti v rámci ambulantní péče - orientační přehled</t>
  </si>
  <si>
    <t>03 - III. INTERNÍ  KLINIKA</t>
  </si>
  <si>
    <t>05 - II. CHIRURGICKÁ KLINIKA</t>
  </si>
  <si>
    <t>16 - KLINIKA PLICNÍCH NEMOCÍ A TUBERKULÓZY</t>
  </si>
  <si>
    <t>17 - NEUROLOGICKÁ KLINIKA</t>
  </si>
  <si>
    <t>19 - KLINIKA PRACOVNÍHO LÉKAŘSTVÍ</t>
  </si>
  <si>
    <t>03</t>
  </si>
  <si>
    <t>05</t>
  </si>
  <si>
    <t>16</t>
  </si>
  <si>
    <t>17</t>
  </si>
  <si>
    <t>4F1</t>
  </si>
  <si>
    <t>00601</t>
  </si>
  <si>
    <t>OD TYPU 01 - PRO NEMOCNICE TYPU 3, (KATEGORIE 6)</t>
  </si>
  <si>
    <t>00880</t>
  </si>
  <si>
    <t>ROZLIŠENÍ VYKÁZANÉ HOSPITALIZACE JAKO: = NOVÁ HOSP</t>
  </si>
  <si>
    <t>09544</t>
  </si>
  <si>
    <t>REGULAČNÍ POPLATEK ZA KAŽDÝ DEN LŮŽKOVÉ PÉČE -- PO</t>
  </si>
  <si>
    <t>Zdravotní výkony vykázané na pracovišti pro pacienty hospitalizované ve FNOL - orientační přehled</t>
  </si>
  <si>
    <t>22 - KLINIKA NUKLEÁRNÍ MEDICÍNY</t>
  </si>
  <si>
    <t>32 - HEMATO-ONKOLOGICKÁ KLINIKA</t>
  </si>
  <si>
    <t>33 - ODDĚLENÍ KLINICKÉ BIOCHEMIE</t>
  </si>
  <si>
    <t>34 - KLINIKA RADIOLOGICKÁ</t>
  </si>
  <si>
    <t>35 - TRANSFÚZNÍ ODDĚLENÍ</t>
  </si>
  <si>
    <t>37 - ÚSTAV PATOLOGIE</t>
  </si>
  <si>
    <t>40 - ÚSTAV MIKROBIOLOGIE</t>
  </si>
  <si>
    <t>41 - ÚSTAV IMUNOLOGIE</t>
  </si>
  <si>
    <t>22</t>
  </si>
  <si>
    <t>407</t>
  </si>
  <si>
    <t>2</t>
  </si>
  <si>
    <t>0002087</t>
  </si>
  <si>
    <t>32</t>
  </si>
  <si>
    <t>818</t>
  </si>
  <si>
    <t>96167</t>
  </si>
  <si>
    <t>KREVNÍ OBRAZ S PĚTI POPULAČNÍM DIFERENCIÁLNÍM POČT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</si>
  <si>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</si>
  <si>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</si>
  <si>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</si>
  <si>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</si>
  <si>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</si>
  <si>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</si>
  <si>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96315</t>
  </si>
  <si>
    <t>ANALÝZA KREVNÍHO NÁTĚRU PANOPTICKY OBARVENÉHO. IND</t>
  </si>
  <si>
    <t>96325</t>
  </si>
  <si>
    <t>FIBRINOGEN (SÉRIE)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</si>
  <si>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</si>
  <si>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</si>
  <si>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</si>
  <si>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</si>
  <si>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</si>
  <si>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</si>
  <si>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</si>
  <si>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</si>
  <si>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</si>
  <si>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</si>
  <si>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</si>
  <si>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</si>
  <si>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</si>
  <si>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</si>
  <si>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81237</t>
  </si>
  <si>
    <t>TROPONIN - T NEBO I ELISA</t>
  </si>
  <si>
    <t>81397</t>
  </si>
  <si>
    <t>ELEKTROFORÉZA PROTEINŮ (SÉRUM)</t>
  </si>
  <si>
    <t>81427</t>
  </si>
  <si>
    <t>FOSFOR ANORGANICKÝ</t>
  </si>
  <si>
    <t>81447</t>
  </si>
  <si>
    <t>GLYKOVANÉ PROTEINY</t>
  </si>
  <si>
    <t>81527</t>
  </si>
  <si>
    <t>CHOLESTEROL LDL</t>
  </si>
  <si>
    <t>81537</t>
  </si>
  <si>
    <t>LIPOPROTEINY - ELEKTROFORÉZA</t>
  </si>
  <si>
    <t>81541</t>
  </si>
  <si>
    <t>LIPOPROTEIN - Lp (a)</t>
  </si>
  <si>
    <t>81641</t>
  </si>
  <si>
    <t>ŽELEZO CELKOVÉ</t>
  </si>
  <si>
    <t>91397</t>
  </si>
  <si>
    <t>ELEKTROFORESA S NÁSLEDNOU IMUNOFIXACÍ (KOMPLEX - I</t>
  </si>
  <si>
    <t>91495</t>
  </si>
  <si>
    <t>AUTOPROTILÁTKY PROTI GAD</t>
  </si>
  <si>
    <t>93161</t>
  </si>
  <si>
    <t>INZULÍN</t>
  </si>
  <si>
    <t>93187</t>
  </si>
  <si>
    <t>TYROXIN CELKOVÝ (TT4)</t>
  </si>
  <si>
    <t>81135</t>
  </si>
  <si>
    <t>SODÍK STATIM</t>
  </si>
  <si>
    <t>81473</t>
  </si>
  <si>
    <t>CHOLESTEROL HDL</t>
  </si>
  <si>
    <t>93189</t>
  </si>
  <si>
    <t>TYROXIN VOLNÝ (FT4)</t>
  </si>
  <si>
    <t>81585</t>
  </si>
  <si>
    <t>ACIDOBAZICKÁ ROVNOVÁHA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</si>
  <si>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</si>
  <si>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</si>
  <si>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</si>
  <si>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</si>
  <si>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</si>
  <si>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</si>
  <si>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</si>
  <si>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</si>
  <si>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</si>
  <si>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</si>
  <si>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81169</t>
  </si>
  <si>
    <t>KREATININ STATIM</t>
  </si>
  <si>
    <t>81495</t>
  </si>
  <si>
    <t>KREATINKINÁZA (CK)</t>
  </si>
  <si>
    <t>81449</t>
  </si>
  <si>
    <t>GLYKOVANÝ HEMOGLOBIN</t>
  </si>
  <si>
    <t>81173</t>
  </si>
  <si>
    <t>LIPÁZA STATIM</t>
  </si>
  <si>
    <t>93195</t>
  </si>
  <si>
    <t>TYREOTROPIN (TSH)</t>
  </si>
  <si>
    <t>81329</t>
  </si>
  <si>
    <t>ALBUMIN (SÉRUM)</t>
  </si>
  <si>
    <t>81345</t>
  </si>
  <si>
    <t>AMYLÁZA</t>
  </si>
  <si>
    <t>81625</t>
  </si>
  <si>
    <t>VÁPNÍK CELKOVÝ</t>
  </si>
  <si>
    <t>81465</t>
  </si>
  <si>
    <t>HOŘČÍK</t>
  </si>
  <si>
    <t>93263</t>
  </si>
  <si>
    <t>KARBOHYDRÁT-DEFICIENTNÍ TRANSFERIN (CDT)</t>
  </si>
  <si>
    <t>81369</t>
  </si>
  <si>
    <t>BÍLKOVINA KVANTITATIVNĚ (MOČ, MOZKOM. MOK, VÝPOTEK</t>
  </si>
  <si>
    <t>93145</t>
  </si>
  <si>
    <t>C-PEPTID</t>
  </si>
  <si>
    <t>81355</t>
  </si>
  <si>
    <t>APOLIPOPROTEINY AI NEBO B</t>
  </si>
  <si>
    <t>81375</t>
  </si>
  <si>
    <t>KRYOGLOBULINY KVANTITATIVNĚ</t>
  </si>
  <si>
    <t>81443</t>
  </si>
  <si>
    <t>GLUKOZOVÝ TOLERANČNÍ TEST (WHO)</t>
  </si>
  <si>
    <t>34</t>
  </si>
  <si>
    <t>809</t>
  </si>
  <si>
    <t>0077019</t>
  </si>
  <si>
    <t>ULTRAVIST 370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</si>
  <si>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</si>
  <si>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</si>
  <si>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</si>
  <si>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</si>
  <si>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</si>
  <si>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</si>
  <si>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89127</t>
  </si>
  <si>
    <t>RTG KOSTÍ A KLOUBŮ KONČETIN</t>
  </si>
  <si>
    <t>89131</t>
  </si>
  <si>
    <t>RTG HRUDNÍKU</t>
  </si>
  <si>
    <t>89111</t>
  </si>
  <si>
    <t>RTG PRSTŮ A ZÁPRSTNÍCH KŮSTEK RUKY NEBO NOHY</t>
  </si>
  <si>
    <t>89115</t>
  </si>
  <si>
    <t>RTG LEBKY, PŘEHLEDNÉ SNÍMKY</t>
  </si>
  <si>
    <t>89611</t>
  </si>
  <si>
    <t>CT VYŠETŘENÍ HLAVY NEBO TĚLA NATIVNÍ A KONTRASTNÍ</t>
  </si>
  <si>
    <t>35</t>
  </si>
  <si>
    <t>222</t>
  </si>
  <si>
    <t>22219</t>
  </si>
  <si>
    <t>SCREENING ANTIERYTROCYTÁRNÍCH PROTILÁTEK - V SÉRII</t>
  </si>
  <si>
    <t>22339</t>
  </si>
  <si>
    <t>TITRACE ANTIERYTROCYTÁRNÍCH PROTILÁTEK</t>
  </si>
  <si>
    <t>22131</t>
  </si>
  <si>
    <t>VYŠETŘENÍ CHLADOVÝCH AGLUTININŮ</t>
  </si>
  <si>
    <t>22341</t>
  </si>
  <si>
    <t>IDENTIFIKACE ANTIERYTROCYTÁRNÍCH PROTILÁTEK - ZKUM</t>
  </si>
  <si>
    <t>37</t>
  </si>
  <si>
    <t>807</t>
  </si>
  <si>
    <t>87523</t>
  </si>
  <si>
    <t>STANOVENÍ BIOPTICKÉ DIAGNÓZY III. STUPNĚ OBTÍŽNOST</t>
  </si>
  <si>
    <t>87613</t>
  </si>
  <si>
    <t>TECHNICKO ADMINISTRATIVNÍ KOMPONENTA BIOPSIE (STAN</t>
  </si>
  <si>
    <t>87129</t>
  </si>
  <si>
    <t>VÍCEČETNÉ MALÉ BIOPTICKÉ VZORKY: MAKROSKOPICKÉ POS</t>
  </si>
  <si>
    <t>40</t>
  </si>
  <si>
    <t>802</t>
  </si>
  <si>
    <t>82057</t>
  </si>
  <si>
    <t>IDENTIFIKACE KMENE ORIENTAČNÍ JEDNODUCHÝM TESTEM</t>
  </si>
  <si>
    <t>82087</t>
  </si>
  <si>
    <t>STANOVENÍ PROTILÁTEK AGLUTINACÍ</t>
  </si>
  <si>
    <t>82065</t>
  </si>
  <si>
    <t>STANOVENÍ CITLIVOSTI NA ATB KVANTITATIVNÍ METODOU</t>
  </si>
  <si>
    <t>82079</t>
  </si>
  <si>
    <t>STANOVENÍ PROTILÁTEK PROTI ANTIGENŮM VIRŮ (MIMO VI</t>
  </si>
  <si>
    <t>91399</t>
  </si>
  <si>
    <t>CHARAKTERISTIKA ANTIGENŮ A PROTILÁTEK ELEKTROFORÉZ</t>
  </si>
  <si>
    <t>41</t>
  </si>
  <si>
    <t>813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</si>
  <si>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</si>
  <si>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</si>
  <si>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</si>
  <si>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</si>
  <si>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</si>
  <si>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- JINÉ SUBSTRÁTY</t>
  </si>
  <si>
    <t>91501</t>
  </si>
  <si>
    <t>STANOVENÍ HLADIN REVMATOIDNÍHO FAKTORU (RF) NEFELO</t>
  </si>
  <si>
    <t>91355</t>
  </si>
  <si>
    <t>STANOVENÍ CIK METODOU PEG-IKEM</t>
  </si>
  <si>
    <t>91289</t>
  </si>
  <si>
    <t>STANOVENÍ REVMATOIDNÍHO FAKTORU IgA ELISA</t>
  </si>
  <si>
    <t>Zdravotní výkony (vybraných odborností) vyžádané pro pacienty hospitalizované na vlastním pracovišti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</si>
</sst>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588">
    <xf numFmtId="0" fontId="0" fillId="0" borderId="0" xfId="0"/>
    <xf numFmtId="0" fontId="28" fillId="2" borderId="16" xfId="81" applyFont="1" applyFill="1" applyBorder="1"/>
    <xf numFmtId="0" fontId="29" fillId="2" borderId="17" xfId="81" applyFont="1" applyFill="1" applyBorder="1"/>
    <xf numFmtId="3" fontId="29" fillId="2" borderId="18" xfId="81" applyNumberFormat="1" applyFont="1" applyFill="1" applyBorder="1"/>
    <xf numFmtId="0" fontId="29" fillId="4" borderId="17" xfId="81" applyFont="1" applyFill="1" applyBorder="1"/>
    <xf numFmtId="3" fontId="29" fillId="4" borderId="18" xfId="81" applyNumberFormat="1" applyFont="1" applyFill="1" applyBorder="1"/>
    <xf numFmtId="172" fontId="29" fillId="3" borderId="18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3" xfId="81" applyNumberFormat="1" applyFont="1" applyFill="1" applyBorder="1"/>
    <xf numFmtId="3" fontId="28" fillId="5" borderId="7" xfId="81" applyNumberFormat="1" applyFont="1" applyFill="1" applyBorder="1"/>
    <xf numFmtId="3" fontId="28" fillId="5" borderId="11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2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5" fillId="2" borderId="33" xfId="0" applyFont="1" applyFill="1" applyBorder="1" applyAlignment="1">
      <alignment vertical="top"/>
    </xf>
    <xf numFmtId="0" fontId="39" fillId="2" borderId="33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8" fillId="2" borderId="7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9" fillId="2" borderId="20" xfId="0" applyFont="1" applyFill="1" applyBorder="1" applyAlignment="1">
      <alignment horizontal="center" vertical="center" wrapText="1"/>
    </xf>
    <xf numFmtId="0" fontId="39" fillId="2" borderId="22" xfId="0" applyFont="1" applyFill="1" applyBorder="1" applyAlignment="1">
      <alignment horizontal="center" vertical="center" wrapText="1"/>
    </xf>
    <xf numFmtId="0" fontId="37" fillId="2" borderId="22" xfId="0" applyFont="1" applyFill="1" applyBorder="1" applyAlignment="1">
      <alignment horizontal="center" vertical="center" wrapText="1"/>
    </xf>
    <xf numFmtId="3" fontId="28" fillId="5" borderId="3" xfId="81" applyNumberFormat="1" applyFont="1" applyFill="1" applyBorder="1"/>
    <xf numFmtId="3" fontId="28" fillId="5" borderId="28" xfId="81" applyNumberFormat="1" applyFont="1" applyFill="1" applyBorder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9" xfId="81" applyNumberFormat="1" applyFont="1" applyFill="1" applyBorder="1"/>
    <xf numFmtId="3" fontId="28" fillId="5" borderId="12" xfId="81" applyNumberFormat="1" applyFont="1" applyFill="1" applyBorder="1"/>
    <xf numFmtId="3" fontId="28" fillId="5" borderId="13" xfId="81" applyNumberFormat="1" applyFont="1" applyFill="1" applyBorder="1"/>
    <xf numFmtId="3" fontId="29" fillId="2" borderId="26" xfId="81" applyNumberFormat="1" applyFont="1" applyFill="1" applyBorder="1"/>
    <xf numFmtId="3" fontId="29" fillId="2" borderId="19" xfId="81" applyNumberFormat="1" applyFont="1" applyFill="1" applyBorder="1"/>
    <xf numFmtId="3" fontId="29" fillId="4" borderId="26" xfId="81" applyNumberFormat="1" applyFont="1" applyFill="1" applyBorder="1"/>
    <xf numFmtId="3" fontId="29" fillId="4" borderId="19" xfId="81" applyNumberFormat="1" applyFont="1" applyFill="1" applyBorder="1"/>
    <xf numFmtId="172" fontId="29" fillId="3" borderId="26" xfId="81" applyNumberFormat="1" applyFont="1" applyFill="1" applyBorder="1"/>
    <xf numFmtId="172" fontId="29" fillId="3" borderId="19" xfId="81" applyNumberFormat="1" applyFont="1" applyFill="1" applyBorder="1"/>
    <xf numFmtId="0" fontId="32" fillId="2" borderId="24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6" xfId="78" applyNumberFormat="1" applyFont="1" applyFill="1" applyBorder="1" applyAlignment="1">
      <alignment horizontal="right"/>
    </xf>
    <xf numFmtId="9" fontId="29" fillId="0" borderId="26" xfId="78" applyNumberFormat="1" applyFont="1" applyFill="1" applyBorder="1" applyAlignment="1">
      <alignment horizontal="right"/>
    </xf>
    <xf numFmtId="3" fontId="29" fillId="0" borderId="19" xfId="78" applyNumberFormat="1" applyFont="1" applyFill="1" applyBorder="1" applyAlignment="1">
      <alignment horizontal="right"/>
    </xf>
    <xf numFmtId="0" fontId="33" fillId="0" borderId="42" xfId="0" applyFont="1" applyFill="1" applyBorder="1" applyAlignment="1"/>
    <xf numFmtId="0" fontId="41" fillId="0" borderId="0" xfId="0" applyFont="1" applyFill="1" applyBorder="1" applyAlignment="1"/>
    <xf numFmtId="3" fontId="34" fillId="0" borderId="6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5" fillId="0" borderId="4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7" fillId="0" borderId="8" xfId="0" applyNumberFormat="1" applyFont="1" applyFill="1" applyBorder="1" applyAlignment="1">
      <alignment horizontal="right" vertical="top"/>
    </xf>
    <xf numFmtId="3" fontId="34" fillId="0" borderId="31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3" fontId="35" fillId="0" borderId="22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2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0" xfId="79" applyNumberFormat="1" applyFont="1" applyFill="1" applyBorder="1"/>
    <xf numFmtId="9" fontId="3" fillId="0" borderId="40" xfId="79" applyNumberFormat="1" applyFont="1" applyFill="1" applyBorder="1"/>
    <xf numFmtId="9" fontId="3" fillId="0" borderId="41" xfId="79" applyNumberFormat="1" applyFont="1" applyFill="1" applyBorder="1"/>
    <xf numFmtId="0" fontId="3" fillId="0" borderId="35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6" xfId="79" applyFont="1" applyFill="1" applyBorder="1"/>
    <xf numFmtId="0" fontId="3" fillId="0" borderId="37" xfId="79" applyFont="1" applyFill="1" applyBorder="1"/>
    <xf numFmtId="165" fontId="3" fillId="0" borderId="68" xfId="53" applyNumberFormat="1" applyFont="1" applyFill="1" applyBorder="1"/>
    <xf numFmtId="9" fontId="3" fillId="0" borderId="68" xfId="53" applyNumberFormat="1" applyFont="1" applyFill="1" applyBorder="1"/>
    <xf numFmtId="0" fontId="33" fillId="0" borderId="29" xfId="0" applyFont="1" applyFill="1" applyBorder="1" applyAlignment="1"/>
    <xf numFmtId="0" fontId="33" fillId="0" borderId="30" xfId="0" applyFont="1" applyFill="1" applyBorder="1" applyAlignment="1"/>
    <xf numFmtId="0" fontId="33" fillId="0" borderId="60" xfId="0" applyFont="1" applyFill="1" applyBorder="1" applyAlignment="1"/>
    <xf numFmtId="0" fontId="29" fillId="2" borderId="25" xfId="78" applyFont="1" applyFill="1" applyBorder="1" applyAlignment="1">
      <alignment horizontal="right"/>
    </xf>
    <xf numFmtId="3" fontId="29" fillId="2" borderId="59" xfId="78" applyNumberFormat="1" applyFont="1" applyFill="1" applyBorder="1"/>
    <xf numFmtId="0" fontId="3" fillId="2" borderId="18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left"/>
    </xf>
    <xf numFmtId="0" fontId="3" fillId="2" borderId="22" xfId="80" applyFont="1" applyFill="1" applyBorder="1"/>
    <xf numFmtId="0" fontId="3" fillId="2" borderId="21" xfId="80" applyFont="1" applyFill="1" applyBorder="1"/>
    <xf numFmtId="0" fontId="3" fillId="2" borderId="39" xfId="79" applyFont="1" applyFill="1" applyBorder="1"/>
    <xf numFmtId="0" fontId="3" fillId="2" borderId="38" xfId="79" applyFont="1" applyFill="1" applyBorder="1"/>
    <xf numFmtId="0" fontId="3" fillId="2" borderId="66" xfId="53" applyFont="1" applyFill="1" applyBorder="1" applyAlignment="1">
      <alignment horizontal="right"/>
    </xf>
    <xf numFmtId="9" fontId="3" fillId="0" borderId="67" xfId="53" applyNumberFormat="1" applyFont="1" applyFill="1" applyBorder="1"/>
    <xf numFmtId="0" fontId="33" fillId="0" borderId="24" xfId="0" applyFont="1" applyBorder="1" applyAlignment="1"/>
    <xf numFmtId="0" fontId="33" fillId="5" borderId="5" xfId="0" applyFont="1" applyFill="1" applyBorder="1"/>
    <xf numFmtId="0" fontId="33" fillId="5" borderId="9" xfId="0" applyFont="1" applyFill="1" applyBorder="1"/>
    <xf numFmtId="0" fontId="33" fillId="5" borderId="21" xfId="0" applyFont="1" applyFill="1" applyBorder="1"/>
    <xf numFmtId="0" fontId="33" fillId="5" borderId="42" xfId="0" applyFont="1" applyFill="1" applyBorder="1"/>
    <xf numFmtId="0" fontId="33" fillId="5" borderId="48" xfId="0" applyFont="1" applyFill="1" applyBorder="1"/>
    <xf numFmtId="9" fontId="35" fillId="0" borderId="5" xfId="0" applyNumberFormat="1" applyFont="1" applyFill="1" applyBorder="1" applyAlignment="1">
      <alignment horizontal="right" vertical="top"/>
    </xf>
    <xf numFmtId="9" fontId="35" fillId="0" borderId="9" xfId="0" applyNumberFormat="1" applyFont="1" applyFill="1" applyBorder="1" applyAlignment="1">
      <alignment horizontal="right" vertical="top"/>
    </xf>
    <xf numFmtId="9" fontId="37" fillId="0" borderId="9" xfId="0" applyNumberFormat="1" applyFont="1" applyFill="1" applyBorder="1" applyAlignment="1">
      <alignment horizontal="right" vertical="top"/>
    </xf>
    <xf numFmtId="9" fontId="35" fillId="0" borderId="21" xfId="0" applyNumberFormat="1" applyFont="1" applyFill="1" applyBorder="1" applyAlignment="1">
      <alignment horizontal="right" vertical="top"/>
    </xf>
    <xf numFmtId="3" fontId="32" fillId="0" borderId="28" xfId="53" applyNumberFormat="1" applyFont="1" applyFill="1" applyBorder="1"/>
    <xf numFmtId="3" fontId="32" fillId="0" borderId="24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8" xfId="0" applyFont="1" applyFill="1" applyBorder="1" applyAlignment="1">
      <alignment horizontal="center"/>
    </xf>
    <xf numFmtId="3" fontId="3" fillId="0" borderId="67" xfId="53" applyNumberFormat="1" applyFont="1" applyFill="1" applyBorder="1"/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0" fontId="32" fillId="2" borderId="48" xfId="0" applyNumberFormat="1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170" fontId="33" fillId="0" borderId="0" xfId="0" applyNumberFormat="1" applyFont="1" applyFill="1"/>
    <xf numFmtId="0" fontId="32" fillId="2" borderId="44" xfId="74" applyFont="1" applyFill="1" applyBorder="1" applyAlignment="1">
      <alignment horizontal="center"/>
    </xf>
    <xf numFmtId="0" fontId="28" fillId="5" borderId="42" xfId="81" applyFont="1" applyFill="1" applyBorder="1"/>
    <xf numFmtId="0" fontId="32" fillId="2" borderId="22" xfId="81" applyFont="1" applyFill="1" applyBorder="1" applyAlignment="1">
      <alignment horizontal="center"/>
    </xf>
    <xf numFmtId="0" fontId="32" fillId="2" borderId="21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6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8" xfId="0" applyNumberFormat="1" applyFont="1" applyFill="1" applyBorder="1"/>
    <xf numFmtId="3" fontId="33" fillId="0" borderId="23" xfId="0" applyNumberFormat="1" applyFont="1" applyFill="1" applyBorder="1"/>
    <xf numFmtId="3" fontId="33" fillId="0" borderId="7" xfId="0" applyNumberFormat="1" applyFont="1" applyFill="1" applyBorder="1"/>
    <xf numFmtId="3" fontId="33" fillId="0" borderId="8" xfId="0" applyNumberFormat="1" applyFont="1" applyFill="1" applyBorder="1"/>
    <xf numFmtId="3" fontId="33" fillId="0" borderId="11" xfId="0" applyNumberFormat="1" applyFont="1" applyFill="1" applyBorder="1"/>
    <xf numFmtId="3" fontId="33" fillId="0" borderId="12" xfId="0" applyNumberFormat="1" applyFont="1" applyFill="1" applyBorder="1"/>
    <xf numFmtId="9" fontId="33" fillId="0" borderId="24" xfId="0" applyNumberFormat="1" applyFont="1" applyFill="1" applyBorder="1"/>
    <xf numFmtId="9" fontId="33" fillId="0" borderId="9" xfId="0" applyNumberFormat="1" applyFont="1" applyFill="1" applyBorder="1"/>
    <xf numFmtId="9" fontId="33" fillId="0" borderId="13" xfId="0" applyNumberFormat="1" applyFont="1" applyFill="1" applyBorder="1"/>
    <xf numFmtId="9" fontId="29" fillId="2" borderId="19" xfId="81" applyNumberFormat="1" applyFont="1" applyFill="1" applyBorder="1"/>
    <xf numFmtId="9" fontId="29" fillId="4" borderId="19" xfId="81" applyNumberFormat="1" applyFont="1" applyFill="1" applyBorder="1"/>
    <xf numFmtId="9" fontId="29" fillId="3" borderId="19" xfId="81" applyNumberFormat="1" applyFont="1" applyFill="1" applyBorder="1"/>
    <xf numFmtId="0" fontId="32" fillId="2" borderId="20" xfId="81" applyFont="1" applyFill="1" applyBorder="1" applyAlignment="1">
      <alignment horizontal="center"/>
    </xf>
    <xf numFmtId="49" fontId="38" fillId="2" borderId="8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8" xfId="0" applyFont="1" applyFill="1" applyBorder="1" applyAlignment="1"/>
    <xf numFmtId="0" fontId="33" fillId="0" borderId="0" xfId="0" applyFont="1" applyFill="1" applyAlignment="1"/>
    <xf numFmtId="0" fontId="46" fillId="4" borderId="32" xfId="1" applyFont="1" applyFill="1" applyBorder="1"/>
    <xf numFmtId="0" fontId="46" fillId="4" borderId="16" xfId="1" applyFont="1" applyFill="1" applyBorder="1"/>
    <xf numFmtId="0" fontId="46" fillId="3" borderId="17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8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 wrapText="1"/>
    </xf>
    <xf numFmtId="165" fontId="32" fillId="2" borderId="23" xfId="53" applyNumberFormat="1" applyFont="1" applyFill="1" applyBorder="1" applyAlignment="1">
      <alignment horizontal="right"/>
    </xf>
    <xf numFmtId="0" fontId="3" fillId="2" borderId="28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7" xfId="1" applyFont="1" applyFill="1" applyBorder="1"/>
    <xf numFmtId="0" fontId="46" fillId="3" borderId="3" xfId="1" applyFont="1" applyFill="1" applyBorder="1"/>
    <xf numFmtId="0" fontId="46" fillId="6" borderId="3" xfId="1" applyFont="1" applyFill="1" applyBorder="1"/>
    <xf numFmtId="0" fontId="46" fillId="6" borderId="58" xfId="1" applyFont="1" applyFill="1" applyBorder="1"/>
    <xf numFmtId="0" fontId="46" fillId="2" borderId="3" xfId="1" applyFont="1" applyFill="1" applyBorder="1"/>
    <xf numFmtId="0" fontId="46" fillId="4" borderId="3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1" xfId="0" applyNumberFormat="1" applyFont="1" applyFill="1" applyBorder="1"/>
    <xf numFmtId="3" fontId="40" fillId="2" borderId="53" xfId="0" applyNumberFormat="1" applyFont="1" applyFill="1" applyBorder="1"/>
    <xf numFmtId="9" fontId="40" fillId="2" borderId="59" xfId="0" applyNumberFormat="1" applyFont="1" applyFill="1" applyBorder="1"/>
    <xf numFmtId="0" fontId="50" fillId="2" borderId="17" xfId="1" applyFont="1" applyFill="1" applyBorder="1" applyAlignment="1"/>
    <xf numFmtId="0" fontId="33" fillId="2" borderId="27" xfId="0" applyFont="1" applyFill="1" applyBorder="1" applyAlignment="1"/>
    <xf numFmtId="3" fontId="33" fillId="2" borderId="26" xfId="0" applyNumberFormat="1" applyFont="1" applyFill="1" applyBorder="1" applyAlignment="1"/>
    <xf numFmtId="9" fontId="33" fillId="2" borderId="19" xfId="0" applyNumberFormat="1" applyFont="1" applyFill="1" applyBorder="1" applyAlignment="1"/>
    <xf numFmtId="0" fontId="40" fillId="2" borderId="56" xfId="0" applyFont="1" applyFill="1" applyBorder="1" applyAlignment="1"/>
    <xf numFmtId="0" fontId="33" fillId="0" borderId="6" xfId="0" applyFont="1" applyBorder="1" applyAlignment="1"/>
    <xf numFmtId="3" fontId="33" fillId="0" borderId="4" xfId="0" applyNumberFormat="1" applyFont="1" applyBorder="1" applyAlignment="1"/>
    <xf numFmtId="9" fontId="33" fillId="0" borderId="9" xfId="0" applyNumberFormat="1" applyFont="1" applyBorder="1" applyAlignment="1"/>
    <xf numFmtId="0" fontId="30" fillId="2" borderId="33" xfId="1" applyFont="1" applyFill="1" applyBorder="1" applyAlignment="1">
      <alignment horizontal="left" indent="2"/>
    </xf>
    <xf numFmtId="0" fontId="33" fillId="0" borderId="10" xfId="0" applyFont="1" applyBorder="1" applyAlignment="1"/>
    <xf numFmtId="3" fontId="33" fillId="0" borderId="8" xfId="0" applyNumberFormat="1" applyFont="1" applyBorder="1" applyAlignment="1"/>
    <xf numFmtId="0" fontId="46" fillId="2" borderId="33" xfId="1" applyFont="1" applyFill="1" applyBorder="1" applyAlignment="1">
      <alignment horizontal="left" indent="4"/>
    </xf>
    <xf numFmtId="9" fontId="33" fillId="0" borderId="8" xfId="0" applyNumberFormat="1" applyFont="1" applyBorder="1" applyAlignment="1"/>
    <xf numFmtId="0" fontId="33" fillId="2" borderId="33" xfId="0" applyFont="1" applyFill="1" applyBorder="1" applyAlignment="1">
      <alignment horizontal="left" indent="2"/>
    </xf>
    <xf numFmtId="0" fontId="32" fillId="2" borderId="33" xfId="1" applyFont="1" applyFill="1" applyBorder="1" applyAlignment="1"/>
    <xf numFmtId="0" fontId="46" fillId="2" borderId="33" xfId="1" applyFont="1" applyFill="1" applyBorder="1" applyAlignment="1">
      <alignment horizontal="left" indent="2"/>
    </xf>
    <xf numFmtId="0" fontId="50" fillId="2" borderId="33" xfId="1" applyFont="1" applyFill="1" applyBorder="1" applyAlignment="1"/>
    <xf numFmtId="0" fontId="33" fillId="0" borderId="31" xfId="0" applyFont="1" applyBorder="1" applyAlignment="1"/>
    <xf numFmtId="3" fontId="33" fillId="0" borderId="22" xfId="0" applyNumberFormat="1" applyFont="1" applyBorder="1" applyAlignment="1"/>
    <xf numFmtId="9" fontId="33" fillId="0" borderId="21" xfId="0" applyNumberFormat="1" applyFont="1" applyBorder="1" applyAlignment="1"/>
    <xf numFmtId="0" fontId="40" fillId="0" borderId="42" xfId="0" applyFont="1" applyFill="1" applyBorder="1" applyAlignment="1">
      <alignment horizontal="left" indent="2"/>
    </xf>
    <xf numFmtId="0" fontId="33" fillId="0" borderId="42" xfId="0" applyFont="1" applyBorder="1" applyAlignment="1"/>
    <xf numFmtId="3" fontId="33" fillId="0" borderId="42" xfId="0" applyNumberFormat="1" applyFont="1" applyBorder="1" applyAlignment="1"/>
    <xf numFmtId="9" fontId="33" fillId="0" borderId="42" xfId="0" applyNumberFormat="1" applyFont="1" applyBorder="1" applyAlignment="1"/>
    <xf numFmtId="0" fontId="50" fillId="4" borderId="17" xfId="1" applyFont="1" applyFill="1" applyBorder="1" applyAlignment="1">
      <alignment horizontal="left"/>
    </xf>
    <xf numFmtId="0" fontId="33" fillId="4" borderId="27" xfId="0" applyFont="1" applyFill="1" applyBorder="1" applyAlignment="1"/>
    <xf numFmtId="3" fontId="33" fillId="4" borderId="26" xfId="0" applyNumberFormat="1" applyFont="1" applyFill="1" applyBorder="1" applyAlignment="1"/>
    <xf numFmtId="9" fontId="33" fillId="4" borderId="19" xfId="0" applyNumberFormat="1" applyFont="1" applyFill="1" applyBorder="1" applyAlignment="1"/>
    <xf numFmtId="0" fontId="50" fillId="4" borderId="56" xfId="1" applyFont="1" applyFill="1" applyBorder="1" applyAlignment="1">
      <alignment horizontal="left"/>
    </xf>
    <xf numFmtId="0" fontId="46" fillId="4" borderId="33" xfId="1" applyFont="1" applyFill="1" applyBorder="1" applyAlignment="1">
      <alignment horizontal="left" indent="2"/>
    </xf>
    <xf numFmtId="0" fontId="50" fillId="4" borderId="33" xfId="1" applyFont="1" applyFill="1" applyBorder="1" applyAlignment="1">
      <alignment horizontal="left"/>
    </xf>
    <xf numFmtId="0" fontId="46" fillId="4" borderId="33" xfId="1" applyFont="1" applyFill="1" applyBorder="1" applyAlignment="1">
      <alignment horizontal="left" wrapText="1" indent="2"/>
    </xf>
    <xf numFmtId="0" fontId="33" fillId="4" borderId="34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8" xfId="0" applyNumberFormat="1" applyFont="1" applyBorder="1" applyAlignment="1"/>
    <xf numFmtId="0" fontId="40" fillId="3" borderId="17" xfId="0" applyFont="1" applyFill="1" applyBorder="1" applyAlignment="1"/>
    <xf numFmtId="0" fontId="33" fillId="3" borderId="27" xfId="0" applyFont="1" applyFill="1" applyBorder="1" applyAlignment="1"/>
    <xf numFmtId="3" fontId="33" fillId="3" borderId="26" xfId="0" applyNumberFormat="1" applyFont="1" applyFill="1" applyBorder="1" applyAlignment="1"/>
    <xf numFmtId="9" fontId="33" fillId="3" borderId="19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2" fontId="41" fillId="0" borderId="0" xfId="0" applyNumberFormat="1" applyFont="1" applyFill="1"/>
    <xf numFmtId="173" fontId="41" fillId="0" borderId="0" xfId="0" applyNumberFormat="1" applyFont="1" applyFill="1"/>
    <xf numFmtId="3" fontId="41" fillId="0" borderId="0" xfId="0" applyNumberFormat="1" applyFont="1" applyFill="1"/>
    <xf numFmtId="0" fontId="8" fillId="0" borderId="0" xfId="81" applyFont="1" applyFill="1"/>
    <xf numFmtId="0" fontId="51" fillId="0" borderId="42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5" fontId="33" fillId="0" borderId="0" xfId="0" applyNumberFormat="1" applyFont="1" applyFill="1"/>
    <xf numFmtId="9" fontId="33" fillId="0" borderId="0" xfId="0" applyNumberFormat="1" applyFont="1" applyFill="1"/>
    <xf numFmtId="165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5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6" fontId="33" fillId="0" borderId="0" xfId="0" applyNumberFormat="1" applyFont="1" applyFill="1"/>
    <xf numFmtId="0" fontId="40" fillId="2" borderId="25" xfId="0" applyFont="1" applyFill="1" applyBorder="1" applyAlignment="1">
      <alignment horizontal="right"/>
    </xf>
    <xf numFmtId="170" fontId="40" fillId="0" borderId="18" xfId="0" applyNumberFormat="1" applyFont="1" applyFill="1" applyBorder="1" applyAlignment="1"/>
    <xf numFmtId="170" fontId="40" fillId="0" borderId="26" xfId="0" applyNumberFormat="1" applyFont="1" applyFill="1" applyBorder="1" applyAlignment="1"/>
    <xf numFmtId="9" fontId="40" fillId="0" borderId="19" xfId="0" applyNumberFormat="1" applyFont="1" applyFill="1" applyBorder="1" applyAlignment="1"/>
    <xf numFmtId="170" fontId="40" fillId="0" borderId="27" xfId="0" applyNumberFormat="1" applyFont="1" applyFill="1" applyBorder="1" applyAlignment="1"/>
    <xf numFmtId="9" fontId="40" fillId="0" borderId="50" xfId="0" applyNumberFormat="1" applyFont="1" applyFill="1" applyBorder="1" applyAlignment="1"/>
    <xf numFmtId="170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8" xfId="0" applyNumberFormat="1" applyFont="1" applyFill="1" applyBorder="1" applyAlignment="1"/>
    <xf numFmtId="9" fontId="33" fillId="0" borderId="48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3" fontId="0" fillId="7" borderId="74" xfId="0" applyNumberFormat="1" applyFont="1" applyFill="1" applyBorder="1"/>
    <xf numFmtId="3" fontId="53" fillId="8" borderId="75" xfId="0" applyNumberFormat="1" applyFont="1" applyFill="1" applyBorder="1"/>
    <xf numFmtId="3" fontId="53" fillId="8" borderId="74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40" fillId="2" borderId="78" xfId="0" applyNumberFormat="1" applyFont="1" applyFill="1" applyBorder="1" applyAlignment="1">
      <alignment horizontal="center" vertical="center"/>
    </xf>
    <xf numFmtId="0" fontId="40" fillId="2" borderId="79" xfId="0" applyFont="1" applyFill="1" applyBorder="1" applyAlignment="1">
      <alignment horizontal="center" vertical="center"/>
    </xf>
    <xf numFmtId="3" fontId="55" fillId="2" borderId="81" xfId="0" applyNumberFormat="1" applyFont="1" applyFill="1" applyBorder="1" applyAlignment="1">
      <alignment horizontal="center" vertical="center" wrapText="1"/>
    </xf>
    <xf numFmtId="0" fontId="55" fillId="2" borderId="82" xfId="0" applyFont="1" applyFill="1" applyBorder="1" applyAlignment="1">
      <alignment horizontal="center" vertical="center" wrapText="1"/>
    </xf>
    <xf numFmtId="0" fontId="40" fillId="2" borderId="84" xfId="0" applyFont="1" applyFill="1" applyBorder="1" applyAlignment="1"/>
    <xf numFmtId="0" fontId="40" fillId="2" borderId="86" xfId="0" applyFont="1" applyFill="1" applyBorder="1" applyAlignment="1">
      <alignment horizontal="left" indent="1"/>
    </xf>
    <xf numFmtId="0" fontId="40" fillId="2" borderId="92" xfId="0" applyFont="1" applyFill="1" applyBorder="1" applyAlignment="1">
      <alignment horizontal="left" indent="1"/>
    </xf>
    <xf numFmtId="0" fontId="40" fillId="4" borderId="84" xfId="0" applyFont="1" applyFill="1" applyBorder="1" applyAlignment="1"/>
    <xf numFmtId="0" fontId="40" fillId="4" borderId="86" xfId="0" applyFont="1" applyFill="1" applyBorder="1" applyAlignment="1">
      <alignment horizontal="left" indent="1"/>
    </xf>
    <xf numFmtId="0" fontId="40" fillId="4" borderId="97" xfId="0" applyFont="1" applyFill="1" applyBorder="1" applyAlignment="1">
      <alignment horizontal="left" indent="1"/>
    </xf>
    <xf numFmtId="0" fontId="33" fillId="2" borderId="86" xfId="0" quotePrefix="1" applyFont="1" applyFill="1" applyBorder="1" applyAlignment="1">
      <alignment horizontal="left" indent="2"/>
    </xf>
    <xf numFmtId="0" fontId="33" fillId="2" borderId="92" xfId="0" quotePrefix="1" applyFont="1" applyFill="1" applyBorder="1" applyAlignment="1">
      <alignment horizontal="left" indent="2"/>
    </xf>
    <xf numFmtId="0" fontId="40" fillId="2" borderId="84" xfId="0" applyFont="1" applyFill="1" applyBorder="1" applyAlignment="1">
      <alignment horizontal="left" indent="1"/>
    </xf>
    <xf numFmtId="0" fontId="40" fillId="2" borderId="97" xfId="0" applyFont="1" applyFill="1" applyBorder="1" applyAlignment="1">
      <alignment horizontal="left" indent="1"/>
    </xf>
    <xf numFmtId="0" fontId="40" fillId="4" borderId="92" xfId="0" applyFont="1" applyFill="1" applyBorder="1" applyAlignment="1">
      <alignment horizontal="left" indent="1"/>
    </xf>
    <xf numFmtId="0" fontId="33" fillId="0" borderId="102" xfId="0" applyFont="1" applyBorder="1"/>
    <xf numFmtId="3" fontId="33" fillId="0" borderId="102" xfId="0" applyNumberFormat="1" applyFont="1" applyBorder="1"/>
    <xf numFmtId="0" fontId="40" fillId="4" borderId="76" xfId="0" applyFont="1" applyFill="1" applyBorder="1" applyAlignment="1">
      <alignment horizontal="center" vertical="center"/>
    </xf>
    <xf numFmtId="0" fontId="40" fillId="4" borderId="60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1" xfId="0" applyNumberFormat="1" applyFont="1" applyFill="1" applyBorder="1" applyAlignment="1">
      <alignment horizontal="center" vertical="center"/>
    </xf>
    <xf numFmtId="3" fontId="55" fillId="2" borderId="99" xfId="0" applyNumberFormat="1" applyFont="1" applyFill="1" applyBorder="1" applyAlignment="1">
      <alignment horizontal="center" vertical="center" wrapText="1"/>
    </xf>
    <xf numFmtId="174" fontId="40" fillId="4" borderId="85" xfId="0" applyNumberFormat="1" applyFont="1" applyFill="1" applyBorder="1" applyAlignment="1"/>
    <xf numFmtId="174" fontId="40" fillId="4" borderId="78" xfId="0" applyNumberFormat="1" applyFont="1" applyFill="1" applyBorder="1" applyAlignment="1"/>
    <xf numFmtId="174" fontId="40" fillId="4" borderId="79" xfId="0" applyNumberFormat="1" applyFont="1" applyFill="1" applyBorder="1" applyAlignment="1"/>
    <xf numFmtId="174" fontId="40" fillId="0" borderId="87" xfId="0" applyNumberFormat="1" applyFont="1" applyBorder="1"/>
    <xf numFmtId="174" fontId="33" fillId="0" borderId="91" xfId="0" applyNumberFormat="1" applyFont="1" applyBorder="1"/>
    <xf numFmtId="174" fontId="33" fillId="0" borderId="89" xfId="0" applyNumberFormat="1" applyFont="1" applyBorder="1"/>
    <xf numFmtId="174" fontId="40" fillId="0" borderId="98" xfId="0" applyNumberFormat="1" applyFont="1" applyBorder="1"/>
    <xf numFmtId="174" fontId="33" fillId="0" borderId="99" xfId="0" applyNumberFormat="1" applyFont="1" applyBorder="1"/>
    <xf numFmtId="174" fontId="33" fillId="0" borderId="82" xfId="0" applyNumberFormat="1" applyFont="1" applyBorder="1"/>
    <xf numFmtId="174" fontId="40" fillId="2" borderId="100" xfId="0" applyNumberFormat="1" applyFont="1" applyFill="1" applyBorder="1" applyAlignment="1"/>
    <xf numFmtId="174" fontId="40" fillId="2" borderId="78" xfId="0" applyNumberFormat="1" applyFont="1" applyFill="1" applyBorder="1" applyAlignment="1"/>
    <xf numFmtId="174" fontId="40" fillId="2" borderId="79" xfId="0" applyNumberFormat="1" applyFont="1" applyFill="1" applyBorder="1" applyAlignment="1"/>
    <xf numFmtId="174" fontId="40" fillId="0" borderId="93" xfId="0" applyNumberFormat="1" applyFont="1" applyBorder="1"/>
    <xf numFmtId="174" fontId="33" fillId="0" borderId="94" xfId="0" applyNumberFormat="1" applyFont="1" applyBorder="1"/>
    <xf numFmtId="174" fontId="33" fillId="0" borderId="95" xfId="0" applyNumberFormat="1" applyFont="1" applyBorder="1"/>
    <xf numFmtId="174" fontId="40" fillId="0" borderId="85" xfId="0" applyNumberFormat="1" applyFont="1" applyBorder="1"/>
    <xf numFmtId="174" fontId="33" fillId="0" borderId="101" xfId="0" applyNumberFormat="1" applyFont="1" applyBorder="1"/>
    <xf numFmtId="174" fontId="33" fillId="0" borderId="79" xfId="0" applyNumberFormat="1" applyFont="1" applyBorder="1"/>
    <xf numFmtId="175" fontId="40" fillId="2" borderId="85" xfId="0" applyNumberFormat="1" applyFont="1" applyFill="1" applyBorder="1" applyAlignment="1"/>
    <xf numFmtId="175" fontId="33" fillId="2" borderId="78" xfId="0" applyNumberFormat="1" applyFont="1" applyFill="1" applyBorder="1" applyAlignment="1"/>
    <xf numFmtId="175" fontId="33" fillId="2" borderId="79" xfId="0" applyNumberFormat="1" applyFont="1" applyFill="1" applyBorder="1" applyAlignment="1"/>
    <xf numFmtId="175" fontId="40" fillId="0" borderId="87" xfId="0" applyNumberFormat="1" applyFont="1" applyBorder="1"/>
    <xf numFmtId="175" fontId="33" fillId="0" borderId="88" xfId="0" applyNumberFormat="1" applyFont="1" applyBorder="1"/>
    <xf numFmtId="175" fontId="33" fillId="0" borderId="89" xfId="0" applyNumberFormat="1" applyFont="1" applyBorder="1"/>
    <xf numFmtId="175" fontId="33" fillId="0" borderId="91" xfId="0" applyNumberFormat="1" applyFont="1" applyBorder="1"/>
    <xf numFmtId="175" fontId="40" fillId="0" borderId="93" xfId="0" applyNumberFormat="1" applyFont="1" applyBorder="1"/>
    <xf numFmtId="175" fontId="33" fillId="0" borderId="94" xfId="0" applyNumberFormat="1" applyFont="1" applyBorder="1"/>
    <xf numFmtId="175" fontId="33" fillId="0" borderId="95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4" fontId="40" fillId="4" borderId="85" xfId="0" applyNumberFormat="1" applyFont="1" applyFill="1" applyBorder="1" applyAlignment="1">
      <alignment horizontal="center"/>
    </xf>
    <xf numFmtId="176" fontId="40" fillId="0" borderId="93" xfId="0" applyNumberFormat="1" applyFont="1" applyBorder="1"/>
    <xf numFmtId="0" fontId="32" fillId="2" borderId="10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30" fillId="5" borderId="0" xfId="74" applyFont="1" applyFill="1" applyAlignment="1">
      <alignment horizontal="center"/>
    </xf>
    <xf numFmtId="0" fontId="40" fillId="3" borderId="25" xfId="0" applyFont="1" applyFill="1" applyBorder="1" applyAlignment="1"/>
    <xf numFmtId="0" fontId="33" fillId="0" borderId="43" xfId="0" applyFont="1" applyBorder="1" applyAlignment="1"/>
    <xf numFmtId="0" fontId="40" fillId="2" borderId="25" xfId="0" applyFont="1" applyFill="1" applyBorder="1" applyAlignment="1"/>
    <xf numFmtId="0" fontId="40" fillId="4" borderId="25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1" fillId="5" borderId="15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44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3" xfId="0" applyFont="1" applyFill="1" applyBorder="1" applyAlignment="1">
      <alignment horizontal="center" vertical="center"/>
    </xf>
    <xf numFmtId="0" fontId="33" fillId="2" borderId="28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7" xfId="0" applyFont="1" applyFill="1" applyBorder="1" applyAlignment="1">
      <alignment horizontal="center" vertical="center"/>
    </xf>
    <xf numFmtId="0" fontId="33" fillId="2" borderId="8" xfId="0" applyFont="1" applyFill="1" applyBorder="1" applyAlignment="1">
      <alignment horizontal="center" vertical="center"/>
    </xf>
    <xf numFmtId="0" fontId="39" fillId="2" borderId="28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3" fillId="2" borderId="21" xfId="0" applyFont="1" applyFill="1" applyBorder="1" applyAlignment="1">
      <alignment horizontal="center" vertical="center" wrapText="1"/>
    </xf>
    <xf numFmtId="0" fontId="32" fillId="2" borderId="109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2" fillId="2" borderId="108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5" fontId="32" fillId="0" borderId="0" xfId="53" applyNumberFormat="1" applyFont="1" applyFill="1" applyBorder="1" applyAlignment="1">
      <alignment horizontal="center"/>
    </xf>
    <xf numFmtId="165" fontId="30" fillId="0" borderId="0" xfId="79" applyNumberFormat="1" applyFont="1" applyFill="1" applyBorder="1" applyAlignment="1">
      <alignment horizontal="center"/>
    </xf>
    <xf numFmtId="165" fontId="32" fillId="2" borderId="23" xfId="53" applyNumberFormat="1" applyFont="1" applyFill="1" applyBorder="1" applyAlignment="1">
      <alignment horizontal="right"/>
    </xf>
    <xf numFmtId="165" fontId="30" fillId="2" borderId="28" xfId="79" applyNumberFormat="1" applyFont="1" applyFill="1" applyBorder="1" applyAlignment="1">
      <alignment horizontal="right"/>
    </xf>
    <xf numFmtId="165" fontId="43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1" xfId="78" applyNumberFormat="1" applyFont="1" applyFill="1" applyBorder="1" applyAlignment="1">
      <alignment horizontal="left"/>
    </xf>
    <xf numFmtId="0" fontId="33" fillId="2" borderId="52" xfId="0" applyFont="1" applyFill="1" applyBorder="1" applyAlignment="1"/>
    <xf numFmtId="3" fontId="29" fillId="2" borderId="54" xfId="78" applyNumberFormat="1" applyFont="1" applyFill="1" applyBorder="1" applyAlignment="1"/>
    <xf numFmtId="0" fontId="40" fillId="2" borderId="61" xfId="0" applyFont="1" applyFill="1" applyBorder="1" applyAlignment="1">
      <alignment horizontal="left"/>
    </xf>
    <xf numFmtId="0" fontId="33" fillId="2" borderId="48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40" fillId="2" borderId="54" xfId="0" applyFont="1" applyFill="1" applyBorder="1" applyAlignment="1">
      <alignment horizontal="left"/>
    </xf>
    <xf numFmtId="3" fontId="40" fillId="2" borderId="54" xfId="0" applyNumberFormat="1" applyFont="1" applyFill="1" applyBorder="1" applyAlignment="1">
      <alignment horizontal="left"/>
    </xf>
    <xf numFmtId="3" fontId="33" fillId="2" borderId="49" xfId="0" applyNumberFormat="1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23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55" xfId="80" applyFont="1" applyFill="1" applyBorder="1" applyAlignment="1">
      <alignment horizontal="left"/>
    </xf>
    <xf numFmtId="0" fontId="3" fillId="2" borderId="38" xfId="79" applyFont="1" applyFill="1" applyBorder="1" applyAlignment="1"/>
    <xf numFmtId="0" fontId="5" fillId="2" borderId="38" xfId="79" applyFont="1" applyFill="1" applyBorder="1" applyAlignment="1"/>
    <xf numFmtId="0" fontId="5" fillId="2" borderId="64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2" xfId="53" applyFont="1" applyFill="1" applyBorder="1" applyAlignment="1">
      <alignment horizontal="right"/>
    </xf>
    <xf numFmtId="0" fontId="5" fillId="2" borderId="63" xfId="79" applyFont="1" applyFill="1" applyBorder="1" applyAlignment="1"/>
    <xf numFmtId="0" fontId="3" fillId="2" borderId="39" xfId="79" applyFont="1" applyFill="1" applyBorder="1" applyAlignment="1">
      <alignment horizontal="left"/>
    </xf>
    <xf numFmtId="0" fontId="5" fillId="2" borderId="38" xfId="79" applyFont="1" applyFill="1" applyBorder="1" applyAlignment="1">
      <alignment horizontal="left"/>
    </xf>
    <xf numFmtId="0" fontId="3" fillId="2" borderId="38" xfId="79" applyFont="1" applyFill="1" applyBorder="1" applyAlignment="1">
      <alignment horizontal="left"/>
    </xf>
    <xf numFmtId="0" fontId="5" fillId="2" borderId="64" xfId="79" applyFont="1" applyFill="1" applyBorder="1" applyAlignment="1">
      <alignment horizontal="left"/>
    </xf>
    <xf numFmtId="0" fontId="2" fillId="0" borderId="1" xfId="26" applyFont="1" applyFill="1" applyBorder="1" applyAlignment="1"/>
    <xf numFmtId="167" fontId="40" fillId="2" borderId="77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59" xfId="0" applyFont="1" applyFill="1" applyBorder="1" applyAlignment="1">
      <alignment vertical="center"/>
    </xf>
    <xf numFmtId="3" fontId="32" fillId="2" borderId="61" xfId="26" applyNumberFormat="1" applyFont="1" applyFill="1" applyBorder="1" applyAlignment="1">
      <alignment horizontal="center"/>
    </xf>
    <xf numFmtId="3" fontId="32" fillId="2" borderId="48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49" xfId="0" applyNumberFormat="1" applyFont="1" applyFill="1" applyBorder="1" applyAlignment="1">
      <alignment horizontal="center" vertical="top"/>
    </xf>
    <xf numFmtId="0" fontId="32" fillId="2" borderId="29" xfId="0" applyFont="1" applyFill="1" applyBorder="1" applyAlignment="1">
      <alignment horizontal="center" vertical="top" wrapText="1"/>
    </xf>
    <xf numFmtId="0" fontId="32" fillId="2" borderId="29" xfId="0" applyFont="1" applyFill="1" applyBorder="1" applyAlignment="1">
      <alignment horizontal="center" vertical="top"/>
    </xf>
    <xf numFmtId="49" fontId="32" fillId="2" borderId="29" xfId="0" applyNumberFormat="1" applyFont="1" applyFill="1" applyBorder="1" applyAlignment="1">
      <alignment horizontal="center" vertical="top"/>
    </xf>
    <xf numFmtId="0" fontId="32" fillId="2" borderId="29" xfId="0" applyFont="1" applyFill="1" applyBorder="1" applyAlignment="1">
      <alignment horizontal="center" vertical="center"/>
    </xf>
    <xf numFmtId="0" fontId="32" fillId="2" borderId="61" xfId="0" quotePrefix="1" applyFont="1" applyFill="1" applyBorder="1" applyAlignment="1">
      <alignment horizontal="center"/>
    </xf>
    <xf numFmtId="0" fontId="32" fillId="2" borderId="49" xfId="0" applyFont="1" applyFill="1" applyBorder="1" applyAlignment="1">
      <alignment horizontal="center"/>
    </xf>
    <xf numFmtId="9" fontId="44" fillId="2" borderId="49" xfId="0" applyNumberFormat="1" applyFont="1" applyFill="1" applyBorder="1" applyAlignment="1">
      <alignment horizontal="center" vertical="top"/>
    </xf>
    <xf numFmtId="0" fontId="32" fillId="2" borderId="61" xfId="0" quotePrefix="1" applyNumberFormat="1" applyFont="1" applyFill="1" applyBorder="1" applyAlignment="1">
      <alignment horizontal="center"/>
    </xf>
    <xf numFmtId="0" fontId="32" fillId="2" borderId="49" xfId="0" applyNumberFormat="1" applyFont="1" applyFill="1" applyBorder="1" applyAlignment="1">
      <alignment horizontal="center"/>
    </xf>
    <xf numFmtId="0" fontId="44" fillId="2" borderId="49" xfId="0" applyNumberFormat="1" applyFont="1" applyFill="1" applyBorder="1" applyAlignment="1">
      <alignment horizontal="center" vertical="top"/>
    </xf>
    <xf numFmtId="0" fontId="32" fillId="2" borderId="29" xfId="0" applyFont="1" applyFill="1" applyBorder="1" applyAlignment="1">
      <alignment vertical="center" wrapText="1"/>
    </xf>
    <xf numFmtId="3" fontId="34" fillId="9" borderId="111" xfId="0" applyNumberFormat="1" applyFont="1" applyFill="1" applyBorder="1" applyAlignment="1">
      <alignment horizontal="right" vertical="top"/>
    </xf>
    <xf numFmtId="3" fontId="34" fillId="9" borderId="112" xfId="0" applyNumberFormat="1" applyFont="1" applyFill="1" applyBorder="1" applyAlignment="1">
      <alignment horizontal="right" vertical="top"/>
    </xf>
    <xf numFmtId="177" fontId="34" fillId="9" borderId="113" xfId="0" applyNumberFormat="1" applyFont="1" applyFill="1" applyBorder="1" applyAlignment="1">
      <alignment horizontal="right" vertical="top"/>
    </xf>
    <xf numFmtId="3" fontId="34" fillId="0" borderId="111" xfId="0" applyNumberFormat="1" applyFont="1" applyBorder="1" applyAlignment="1">
      <alignment horizontal="right" vertical="top"/>
    </xf>
    <xf numFmtId="177" fontId="34" fillId="9" borderId="114" xfId="0" applyNumberFormat="1" applyFont="1" applyFill="1" applyBorder="1" applyAlignment="1">
      <alignment horizontal="right" vertical="top"/>
    </xf>
    <xf numFmtId="3" fontId="36" fillId="9" borderId="116" xfId="0" applyNumberFormat="1" applyFont="1" applyFill="1" applyBorder="1" applyAlignment="1">
      <alignment horizontal="right" vertical="top"/>
    </xf>
    <xf numFmtId="3" fontId="36" fillId="9" borderId="117" xfId="0" applyNumberFormat="1" applyFont="1" applyFill="1" applyBorder="1" applyAlignment="1">
      <alignment horizontal="right" vertical="top"/>
    </xf>
    <xf numFmtId="177" fontId="36" fillId="9" borderId="118" xfId="0" applyNumberFormat="1" applyFont="1" applyFill="1" applyBorder="1" applyAlignment="1">
      <alignment horizontal="right" vertical="top"/>
    </xf>
    <xf numFmtId="3" fontId="36" fillId="0" borderId="116" xfId="0" applyNumberFormat="1" applyFont="1" applyBorder="1" applyAlignment="1">
      <alignment horizontal="right" vertical="top"/>
    </xf>
    <xf numFmtId="177" fontId="36" fillId="9" borderId="119" xfId="0" applyNumberFormat="1" applyFont="1" applyFill="1" applyBorder="1" applyAlignment="1">
      <alignment horizontal="right" vertical="top"/>
    </xf>
    <xf numFmtId="0" fontId="34" fillId="9" borderId="113" xfId="0" applyFont="1" applyFill="1" applyBorder="1" applyAlignment="1">
      <alignment horizontal="right" vertical="top"/>
    </xf>
    <xf numFmtId="0" fontId="34" fillId="9" borderId="114" xfId="0" applyFont="1" applyFill="1" applyBorder="1" applyAlignment="1">
      <alignment horizontal="right" vertical="top"/>
    </xf>
    <xf numFmtId="0" fontId="36" fillId="9" borderId="118" xfId="0" applyFont="1" applyFill="1" applyBorder="1" applyAlignment="1">
      <alignment horizontal="right" vertical="top"/>
    </xf>
    <xf numFmtId="0" fontId="36" fillId="9" borderId="119" xfId="0" applyFont="1" applyFill="1" applyBorder="1" applyAlignment="1">
      <alignment horizontal="right" vertical="top"/>
    </xf>
    <xf numFmtId="3" fontId="36" fillId="0" borderId="120" xfId="0" applyNumberFormat="1" applyFont="1" applyBorder="1" applyAlignment="1">
      <alignment horizontal="right" vertical="top"/>
    </xf>
    <xf numFmtId="3" fontId="36" fillId="0" borderId="121" xfId="0" applyNumberFormat="1" applyFont="1" applyBorder="1" applyAlignment="1">
      <alignment horizontal="right" vertical="top"/>
    </xf>
    <xf numFmtId="0" fontId="36" fillId="0" borderId="122" xfId="0" applyFont="1" applyBorder="1" applyAlignment="1">
      <alignment horizontal="right" vertical="top"/>
    </xf>
    <xf numFmtId="177" fontId="36" fillId="9" borderId="123" xfId="0" applyNumberFormat="1" applyFont="1" applyFill="1" applyBorder="1" applyAlignment="1">
      <alignment horizontal="right" vertical="top"/>
    </xf>
    <xf numFmtId="0" fontId="38" fillId="10" borderId="110" xfId="0" applyFont="1" applyFill="1" applyBorder="1" applyAlignment="1">
      <alignment vertical="top"/>
    </xf>
    <xf numFmtId="0" fontId="38" fillId="10" borderId="110" xfId="0" applyFont="1" applyFill="1" applyBorder="1" applyAlignment="1">
      <alignment vertical="top" indent="2"/>
    </xf>
    <xf numFmtId="0" fontId="38" fillId="10" borderId="110" xfId="0" applyFont="1" applyFill="1" applyBorder="1" applyAlignment="1">
      <alignment vertical="top" indent="4"/>
    </xf>
    <xf numFmtId="0" fontId="39" fillId="10" borderId="115" xfId="0" applyFont="1" applyFill="1" applyBorder="1" applyAlignment="1">
      <alignment vertical="top" indent="6"/>
    </xf>
    <xf numFmtId="0" fontId="38" fillId="10" borderId="110" xfId="0" applyFont="1" applyFill="1" applyBorder="1" applyAlignment="1">
      <alignment vertical="top" indent="8"/>
    </xf>
    <xf numFmtId="0" fontId="39" fillId="10" borderId="115" xfId="0" applyFont="1" applyFill="1" applyBorder="1" applyAlignment="1">
      <alignment vertical="top" indent="2"/>
    </xf>
    <xf numFmtId="0" fontId="38" fillId="10" borderId="110" xfId="0" applyFont="1" applyFill="1" applyBorder="1" applyAlignment="1">
      <alignment vertical="top" indent="6"/>
    </xf>
    <xf numFmtId="0" fontId="39" fillId="10" borderId="115" xfId="0" applyFont="1" applyFill="1" applyBorder="1" applyAlignment="1">
      <alignment vertical="top" indent="4"/>
    </xf>
    <xf numFmtId="0" fontId="39" fillId="10" borderId="115" xfId="0" applyFont="1" applyFill="1" applyBorder="1" applyAlignment="1">
      <alignment vertical="top"/>
    </xf>
    <xf numFmtId="0" fontId="33" fillId="10" borderId="110" xfId="0" applyFont="1" applyFill="1" applyBorder="1"/>
    <xf numFmtId="0" fontId="39" fillId="10" borderId="17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5" fontId="32" fillId="2" borderId="124" xfId="53" applyNumberFormat="1" applyFont="1" applyFill="1" applyBorder="1" applyAlignment="1">
      <alignment horizontal="left"/>
    </xf>
    <xf numFmtId="165" fontId="32" fillId="2" borderId="125" xfId="53" applyNumberFormat="1" applyFont="1" applyFill="1" applyBorder="1" applyAlignment="1">
      <alignment horizontal="left"/>
    </xf>
    <xf numFmtId="165" fontId="32" fillId="2" borderId="57" xfId="53" applyNumberFormat="1" applyFont="1" applyFill="1" applyBorder="1" applyAlignment="1">
      <alignment horizontal="left"/>
    </xf>
    <xf numFmtId="3" fontId="32" fillId="2" borderId="57" xfId="53" applyNumberFormat="1" applyFont="1" applyFill="1" applyBorder="1" applyAlignment="1">
      <alignment horizontal="left"/>
    </xf>
    <xf numFmtId="3" fontId="32" fillId="2" borderId="65" xfId="53" applyNumberFormat="1" applyFont="1" applyFill="1" applyBorder="1" applyAlignment="1">
      <alignment horizontal="left"/>
    </xf>
    <xf numFmtId="3" fontId="33" fillId="0" borderId="125" xfId="0" applyNumberFormat="1" applyFont="1" applyFill="1" applyBorder="1"/>
    <xf numFmtId="3" fontId="33" fillId="0" borderId="12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5" fontId="33" fillId="0" borderId="79" xfId="0" applyNumberFormat="1" applyFont="1" applyFill="1" applyBorder="1"/>
    <xf numFmtId="165" fontId="33" fillId="0" borderId="79" xfId="0" applyNumberFormat="1" applyFont="1" applyFill="1" applyBorder="1" applyAlignment="1">
      <alignment horizontal="right"/>
    </xf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8" xfId="0" applyFont="1" applyFill="1" applyBorder="1"/>
    <xf numFmtId="0" fontId="33" fillId="0" borderId="89" xfId="0" applyFont="1" applyFill="1" applyBorder="1"/>
    <xf numFmtId="165" fontId="33" fillId="0" borderId="89" xfId="0" applyNumberFormat="1" applyFont="1" applyFill="1" applyBorder="1"/>
    <xf numFmtId="165" fontId="33" fillId="0" borderId="89" xfId="0" applyNumberFormat="1" applyFont="1" applyFill="1" applyBorder="1" applyAlignment="1">
      <alignment horizontal="right"/>
    </xf>
    <xf numFmtId="3" fontId="33" fillId="0" borderId="89" xfId="0" applyNumberFormat="1" applyFont="1" applyFill="1" applyBorder="1"/>
    <xf numFmtId="3" fontId="33" fillId="0" borderId="90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5" fontId="33" fillId="0" borderId="82" xfId="0" applyNumberFormat="1" applyFont="1" applyFill="1" applyBorder="1"/>
    <xf numFmtId="165" fontId="33" fillId="0" borderId="82" xfId="0" applyNumberFormat="1" applyFont="1" applyFill="1" applyBorder="1" applyAlignment="1">
      <alignment horizontal="right"/>
    </xf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24" xfId="0" applyFont="1" applyFill="1" applyBorder="1"/>
    <xf numFmtId="3" fontId="40" fillId="2" borderId="126" xfId="0" applyNumberFormat="1" applyFont="1" applyFill="1" applyBorder="1"/>
    <xf numFmtId="9" fontId="40" fillId="2" borderId="73" xfId="0" applyNumberFormat="1" applyFont="1" applyFill="1" applyBorder="1"/>
    <xf numFmtId="3" fontId="40" fillId="2" borderId="65" xfId="0" applyNumberFormat="1" applyFont="1" applyFill="1" applyBorder="1"/>
    <xf numFmtId="9" fontId="33" fillId="0" borderId="125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33" fillId="0" borderId="18" xfId="0" applyFont="1" applyFill="1" applyBorder="1"/>
    <xf numFmtId="3" fontId="33" fillId="0" borderId="26" xfId="0" applyNumberFormat="1" applyFont="1" applyFill="1" applyBorder="1"/>
    <xf numFmtId="9" fontId="33" fillId="0" borderId="26" xfId="0" applyNumberFormat="1" applyFont="1" applyFill="1" applyBorder="1"/>
    <xf numFmtId="3" fontId="33" fillId="0" borderId="19" xfId="0" applyNumberFormat="1" applyFont="1" applyFill="1" applyBorder="1"/>
    <xf numFmtId="0" fontId="40" fillId="10" borderId="18" xfId="0" applyFont="1" applyFill="1" applyBorder="1"/>
    <xf numFmtId="3" fontId="40" fillId="10" borderId="26" xfId="0" applyNumberFormat="1" applyFont="1" applyFill="1" applyBorder="1"/>
    <xf numFmtId="9" fontId="40" fillId="10" borderId="26" xfId="0" applyNumberFormat="1" applyFont="1" applyFill="1" applyBorder="1"/>
    <xf numFmtId="3" fontId="40" fillId="10" borderId="19" xfId="0" applyNumberFormat="1" applyFont="1" applyFill="1" applyBorder="1"/>
    <xf numFmtId="0" fontId="40" fillId="0" borderId="124" xfId="0" applyFont="1" applyFill="1" applyBorder="1"/>
    <xf numFmtId="0" fontId="33" fillId="5" borderId="9" xfId="0" applyFont="1" applyFill="1" applyBorder="1" applyAlignment="1">
      <alignment wrapText="1"/>
    </xf>
    <xf numFmtId="0" fontId="40" fillId="2" borderId="125" xfId="0" applyFont="1" applyFill="1" applyBorder="1"/>
    <xf numFmtId="3" fontId="40" fillId="2" borderId="0" xfId="0" applyNumberFormat="1" applyFont="1" applyFill="1" applyBorder="1"/>
    <xf numFmtId="3" fontId="40" fillId="2" borderId="15" xfId="0" applyNumberFormat="1" applyFont="1" applyFill="1" applyBorder="1"/>
    <xf numFmtId="0" fontId="33" fillId="0" borderId="109" xfId="0" applyFont="1" applyFill="1" applyBorder="1"/>
    <xf numFmtId="0" fontId="33" fillId="0" borderId="26" xfId="0" applyFont="1" applyFill="1" applyBorder="1"/>
    <xf numFmtId="9" fontId="30" fillId="0" borderId="0" xfId="0" applyNumberFormat="1" applyFont="1" applyFill="1" applyBorder="1"/>
    <xf numFmtId="0" fontId="3" fillId="2" borderId="124" xfId="79" applyFont="1" applyFill="1" applyBorder="1" applyAlignment="1">
      <alignment horizontal="left"/>
    </xf>
    <xf numFmtId="0" fontId="40" fillId="10" borderId="109" xfId="0" applyFont="1" applyFill="1" applyBorder="1"/>
    <xf numFmtId="0" fontId="40" fillId="10" borderId="107" xfId="0" applyFont="1" applyFill="1" applyBorder="1"/>
    <xf numFmtId="0" fontId="40" fillId="10" borderId="108" xfId="0" applyFont="1" applyFill="1" applyBorder="1"/>
    <xf numFmtId="3" fontId="3" fillId="2" borderId="95" xfId="80" applyNumberFormat="1" applyFont="1" applyFill="1" applyBorder="1"/>
    <xf numFmtId="0" fontId="3" fillId="2" borderId="95" xfId="80" applyFont="1" applyFill="1" applyBorder="1"/>
    <xf numFmtId="3" fontId="33" fillId="0" borderId="88" xfId="0" applyNumberFormat="1" applyFont="1" applyFill="1" applyBorder="1"/>
    <xf numFmtId="3" fontId="33" fillId="0" borderId="81" xfId="0" applyNumberFormat="1" applyFont="1" applyFill="1" applyBorder="1"/>
    <xf numFmtId="3" fontId="33" fillId="0" borderId="105" xfId="0" applyNumberFormat="1" applyFont="1" applyFill="1" applyBorder="1"/>
    <xf numFmtId="3" fontId="33" fillId="0" borderId="103" xfId="0" applyNumberFormat="1" applyFont="1" applyFill="1" applyBorder="1"/>
    <xf numFmtId="3" fontId="33" fillId="0" borderId="104" xfId="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3" fillId="0" borderId="80" xfId="0" applyNumberFormat="1" applyFont="1" applyFill="1" applyBorder="1"/>
    <xf numFmtId="9" fontId="33" fillId="0" borderId="89" xfId="0" applyNumberFormat="1" applyFont="1" applyFill="1" applyBorder="1"/>
    <xf numFmtId="9" fontId="33" fillId="0" borderId="90" xfId="0" applyNumberFormat="1" applyFont="1" applyFill="1" applyBorder="1"/>
    <xf numFmtId="9" fontId="33" fillId="0" borderId="83" xfId="0" applyNumberFormat="1" applyFont="1" applyFill="1" applyBorder="1"/>
    <xf numFmtId="0" fontId="33" fillId="0" borderId="107" xfId="0" applyFont="1" applyFill="1" applyBorder="1"/>
    <xf numFmtId="0" fontId="33" fillId="0" borderId="108" xfId="0" applyFont="1" applyFill="1" applyBorder="1"/>
    <xf numFmtId="3" fontId="33" fillId="0" borderId="101" xfId="0" applyNumberFormat="1" applyFont="1" applyFill="1" applyBorder="1"/>
    <xf numFmtId="3" fontId="33" fillId="0" borderId="91" xfId="0" applyNumberFormat="1" applyFont="1" applyFill="1" applyBorder="1"/>
    <xf numFmtId="3" fontId="33" fillId="0" borderId="99" xfId="0" applyNumberFormat="1" applyFont="1" applyFill="1" applyBorder="1"/>
    <xf numFmtId="0" fontId="3" fillId="2" borderId="128" xfId="79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80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" fillId="2" borderId="131" xfId="79" applyFont="1" applyFill="1" applyBorder="1" applyAlignment="1">
      <alignment horizontal="left"/>
    </xf>
    <xf numFmtId="0" fontId="33" fillId="0" borderId="79" xfId="0" applyFont="1" applyFill="1" applyBorder="1" applyAlignment="1">
      <alignment horizontal="right"/>
    </xf>
    <xf numFmtId="0" fontId="33" fillId="0" borderId="79" xfId="0" applyFont="1" applyFill="1" applyBorder="1" applyAlignment="1">
      <alignment horizontal="left"/>
    </xf>
    <xf numFmtId="166" fontId="33" fillId="0" borderId="79" xfId="0" applyNumberFormat="1" applyFont="1" applyFill="1" applyBorder="1"/>
    <xf numFmtId="0" fontId="33" fillId="0" borderId="132" xfId="0" applyFont="1" applyFill="1" applyBorder="1"/>
    <xf numFmtId="0" fontId="33" fillId="0" borderId="133" xfId="0" applyFont="1" applyFill="1" applyBorder="1"/>
    <xf numFmtId="0" fontId="33" fillId="0" borderId="133" xfId="0" applyFont="1" applyFill="1" applyBorder="1" applyAlignment="1">
      <alignment horizontal="right"/>
    </xf>
    <xf numFmtId="0" fontId="33" fillId="0" borderId="133" xfId="0" applyFont="1" applyFill="1" applyBorder="1" applyAlignment="1">
      <alignment horizontal="left"/>
    </xf>
    <xf numFmtId="165" fontId="33" fillId="0" borderId="133" xfId="0" applyNumberFormat="1" applyFont="1" applyFill="1" applyBorder="1"/>
    <xf numFmtId="166" fontId="33" fillId="0" borderId="133" xfId="0" applyNumberFormat="1" applyFont="1" applyFill="1" applyBorder="1"/>
    <xf numFmtId="9" fontId="33" fillId="0" borderId="133" xfId="0" applyNumberFormat="1" applyFont="1" applyFill="1" applyBorder="1"/>
    <xf numFmtId="9" fontId="33" fillId="0" borderId="134" xfId="0" applyNumberFormat="1" applyFont="1" applyFill="1" applyBorder="1"/>
    <xf numFmtId="0" fontId="33" fillId="0" borderId="135" xfId="0" applyFont="1" applyFill="1" applyBorder="1"/>
    <xf numFmtId="0" fontId="33" fillId="0" borderId="136" xfId="0" applyFont="1" applyFill="1" applyBorder="1"/>
    <xf numFmtId="0" fontId="33" fillId="0" borderId="136" xfId="0" applyFont="1" applyFill="1" applyBorder="1" applyAlignment="1">
      <alignment horizontal="right"/>
    </xf>
    <xf numFmtId="0" fontId="33" fillId="0" borderId="136" xfId="0" applyFont="1" applyFill="1" applyBorder="1" applyAlignment="1">
      <alignment horizontal="left"/>
    </xf>
    <xf numFmtId="165" fontId="33" fillId="0" borderId="136" xfId="0" applyNumberFormat="1" applyFont="1" applyFill="1" applyBorder="1"/>
    <xf numFmtId="166" fontId="33" fillId="0" borderId="136" xfId="0" applyNumberFormat="1" applyFont="1" applyFill="1" applyBorder="1"/>
    <xf numFmtId="9" fontId="33" fillId="0" borderId="136" xfId="0" applyNumberFormat="1" applyFont="1" applyFill="1" applyBorder="1"/>
    <xf numFmtId="9" fontId="33" fillId="0" borderId="137" xfId="0" applyNumberFormat="1" applyFont="1" applyFill="1" applyBorder="1"/>
    <xf numFmtId="3" fontId="33" fillId="0" borderId="133" xfId="0" applyNumberFormat="1" applyFont="1" applyFill="1" applyBorder="1"/>
    <xf numFmtId="3" fontId="33" fillId="0" borderId="134" xfId="0" applyNumberFormat="1" applyFont="1" applyFill="1" applyBorder="1"/>
    <xf numFmtId="3" fontId="33" fillId="0" borderId="136" xfId="0" applyNumberFormat="1" applyFont="1" applyFill="1" applyBorder="1"/>
    <xf numFmtId="3" fontId="33" fillId="0" borderId="137" xfId="0" applyNumberFormat="1" applyFont="1" applyFill="1" applyBorder="1"/>
    <xf numFmtId="3" fontId="33" fillId="0" borderId="139" xfId="0" applyNumberFormat="1" applyFont="1" applyFill="1" applyBorder="1"/>
    <xf numFmtId="9" fontId="33" fillId="0" borderId="139" xfId="0" applyNumberFormat="1" applyFont="1" applyFill="1" applyBorder="1"/>
    <xf numFmtId="3" fontId="33" fillId="0" borderId="140" xfId="0" applyNumberFormat="1" applyFont="1" applyFill="1" applyBorder="1"/>
    <xf numFmtId="0" fontId="40" fillId="0" borderId="78" xfId="0" applyFont="1" applyFill="1" applyBorder="1"/>
    <xf numFmtId="0" fontId="40" fillId="0" borderId="132" xfId="0" applyFont="1" applyFill="1" applyBorder="1"/>
    <xf numFmtId="0" fontId="40" fillId="0" borderId="138" xfId="0" applyFont="1" applyFill="1" applyBorder="1"/>
    <xf numFmtId="165" fontId="33" fillId="0" borderId="133" xfId="0" applyNumberFormat="1" applyFont="1" applyFill="1" applyBorder="1" applyAlignment="1">
      <alignment horizontal="right"/>
    </xf>
    <xf numFmtId="165" fontId="33" fillId="0" borderId="136" xfId="0" applyNumberFormat="1" applyFont="1" applyFill="1" applyBorder="1" applyAlignment="1">
      <alignment horizontal="right"/>
    </xf>
    <xf numFmtId="174" fontId="40" fillId="4" borderId="144" xfId="0" applyNumberFormat="1" applyFont="1" applyFill="1" applyBorder="1" applyAlignment="1">
      <alignment horizontal="center"/>
    </xf>
    <xf numFmtId="174" fontId="40" fillId="4" borderId="145" xfId="0" applyNumberFormat="1" applyFont="1" applyFill="1" applyBorder="1" applyAlignment="1">
      <alignment horizontal="center"/>
    </xf>
    <xf numFmtId="174" fontId="33" fillId="0" borderId="146" xfId="0" applyNumberFormat="1" applyFont="1" applyBorder="1" applyAlignment="1">
      <alignment horizontal="right"/>
    </xf>
    <xf numFmtId="174" fontId="33" fillId="0" borderId="147" xfId="0" applyNumberFormat="1" applyFont="1" applyBorder="1" applyAlignment="1">
      <alignment horizontal="right"/>
    </xf>
    <xf numFmtId="174" fontId="33" fillId="0" borderId="147" xfId="0" applyNumberFormat="1" applyFont="1" applyBorder="1" applyAlignment="1">
      <alignment horizontal="right" wrapText="1"/>
    </xf>
    <xf numFmtId="176" fontId="33" fillId="0" borderId="146" xfId="0" applyNumberFormat="1" applyFont="1" applyBorder="1" applyAlignment="1">
      <alignment horizontal="right"/>
    </xf>
    <xf numFmtId="176" fontId="33" fillId="0" borderId="147" xfId="0" applyNumberFormat="1" applyFont="1" applyBorder="1" applyAlignment="1">
      <alignment horizontal="right"/>
    </xf>
    <xf numFmtId="174" fontId="33" fillId="0" borderId="148" xfId="0" applyNumberFormat="1" applyFont="1" applyBorder="1" applyAlignment="1">
      <alignment horizontal="right"/>
    </xf>
    <xf numFmtId="174" fontId="33" fillId="0" borderId="149" xfId="0" applyNumberFormat="1" applyFont="1" applyBorder="1" applyAlignment="1">
      <alignment horizontal="right"/>
    </xf>
    <xf numFmtId="0" fontId="40" fillId="2" borderId="105" xfId="0" applyFont="1" applyFill="1" applyBorder="1" applyAlignment="1">
      <alignment horizontal="center" vertical="center"/>
    </xf>
    <xf numFmtId="0" fontId="55" fillId="2" borderId="143" xfId="0" applyFont="1" applyFill="1" applyBorder="1" applyAlignment="1">
      <alignment horizontal="center" vertical="center" wrapText="1"/>
    </xf>
    <xf numFmtId="175" fontId="33" fillId="2" borderId="105" xfId="0" applyNumberFormat="1" applyFont="1" applyFill="1" applyBorder="1" applyAlignment="1"/>
    <xf numFmtId="175" fontId="33" fillId="0" borderId="142" xfId="0" applyNumberFormat="1" applyFont="1" applyBorder="1"/>
    <xf numFmtId="175" fontId="33" fillId="0" borderId="150" xfId="0" applyNumberFormat="1" applyFont="1" applyBorder="1"/>
    <xf numFmtId="174" fontId="40" fillId="4" borderId="105" xfId="0" applyNumberFormat="1" applyFont="1" applyFill="1" applyBorder="1" applyAlignment="1"/>
    <xf numFmtId="174" fontId="33" fillId="0" borderId="142" xfId="0" applyNumberFormat="1" applyFont="1" applyBorder="1"/>
    <xf numFmtId="174" fontId="33" fillId="0" borderId="143" xfId="0" applyNumberFormat="1" applyFont="1" applyBorder="1"/>
    <xf numFmtId="174" fontId="40" fillId="2" borderId="105" xfId="0" applyNumberFormat="1" applyFont="1" applyFill="1" applyBorder="1" applyAlignment="1"/>
    <xf numFmtId="174" fontId="33" fillId="0" borderId="150" xfId="0" applyNumberFormat="1" applyFont="1" applyBorder="1"/>
    <xf numFmtId="174" fontId="33" fillId="0" borderId="105" xfId="0" applyNumberFormat="1" applyFont="1" applyBorder="1"/>
    <xf numFmtId="174" fontId="40" fillId="4" borderId="151" xfId="0" applyNumberFormat="1" applyFont="1" applyFill="1" applyBorder="1" applyAlignment="1">
      <alignment horizontal="center"/>
    </xf>
    <xf numFmtId="174" fontId="33" fillId="0" borderId="152" xfId="0" applyNumberFormat="1" applyFont="1" applyBorder="1" applyAlignment="1">
      <alignment horizontal="right"/>
    </xf>
    <xf numFmtId="176" fontId="33" fillId="0" borderId="152" xfId="0" applyNumberFormat="1" applyFont="1" applyBorder="1" applyAlignment="1">
      <alignment horizontal="right"/>
    </xf>
    <xf numFmtId="174" fontId="33" fillId="0" borderId="153" xfId="0" applyNumberFormat="1" applyFont="1" applyBorder="1" applyAlignment="1">
      <alignment horizontal="right"/>
    </xf>
    <xf numFmtId="0" fontId="0" fillId="0" borderId="14" xfId="0" applyBorder="1"/>
    <xf numFmtId="174" fontId="40" fillId="4" borderId="84" xfId="0" applyNumberFormat="1" applyFont="1" applyFill="1" applyBorder="1" applyAlignment="1">
      <alignment horizontal="center"/>
    </xf>
    <xf numFmtId="174" fontId="33" fillId="0" borderId="154" xfId="0" applyNumberFormat="1" applyFont="1" applyBorder="1" applyAlignment="1">
      <alignment horizontal="right"/>
    </xf>
    <xf numFmtId="176" fontId="33" fillId="0" borderId="154" xfId="0" applyNumberFormat="1" applyFont="1" applyBorder="1" applyAlignment="1">
      <alignment horizontal="right"/>
    </xf>
    <xf numFmtId="174" fontId="33" fillId="0" borderId="141" xfId="0" applyNumberFormat="1" applyFont="1" applyBorder="1" applyAlignment="1">
      <alignment horizontal="right"/>
    </xf>
    <xf numFmtId="0" fontId="33" fillId="2" borderId="65" xfId="0" applyFont="1" applyFill="1" applyBorder="1" applyAlignment="1">
      <alignment vertical="center"/>
    </xf>
    <xf numFmtId="0" fontId="32" fillId="2" borderId="14" xfId="26" applyNumberFormat="1" applyFont="1" applyFill="1" applyBorder="1"/>
    <xf numFmtId="0" fontId="32" fillId="2" borderId="0" xfId="26" applyNumberFormat="1" applyFont="1" applyFill="1" applyBorder="1"/>
    <xf numFmtId="0" fontId="32" fillId="2" borderId="15" xfId="26" applyNumberFormat="1" applyFont="1" applyFill="1" applyBorder="1" applyAlignment="1">
      <alignment horizontal="right"/>
    </xf>
    <xf numFmtId="170" fontId="33" fillId="0" borderId="79" xfId="0" applyNumberFormat="1" applyFont="1" applyFill="1" applyBorder="1"/>
    <xf numFmtId="170" fontId="33" fillId="0" borderId="136" xfId="0" applyNumberFormat="1" applyFont="1" applyFill="1" applyBorder="1"/>
    <xf numFmtId="0" fontId="40" fillId="0" borderId="135" xfId="0" applyFont="1" applyFill="1" applyBorder="1"/>
    <xf numFmtId="0" fontId="59" fillId="0" borderId="0" xfId="0" applyFont="1" applyFill="1"/>
    <xf numFmtId="0" fontId="60" fillId="0" borderId="0" xfId="0" applyFont="1" applyFill="1"/>
    <xf numFmtId="0" fontId="33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49" fontId="32" fillId="2" borderId="3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3" fontId="32" fillId="2" borderId="14" xfId="0" applyNumberFormat="1" applyFont="1" applyFill="1" applyBorder="1" applyAlignment="1">
      <alignment horizontal="left"/>
    </xf>
    <xf numFmtId="3" fontId="32" fillId="2" borderId="15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5" xfId="0" applyNumberFormat="1" applyFont="1" applyFill="1" applyBorder="1" applyAlignment="1">
      <alignment horizontal="center" vertical="top"/>
    </xf>
    <xf numFmtId="3" fontId="32" fillId="2" borderId="15" xfId="0" applyNumberFormat="1" applyFont="1" applyFill="1" applyBorder="1" applyAlignment="1">
      <alignment horizontal="center" vertical="top"/>
    </xf>
    <xf numFmtId="170" fontId="33" fillId="0" borderId="133" xfId="0" applyNumberFormat="1" applyFont="1" applyFill="1" applyBorder="1"/>
    <xf numFmtId="0" fontId="32" fillId="2" borderId="14" xfId="0" applyNumberFormat="1" applyFont="1" applyFill="1" applyBorder="1" applyAlignment="1">
      <alignment horizontal="left"/>
    </xf>
    <xf numFmtId="0" fontId="32" fillId="2" borderId="15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5" xfId="0" applyNumberFormat="1" applyFont="1" applyFill="1" applyBorder="1" applyAlignment="1">
      <alignment horizontal="center" vertical="top"/>
    </xf>
    <xf numFmtId="0" fontId="30" fillId="2" borderId="30" xfId="0" applyFont="1" applyFill="1" applyBorder="1" applyAlignment="1">
      <alignment vertical="center" wrapText="1"/>
    </xf>
    <xf numFmtId="0" fontId="32" fillId="2" borderId="14" xfId="26" applyNumberFormat="1" applyFont="1" applyFill="1" applyBorder="1" applyAlignment="1">
      <alignment horizontal="right"/>
    </xf>
    <xf numFmtId="0" fontId="32" fillId="2" borderId="0" xfId="26" applyNumberFormat="1" applyFont="1" applyFill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5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0.42859785525120742</c:v>
                </c:pt>
                <c:pt idx="1">
                  <c:v>0.40458906621719326</c:v>
                </c:pt>
                <c:pt idx="2">
                  <c:v>0.40793998517456009</c:v>
                </c:pt>
                <c:pt idx="3">
                  <c:v>0.39226689471526621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520960"/>
        <c:axId val="74852288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0.28075115692048802</c:v>
                </c:pt>
                <c:pt idx="1">
                  <c:v>0.28075115692048802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8635264"/>
        <c:axId val="748637184"/>
      </c:scatterChart>
      <c:catAx>
        <c:axId val="748520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48522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485228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48520960"/>
        <c:crosses val="autoZero"/>
        <c:crossBetween val="between"/>
      </c:valAx>
      <c:valAx>
        <c:axId val="74863526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748637184"/>
        <c:crosses val="max"/>
        <c:crossBetween val="midCat"/>
      </c:valAx>
      <c:valAx>
        <c:axId val="74863718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74863526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0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3" bestFit="1" customWidth="1"/>
    <col min="2" max="2" width="98.6640625" style="133" customWidth="1"/>
    <col min="3" max="3" width="16.109375" style="47" hidden="1" customWidth="1"/>
    <col min="4" max="16384" width="8.88671875" style="133"/>
  </cols>
  <sheetData>
    <row r="1" spans="1:3" ht="18.600000000000001" customHeight="1" thickBot="1" x14ac:dyDescent="0.4">
      <c r="A1" s="310" t="s">
        <v>110</v>
      </c>
      <c r="B1" s="310"/>
    </row>
    <row r="2" spans="1:3" ht="14.4" customHeight="1" thickBot="1" x14ac:dyDescent="0.35">
      <c r="A2" s="240" t="s">
        <v>272</v>
      </c>
      <c r="B2" s="46"/>
    </row>
    <row r="3" spans="1:3" ht="14.4" customHeight="1" thickBot="1" x14ac:dyDescent="0.35">
      <c r="A3" s="306" t="s">
        <v>146</v>
      </c>
      <c r="B3" s="307"/>
    </row>
    <row r="4" spans="1:3" ht="14.4" customHeight="1" x14ac:dyDescent="0.3">
      <c r="A4" s="148" t="str">
        <f t="shared" ref="A4:A8" si="0">HYPERLINK("#'"&amp;C4&amp;"'!A1",C4)</f>
        <v>Motivace</v>
      </c>
      <c r="B4" s="89" t="s">
        <v>125</v>
      </c>
      <c r="C4" s="47" t="s">
        <v>126</v>
      </c>
    </row>
    <row r="5" spans="1:3" ht="14.4" customHeight="1" x14ac:dyDescent="0.3">
      <c r="A5" s="149" t="str">
        <f t="shared" si="0"/>
        <v>HI</v>
      </c>
      <c r="B5" s="90" t="s">
        <v>142</v>
      </c>
      <c r="C5" s="47" t="s">
        <v>113</v>
      </c>
    </row>
    <row r="6" spans="1:3" ht="14.4" customHeight="1" x14ac:dyDescent="0.3">
      <c r="A6" s="150" t="str">
        <f t="shared" si="0"/>
        <v>HI Graf</v>
      </c>
      <c r="B6" s="91" t="s">
        <v>106</v>
      </c>
      <c r="C6" s="47" t="s">
        <v>114</v>
      </c>
    </row>
    <row r="7" spans="1:3" ht="14.4" customHeight="1" x14ac:dyDescent="0.3">
      <c r="A7" s="150" t="str">
        <f t="shared" si="0"/>
        <v>Man Tab</v>
      </c>
      <c r="B7" s="91" t="s">
        <v>274</v>
      </c>
      <c r="C7" s="47" t="s">
        <v>115</v>
      </c>
    </row>
    <row r="8" spans="1:3" ht="14.4" customHeight="1" thickBot="1" x14ac:dyDescent="0.35">
      <c r="A8" s="151" t="str">
        <f t="shared" si="0"/>
        <v>HV</v>
      </c>
      <c r="B8" s="92" t="s">
        <v>61</v>
      </c>
      <c r="C8" s="47" t="s">
        <v>66</v>
      </c>
    </row>
    <row r="9" spans="1:3" ht="14.4" customHeight="1" thickBot="1" x14ac:dyDescent="0.35">
      <c r="A9" s="93"/>
      <c r="B9" s="93"/>
    </row>
    <row r="10" spans="1:3" ht="14.4" customHeight="1" thickBot="1" x14ac:dyDescent="0.35">
      <c r="A10" s="308" t="s">
        <v>111</v>
      </c>
      <c r="B10" s="307"/>
    </row>
    <row r="11" spans="1:3" ht="14.4" customHeight="1" x14ac:dyDescent="0.3">
      <c r="A11" s="152" t="str">
        <f t="shared" ref="A11" si="1">HYPERLINK("#'"&amp;C11&amp;"'!A1",C11)</f>
        <v>Léky Žádanky</v>
      </c>
      <c r="B11" s="90" t="s">
        <v>143</v>
      </c>
      <c r="C11" s="47" t="s">
        <v>116</v>
      </c>
    </row>
    <row r="12" spans="1:3" ht="14.4" customHeight="1" x14ac:dyDescent="0.3">
      <c r="A12" s="150" t="str">
        <f t="shared" ref="A12:A22" si="2">HYPERLINK("#'"&amp;C12&amp;"'!A1",C12)</f>
        <v>LŽ Detail</v>
      </c>
      <c r="B12" s="91" t="s">
        <v>171</v>
      </c>
      <c r="C12" s="47" t="s">
        <v>117</v>
      </c>
    </row>
    <row r="13" spans="1:3" ht="28.8" customHeight="1" x14ac:dyDescent="0.3">
      <c r="A13" s="150" t="str">
        <f t="shared" si="2"/>
        <v>LŽ PL</v>
      </c>
      <c r="B13" s="468" t="s">
        <v>172</v>
      </c>
      <c r="C13" s="47" t="s">
        <v>150</v>
      </c>
    </row>
    <row r="14" spans="1:3" ht="14.4" customHeight="1" x14ac:dyDescent="0.3">
      <c r="A14" s="150" t="str">
        <f t="shared" si="2"/>
        <v>LŽ PL Detail</v>
      </c>
      <c r="B14" s="91" t="s">
        <v>537</v>
      </c>
      <c r="C14" s="47" t="s">
        <v>152</v>
      </c>
    </row>
    <row r="15" spans="1:3" ht="14.4" customHeight="1" x14ac:dyDescent="0.3">
      <c r="A15" s="150" t="str">
        <f t="shared" si="2"/>
        <v>Léky Recepty</v>
      </c>
      <c r="B15" s="91" t="s">
        <v>144</v>
      </c>
      <c r="C15" s="47" t="s">
        <v>118</v>
      </c>
    </row>
    <row r="16" spans="1:3" ht="14.4" customHeight="1" x14ac:dyDescent="0.3">
      <c r="A16" s="150" t="str">
        <f t="shared" si="2"/>
        <v>LRp Lékaři</v>
      </c>
      <c r="B16" s="91" t="s">
        <v>155</v>
      </c>
      <c r="C16" s="47" t="s">
        <v>156</v>
      </c>
    </row>
    <row r="17" spans="1:3" ht="14.4" customHeight="1" x14ac:dyDescent="0.3">
      <c r="A17" s="150" t="str">
        <f t="shared" si="2"/>
        <v>LRp Detail</v>
      </c>
      <c r="B17" s="91" t="s">
        <v>738</v>
      </c>
      <c r="C17" s="47" t="s">
        <v>119</v>
      </c>
    </row>
    <row r="18" spans="1:3" ht="28.8" customHeight="1" x14ac:dyDescent="0.3">
      <c r="A18" s="150" t="str">
        <f t="shared" si="2"/>
        <v>LRp PL</v>
      </c>
      <c r="B18" s="468" t="s">
        <v>739</v>
      </c>
      <c r="C18" s="47" t="s">
        <v>151</v>
      </c>
    </row>
    <row r="19" spans="1:3" ht="14.4" customHeight="1" x14ac:dyDescent="0.3">
      <c r="A19" s="150" t="str">
        <f>HYPERLINK("#'"&amp;C19&amp;"'!A1",C19)</f>
        <v>LRp PL Detail</v>
      </c>
      <c r="B19" s="91" t="s">
        <v>776</v>
      </c>
      <c r="C19" s="47" t="s">
        <v>153</v>
      </c>
    </row>
    <row r="20" spans="1:3" ht="14.4" customHeight="1" x14ac:dyDescent="0.3">
      <c r="A20" s="152" t="str">
        <f t="shared" ref="A20" si="3">HYPERLINK("#'"&amp;C20&amp;"'!A1",C20)</f>
        <v>Materiál Žádanky</v>
      </c>
      <c r="B20" s="91" t="s">
        <v>145</v>
      </c>
      <c r="C20" s="47" t="s">
        <v>120</v>
      </c>
    </row>
    <row r="21" spans="1:3" ht="14.4" customHeight="1" x14ac:dyDescent="0.3">
      <c r="A21" s="150" t="str">
        <f t="shared" si="2"/>
        <v>MŽ Detail</v>
      </c>
      <c r="B21" s="91" t="s">
        <v>865</v>
      </c>
      <c r="C21" s="47" t="s">
        <v>121</v>
      </c>
    </row>
    <row r="22" spans="1:3" ht="14.4" customHeight="1" thickBot="1" x14ac:dyDescent="0.35">
      <c r="A22" s="152" t="str">
        <f t="shared" si="2"/>
        <v>Osobní náklady</v>
      </c>
      <c r="B22" s="91" t="s">
        <v>108</v>
      </c>
      <c r="C22" s="47" t="s">
        <v>122</v>
      </c>
    </row>
    <row r="23" spans="1:3" ht="14.4" customHeight="1" thickBot="1" x14ac:dyDescent="0.35">
      <c r="A23" s="94"/>
      <c r="B23" s="94"/>
    </row>
    <row r="24" spans="1:3" ht="14.4" customHeight="1" thickBot="1" x14ac:dyDescent="0.35">
      <c r="A24" s="309" t="s">
        <v>112</v>
      </c>
      <c r="B24" s="307"/>
    </row>
    <row r="25" spans="1:3" ht="14.4" customHeight="1" x14ac:dyDescent="0.3">
      <c r="A25" s="153" t="str">
        <f t="shared" ref="A25:A30" si="4">HYPERLINK("#'"&amp;C25&amp;"'!A1",C25)</f>
        <v>ZV Vykáz.-A</v>
      </c>
      <c r="B25" s="90" t="s">
        <v>872</v>
      </c>
      <c r="C25" s="47" t="s">
        <v>127</v>
      </c>
    </row>
    <row r="26" spans="1:3" ht="14.4" customHeight="1" x14ac:dyDescent="0.3">
      <c r="A26" s="150" t="str">
        <f t="shared" si="4"/>
        <v>ZV Vykáz.-A Detail</v>
      </c>
      <c r="B26" s="91" t="s">
        <v>948</v>
      </c>
      <c r="C26" s="47" t="s">
        <v>128</v>
      </c>
    </row>
    <row r="27" spans="1:3" ht="14.4" customHeight="1" x14ac:dyDescent="0.3">
      <c r="A27" s="150" t="str">
        <f t="shared" si="4"/>
        <v>ZV Vykáz.-H</v>
      </c>
      <c r="B27" s="91" t="s">
        <v>131</v>
      </c>
      <c r="C27" s="47" t="s">
        <v>129</v>
      </c>
    </row>
    <row r="28" spans="1:3" ht="14.4" customHeight="1" x14ac:dyDescent="0.3">
      <c r="A28" s="150" t="str">
        <f t="shared" si="4"/>
        <v>ZV Vykáz.-H Detail</v>
      </c>
      <c r="B28" s="91" t="s">
        <v>965</v>
      </c>
      <c r="C28" s="47" t="s">
        <v>130</v>
      </c>
    </row>
    <row r="29" spans="1:3" ht="14.4" customHeight="1" x14ac:dyDescent="0.3">
      <c r="A29" s="150" t="str">
        <f t="shared" si="4"/>
        <v>ZV Vyžád.</v>
      </c>
      <c r="B29" s="91" t="s">
        <v>132</v>
      </c>
      <c r="C29" s="47" t="s">
        <v>124</v>
      </c>
    </row>
    <row r="30" spans="1:3" ht="14.4" customHeight="1" x14ac:dyDescent="0.3">
      <c r="A30" s="150" t="str">
        <f t="shared" si="4"/>
        <v>ZV Vyžád. Detail</v>
      </c>
      <c r="B30" s="91" t="s">
        <v>1142</v>
      </c>
      <c r="C30" s="47" t="s">
        <v>123</v>
      </c>
    </row>
  </sheetData>
  <mergeCells count="4">
    <mergeCell ref="A3:B3"/>
    <mergeCell ref="A10:B10"/>
    <mergeCell ref="A24:B24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33" bestFit="1" customWidth="1"/>
    <col min="2" max="2" width="8.88671875" style="133" bestFit="1" customWidth="1"/>
    <col min="3" max="3" width="7" style="133" bestFit="1" customWidth="1"/>
    <col min="4" max="4" width="53.44140625" style="133" bestFit="1" customWidth="1"/>
    <col min="5" max="5" width="28.44140625" style="133" bestFit="1" customWidth="1"/>
    <col min="6" max="6" width="6.6640625" style="212" customWidth="1"/>
    <col min="7" max="7" width="10" style="212" customWidth="1"/>
    <col min="8" max="8" width="6.77734375" style="215" bestFit="1" customWidth="1"/>
    <col min="9" max="9" width="6.6640625" style="212" customWidth="1"/>
    <col min="10" max="10" width="10" style="212" customWidth="1"/>
    <col min="11" max="11" width="6.77734375" style="215" bestFit="1" customWidth="1"/>
    <col min="12" max="12" width="6.6640625" style="212" customWidth="1"/>
    <col min="13" max="13" width="10" style="212" customWidth="1"/>
    <col min="14" max="16384" width="8.88671875" style="133"/>
  </cols>
  <sheetData>
    <row r="1" spans="1:13" ht="18.600000000000001" customHeight="1" thickBot="1" x14ac:dyDescent="0.4">
      <c r="A1" s="348" t="s">
        <v>537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10"/>
      <c r="M1" s="310"/>
    </row>
    <row r="2" spans="1:13" ht="14.4" customHeight="1" thickBot="1" x14ac:dyDescent="0.35">
      <c r="A2" s="240" t="s">
        <v>272</v>
      </c>
      <c r="B2" s="211"/>
      <c r="C2" s="211"/>
      <c r="D2" s="211"/>
      <c r="E2" s="211"/>
      <c r="F2" s="219"/>
      <c r="G2" s="219"/>
      <c r="H2" s="220"/>
      <c r="I2" s="219"/>
      <c r="J2" s="219"/>
      <c r="K2" s="220"/>
      <c r="L2" s="219"/>
    </row>
    <row r="3" spans="1:13" ht="14.4" customHeight="1" thickBot="1" x14ac:dyDescent="0.35">
      <c r="E3" s="79" t="s">
        <v>133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</v>
      </c>
      <c r="J3" s="43">
        <f>SUBTOTAL(9,J6:J1048576)</f>
        <v>52.809999999999974</v>
      </c>
      <c r="K3" s="44">
        <f>IF(M3=0,0,J3/M3)</f>
        <v>1</v>
      </c>
      <c r="L3" s="43">
        <f>SUBTOTAL(9,L6:L1048576)</f>
        <v>1</v>
      </c>
      <c r="M3" s="45">
        <f>SUBTOTAL(9,M6:M1048576)</f>
        <v>52.809999999999974</v>
      </c>
    </row>
    <row r="4" spans="1:13" ht="14.4" customHeight="1" thickBot="1" x14ac:dyDescent="0.35">
      <c r="A4" s="41"/>
      <c r="B4" s="41"/>
      <c r="C4" s="41"/>
      <c r="D4" s="41"/>
      <c r="E4" s="42"/>
      <c r="F4" s="352" t="s">
        <v>135</v>
      </c>
      <c r="G4" s="353"/>
      <c r="H4" s="354"/>
      <c r="I4" s="355" t="s">
        <v>134</v>
      </c>
      <c r="J4" s="353"/>
      <c r="K4" s="354"/>
      <c r="L4" s="356" t="s">
        <v>3</v>
      </c>
      <c r="M4" s="357"/>
    </row>
    <row r="5" spans="1:13" ht="14.4" customHeight="1" thickBot="1" x14ac:dyDescent="0.35">
      <c r="A5" s="452" t="s">
        <v>136</v>
      </c>
      <c r="B5" s="469" t="s">
        <v>137</v>
      </c>
      <c r="C5" s="469" t="s">
        <v>71</v>
      </c>
      <c r="D5" s="469" t="s">
        <v>138</v>
      </c>
      <c r="E5" s="469" t="s">
        <v>139</v>
      </c>
      <c r="F5" s="470" t="s">
        <v>28</v>
      </c>
      <c r="G5" s="470" t="s">
        <v>14</v>
      </c>
      <c r="H5" s="454" t="s">
        <v>140</v>
      </c>
      <c r="I5" s="453" t="s">
        <v>28</v>
      </c>
      <c r="J5" s="470" t="s">
        <v>14</v>
      </c>
      <c r="K5" s="454" t="s">
        <v>140</v>
      </c>
      <c r="L5" s="453" t="s">
        <v>28</v>
      </c>
      <c r="M5" s="471" t="s">
        <v>14</v>
      </c>
    </row>
    <row r="6" spans="1:13" ht="14.4" customHeight="1" thickBot="1" x14ac:dyDescent="0.35">
      <c r="A6" s="459" t="s">
        <v>435</v>
      </c>
      <c r="B6" s="473" t="s">
        <v>535</v>
      </c>
      <c r="C6" s="473" t="s">
        <v>488</v>
      </c>
      <c r="D6" s="473" t="s">
        <v>489</v>
      </c>
      <c r="E6" s="473" t="s">
        <v>536</v>
      </c>
      <c r="F6" s="460"/>
      <c r="G6" s="460"/>
      <c r="H6" s="461">
        <v>0</v>
      </c>
      <c r="I6" s="460">
        <v>1</v>
      </c>
      <c r="J6" s="460">
        <v>52.809999999999974</v>
      </c>
      <c r="K6" s="461">
        <v>1</v>
      </c>
      <c r="L6" s="460">
        <v>1</v>
      </c>
      <c r="M6" s="462">
        <v>52.809999999999974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5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3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3" customWidth="1"/>
    <col min="2" max="2" width="34.21875" style="133" customWidth="1"/>
    <col min="3" max="3" width="11.109375" style="133" bestFit="1" customWidth="1"/>
    <col min="4" max="4" width="7.33203125" style="133" bestFit="1" customWidth="1"/>
    <col min="5" max="5" width="11.109375" style="133" bestFit="1" customWidth="1"/>
    <col min="6" max="6" width="5.33203125" style="133" customWidth="1"/>
    <col min="7" max="7" width="7.33203125" style="133" bestFit="1" customWidth="1"/>
    <col min="8" max="8" width="5.33203125" style="133" customWidth="1"/>
    <col min="9" max="9" width="11.109375" style="133" customWidth="1"/>
    <col min="10" max="10" width="5.33203125" style="133" customWidth="1"/>
    <col min="11" max="11" width="7.33203125" style="133" customWidth="1"/>
    <col min="12" max="12" width="5.33203125" style="133" customWidth="1"/>
    <col min="13" max="13" width="0" style="133" hidden="1" customWidth="1"/>
    <col min="14" max="16384" width="8.88671875" style="133"/>
  </cols>
  <sheetData>
    <row r="1" spans="1:14" ht="18.600000000000001" customHeight="1" thickBot="1" x14ac:dyDescent="0.4">
      <c r="A1" s="348" t="s">
        <v>144</v>
      </c>
      <c r="B1" s="348"/>
      <c r="C1" s="348"/>
      <c r="D1" s="348"/>
      <c r="E1" s="348"/>
      <c r="F1" s="348"/>
      <c r="G1" s="348"/>
      <c r="H1" s="348"/>
      <c r="I1" s="311"/>
      <c r="J1" s="311"/>
      <c r="K1" s="311"/>
      <c r="L1" s="311"/>
    </row>
    <row r="2" spans="1:14" ht="14.4" customHeight="1" thickBot="1" x14ac:dyDescent="0.35">
      <c r="A2" s="240" t="s">
        <v>272</v>
      </c>
      <c r="B2" s="211"/>
      <c r="C2" s="211"/>
      <c r="D2" s="211"/>
      <c r="E2" s="211"/>
      <c r="F2" s="211"/>
      <c r="G2" s="211"/>
      <c r="H2" s="211"/>
    </row>
    <row r="3" spans="1:14" ht="14.4" customHeight="1" thickBot="1" x14ac:dyDescent="0.35">
      <c r="A3" s="147"/>
      <c r="B3" s="147"/>
      <c r="C3" s="359" t="s">
        <v>15</v>
      </c>
      <c r="D3" s="358"/>
      <c r="E3" s="358" t="s">
        <v>16</v>
      </c>
      <c r="F3" s="358"/>
      <c r="G3" s="358"/>
      <c r="H3" s="358"/>
      <c r="I3" s="358" t="s">
        <v>154</v>
      </c>
      <c r="J3" s="358"/>
      <c r="K3" s="358"/>
      <c r="L3" s="360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22">
        <v>19</v>
      </c>
      <c r="B5" s="423" t="s">
        <v>425</v>
      </c>
      <c r="C5" s="426">
        <v>19437.71999999999</v>
      </c>
      <c r="D5" s="426">
        <v>167</v>
      </c>
      <c r="E5" s="426">
        <v>11650.38999999999</v>
      </c>
      <c r="F5" s="474">
        <v>0.59937019362353183</v>
      </c>
      <c r="G5" s="426">
        <v>122</v>
      </c>
      <c r="H5" s="474">
        <v>0.73053892215568861</v>
      </c>
      <c r="I5" s="426">
        <v>7787.3300000000008</v>
      </c>
      <c r="J5" s="474">
        <v>0.40062980637646828</v>
      </c>
      <c r="K5" s="426">
        <v>45</v>
      </c>
      <c r="L5" s="474">
        <v>0.26946107784431139</v>
      </c>
      <c r="M5" s="426" t="s">
        <v>69</v>
      </c>
      <c r="N5" s="154"/>
    </row>
    <row r="6" spans="1:14" ht="14.4" customHeight="1" x14ac:dyDescent="0.3">
      <c r="A6" s="422">
        <v>19</v>
      </c>
      <c r="B6" s="423" t="s">
        <v>538</v>
      </c>
      <c r="C6" s="426">
        <v>19437.71999999999</v>
      </c>
      <c r="D6" s="426">
        <v>167</v>
      </c>
      <c r="E6" s="426">
        <v>11650.38999999999</v>
      </c>
      <c r="F6" s="474">
        <v>0.59937019362353183</v>
      </c>
      <c r="G6" s="426">
        <v>122</v>
      </c>
      <c r="H6" s="474">
        <v>0.73053892215568861</v>
      </c>
      <c r="I6" s="426">
        <v>7787.3300000000008</v>
      </c>
      <c r="J6" s="474">
        <v>0.40062980637646828</v>
      </c>
      <c r="K6" s="426">
        <v>45</v>
      </c>
      <c r="L6" s="474">
        <v>0.26946107784431139</v>
      </c>
      <c r="M6" s="426" t="s">
        <v>1</v>
      </c>
      <c r="N6" s="154"/>
    </row>
    <row r="7" spans="1:14" ht="14.4" customHeight="1" x14ac:dyDescent="0.3">
      <c r="A7" s="422" t="s">
        <v>424</v>
      </c>
      <c r="B7" s="423" t="s">
        <v>3</v>
      </c>
      <c r="C7" s="426">
        <v>19437.71999999999</v>
      </c>
      <c r="D7" s="426">
        <v>167</v>
      </c>
      <c r="E7" s="426">
        <v>11650.38999999999</v>
      </c>
      <c r="F7" s="474">
        <v>0.59937019362353183</v>
      </c>
      <c r="G7" s="426">
        <v>122</v>
      </c>
      <c r="H7" s="474">
        <v>0.73053892215568861</v>
      </c>
      <c r="I7" s="426">
        <v>7787.3300000000008</v>
      </c>
      <c r="J7" s="474">
        <v>0.40062980637646828</v>
      </c>
      <c r="K7" s="426">
        <v>45</v>
      </c>
      <c r="L7" s="474">
        <v>0.26946107784431139</v>
      </c>
      <c r="M7" s="426" t="s">
        <v>429</v>
      </c>
      <c r="N7" s="154"/>
    </row>
    <row r="9" spans="1:14" ht="14.4" customHeight="1" x14ac:dyDescent="0.3">
      <c r="A9" s="422">
        <v>19</v>
      </c>
      <c r="B9" s="423" t="s">
        <v>425</v>
      </c>
      <c r="C9" s="426" t="s">
        <v>426</v>
      </c>
      <c r="D9" s="426" t="s">
        <v>426</v>
      </c>
      <c r="E9" s="426" t="s">
        <v>426</v>
      </c>
      <c r="F9" s="474" t="s">
        <v>426</v>
      </c>
      <c r="G9" s="426" t="s">
        <v>426</v>
      </c>
      <c r="H9" s="474" t="s">
        <v>426</v>
      </c>
      <c r="I9" s="426" t="s">
        <v>426</v>
      </c>
      <c r="J9" s="474" t="s">
        <v>426</v>
      </c>
      <c r="K9" s="426" t="s">
        <v>426</v>
      </c>
      <c r="L9" s="474" t="s">
        <v>426</v>
      </c>
      <c r="M9" s="426" t="s">
        <v>69</v>
      </c>
      <c r="N9" s="154"/>
    </row>
    <row r="10" spans="1:14" ht="14.4" customHeight="1" x14ac:dyDescent="0.3">
      <c r="A10" s="422">
        <v>89301192</v>
      </c>
      <c r="B10" s="423" t="s">
        <v>538</v>
      </c>
      <c r="C10" s="426">
        <v>19437.71999999999</v>
      </c>
      <c r="D10" s="426">
        <v>167</v>
      </c>
      <c r="E10" s="426">
        <v>11650.38999999999</v>
      </c>
      <c r="F10" s="474">
        <v>0.59937019362353183</v>
      </c>
      <c r="G10" s="426">
        <v>122</v>
      </c>
      <c r="H10" s="474">
        <v>0.73053892215568861</v>
      </c>
      <c r="I10" s="426">
        <v>7787.3300000000008</v>
      </c>
      <c r="J10" s="474">
        <v>0.40062980637646828</v>
      </c>
      <c r="K10" s="426">
        <v>45</v>
      </c>
      <c r="L10" s="474">
        <v>0.26946107784431139</v>
      </c>
      <c r="M10" s="426" t="s">
        <v>1</v>
      </c>
      <c r="N10" s="154"/>
    </row>
    <row r="11" spans="1:14" ht="14.4" customHeight="1" x14ac:dyDescent="0.3">
      <c r="A11" s="422" t="s">
        <v>539</v>
      </c>
      <c r="B11" s="423" t="s">
        <v>540</v>
      </c>
      <c r="C11" s="426">
        <v>19437.71999999999</v>
      </c>
      <c r="D11" s="426">
        <v>167</v>
      </c>
      <c r="E11" s="426">
        <v>11650.38999999999</v>
      </c>
      <c r="F11" s="474">
        <v>0.59937019362353183</v>
      </c>
      <c r="G11" s="426">
        <v>122</v>
      </c>
      <c r="H11" s="474">
        <v>0.73053892215568861</v>
      </c>
      <c r="I11" s="426">
        <v>7787.3300000000008</v>
      </c>
      <c r="J11" s="474">
        <v>0.40062980637646828</v>
      </c>
      <c r="K11" s="426">
        <v>45</v>
      </c>
      <c r="L11" s="474">
        <v>0.26946107784431139</v>
      </c>
      <c r="M11" s="426" t="s">
        <v>433</v>
      </c>
      <c r="N11" s="154"/>
    </row>
    <row r="12" spans="1:14" ht="14.4" customHeight="1" x14ac:dyDescent="0.3">
      <c r="A12" s="422" t="s">
        <v>426</v>
      </c>
      <c r="B12" s="423" t="s">
        <v>426</v>
      </c>
      <c r="C12" s="426" t="s">
        <v>426</v>
      </c>
      <c r="D12" s="426" t="s">
        <v>426</v>
      </c>
      <c r="E12" s="426" t="s">
        <v>426</v>
      </c>
      <c r="F12" s="474" t="s">
        <v>426</v>
      </c>
      <c r="G12" s="426" t="s">
        <v>426</v>
      </c>
      <c r="H12" s="474" t="s">
        <v>426</v>
      </c>
      <c r="I12" s="426" t="s">
        <v>426</v>
      </c>
      <c r="J12" s="474" t="s">
        <v>426</v>
      </c>
      <c r="K12" s="426" t="s">
        <v>426</v>
      </c>
      <c r="L12" s="474" t="s">
        <v>426</v>
      </c>
      <c r="M12" s="426" t="s">
        <v>434</v>
      </c>
      <c r="N12" s="154"/>
    </row>
    <row r="13" spans="1:14" ht="14.4" customHeight="1" x14ac:dyDescent="0.3">
      <c r="A13" s="422" t="s">
        <v>424</v>
      </c>
      <c r="B13" s="423" t="s">
        <v>428</v>
      </c>
      <c r="C13" s="426">
        <v>19437.71999999999</v>
      </c>
      <c r="D13" s="426">
        <v>167</v>
      </c>
      <c r="E13" s="426">
        <v>11650.38999999999</v>
      </c>
      <c r="F13" s="474">
        <v>0.59937019362353183</v>
      </c>
      <c r="G13" s="426">
        <v>122</v>
      </c>
      <c r="H13" s="474">
        <v>0.73053892215568861</v>
      </c>
      <c r="I13" s="426">
        <v>7787.3300000000008</v>
      </c>
      <c r="J13" s="474">
        <v>0.40062980637646828</v>
      </c>
      <c r="K13" s="426">
        <v>45</v>
      </c>
      <c r="L13" s="474">
        <v>0.26946107784431139</v>
      </c>
      <c r="M13" s="426" t="s">
        <v>429</v>
      </c>
      <c r="N13" s="154"/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4" priority="15" stopIfTrue="1" operator="lessThan">
      <formula>0.6</formula>
    </cfRule>
  </conditionalFormatting>
  <conditionalFormatting sqref="B5:B7">
    <cfRule type="expression" dxfId="33" priority="10">
      <formula>AND(LEFT(M5,6)&lt;&gt;"mezera",M5&lt;&gt;"")</formula>
    </cfRule>
  </conditionalFormatting>
  <conditionalFormatting sqref="A5:A7">
    <cfRule type="expression" dxfId="32" priority="8">
      <formula>AND(M5&lt;&gt;"",M5&lt;&gt;"mezeraKL")</formula>
    </cfRule>
  </conditionalFormatting>
  <conditionalFormatting sqref="F5:F7">
    <cfRule type="cellIs" dxfId="31" priority="7" operator="lessThan">
      <formula>0.6</formula>
    </cfRule>
  </conditionalFormatting>
  <conditionalFormatting sqref="B5:L7">
    <cfRule type="expression" dxfId="30" priority="9">
      <formula>OR($M5="KL",$M5="SumaKL")</formula>
    </cfRule>
    <cfRule type="expression" dxfId="29" priority="11">
      <formula>$M5="SumaNS"</formula>
    </cfRule>
  </conditionalFormatting>
  <conditionalFormatting sqref="A5:L7">
    <cfRule type="expression" dxfId="28" priority="12">
      <formula>$M5&lt;&gt;""</formula>
    </cfRule>
  </conditionalFormatting>
  <conditionalFormatting sqref="B9:B13">
    <cfRule type="expression" dxfId="27" priority="4">
      <formula>AND(LEFT(M9,6)&lt;&gt;"mezera",M9&lt;&gt;"")</formula>
    </cfRule>
  </conditionalFormatting>
  <conditionalFormatting sqref="A9:A13">
    <cfRule type="expression" dxfId="26" priority="2">
      <formula>AND(M9&lt;&gt;"",M9&lt;&gt;"mezeraKL")</formula>
    </cfRule>
  </conditionalFormatting>
  <conditionalFormatting sqref="F9:F13">
    <cfRule type="cellIs" dxfId="25" priority="1" operator="lessThan">
      <formula>0.6</formula>
    </cfRule>
  </conditionalFormatting>
  <conditionalFormatting sqref="B9:L13">
    <cfRule type="expression" dxfId="24" priority="3">
      <formula>OR($M9="KL",$M9="SumaKL")</formula>
    </cfRule>
    <cfRule type="expression" dxfId="23" priority="5">
      <formula>$M9="SumaNS"</formula>
    </cfRule>
  </conditionalFormatting>
  <conditionalFormatting sqref="A9:L13">
    <cfRule type="expression" dxfId="22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0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3" customWidth="1"/>
    <col min="2" max="2" width="11.109375" style="212" bestFit="1" customWidth="1"/>
    <col min="3" max="3" width="11.109375" style="133" hidden="1" customWidth="1"/>
    <col min="4" max="4" width="7.33203125" style="212" bestFit="1" customWidth="1"/>
    <col min="5" max="5" width="7.33203125" style="133" hidden="1" customWidth="1"/>
    <col min="6" max="6" width="11.109375" style="212" bestFit="1" customWidth="1"/>
    <col min="7" max="7" width="5.33203125" style="215" customWidth="1"/>
    <col min="8" max="8" width="7.33203125" style="212" bestFit="1" customWidth="1"/>
    <col min="9" max="9" width="5.33203125" style="215" customWidth="1"/>
    <col min="10" max="10" width="11.109375" style="212" customWidth="1"/>
    <col min="11" max="11" width="5.33203125" style="215" customWidth="1"/>
    <col min="12" max="12" width="7.33203125" style="212" customWidth="1"/>
    <col min="13" max="13" width="5.33203125" style="215" customWidth="1"/>
    <col min="14" max="14" width="0" style="133" hidden="1" customWidth="1"/>
    <col min="15" max="16384" width="8.88671875" style="133"/>
  </cols>
  <sheetData>
    <row r="1" spans="1:13" ht="18.600000000000001" customHeight="1" thickBot="1" x14ac:dyDescent="0.4">
      <c r="A1" s="348" t="s">
        <v>155</v>
      </c>
      <c r="B1" s="348"/>
      <c r="C1" s="348"/>
      <c r="D1" s="348"/>
      <c r="E1" s="348"/>
      <c r="F1" s="348"/>
      <c r="G1" s="348"/>
      <c r="H1" s="348"/>
      <c r="I1" s="348"/>
      <c r="J1" s="311"/>
      <c r="K1" s="311"/>
      <c r="L1" s="311"/>
      <c r="M1" s="311"/>
    </row>
    <row r="2" spans="1:13" ht="14.4" customHeight="1" thickBot="1" x14ac:dyDescent="0.35">
      <c r="A2" s="240" t="s">
        <v>272</v>
      </c>
      <c r="B2" s="219"/>
      <c r="C2" s="211"/>
      <c r="D2" s="219"/>
      <c r="E2" s="211"/>
      <c r="F2" s="219"/>
      <c r="G2" s="220"/>
      <c r="H2" s="219"/>
      <c r="I2" s="220"/>
    </row>
    <row r="3" spans="1:13" ht="14.4" customHeight="1" thickBot="1" x14ac:dyDescent="0.35">
      <c r="A3" s="147"/>
      <c r="B3" s="359" t="s">
        <v>15</v>
      </c>
      <c r="C3" s="361"/>
      <c r="D3" s="358"/>
      <c r="E3" s="146"/>
      <c r="F3" s="358" t="s">
        <v>16</v>
      </c>
      <c r="G3" s="358"/>
      <c r="H3" s="358"/>
      <c r="I3" s="358"/>
      <c r="J3" s="358" t="s">
        <v>154</v>
      </c>
      <c r="K3" s="358"/>
      <c r="L3" s="358"/>
      <c r="M3" s="360"/>
    </row>
    <row r="4" spans="1:13" ht="14.4" customHeight="1" thickBot="1" x14ac:dyDescent="0.35">
      <c r="A4" s="475" t="s">
        <v>141</v>
      </c>
      <c r="B4" s="479" t="s">
        <v>19</v>
      </c>
      <c r="C4" s="480"/>
      <c r="D4" s="479" t="s">
        <v>20</v>
      </c>
      <c r="E4" s="480"/>
      <c r="F4" s="479" t="s">
        <v>19</v>
      </c>
      <c r="G4" s="486" t="s">
        <v>2</v>
      </c>
      <c r="H4" s="479" t="s">
        <v>20</v>
      </c>
      <c r="I4" s="486" t="s">
        <v>2</v>
      </c>
      <c r="J4" s="479" t="s">
        <v>19</v>
      </c>
      <c r="K4" s="486" t="s">
        <v>2</v>
      </c>
      <c r="L4" s="479" t="s">
        <v>20</v>
      </c>
      <c r="M4" s="487" t="s">
        <v>2</v>
      </c>
    </row>
    <row r="5" spans="1:13" ht="14.4" customHeight="1" x14ac:dyDescent="0.3">
      <c r="A5" s="476" t="s">
        <v>541</v>
      </c>
      <c r="B5" s="120">
        <v>9928.5499999999938</v>
      </c>
      <c r="C5" s="435">
        <v>1</v>
      </c>
      <c r="D5" s="483">
        <v>116</v>
      </c>
      <c r="E5" s="472" t="s">
        <v>541</v>
      </c>
      <c r="F5" s="120">
        <v>6444.4399999999941</v>
      </c>
      <c r="G5" s="457">
        <v>0.64908168866551497</v>
      </c>
      <c r="H5" s="438">
        <v>89</v>
      </c>
      <c r="I5" s="488">
        <v>0.76724137931034486</v>
      </c>
      <c r="J5" s="494">
        <v>3484.11</v>
      </c>
      <c r="K5" s="457">
        <v>0.35091831133448514</v>
      </c>
      <c r="L5" s="438">
        <v>27</v>
      </c>
      <c r="M5" s="488">
        <v>0.23275862068965517</v>
      </c>
    </row>
    <row r="6" spans="1:13" ht="14.4" customHeight="1" x14ac:dyDescent="0.3">
      <c r="A6" s="477" t="s">
        <v>542</v>
      </c>
      <c r="B6" s="481">
        <v>453.06</v>
      </c>
      <c r="C6" s="441">
        <v>1</v>
      </c>
      <c r="D6" s="484">
        <v>1</v>
      </c>
      <c r="E6" s="492" t="s">
        <v>542</v>
      </c>
      <c r="F6" s="481">
        <v>453.06</v>
      </c>
      <c r="G6" s="489">
        <v>1</v>
      </c>
      <c r="H6" s="444">
        <v>1</v>
      </c>
      <c r="I6" s="490">
        <v>1</v>
      </c>
      <c r="J6" s="495"/>
      <c r="K6" s="489">
        <v>0</v>
      </c>
      <c r="L6" s="444"/>
      <c r="M6" s="490">
        <v>0</v>
      </c>
    </row>
    <row r="7" spans="1:13" ht="14.4" customHeight="1" x14ac:dyDescent="0.3">
      <c r="A7" s="477" t="s">
        <v>543</v>
      </c>
      <c r="B7" s="481">
        <v>2177.3000000000002</v>
      </c>
      <c r="C7" s="441">
        <v>1</v>
      </c>
      <c r="D7" s="484">
        <v>14</v>
      </c>
      <c r="E7" s="492" t="s">
        <v>543</v>
      </c>
      <c r="F7" s="481">
        <v>1182.05</v>
      </c>
      <c r="G7" s="489">
        <v>0.54289716621503692</v>
      </c>
      <c r="H7" s="444">
        <v>6</v>
      </c>
      <c r="I7" s="490">
        <v>0.42857142857142855</v>
      </c>
      <c r="J7" s="495">
        <v>995.25</v>
      </c>
      <c r="K7" s="489">
        <v>0.45710283378496297</v>
      </c>
      <c r="L7" s="444">
        <v>8</v>
      </c>
      <c r="M7" s="490">
        <v>0.5714285714285714</v>
      </c>
    </row>
    <row r="8" spans="1:13" ht="14.4" customHeight="1" x14ac:dyDescent="0.3">
      <c r="A8" s="477" t="s">
        <v>544</v>
      </c>
      <c r="B8" s="481">
        <v>1450.6599999999999</v>
      </c>
      <c r="C8" s="441">
        <v>1</v>
      </c>
      <c r="D8" s="484">
        <v>9</v>
      </c>
      <c r="E8" s="492" t="s">
        <v>544</v>
      </c>
      <c r="F8" s="481">
        <v>1450.6599999999999</v>
      </c>
      <c r="G8" s="489">
        <v>1</v>
      </c>
      <c r="H8" s="444">
        <v>7</v>
      </c>
      <c r="I8" s="490">
        <v>0.77777777777777779</v>
      </c>
      <c r="J8" s="495">
        <v>0</v>
      </c>
      <c r="K8" s="489">
        <v>0</v>
      </c>
      <c r="L8" s="444">
        <v>2</v>
      </c>
      <c r="M8" s="490">
        <v>0.22222222222222221</v>
      </c>
    </row>
    <row r="9" spans="1:13" ht="14.4" customHeight="1" x14ac:dyDescent="0.3">
      <c r="A9" s="477" t="s">
        <v>545</v>
      </c>
      <c r="B9" s="481">
        <v>3581.1</v>
      </c>
      <c r="C9" s="441">
        <v>1</v>
      </c>
      <c r="D9" s="484">
        <v>9</v>
      </c>
      <c r="E9" s="492" t="s">
        <v>545</v>
      </c>
      <c r="F9" s="481">
        <v>356.78999999999996</v>
      </c>
      <c r="G9" s="489">
        <v>9.9631398173745486E-2</v>
      </c>
      <c r="H9" s="444">
        <v>3</v>
      </c>
      <c r="I9" s="490">
        <v>0.33333333333333331</v>
      </c>
      <c r="J9" s="495">
        <v>3224.31</v>
      </c>
      <c r="K9" s="489">
        <v>0.90036860182625456</v>
      </c>
      <c r="L9" s="444">
        <v>6</v>
      </c>
      <c r="M9" s="490">
        <v>0.66666666666666663</v>
      </c>
    </row>
    <row r="10" spans="1:13" ht="14.4" customHeight="1" thickBot="1" x14ac:dyDescent="0.35">
      <c r="A10" s="478" t="s">
        <v>546</v>
      </c>
      <c r="B10" s="482">
        <v>1847.0500000000002</v>
      </c>
      <c r="C10" s="447">
        <v>1</v>
      </c>
      <c r="D10" s="485">
        <v>18</v>
      </c>
      <c r="E10" s="493" t="s">
        <v>546</v>
      </c>
      <c r="F10" s="482">
        <v>1763.39</v>
      </c>
      <c r="G10" s="458">
        <v>0.95470615305487128</v>
      </c>
      <c r="H10" s="450">
        <v>16</v>
      </c>
      <c r="I10" s="491">
        <v>0.88888888888888884</v>
      </c>
      <c r="J10" s="496">
        <v>83.66</v>
      </c>
      <c r="K10" s="458">
        <v>4.529384694512871E-2</v>
      </c>
      <c r="L10" s="450">
        <v>2</v>
      </c>
      <c r="M10" s="491">
        <v>0.1111111111111111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1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72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3" hidden="1" customWidth="1" outlineLevel="1"/>
    <col min="2" max="2" width="28.33203125" style="133" hidden="1" customWidth="1" outlineLevel="1"/>
    <col min="3" max="3" width="9" style="133" customWidth="1" collapsed="1"/>
    <col min="4" max="4" width="18.77734375" style="223" customWidth="1"/>
    <col min="5" max="5" width="13.5546875" style="213" customWidth="1"/>
    <col min="6" max="6" width="6" style="133" bestFit="1" customWidth="1"/>
    <col min="7" max="7" width="8.77734375" style="133" customWidth="1"/>
    <col min="8" max="8" width="5" style="133" bestFit="1" customWidth="1"/>
    <col min="9" max="9" width="8.5546875" style="133" hidden="1" customWidth="1" outlineLevel="1"/>
    <col min="10" max="10" width="25.77734375" style="133" customWidth="1" collapsed="1"/>
    <col min="11" max="11" width="8.77734375" style="133" customWidth="1"/>
    <col min="12" max="12" width="7.77734375" style="214" customWidth="1"/>
    <col min="13" max="13" width="11.109375" style="214" customWidth="1"/>
    <col min="14" max="14" width="7.77734375" style="133" customWidth="1"/>
    <col min="15" max="15" width="7.77734375" style="224" customWidth="1"/>
    <col min="16" max="16" width="11.109375" style="214" customWidth="1"/>
    <col min="17" max="17" width="5.44140625" style="215" bestFit="1" customWidth="1"/>
    <col min="18" max="18" width="7.77734375" style="133" customWidth="1"/>
    <col min="19" max="19" width="5.44140625" style="215" bestFit="1" customWidth="1"/>
    <col min="20" max="20" width="7.77734375" style="224" customWidth="1"/>
    <col min="21" max="21" width="5.44140625" style="215" bestFit="1" customWidth="1"/>
    <col min="22" max="16384" width="8.88671875" style="133"/>
  </cols>
  <sheetData>
    <row r="1" spans="1:21" ht="18.600000000000001" customHeight="1" thickBot="1" x14ac:dyDescent="0.4">
      <c r="A1" s="339" t="s">
        <v>738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</row>
    <row r="2" spans="1:21" ht="14.4" customHeight="1" thickBot="1" x14ac:dyDescent="0.35">
      <c r="A2" s="240" t="s">
        <v>272</v>
      </c>
      <c r="B2" s="221"/>
      <c r="C2" s="211"/>
      <c r="D2" s="211"/>
      <c r="E2" s="222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</row>
    <row r="3" spans="1:21" ht="14.4" customHeight="1" thickBot="1" x14ac:dyDescent="0.35">
      <c r="A3" s="365"/>
      <c r="B3" s="366"/>
      <c r="C3" s="366"/>
      <c r="D3" s="366"/>
      <c r="E3" s="366"/>
      <c r="F3" s="366"/>
      <c r="G3" s="366"/>
      <c r="H3" s="366"/>
      <c r="I3" s="366"/>
      <c r="J3" s="366"/>
      <c r="K3" s="367" t="s">
        <v>133</v>
      </c>
      <c r="L3" s="368"/>
      <c r="M3" s="66">
        <f>SUBTOTAL(9,M7:M1048576)</f>
        <v>19437.719999999998</v>
      </c>
      <c r="N3" s="66">
        <f>SUBTOTAL(9,N7:N1048576)</f>
        <v>346</v>
      </c>
      <c r="O3" s="66">
        <f>SUBTOTAL(9,O7:O1048576)</f>
        <v>167</v>
      </c>
      <c r="P3" s="66">
        <f>SUBTOTAL(9,P7:P1048576)</f>
        <v>11650.389999999994</v>
      </c>
      <c r="Q3" s="67">
        <f>IF(M3=0,0,P3/M3)</f>
        <v>0.59937019362353172</v>
      </c>
      <c r="R3" s="66">
        <f>SUBTOTAL(9,R7:R1048576)</f>
        <v>248</v>
      </c>
      <c r="S3" s="67">
        <f>IF(N3=0,0,R3/N3)</f>
        <v>0.7167630057803468</v>
      </c>
      <c r="T3" s="66">
        <f>SUBTOTAL(9,T7:T1048576)</f>
        <v>122</v>
      </c>
      <c r="U3" s="68">
        <f>IF(O3=0,0,T3/O3)</f>
        <v>0.73053892215568861</v>
      </c>
    </row>
    <row r="4" spans="1:21" ht="14.4" customHeight="1" x14ac:dyDescent="0.3">
      <c r="A4" s="69"/>
      <c r="B4" s="70"/>
      <c r="C4" s="70"/>
      <c r="D4" s="71"/>
      <c r="E4" s="147"/>
      <c r="F4" s="70"/>
      <c r="G4" s="70"/>
      <c r="H4" s="70"/>
      <c r="I4" s="70"/>
      <c r="J4" s="70"/>
      <c r="K4" s="70"/>
      <c r="L4" s="70"/>
      <c r="M4" s="369" t="s">
        <v>15</v>
      </c>
      <c r="N4" s="370"/>
      <c r="O4" s="370"/>
      <c r="P4" s="371" t="s">
        <v>21</v>
      </c>
      <c r="Q4" s="370"/>
      <c r="R4" s="370"/>
      <c r="S4" s="370"/>
      <c r="T4" s="370"/>
      <c r="U4" s="372"/>
    </row>
    <row r="5" spans="1:21" ht="14.4" customHeight="1" thickBot="1" x14ac:dyDescent="0.35">
      <c r="A5" s="72"/>
      <c r="B5" s="73"/>
      <c r="C5" s="70"/>
      <c r="D5" s="71"/>
      <c r="E5" s="147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62" t="s">
        <v>22</v>
      </c>
      <c r="Q5" s="363"/>
      <c r="R5" s="362" t="s">
        <v>13</v>
      </c>
      <c r="S5" s="363"/>
      <c r="T5" s="362" t="s">
        <v>20</v>
      </c>
      <c r="U5" s="364"/>
    </row>
    <row r="6" spans="1:21" s="213" customFormat="1" ht="14.4" customHeight="1" thickBot="1" x14ac:dyDescent="0.35">
      <c r="A6" s="497" t="s">
        <v>23</v>
      </c>
      <c r="B6" s="498" t="s">
        <v>5</v>
      </c>
      <c r="C6" s="497" t="s">
        <v>24</v>
      </c>
      <c r="D6" s="498" t="s">
        <v>6</v>
      </c>
      <c r="E6" s="498" t="s">
        <v>157</v>
      </c>
      <c r="F6" s="498" t="s">
        <v>25</v>
      </c>
      <c r="G6" s="498" t="s">
        <v>26</v>
      </c>
      <c r="H6" s="498" t="s">
        <v>8</v>
      </c>
      <c r="I6" s="498" t="s">
        <v>10</v>
      </c>
      <c r="J6" s="498" t="s">
        <v>11</v>
      </c>
      <c r="K6" s="498" t="s">
        <v>12</v>
      </c>
      <c r="L6" s="498" t="s">
        <v>27</v>
      </c>
      <c r="M6" s="499" t="s">
        <v>14</v>
      </c>
      <c r="N6" s="500" t="s">
        <v>28</v>
      </c>
      <c r="O6" s="500" t="s">
        <v>28</v>
      </c>
      <c r="P6" s="500" t="s">
        <v>14</v>
      </c>
      <c r="Q6" s="500" t="s">
        <v>2</v>
      </c>
      <c r="R6" s="500" t="s">
        <v>28</v>
      </c>
      <c r="S6" s="500" t="s">
        <v>2</v>
      </c>
      <c r="T6" s="500" t="s">
        <v>28</v>
      </c>
      <c r="U6" s="501" t="s">
        <v>2</v>
      </c>
    </row>
    <row r="7" spans="1:21" ht="14.4" customHeight="1" x14ac:dyDescent="0.3">
      <c r="A7" s="434">
        <v>19</v>
      </c>
      <c r="B7" s="435" t="s">
        <v>425</v>
      </c>
      <c r="C7" s="435">
        <v>89301192</v>
      </c>
      <c r="D7" s="502" t="s">
        <v>737</v>
      </c>
      <c r="E7" s="503" t="s">
        <v>541</v>
      </c>
      <c r="F7" s="435" t="s">
        <v>538</v>
      </c>
      <c r="G7" s="435" t="s">
        <v>547</v>
      </c>
      <c r="H7" s="435" t="s">
        <v>426</v>
      </c>
      <c r="I7" s="435" t="s">
        <v>548</v>
      </c>
      <c r="J7" s="435" t="s">
        <v>549</v>
      </c>
      <c r="K7" s="435" t="s">
        <v>550</v>
      </c>
      <c r="L7" s="436">
        <v>483.76</v>
      </c>
      <c r="M7" s="436">
        <v>967.52</v>
      </c>
      <c r="N7" s="435">
        <v>2</v>
      </c>
      <c r="O7" s="504">
        <v>1</v>
      </c>
      <c r="P7" s="436"/>
      <c r="Q7" s="457">
        <v>0</v>
      </c>
      <c r="R7" s="435"/>
      <c r="S7" s="457">
        <v>0</v>
      </c>
      <c r="T7" s="504"/>
      <c r="U7" s="488">
        <v>0</v>
      </c>
    </row>
    <row r="8" spans="1:21" ht="14.4" customHeight="1" x14ac:dyDescent="0.3">
      <c r="A8" s="505">
        <v>19</v>
      </c>
      <c r="B8" s="506" t="s">
        <v>425</v>
      </c>
      <c r="C8" s="506">
        <v>89301192</v>
      </c>
      <c r="D8" s="507" t="s">
        <v>737</v>
      </c>
      <c r="E8" s="508" t="s">
        <v>541</v>
      </c>
      <c r="F8" s="506" t="s">
        <v>538</v>
      </c>
      <c r="G8" s="506" t="s">
        <v>551</v>
      </c>
      <c r="H8" s="506" t="s">
        <v>426</v>
      </c>
      <c r="I8" s="506" t="s">
        <v>552</v>
      </c>
      <c r="J8" s="506" t="s">
        <v>553</v>
      </c>
      <c r="K8" s="506" t="s">
        <v>554</v>
      </c>
      <c r="L8" s="509">
        <v>22.59</v>
      </c>
      <c r="M8" s="509">
        <v>22.59</v>
      </c>
      <c r="N8" s="506">
        <v>1</v>
      </c>
      <c r="O8" s="510">
        <v>1</v>
      </c>
      <c r="P8" s="509"/>
      <c r="Q8" s="511">
        <v>0</v>
      </c>
      <c r="R8" s="506"/>
      <c r="S8" s="511">
        <v>0</v>
      </c>
      <c r="T8" s="510"/>
      <c r="U8" s="512">
        <v>0</v>
      </c>
    </row>
    <row r="9" spans="1:21" ht="14.4" customHeight="1" x14ac:dyDescent="0.3">
      <c r="A9" s="505">
        <v>19</v>
      </c>
      <c r="B9" s="506" t="s">
        <v>425</v>
      </c>
      <c r="C9" s="506">
        <v>89301192</v>
      </c>
      <c r="D9" s="507" t="s">
        <v>737</v>
      </c>
      <c r="E9" s="508" t="s">
        <v>541</v>
      </c>
      <c r="F9" s="506" t="s">
        <v>538</v>
      </c>
      <c r="G9" s="506" t="s">
        <v>555</v>
      </c>
      <c r="H9" s="506" t="s">
        <v>426</v>
      </c>
      <c r="I9" s="506" t="s">
        <v>556</v>
      </c>
      <c r="J9" s="506" t="s">
        <v>557</v>
      </c>
      <c r="K9" s="506" t="s">
        <v>558</v>
      </c>
      <c r="L9" s="509">
        <v>158.13</v>
      </c>
      <c r="M9" s="509">
        <v>158.13</v>
      </c>
      <c r="N9" s="506">
        <v>1</v>
      </c>
      <c r="O9" s="510">
        <v>1</v>
      </c>
      <c r="P9" s="509"/>
      <c r="Q9" s="511">
        <v>0</v>
      </c>
      <c r="R9" s="506"/>
      <c r="S9" s="511">
        <v>0</v>
      </c>
      <c r="T9" s="510"/>
      <c r="U9" s="512">
        <v>0</v>
      </c>
    </row>
    <row r="10" spans="1:21" ht="14.4" customHeight="1" x14ac:dyDescent="0.3">
      <c r="A10" s="505">
        <v>19</v>
      </c>
      <c r="B10" s="506" t="s">
        <v>425</v>
      </c>
      <c r="C10" s="506">
        <v>89301192</v>
      </c>
      <c r="D10" s="507" t="s">
        <v>737</v>
      </c>
      <c r="E10" s="508" t="s">
        <v>541</v>
      </c>
      <c r="F10" s="506" t="s">
        <v>538</v>
      </c>
      <c r="G10" s="506" t="s">
        <v>559</v>
      </c>
      <c r="H10" s="506" t="s">
        <v>426</v>
      </c>
      <c r="I10" s="506" t="s">
        <v>560</v>
      </c>
      <c r="J10" s="506" t="s">
        <v>561</v>
      </c>
      <c r="K10" s="506" t="s">
        <v>562</v>
      </c>
      <c r="L10" s="509">
        <v>50.27</v>
      </c>
      <c r="M10" s="509">
        <v>50.27</v>
      </c>
      <c r="N10" s="506">
        <v>1</v>
      </c>
      <c r="O10" s="510">
        <v>1</v>
      </c>
      <c r="P10" s="509">
        <v>50.27</v>
      </c>
      <c r="Q10" s="511">
        <v>1</v>
      </c>
      <c r="R10" s="506">
        <v>1</v>
      </c>
      <c r="S10" s="511">
        <v>1</v>
      </c>
      <c r="T10" s="510">
        <v>1</v>
      </c>
      <c r="U10" s="512">
        <v>1</v>
      </c>
    </row>
    <row r="11" spans="1:21" ht="14.4" customHeight="1" x14ac:dyDescent="0.3">
      <c r="A11" s="505">
        <v>19</v>
      </c>
      <c r="B11" s="506" t="s">
        <v>425</v>
      </c>
      <c r="C11" s="506">
        <v>89301192</v>
      </c>
      <c r="D11" s="507" t="s">
        <v>737</v>
      </c>
      <c r="E11" s="508" t="s">
        <v>541</v>
      </c>
      <c r="F11" s="506" t="s">
        <v>538</v>
      </c>
      <c r="G11" s="506" t="s">
        <v>563</v>
      </c>
      <c r="H11" s="506" t="s">
        <v>426</v>
      </c>
      <c r="I11" s="506" t="s">
        <v>564</v>
      </c>
      <c r="J11" s="506" t="s">
        <v>565</v>
      </c>
      <c r="K11" s="506" t="s">
        <v>566</v>
      </c>
      <c r="L11" s="509">
        <v>0</v>
      </c>
      <c r="M11" s="509">
        <v>0</v>
      </c>
      <c r="N11" s="506">
        <v>2</v>
      </c>
      <c r="O11" s="510">
        <v>1</v>
      </c>
      <c r="P11" s="509">
        <v>0</v>
      </c>
      <c r="Q11" s="511"/>
      <c r="R11" s="506">
        <v>2</v>
      </c>
      <c r="S11" s="511">
        <v>1</v>
      </c>
      <c r="T11" s="510">
        <v>1</v>
      </c>
      <c r="U11" s="512">
        <v>1</v>
      </c>
    </row>
    <row r="12" spans="1:21" ht="14.4" customHeight="1" x14ac:dyDescent="0.3">
      <c r="A12" s="505">
        <v>19</v>
      </c>
      <c r="B12" s="506" t="s">
        <v>425</v>
      </c>
      <c r="C12" s="506">
        <v>89301192</v>
      </c>
      <c r="D12" s="507" t="s">
        <v>737</v>
      </c>
      <c r="E12" s="508" t="s">
        <v>541</v>
      </c>
      <c r="F12" s="506" t="s">
        <v>538</v>
      </c>
      <c r="G12" s="506" t="s">
        <v>567</v>
      </c>
      <c r="H12" s="506" t="s">
        <v>426</v>
      </c>
      <c r="I12" s="506" t="s">
        <v>568</v>
      </c>
      <c r="J12" s="506" t="s">
        <v>569</v>
      </c>
      <c r="K12" s="506" t="s">
        <v>570</v>
      </c>
      <c r="L12" s="509">
        <v>41.83</v>
      </c>
      <c r="M12" s="509">
        <v>7780.3799999999937</v>
      </c>
      <c r="N12" s="506">
        <v>186</v>
      </c>
      <c r="O12" s="510">
        <v>90</v>
      </c>
      <c r="P12" s="509">
        <v>6190.8399999999938</v>
      </c>
      <c r="Q12" s="511">
        <v>0.79569892473118264</v>
      </c>
      <c r="R12" s="506">
        <v>148</v>
      </c>
      <c r="S12" s="511">
        <v>0.79569892473118276</v>
      </c>
      <c r="T12" s="510">
        <v>71</v>
      </c>
      <c r="U12" s="512">
        <v>0.78888888888888886</v>
      </c>
    </row>
    <row r="13" spans="1:21" ht="14.4" customHeight="1" x14ac:dyDescent="0.3">
      <c r="A13" s="505">
        <v>19</v>
      </c>
      <c r="B13" s="506" t="s">
        <v>425</v>
      </c>
      <c r="C13" s="506">
        <v>89301192</v>
      </c>
      <c r="D13" s="507" t="s">
        <v>737</v>
      </c>
      <c r="E13" s="508" t="s">
        <v>541</v>
      </c>
      <c r="F13" s="506" t="s">
        <v>538</v>
      </c>
      <c r="G13" s="506" t="s">
        <v>571</v>
      </c>
      <c r="H13" s="506" t="s">
        <v>426</v>
      </c>
      <c r="I13" s="506" t="s">
        <v>572</v>
      </c>
      <c r="J13" s="506" t="s">
        <v>573</v>
      </c>
      <c r="K13" s="506" t="s">
        <v>574</v>
      </c>
      <c r="L13" s="509">
        <v>242.93</v>
      </c>
      <c r="M13" s="509">
        <v>242.93</v>
      </c>
      <c r="N13" s="506">
        <v>1</v>
      </c>
      <c r="O13" s="510">
        <v>1</v>
      </c>
      <c r="P13" s="509"/>
      <c r="Q13" s="511">
        <v>0</v>
      </c>
      <c r="R13" s="506"/>
      <c r="S13" s="511">
        <v>0</v>
      </c>
      <c r="T13" s="510"/>
      <c r="U13" s="512">
        <v>0</v>
      </c>
    </row>
    <row r="14" spans="1:21" ht="14.4" customHeight="1" x14ac:dyDescent="0.3">
      <c r="A14" s="505">
        <v>19</v>
      </c>
      <c r="B14" s="506" t="s">
        <v>425</v>
      </c>
      <c r="C14" s="506">
        <v>89301192</v>
      </c>
      <c r="D14" s="507" t="s">
        <v>737</v>
      </c>
      <c r="E14" s="508" t="s">
        <v>541</v>
      </c>
      <c r="F14" s="506" t="s">
        <v>538</v>
      </c>
      <c r="G14" s="506" t="s">
        <v>575</v>
      </c>
      <c r="H14" s="506" t="s">
        <v>426</v>
      </c>
      <c r="I14" s="506" t="s">
        <v>576</v>
      </c>
      <c r="J14" s="506" t="s">
        <v>577</v>
      </c>
      <c r="K14" s="506" t="s">
        <v>578</v>
      </c>
      <c r="L14" s="509">
        <v>503.4</v>
      </c>
      <c r="M14" s="509">
        <v>503.4</v>
      </c>
      <c r="N14" s="506">
        <v>1</v>
      </c>
      <c r="O14" s="510">
        <v>1</v>
      </c>
      <c r="P14" s="509"/>
      <c r="Q14" s="511">
        <v>0</v>
      </c>
      <c r="R14" s="506"/>
      <c r="S14" s="511">
        <v>0</v>
      </c>
      <c r="T14" s="510"/>
      <c r="U14" s="512">
        <v>0</v>
      </c>
    </row>
    <row r="15" spans="1:21" ht="14.4" customHeight="1" x14ac:dyDescent="0.3">
      <c r="A15" s="505">
        <v>19</v>
      </c>
      <c r="B15" s="506" t="s">
        <v>425</v>
      </c>
      <c r="C15" s="506">
        <v>89301192</v>
      </c>
      <c r="D15" s="507" t="s">
        <v>737</v>
      </c>
      <c r="E15" s="508" t="s">
        <v>541</v>
      </c>
      <c r="F15" s="506" t="s">
        <v>538</v>
      </c>
      <c r="G15" s="506" t="s">
        <v>579</v>
      </c>
      <c r="H15" s="506" t="s">
        <v>426</v>
      </c>
      <c r="I15" s="506" t="s">
        <v>580</v>
      </c>
      <c r="J15" s="506" t="s">
        <v>581</v>
      </c>
      <c r="K15" s="506" t="s">
        <v>582</v>
      </c>
      <c r="L15" s="509">
        <v>0</v>
      </c>
      <c r="M15" s="509">
        <v>0</v>
      </c>
      <c r="N15" s="506">
        <v>4</v>
      </c>
      <c r="O15" s="510">
        <v>2</v>
      </c>
      <c r="P15" s="509">
        <v>0</v>
      </c>
      <c r="Q15" s="511"/>
      <c r="R15" s="506">
        <v>4</v>
      </c>
      <c r="S15" s="511">
        <v>1</v>
      </c>
      <c r="T15" s="510">
        <v>2</v>
      </c>
      <c r="U15" s="512">
        <v>1</v>
      </c>
    </row>
    <row r="16" spans="1:21" ht="14.4" customHeight="1" x14ac:dyDescent="0.3">
      <c r="A16" s="505">
        <v>19</v>
      </c>
      <c r="B16" s="506" t="s">
        <v>425</v>
      </c>
      <c r="C16" s="506">
        <v>89301192</v>
      </c>
      <c r="D16" s="507" t="s">
        <v>737</v>
      </c>
      <c r="E16" s="508" t="s">
        <v>541</v>
      </c>
      <c r="F16" s="506" t="s">
        <v>538</v>
      </c>
      <c r="G16" s="506" t="s">
        <v>579</v>
      </c>
      <c r="H16" s="506" t="s">
        <v>426</v>
      </c>
      <c r="I16" s="506" t="s">
        <v>583</v>
      </c>
      <c r="J16" s="506" t="s">
        <v>581</v>
      </c>
      <c r="K16" s="506" t="s">
        <v>582</v>
      </c>
      <c r="L16" s="509">
        <v>0</v>
      </c>
      <c r="M16" s="509">
        <v>0</v>
      </c>
      <c r="N16" s="506">
        <v>26</v>
      </c>
      <c r="O16" s="510">
        <v>10.5</v>
      </c>
      <c r="P16" s="509">
        <v>0</v>
      </c>
      <c r="Q16" s="511"/>
      <c r="R16" s="506">
        <v>24</v>
      </c>
      <c r="S16" s="511">
        <v>0.92307692307692313</v>
      </c>
      <c r="T16" s="510">
        <v>9.5</v>
      </c>
      <c r="U16" s="512">
        <v>0.90476190476190477</v>
      </c>
    </row>
    <row r="17" spans="1:21" ht="14.4" customHeight="1" x14ac:dyDescent="0.3">
      <c r="A17" s="505">
        <v>19</v>
      </c>
      <c r="B17" s="506" t="s">
        <v>425</v>
      </c>
      <c r="C17" s="506">
        <v>89301192</v>
      </c>
      <c r="D17" s="507" t="s">
        <v>737</v>
      </c>
      <c r="E17" s="508" t="s">
        <v>541</v>
      </c>
      <c r="F17" s="506" t="s">
        <v>538</v>
      </c>
      <c r="G17" s="506" t="s">
        <v>579</v>
      </c>
      <c r="H17" s="506" t="s">
        <v>426</v>
      </c>
      <c r="I17" s="506" t="s">
        <v>584</v>
      </c>
      <c r="J17" s="506" t="s">
        <v>581</v>
      </c>
      <c r="K17" s="506" t="s">
        <v>585</v>
      </c>
      <c r="L17" s="509">
        <v>0</v>
      </c>
      <c r="M17" s="509">
        <v>0</v>
      </c>
      <c r="N17" s="506">
        <v>4</v>
      </c>
      <c r="O17" s="510">
        <v>1.5</v>
      </c>
      <c r="P17" s="509">
        <v>0</v>
      </c>
      <c r="Q17" s="511"/>
      <c r="R17" s="506">
        <v>2</v>
      </c>
      <c r="S17" s="511">
        <v>0.5</v>
      </c>
      <c r="T17" s="510">
        <v>0.5</v>
      </c>
      <c r="U17" s="512">
        <v>0.33333333333333331</v>
      </c>
    </row>
    <row r="18" spans="1:21" ht="14.4" customHeight="1" x14ac:dyDescent="0.3">
      <c r="A18" s="505">
        <v>19</v>
      </c>
      <c r="B18" s="506" t="s">
        <v>425</v>
      </c>
      <c r="C18" s="506">
        <v>89301192</v>
      </c>
      <c r="D18" s="507" t="s">
        <v>737</v>
      </c>
      <c r="E18" s="508" t="s">
        <v>541</v>
      </c>
      <c r="F18" s="506" t="s">
        <v>538</v>
      </c>
      <c r="G18" s="506" t="s">
        <v>586</v>
      </c>
      <c r="H18" s="506" t="s">
        <v>426</v>
      </c>
      <c r="I18" s="506" t="s">
        <v>587</v>
      </c>
      <c r="J18" s="506" t="s">
        <v>588</v>
      </c>
      <c r="K18" s="506" t="s">
        <v>589</v>
      </c>
      <c r="L18" s="509">
        <v>0</v>
      </c>
      <c r="M18" s="509">
        <v>0</v>
      </c>
      <c r="N18" s="506">
        <v>3</v>
      </c>
      <c r="O18" s="510">
        <v>3</v>
      </c>
      <c r="P18" s="509">
        <v>0</v>
      </c>
      <c r="Q18" s="511"/>
      <c r="R18" s="506">
        <v>2</v>
      </c>
      <c r="S18" s="511">
        <v>0.66666666666666663</v>
      </c>
      <c r="T18" s="510">
        <v>2</v>
      </c>
      <c r="U18" s="512">
        <v>0.66666666666666663</v>
      </c>
    </row>
    <row r="19" spans="1:21" ht="14.4" customHeight="1" x14ac:dyDescent="0.3">
      <c r="A19" s="505">
        <v>19</v>
      </c>
      <c r="B19" s="506" t="s">
        <v>425</v>
      </c>
      <c r="C19" s="506">
        <v>89301192</v>
      </c>
      <c r="D19" s="507" t="s">
        <v>737</v>
      </c>
      <c r="E19" s="508" t="s">
        <v>541</v>
      </c>
      <c r="F19" s="506" t="s">
        <v>538</v>
      </c>
      <c r="G19" s="506" t="s">
        <v>590</v>
      </c>
      <c r="H19" s="506" t="s">
        <v>426</v>
      </c>
      <c r="I19" s="506" t="s">
        <v>591</v>
      </c>
      <c r="J19" s="506" t="s">
        <v>592</v>
      </c>
      <c r="K19" s="506" t="s">
        <v>593</v>
      </c>
      <c r="L19" s="509">
        <v>203.33</v>
      </c>
      <c r="M19" s="509">
        <v>203.33</v>
      </c>
      <c r="N19" s="506">
        <v>1</v>
      </c>
      <c r="O19" s="510">
        <v>1</v>
      </c>
      <c r="P19" s="509">
        <v>203.33</v>
      </c>
      <c r="Q19" s="511">
        <v>1</v>
      </c>
      <c r="R19" s="506">
        <v>1</v>
      </c>
      <c r="S19" s="511">
        <v>1</v>
      </c>
      <c r="T19" s="510">
        <v>1</v>
      </c>
      <c r="U19" s="512">
        <v>1</v>
      </c>
    </row>
    <row r="20" spans="1:21" ht="14.4" customHeight="1" x14ac:dyDescent="0.3">
      <c r="A20" s="505">
        <v>19</v>
      </c>
      <c r="B20" s="506" t="s">
        <v>425</v>
      </c>
      <c r="C20" s="506">
        <v>89301192</v>
      </c>
      <c r="D20" s="507" t="s">
        <v>737</v>
      </c>
      <c r="E20" s="508" t="s">
        <v>541</v>
      </c>
      <c r="F20" s="506" t="s">
        <v>538</v>
      </c>
      <c r="G20" s="506" t="s">
        <v>594</v>
      </c>
      <c r="H20" s="506" t="s">
        <v>426</v>
      </c>
      <c r="I20" s="506" t="s">
        <v>595</v>
      </c>
      <c r="J20" s="506" t="s">
        <v>596</v>
      </c>
      <c r="K20" s="506" t="s">
        <v>597</v>
      </c>
      <c r="L20" s="509">
        <v>0</v>
      </c>
      <c r="M20" s="509">
        <v>0</v>
      </c>
      <c r="N20" s="506">
        <v>1</v>
      </c>
      <c r="O20" s="510">
        <v>1</v>
      </c>
      <c r="P20" s="509">
        <v>0</v>
      </c>
      <c r="Q20" s="511"/>
      <c r="R20" s="506">
        <v>1</v>
      </c>
      <c r="S20" s="511">
        <v>1</v>
      </c>
      <c r="T20" s="510">
        <v>1</v>
      </c>
      <c r="U20" s="512">
        <v>1</v>
      </c>
    </row>
    <row r="21" spans="1:21" ht="14.4" customHeight="1" x14ac:dyDescent="0.3">
      <c r="A21" s="505">
        <v>19</v>
      </c>
      <c r="B21" s="506" t="s">
        <v>425</v>
      </c>
      <c r="C21" s="506">
        <v>89301192</v>
      </c>
      <c r="D21" s="507" t="s">
        <v>737</v>
      </c>
      <c r="E21" s="508" t="s">
        <v>542</v>
      </c>
      <c r="F21" s="506" t="s">
        <v>538</v>
      </c>
      <c r="G21" s="506" t="s">
        <v>598</v>
      </c>
      <c r="H21" s="506" t="s">
        <v>426</v>
      </c>
      <c r="I21" s="506" t="s">
        <v>599</v>
      </c>
      <c r="J21" s="506" t="s">
        <v>600</v>
      </c>
      <c r="K21" s="506" t="s">
        <v>601</v>
      </c>
      <c r="L21" s="509">
        <v>61.29</v>
      </c>
      <c r="M21" s="509">
        <v>61.29</v>
      </c>
      <c r="N21" s="506">
        <v>1</v>
      </c>
      <c r="O21" s="510">
        <v>0.5</v>
      </c>
      <c r="P21" s="509">
        <v>61.29</v>
      </c>
      <c r="Q21" s="511">
        <v>1</v>
      </c>
      <c r="R21" s="506">
        <v>1</v>
      </c>
      <c r="S21" s="511">
        <v>1</v>
      </c>
      <c r="T21" s="510">
        <v>0.5</v>
      </c>
      <c r="U21" s="512">
        <v>1</v>
      </c>
    </row>
    <row r="22" spans="1:21" ht="14.4" customHeight="1" x14ac:dyDescent="0.3">
      <c r="A22" s="505">
        <v>19</v>
      </c>
      <c r="B22" s="506" t="s">
        <v>425</v>
      </c>
      <c r="C22" s="506">
        <v>89301192</v>
      </c>
      <c r="D22" s="507" t="s">
        <v>737</v>
      </c>
      <c r="E22" s="508" t="s">
        <v>542</v>
      </c>
      <c r="F22" s="506" t="s">
        <v>538</v>
      </c>
      <c r="G22" s="506" t="s">
        <v>602</v>
      </c>
      <c r="H22" s="506" t="s">
        <v>486</v>
      </c>
      <c r="I22" s="506" t="s">
        <v>603</v>
      </c>
      <c r="J22" s="506" t="s">
        <v>604</v>
      </c>
      <c r="K22" s="506" t="s">
        <v>605</v>
      </c>
      <c r="L22" s="509">
        <v>391.77</v>
      </c>
      <c r="M22" s="509">
        <v>391.77</v>
      </c>
      <c r="N22" s="506">
        <v>1</v>
      </c>
      <c r="O22" s="510">
        <v>0.5</v>
      </c>
      <c r="P22" s="509">
        <v>391.77</v>
      </c>
      <c r="Q22" s="511">
        <v>1</v>
      </c>
      <c r="R22" s="506">
        <v>1</v>
      </c>
      <c r="S22" s="511">
        <v>1</v>
      </c>
      <c r="T22" s="510">
        <v>0.5</v>
      </c>
      <c r="U22" s="512">
        <v>1</v>
      </c>
    </row>
    <row r="23" spans="1:21" ht="14.4" customHeight="1" x14ac:dyDescent="0.3">
      <c r="A23" s="505">
        <v>19</v>
      </c>
      <c r="B23" s="506" t="s">
        <v>425</v>
      </c>
      <c r="C23" s="506">
        <v>89301192</v>
      </c>
      <c r="D23" s="507" t="s">
        <v>737</v>
      </c>
      <c r="E23" s="508" t="s">
        <v>543</v>
      </c>
      <c r="F23" s="506" t="s">
        <v>538</v>
      </c>
      <c r="G23" s="506" t="s">
        <v>606</v>
      </c>
      <c r="H23" s="506" t="s">
        <v>486</v>
      </c>
      <c r="I23" s="506" t="s">
        <v>607</v>
      </c>
      <c r="J23" s="506" t="s">
        <v>608</v>
      </c>
      <c r="K23" s="506" t="s">
        <v>609</v>
      </c>
      <c r="L23" s="509">
        <v>333.31</v>
      </c>
      <c r="M23" s="509">
        <v>333.31</v>
      </c>
      <c r="N23" s="506">
        <v>1</v>
      </c>
      <c r="O23" s="510">
        <v>0.5</v>
      </c>
      <c r="P23" s="509">
        <v>333.31</v>
      </c>
      <c r="Q23" s="511">
        <v>1</v>
      </c>
      <c r="R23" s="506">
        <v>1</v>
      </c>
      <c r="S23" s="511">
        <v>1</v>
      </c>
      <c r="T23" s="510">
        <v>0.5</v>
      </c>
      <c r="U23" s="512">
        <v>1</v>
      </c>
    </row>
    <row r="24" spans="1:21" ht="14.4" customHeight="1" x14ac:dyDescent="0.3">
      <c r="A24" s="505">
        <v>19</v>
      </c>
      <c r="B24" s="506" t="s">
        <v>425</v>
      </c>
      <c r="C24" s="506">
        <v>89301192</v>
      </c>
      <c r="D24" s="507" t="s">
        <v>737</v>
      </c>
      <c r="E24" s="508" t="s">
        <v>543</v>
      </c>
      <c r="F24" s="506" t="s">
        <v>538</v>
      </c>
      <c r="G24" s="506" t="s">
        <v>610</v>
      </c>
      <c r="H24" s="506" t="s">
        <v>486</v>
      </c>
      <c r="I24" s="506" t="s">
        <v>611</v>
      </c>
      <c r="J24" s="506" t="s">
        <v>612</v>
      </c>
      <c r="K24" s="506" t="s">
        <v>613</v>
      </c>
      <c r="L24" s="509">
        <v>222.25</v>
      </c>
      <c r="M24" s="509">
        <v>222.25</v>
      </c>
      <c r="N24" s="506">
        <v>1</v>
      </c>
      <c r="O24" s="510">
        <v>1</v>
      </c>
      <c r="P24" s="509">
        <v>222.25</v>
      </c>
      <c r="Q24" s="511">
        <v>1</v>
      </c>
      <c r="R24" s="506">
        <v>1</v>
      </c>
      <c r="S24" s="511">
        <v>1</v>
      </c>
      <c r="T24" s="510">
        <v>1</v>
      </c>
      <c r="U24" s="512">
        <v>1</v>
      </c>
    </row>
    <row r="25" spans="1:21" ht="14.4" customHeight="1" x14ac:dyDescent="0.3">
      <c r="A25" s="505">
        <v>19</v>
      </c>
      <c r="B25" s="506" t="s">
        <v>425</v>
      </c>
      <c r="C25" s="506">
        <v>89301192</v>
      </c>
      <c r="D25" s="507" t="s">
        <v>737</v>
      </c>
      <c r="E25" s="508" t="s">
        <v>543</v>
      </c>
      <c r="F25" s="506" t="s">
        <v>538</v>
      </c>
      <c r="G25" s="506" t="s">
        <v>614</v>
      </c>
      <c r="H25" s="506" t="s">
        <v>426</v>
      </c>
      <c r="I25" s="506" t="s">
        <v>615</v>
      </c>
      <c r="J25" s="506" t="s">
        <v>616</v>
      </c>
      <c r="K25" s="506" t="s">
        <v>617</v>
      </c>
      <c r="L25" s="509">
        <v>84.78</v>
      </c>
      <c r="M25" s="509">
        <v>423.9</v>
      </c>
      <c r="N25" s="506">
        <v>5</v>
      </c>
      <c r="O25" s="510">
        <v>3</v>
      </c>
      <c r="P25" s="509">
        <v>169.56</v>
      </c>
      <c r="Q25" s="511">
        <v>0.4</v>
      </c>
      <c r="R25" s="506">
        <v>2</v>
      </c>
      <c r="S25" s="511">
        <v>0.4</v>
      </c>
      <c r="T25" s="510">
        <v>1</v>
      </c>
      <c r="U25" s="512">
        <v>0.33333333333333331</v>
      </c>
    </row>
    <row r="26" spans="1:21" ht="14.4" customHeight="1" x14ac:dyDescent="0.3">
      <c r="A26" s="505">
        <v>19</v>
      </c>
      <c r="B26" s="506" t="s">
        <v>425</v>
      </c>
      <c r="C26" s="506">
        <v>89301192</v>
      </c>
      <c r="D26" s="507" t="s">
        <v>737</v>
      </c>
      <c r="E26" s="508" t="s">
        <v>543</v>
      </c>
      <c r="F26" s="506" t="s">
        <v>538</v>
      </c>
      <c r="G26" s="506" t="s">
        <v>618</v>
      </c>
      <c r="H26" s="506" t="s">
        <v>426</v>
      </c>
      <c r="I26" s="506" t="s">
        <v>619</v>
      </c>
      <c r="J26" s="506" t="s">
        <v>620</v>
      </c>
      <c r="K26" s="506" t="s">
        <v>621</v>
      </c>
      <c r="L26" s="509">
        <v>0</v>
      </c>
      <c r="M26" s="509">
        <v>0</v>
      </c>
      <c r="N26" s="506">
        <v>2</v>
      </c>
      <c r="O26" s="510">
        <v>2</v>
      </c>
      <c r="P26" s="509">
        <v>0</v>
      </c>
      <c r="Q26" s="511"/>
      <c r="R26" s="506">
        <v>1</v>
      </c>
      <c r="S26" s="511">
        <v>0.5</v>
      </c>
      <c r="T26" s="510">
        <v>1</v>
      </c>
      <c r="U26" s="512">
        <v>0.5</v>
      </c>
    </row>
    <row r="27" spans="1:21" ht="14.4" customHeight="1" x14ac:dyDescent="0.3">
      <c r="A27" s="505">
        <v>19</v>
      </c>
      <c r="B27" s="506" t="s">
        <v>425</v>
      </c>
      <c r="C27" s="506">
        <v>89301192</v>
      </c>
      <c r="D27" s="507" t="s">
        <v>737</v>
      </c>
      <c r="E27" s="508" t="s">
        <v>543</v>
      </c>
      <c r="F27" s="506" t="s">
        <v>538</v>
      </c>
      <c r="G27" s="506" t="s">
        <v>622</v>
      </c>
      <c r="H27" s="506" t="s">
        <v>426</v>
      </c>
      <c r="I27" s="506" t="s">
        <v>623</v>
      </c>
      <c r="J27" s="506" t="s">
        <v>624</v>
      </c>
      <c r="K27" s="506" t="s">
        <v>625</v>
      </c>
      <c r="L27" s="509">
        <v>134.86000000000001</v>
      </c>
      <c r="M27" s="509">
        <v>134.86000000000001</v>
      </c>
      <c r="N27" s="506">
        <v>1</v>
      </c>
      <c r="O27" s="510">
        <v>0.5</v>
      </c>
      <c r="P27" s="509"/>
      <c r="Q27" s="511">
        <v>0</v>
      </c>
      <c r="R27" s="506"/>
      <c r="S27" s="511">
        <v>0</v>
      </c>
      <c r="T27" s="510"/>
      <c r="U27" s="512">
        <v>0</v>
      </c>
    </row>
    <row r="28" spans="1:21" ht="14.4" customHeight="1" x14ac:dyDescent="0.3">
      <c r="A28" s="505">
        <v>19</v>
      </c>
      <c r="B28" s="506" t="s">
        <v>425</v>
      </c>
      <c r="C28" s="506">
        <v>89301192</v>
      </c>
      <c r="D28" s="507" t="s">
        <v>737</v>
      </c>
      <c r="E28" s="508" t="s">
        <v>543</v>
      </c>
      <c r="F28" s="506" t="s">
        <v>538</v>
      </c>
      <c r="G28" s="506" t="s">
        <v>622</v>
      </c>
      <c r="H28" s="506" t="s">
        <v>426</v>
      </c>
      <c r="I28" s="506" t="s">
        <v>626</v>
      </c>
      <c r="J28" s="506" t="s">
        <v>624</v>
      </c>
      <c r="K28" s="506" t="s">
        <v>627</v>
      </c>
      <c r="L28" s="509">
        <v>47.94</v>
      </c>
      <c r="M28" s="509">
        <v>95.88</v>
      </c>
      <c r="N28" s="506">
        <v>2</v>
      </c>
      <c r="O28" s="510">
        <v>0.5</v>
      </c>
      <c r="P28" s="509"/>
      <c r="Q28" s="511">
        <v>0</v>
      </c>
      <c r="R28" s="506"/>
      <c r="S28" s="511">
        <v>0</v>
      </c>
      <c r="T28" s="510"/>
      <c r="U28" s="512">
        <v>0</v>
      </c>
    </row>
    <row r="29" spans="1:21" ht="14.4" customHeight="1" x14ac:dyDescent="0.3">
      <c r="A29" s="505">
        <v>19</v>
      </c>
      <c r="B29" s="506" t="s">
        <v>425</v>
      </c>
      <c r="C29" s="506">
        <v>89301192</v>
      </c>
      <c r="D29" s="507" t="s">
        <v>737</v>
      </c>
      <c r="E29" s="508" t="s">
        <v>543</v>
      </c>
      <c r="F29" s="506" t="s">
        <v>538</v>
      </c>
      <c r="G29" s="506" t="s">
        <v>559</v>
      </c>
      <c r="H29" s="506" t="s">
        <v>426</v>
      </c>
      <c r="I29" s="506" t="s">
        <v>560</v>
      </c>
      <c r="J29" s="506" t="s">
        <v>561</v>
      </c>
      <c r="K29" s="506" t="s">
        <v>562</v>
      </c>
      <c r="L29" s="509">
        <v>50.27</v>
      </c>
      <c r="M29" s="509">
        <v>50.27</v>
      </c>
      <c r="N29" s="506">
        <v>1</v>
      </c>
      <c r="O29" s="510">
        <v>1</v>
      </c>
      <c r="P29" s="509">
        <v>50.27</v>
      </c>
      <c r="Q29" s="511">
        <v>1</v>
      </c>
      <c r="R29" s="506">
        <v>1</v>
      </c>
      <c r="S29" s="511">
        <v>1</v>
      </c>
      <c r="T29" s="510">
        <v>1</v>
      </c>
      <c r="U29" s="512">
        <v>1</v>
      </c>
    </row>
    <row r="30" spans="1:21" ht="14.4" customHeight="1" x14ac:dyDescent="0.3">
      <c r="A30" s="505">
        <v>19</v>
      </c>
      <c r="B30" s="506" t="s">
        <v>425</v>
      </c>
      <c r="C30" s="506">
        <v>89301192</v>
      </c>
      <c r="D30" s="507" t="s">
        <v>737</v>
      </c>
      <c r="E30" s="508" t="s">
        <v>543</v>
      </c>
      <c r="F30" s="506" t="s">
        <v>538</v>
      </c>
      <c r="G30" s="506" t="s">
        <v>628</v>
      </c>
      <c r="H30" s="506" t="s">
        <v>486</v>
      </c>
      <c r="I30" s="506" t="s">
        <v>629</v>
      </c>
      <c r="J30" s="506" t="s">
        <v>630</v>
      </c>
      <c r="K30" s="506" t="s">
        <v>631</v>
      </c>
      <c r="L30" s="509">
        <v>71.86</v>
      </c>
      <c r="M30" s="509">
        <v>143.72</v>
      </c>
      <c r="N30" s="506">
        <v>2</v>
      </c>
      <c r="O30" s="510">
        <v>0.5</v>
      </c>
      <c r="P30" s="509"/>
      <c r="Q30" s="511">
        <v>0</v>
      </c>
      <c r="R30" s="506"/>
      <c r="S30" s="511">
        <v>0</v>
      </c>
      <c r="T30" s="510"/>
      <c r="U30" s="512">
        <v>0</v>
      </c>
    </row>
    <row r="31" spans="1:21" ht="14.4" customHeight="1" x14ac:dyDescent="0.3">
      <c r="A31" s="505">
        <v>19</v>
      </c>
      <c r="B31" s="506" t="s">
        <v>425</v>
      </c>
      <c r="C31" s="506">
        <v>89301192</v>
      </c>
      <c r="D31" s="507" t="s">
        <v>737</v>
      </c>
      <c r="E31" s="508" t="s">
        <v>543</v>
      </c>
      <c r="F31" s="506" t="s">
        <v>538</v>
      </c>
      <c r="G31" s="506" t="s">
        <v>628</v>
      </c>
      <c r="H31" s="506" t="s">
        <v>486</v>
      </c>
      <c r="I31" s="506" t="s">
        <v>632</v>
      </c>
      <c r="J31" s="506" t="s">
        <v>630</v>
      </c>
      <c r="K31" s="506" t="s">
        <v>633</v>
      </c>
      <c r="L31" s="509">
        <v>0</v>
      </c>
      <c r="M31" s="509">
        <v>0</v>
      </c>
      <c r="N31" s="506">
        <v>1</v>
      </c>
      <c r="O31" s="510">
        <v>0.5</v>
      </c>
      <c r="P31" s="509"/>
      <c r="Q31" s="511"/>
      <c r="R31" s="506"/>
      <c r="S31" s="511">
        <v>0</v>
      </c>
      <c r="T31" s="510"/>
      <c r="U31" s="512">
        <v>0</v>
      </c>
    </row>
    <row r="32" spans="1:21" ht="14.4" customHeight="1" x14ac:dyDescent="0.3">
      <c r="A32" s="505">
        <v>19</v>
      </c>
      <c r="B32" s="506" t="s">
        <v>425</v>
      </c>
      <c r="C32" s="506">
        <v>89301192</v>
      </c>
      <c r="D32" s="507" t="s">
        <v>737</v>
      </c>
      <c r="E32" s="508" t="s">
        <v>543</v>
      </c>
      <c r="F32" s="506" t="s">
        <v>538</v>
      </c>
      <c r="G32" s="506" t="s">
        <v>634</v>
      </c>
      <c r="H32" s="506" t="s">
        <v>426</v>
      </c>
      <c r="I32" s="506" t="s">
        <v>635</v>
      </c>
      <c r="J32" s="506" t="s">
        <v>636</v>
      </c>
      <c r="K32" s="506" t="s">
        <v>637</v>
      </c>
      <c r="L32" s="509">
        <v>113.37</v>
      </c>
      <c r="M32" s="509">
        <v>113.37</v>
      </c>
      <c r="N32" s="506">
        <v>1</v>
      </c>
      <c r="O32" s="510">
        <v>1</v>
      </c>
      <c r="P32" s="509"/>
      <c r="Q32" s="511">
        <v>0</v>
      </c>
      <c r="R32" s="506"/>
      <c r="S32" s="511">
        <v>0</v>
      </c>
      <c r="T32" s="510"/>
      <c r="U32" s="512">
        <v>0</v>
      </c>
    </row>
    <row r="33" spans="1:21" ht="14.4" customHeight="1" x14ac:dyDescent="0.3">
      <c r="A33" s="505">
        <v>19</v>
      </c>
      <c r="B33" s="506" t="s">
        <v>425</v>
      </c>
      <c r="C33" s="506">
        <v>89301192</v>
      </c>
      <c r="D33" s="507" t="s">
        <v>737</v>
      </c>
      <c r="E33" s="508" t="s">
        <v>543</v>
      </c>
      <c r="F33" s="506" t="s">
        <v>538</v>
      </c>
      <c r="G33" s="506" t="s">
        <v>638</v>
      </c>
      <c r="H33" s="506" t="s">
        <v>426</v>
      </c>
      <c r="I33" s="506" t="s">
        <v>639</v>
      </c>
      <c r="J33" s="506" t="s">
        <v>640</v>
      </c>
      <c r="K33" s="506" t="s">
        <v>641</v>
      </c>
      <c r="L33" s="509">
        <v>126.54</v>
      </c>
      <c r="M33" s="509">
        <v>253.08</v>
      </c>
      <c r="N33" s="506">
        <v>2</v>
      </c>
      <c r="O33" s="510">
        <v>1</v>
      </c>
      <c r="P33" s="509"/>
      <c r="Q33" s="511">
        <v>0</v>
      </c>
      <c r="R33" s="506"/>
      <c r="S33" s="511">
        <v>0</v>
      </c>
      <c r="T33" s="510"/>
      <c r="U33" s="512">
        <v>0</v>
      </c>
    </row>
    <row r="34" spans="1:21" ht="14.4" customHeight="1" x14ac:dyDescent="0.3">
      <c r="A34" s="505">
        <v>19</v>
      </c>
      <c r="B34" s="506" t="s">
        <v>425</v>
      </c>
      <c r="C34" s="506">
        <v>89301192</v>
      </c>
      <c r="D34" s="507" t="s">
        <v>737</v>
      </c>
      <c r="E34" s="508" t="s">
        <v>543</v>
      </c>
      <c r="F34" s="506" t="s">
        <v>538</v>
      </c>
      <c r="G34" s="506" t="s">
        <v>590</v>
      </c>
      <c r="H34" s="506" t="s">
        <v>426</v>
      </c>
      <c r="I34" s="506" t="s">
        <v>591</v>
      </c>
      <c r="J34" s="506" t="s">
        <v>592</v>
      </c>
      <c r="K34" s="506" t="s">
        <v>593</v>
      </c>
      <c r="L34" s="509">
        <v>203.33</v>
      </c>
      <c r="M34" s="509">
        <v>406.66</v>
      </c>
      <c r="N34" s="506">
        <v>2</v>
      </c>
      <c r="O34" s="510">
        <v>1.5</v>
      </c>
      <c r="P34" s="509">
        <v>406.66</v>
      </c>
      <c r="Q34" s="511">
        <v>1</v>
      </c>
      <c r="R34" s="506">
        <v>2</v>
      </c>
      <c r="S34" s="511">
        <v>1</v>
      </c>
      <c r="T34" s="510">
        <v>1.5</v>
      </c>
      <c r="U34" s="512">
        <v>1</v>
      </c>
    </row>
    <row r="35" spans="1:21" ht="14.4" customHeight="1" x14ac:dyDescent="0.3">
      <c r="A35" s="505">
        <v>19</v>
      </c>
      <c r="B35" s="506" t="s">
        <v>425</v>
      </c>
      <c r="C35" s="506">
        <v>89301192</v>
      </c>
      <c r="D35" s="507" t="s">
        <v>737</v>
      </c>
      <c r="E35" s="508" t="s">
        <v>543</v>
      </c>
      <c r="F35" s="506" t="s">
        <v>538</v>
      </c>
      <c r="G35" s="506" t="s">
        <v>642</v>
      </c>
      <c r="H35" s="506" t="s">
        <v>426</v>
      </c>
      <c r="I35" s="506" t="s">
        <v>643</v>
      </c>
      <c r="J35" s="506" t="s">
        <v>644</v>
      </c>
      <c r="K35" s="506" t="s">
        <v>645</v>
      </c>
      <c r="L35" s="509">
        <v>0</v>
      </c>
      <c r="M35" s="509">
        <v>0</v>
      </c>
      <c r="N35" s="506">
        <v>2</v>
      </c>
      <c r="O35" s="510">
        <v>1</v>
      </c>
      <c r="P35" s="509"/>
      <c r="Q35" s="511"/>
      <c r="R35" s="506"/>
      <c r="S35" s="511">
        <v>0</v>
      </c>
      <c r="T35" s="510"/>
      <c r="U35" s="512">
        <v>0</v>
      </c>
    </row>
    <row r="36" spans="1:21" ht="14.4" customHeight="1" x14ac:dyDescent="0.3">
      <c r="A36" s="505">
        <v>19</v>
      </c>
      <c r="B36" s="506" t="s">
        <v>425</v>
      </c>
      <c r="C36" s="506">
        <v>89301192</v>
      </c>
      <c r="D36" s="507" t="s">
        <v>737</v>
      </c>
      <c r="E36" s="508" t="s">
        <v>544</v>
      </c>
      <c r="F36" s="506" t="s">
        <v>538</v>
      </c>
      <c r="G36" s="506" t="s">
        <v>646</v>
      </c>
      <c r="H36" s="506" t="s">
        <v>486</v>
      </c>
      <c r="I36" s="506" t="s">
        <v>647</v>
      </c>
      <c r="J36" s="506" t="s">
        <v>648</v>
      </c>
      <c r="K36" s="506" t="s">
        <v>649</v>
      </c>
      <c r="L36" s="509">
        <v>201.88</v>
      </c>
      <c r="M36" s="509">
        <v>605.64</v>
      </c>
      <c r="N36" s="506">
        <v>3</v>
      </c>
      <c r="O36" s="510">
        <v>1</v>
      </c>
      <c r="P36" s="509">
        <v>605.64</v>
      </c>
      <c r="Q36" s="511">
        <v>1</v>
      </c>
      <c r="R36" s="506">
        <v>3</v>
      </c>
      <c r="S36" s="511">
        <v>1</v>
      </c>
      <c r="T36" s="510">
        <v>1</v>
      </c>
      <c r="U36" s="512">
        <v>1</v>
      </c>
    </row>
    <row r="37" spans="1:21" ht="14.4" customHeight="1" x14ac:dyDescent="0.3">
      <c r="A37" s="505">
        <v>19</v>
      </c>
      <c r="B37" s="506" t="s">
        <v>425</v>
      </c>
      <c r="C37" s="506">
        <v>89301192</v>
      </c>
      <c r="D37" s="507" t="s">
        <v>737</v>
      </c>
      <c r="E37" s="508" t="s">
        <v>544</v>
      </c>
      <c r="F37" s="506" t="s">
        <v>538</v>
      </c>
      <c r="G37" s="506" t="s">
        <v>650</v>
      </c>
      <c r="H37" s="506" t="s">
        <v>426</v>
      </c>
      <c r="I37" s="506" t="s">
        <v>651</v>
      </c>
      <c r="J37" s="506" t="s">
        <v>652</v>
      </c>
      <c r="K37" s="506" t="s">
        <v>653</v>
      </c>
      <c r="L37" s="509">
        <v>0</v>
      </c>
      <c r="M37" s="509">
        <v>0</v>
      </c>
      <c r="N37" s="506">
        <v>1</v>
      </c>
      <c r="O37" s="510">
        <v>0.5</v>
      </c>
      <c r="P37" s="509">
        <v>0</v>
      </c>
      <c r="Q37" s="511"/>
      <c r="R37" s="506">
        <v>1</v>
      </c>
      <c r="S37" s="511">
        <v>1</v>
      </c>
      <c r="T37" s="510">
        <v>0.5</v>
      </c>
      <c r="U37" s="512">
        <v>1</v>
      </c>
    </row>
    <row r="38" spans="1:21" ht="14.4" customHeight="1" x14ac:dyDescent="0.3">
      <c r="A38" s="505">
        <v>19</v>
      </c>
      <c r="B38" s="506" t="s">
        <v>425</v>
      </c>
      <c r="C38" s="506">
        <v>89301192</v>
      </c>
      <c r="D38" s="507" t="s">
        <v>737</v>
      </c>
      <c r="E38" s="508" t="s">
        <v>544</v>
      </c>
      <c r="F38" s="506" t="s">
        <v>538</v>
      </c>
      <c r="G38" s="506" t="s">
        <v>654</v>
      </c>
      <c r="H38" s="506" t="s">
        <v>426</v>
      </c>
      <c r="I38" s="506" t="s">
        <v>655</v>
      </c>
      <c r="J38" s="506" t="s">
        <v>656</v>
      </c>
      <c r="K38" s="506"/>
      <c r="L38" s="509">
        <v>0</v>
      </c>
      <c r="M38" s="509">
        <v>0</v>
      </c>
      <c r="N38" s="506">
        <v>1</v>
      </c>
      <c r="O38" s="510">
        <v>1</v>
      </c>
      <c r="P38" s="509">
        <v>0</v>
      </c>
      <c r="Q38" s="511"/>
      <c r="R38" s="506">
        <v>1</v>
      </c>
      <c r="S38" s="511">
        <v>1</v>
      </c>
      <c r="T38" s="510">
        <v>1</v>
      </c>
      <c r="U38" s="512">
        <v>1</v>
      </c>
    </row>
    <row r="39" spans="1:21" ht="14.4" customHeight="1" x14ac:dyDescent="0.3">
      <c r="A39" s="505">
        <v>19</v>
      </c>
      <c r="B39" s="506" t="s">
        <v>425</v>
      </c>
      <c r="C39" s="506">
        <v>89301192</v>
      </c>
      <c r="D39" s="507" t="s">
        <v>737</v>
      </c>
      <c r="E39" s="508" t="s">
        <v>544</v>
      </c>
      <c r="F39" s="506" t="s">
        <v>538</v>
      </c>
      <c r="G39" s="506" t="s">
        <v>657</v>
      </c>
      <c r="H39" s="506" t="s">
        <v>486</v>
      </c>
      <c r="I39" s="506" t="s">
        <v>658</v>
      </c>
      <c r="J39" s="506" t="s">
        <v>659</v>
      </c>
      <c r="K39" s="506" t="s">
        <v>660</v>
      </c>
      <c r="L39" s="509">
        <v>116.8</v>
      </c>
      <c r="M39" s="509">
        <v>116.8</v>
      </c>
      <c r="N39" s="506">
        <v>1</v>
      </c>
      <c r="O39" s="510">
        <v>0.5</v>
      </c>
      <c r="P39" s="509">
        <v>116.8</v>
      </c>
      <c r="Q39" s="511">
        <v>1</v>
      </c>
      <c r="R39" s="506">
        <v>1</v>
      </c>
      <c r="S39" s="511">
        <v>1</v>
      </c>
      <c r="T39" s="510">
        <v>0.5</v>
      </c>
      <c r="U39" s="512">
        <v>1</v>
      </c>
    </row>
    <row r="40" spans="1:21" ht="14.4" customHeight="1" x14ac:dyDescent="0.3">
      <c r="A40" s="505">
        <v>19</v>
      </c>
      <c r="B40" s="506" t="s">
        <v>425</v>
      </c>
      <c r="C40" s="506">
        <v>89301192</v>
      </c>
      <c r="D40" s="507" t="s">
        <v>737</v>
      </c>
      <c r="E40" s="508" t="s">
        <v>544</v>
      </c>
      <c r="F40" s="506" t="s">
        <v>538</v>
      </c>
      <c r="G40" s="506" t="s">
        <v>661</v>
      </c>
      <c r="H40" s="506" t="s">
        <v>426</v>
      </c>
      <c r="I40" s="506" t="s">
        <v>655</v>
      </c>
      <c r="J40" s="506" t="s">
        <v>662</v>
      </c>
      <c r="K40" s="506" t="s">
        <v>663</v>
      </c>
      <c r="L40" s="509">
        <v>0</v>
      </c>
      <c r="M40" s="509">
        <v>0</v>
      </c>
      <c r="N40" s="506">
        <v>1</v>
      </c>
      <c r="O40" s="510">
        <v>0.5</v>
      </c>
      <c r="P40" s="509">
        <v>0</v>
      </c>
      <c r="Q40" s="511"/>
      <c r="R40" s="506">
        <v>1</v>
      </c>
      <c r="S40" s="511">
        <v>1</v>
      </c>
      <c r="T40" s="510">
        <v>0.5</v>
      </c>
      <c r="U40" s="512">
        <v>1</v>
      </c>
    </row>
    <row r="41" spans="1:21" ht="14.4" customHeight="1" x14ac:dyDescent="0.3">
      <c r="A41" s="505">
        <v>19</v>
      </c>
      <c r="B41" s="506" t="s">
        <v>425</v>
      </c>
      <c r="C41" s="506">
        <v>89301192</v>
      </c>
      <c r="D41" s="507" t="s">
        <v>737</v>
      </c>
      <c r="E41" s="508" t="s">
        <v>544</v>
      </c>
      <c r="F41" s="506" t="s">
        <v>538</v>
      </c>
      <c r="G41" s="506" t="s">
        <v>664</v>
      </c>
      <c r="H41" s="506" t="s">
        <v>486</v>
      </c>
      <c r="I41" s="506" t="s">
        <v>665</v>
      </c>
      <c r="J41" s="506" t="s">
        <v>666</v>
      </c>
      <c r="K41" s="506" t="s">
        <v>667</v>
      </c>
      <c r="L41" s="509">
        <v>50.57</v>
      </c>
      <c r="M41" s="509">
        <v>151.71</v>
      </c>
      <c r="N41" s="506">
        <v>3</v>
      </c>
      <c r="O41" s="510">
        <v>1.5</v>
      </c>
      <c r="P41" s="509">
        <v>151.71</v>
      </c>
      <c r="Q41" s="511">
        <v>1</v>
      </c>
      <c r="R41" s="506">
        <v>3</v>
      </c>
      <c r="S41" s="511">
        <v>1</v>
      </c>
      <c r="T41" s="510">
        <v>1.5</v>
      </c>
      <c r="U41" s="512">
        <v>1</v>
      </c>
    </row>
    <row r="42" spans="1:21" ht="14.4" customHeight="1" x14ac:dyDescent="0.3">
      <c r="A42" s="505">
        <v>19</v>
      </c>
      <c r="B42" s="506" t="s">
        <v>425</v>
      </c>
      <c r="C42" s="506">
        <v>89301192</v>
      </c>
      <c r="D42" s="507" t="s">
        <v>737</v>
      </c>
      <c r="E42" s="508" t="s">
        <v>544</v>
      </c>
      <c r="F42" s="506" t="s">
        <v>538</v>
      </c>
      <c r="G42" s="506" t="s">
        <v>668</v>
      </c>
      <c r="H42" s="506" t="s">
        <v>426</v>
      </c>
      <c r="I42" s="506" t="s">
        <v>669</v>
      </c>
      <c r="J42" s="506" t="s">
        <v>670</v>
      </c>
      <c r="K42" s="506" t="s">
        <v>671</v>
      </c>
      <c r="L42" s="509">
        <v>0</v>
      </c>
      <c r="M42" s="509">
        <v>0</v>
      </c>
      <c r="N42" s="506">
        <v>1</v>
      </c>
      <c r="O42" s="510">
        <v>1</v>
      </c>
      <c r="P42" s="509">
        <v>0</v>
      </c>
      <c r="Q42" s="511"/>
      <c r="R42" s="506">
        <v>1</v>
      </c>
      <c r="S42" s="511">
        <v>1</v>
      </c>
      <c r="T42" s="510">
        <v>1</v>
      </c>
      <c r="U42" s="512">
        <v>1</v>
      </c>
    </row>
    <row r="43" spans="1:21" ht="14.4" customHeight="1" x14ac:dyDescent="0.3">
      <c r="A43" s="505">
        <v>19</v>
      </c>
      <c r="B43" s="506" t="s">
        <v>425</v>
      </c>
      <c r="C43" s="506">
        <v>89301192</v>
      </c>
      <c r="D43" s="507" t="s">
        <v>737</v>
      </c>
      <c r="E43" s="508" t="s">
        <v>544</v>
      </c>
      <c r="F43" s="506" t="s">
        <v>538</v>
      </c>
      <c r="G43" s="506" t="s">
        <v>638</v>
      </c>
      <c r="H43" s="506" t="s">
        <v>426</v>
      </c>
      <c r="I43" s="506" t="s">
        <v>639</v>
      </c>
      <c r="J43" s="506" t="s">
        <v>640</v>
      </c>
      <c r="K43" s="506" t="s">
        <v>641</v>
      </c>
      <c r="L43" s="509">
        <v>126.54</v>
      </c>
      <c r="M43" s="509">
        <v>253.08</v>
      </c>
      <c r="N43" s="506">
        <v>2</v>
      </c>
      <c r="O43" s="510">
        <v>0.5</v>
      </c>
      <c r="P43" s="509">
        <v>253.08</v>
      </c>
      <c r="Q43" s="511">
        <v>1</v>
      </c>
      <c r="R43" s="506">
        <v>2</v>
      </c>
      <c r="S43" s="511">
        <v>1</v>
      </c>
      <c r="T43" s="510">
        <v>0.5</v>
      </c>
      <c r="U43" s="512">
        <v>1</v>
      </c>
    </row>
    <row r="44" spans="1:21" ht="14.4" customHeight="1" x14ac:dyDescent="0.3">
      <c r="A44" s="505">
        <v>19</v>
      </c>
      <c r="B44" s="506" t="s">
        <v>425</v>
      </c>
      <c r="C44" s="506">
        <v>89301192</v>
      </c>
      <c r="D44" s="507" t="s">
        <v>737</v>
      </c>
      <c r="E44" s="508" t="s">
        <v>544</v>
      </c>
      <c r="F44" s="506" t="s">
        <v>538</v>
      </c>
      <c r="G44" s="506" t="s">
        <v>672</v>
      </c>
      <c r="H44" s="506" t="s">
        <v>426</v>
      </c>
      <c r="I44" s="506" t="s">
        <v>673</v>
      </c>
      <c r="J44" s="506" t="s">
        <v>674</v>
      </c>
      <c r="K44" s="506" t="s">
        <v>675</v>
      </c>
      <c r="L44" s="509">
        <v>323.43</v>
      </c>
      <c r="M44" s="509">
        <v>323.43</v>
      </c>
      <c r="N44" s="506">
        <v>1</v>
      </c>
      <c r="O44" s="510">
        <v>0.5</v>
      </c>
      <c r="P44" s="509">
        <v>323.43</v>
      </c>
      <c r="Q44" s="511">
        <v>1</v>
      </c>
      <c r="R44" s="506">
        <v>1</v>
      </c>
      <c r="S44" s="511">
        <v>1</v>
      </c>
      <c r="T44" s="510">
        <v>0.5</v>
      </c>
      <c r="U44" s="512">
        <v>1</v>
      </c>
    </row>
    <row r="45" spans="1:21" ht="14.4" customHeight="1" x14ac:dyDescent="0.3">
      <c r="A45" s="505">
        <v>19</v>
      </c>
      <c r="B45" s="506" t="s">
        <v>425</v>
      </c>
      <c r="C45" s="506">
        <v>89301192</v>
      </c>
      <c r="D45" s="507" t="s">
        <v>737</v>
      </c>
      <c r="E45" s="508" t="s">
        <v>544</v>
      </c>
      <c r="F45" s="506" t="s">
        <v>538</v>
      </c>
      <c r="G45" s="506" t="s">
        <v>642</v>
      </c>
      <c r="H45" s="506" t="s">
        <v>426</v>
      </c>
      <c r="I45" s="506" t="s">
        <v>676</v>
      </c>
      <c r="J45" s="506" t="s">
        <v>677</v>
      </c>
      <c r="K45" s="506" t="s">
        <v>678</v>
      </c>
      <c r="L45" s="509">
        <v>0</v>
      </c>
      <c r="M45" s="509">
        <v>0</v>
      </c>
      <c r="N45" s="506">
        <v>2</v>
      </c>
      <c r="O45" s="510">
        <v>1</v>
      </c>
      <c r="P45" s="509"/>
      <c r="Q45" s="511"/>
      <c r="R45" s="506"/>
      <c r="S45" s="511">
        <v>0</v>
      </c>
      <c r="T45" s="510"/>
      <c r="U45" s="512">
        <v>0</v>
      </c>
    </row>
    <row r="46" spans="1:21" ht="14.4" customHeight="1" x14ac:dyDescent="0.3">
      <c r="A46" s="505">
        <v>19</v>
      </c>
      <c r="B46" s="506" t="s">
        <v>425</v>
      </c>
      <c r="C46" s="506">
        <v>89301192</v>
      </c>
      <c r="D46" s="507" t="s">
        <v>737</v>
      </c>
      <c r="E46" s="508" t="s">
        <v>544</v>
      </c>
      <c r="F46" s="506" t="s">
        <v>538</v>
      </c>
      <c r="G46" s="506" t="s">
        <v>642</v>
      </c>
      <c r="H46" s="506" t="s">
        <v>426</v>
      </c>
      <c r="I46" s="506" t="s">
        <v>643</v>
      </c>
      <c r="J46" s="506" t="s">
        <v>644</v>
      </c>
      <c r="K46" s="506" t="s">
        <v>645</v>
      </c>
      <c r="L46" s="509">
        <v>0</v>
      </c>
      <c r="M46" s="509">
        <v>0</v>
      </c>
      <c r="N46" s="506">
        <v>2</v>
      </c>
      <c r="O46" s="510">
        <v>1</v>
      </c>
      <c r="P46" s="509"/>
      <c r="Q46" s="511"/>
      <c r="R46" s="506"/>
      <c r="S46" s="511">
        <v>0</v>
      </c>
      <c r="T46" s="510"/>
      <c r="U46" s="512">
        <v>0</v>
      </c>
    </row>
    <row r="47" spans="1:21" ht="14.4" customHeight="1" x14ac:dyDescent="0.3">
      <c r="A47" s="505">
        <v>19</v>
      </c>
      <c r="B47" s="506" t="s">
        <v>425</v>
      </c>
      <c r="C47" s="506">
        <v>89301192</v>
      </c>
      <c r="D47" s="507" t="s">
        <v>737</v>
      </c>
      <c r="E47" s="508" t="s">
        <v>545</v>
      </c>
      <c r="F47" s="506" t="s">
        <v>538</v>
      </c>
      <c r="G47" s="506" t="s">
        <v>614</v>
      </c>
      <c r="H47" s="506" t="s">
        <v>426</v>
      </c>
      <c r="I47" s="506" t="s">
        <v>679</v>
      </c>
      <c r="J47" s="506" t="s">
        <v>680</v>
      </c>
      <c r="K47" s="506" t="s">
        <v>681</v>
      </c>
      <c r="L47" s="509">
        <v>188.41</v>
      </c>
      <c r="M47" s="509">
        <v>565.23</v>
      </c>
      <c r="N47" s="506">
        <v>3</v>
      </c>
      <c r="O47" s="510">
        <v>0.5</v>
      </c>
      <c r="P47" s="509"/>
      <c r="Q47" s="511">
        <v>0</v>
      </c>
      <c r="R47" s="506"/>
      <c r="S47" s="511">
        <v>0</v>
      </c>
      <c r="T47" s="510"/>
      <c r="U47" s="512">
        <v>0</v>
      </c>
    </row>
    <row r="48" spans="1:21" ht="14.4" customHeight="1" x14ac:dyDescent="0.3">
      <c r="A48" s="505">
        <v>19</v>
      </c>
      <c r="B48" s="506" t="s">
        <v>425</v>
      </c>
      <c r="C48" s="506">
        <v>89301192</v>
      </c>
      <c r="D48" s="507" t="s">
        <v>737</v>
      </c>
      <c r="E48" s="508" t="s">
        <v>545</v>
      </c>
      <c r="F48" s="506" t="s">
        <v>538</v>
      </c>
      <c r="G48" s="506" t="s">
        <v>614</v>
      </c>
      <c r="H48" s="506" t="s">
        <v>426</v>
      </c>
      <c r="I48" s="506" t="s">
        <v>682</v>
      </c>
      <c r="J48" s="506" t="s">
        <v>680</v>
      </c>
      <c r="K48" s="506" t="s">
        <v>683</v>
      </c>
      <c r="L48" s="509">
        <v>376.81</v>
      </c>
      <c r="M48" s="509">
        <v>376.81</v>
      </c>
      <c r="N48" s="506">
        <v>1</v>
      </c>
      <c r="O48" s="510">
        <v>0.5</v>
      </c>
      <c r="P48" s="509"/>
      <c r="Q48" s="511">
        <v>0</v>
      </c>
      <c r="R48" s="506"/>
      <c r="S48" s="511">
        <v>0</v>
      </c>
      <c r="T48" s="510"/>
      <c r="U48" s="512">
        <v>0</v>
      </c>
    </row>
    <row r="49" spans="1:21" ht="14.4" customHeight="1" x14ac:dyDescent="0.3">
      <c r="A49" s="505">
        <v>19</v>
      </c>
      <c r="B49" s="506" t="s">
        <v>425</v>
      </c>
      <c r="C49" s="506">
        <v>89301192</v>
      </c>
      <c r="D49" s="507" t="s">
        <v>737</v>
      </c>
      <c r="E49" s="508" t="s">
        <v>545</v>
      </c>
      <c r="F49" s="506" t="s">
        <v>538</v>
      </c>
      <c r="G49" s="506" t="s">
        <v>559</v>
      </c>
      <c r="H49" s="506" t="s">
        <v>426</v>
      </c>
      <c r="I49" s="506" t="s">
        <v>560</v>
      </c>
      <c r="J49" s="506" t="s">
        <v>561</v>
      </c>
      <c r="K49" s="506" t="s">
        <v>562</v>
      </c>
      <c r="L49" s="509">
        <v>50.27</v>
      </c>
      <c r="M49" s="509">
        <v>50.27</v>
      </c>
      <c r="N49" s="506">
        <v>1</v>
      </c>
      <c r="O49" s="510">
        <v>0.5</v>
      </c>
      <c r="P49" s="509">
        <v>50.27</v>
      </c>
      <c r="Q49" s="511">
        <v>1</v>
      </c>
      <c r="R49" s="506">
        <v>1</v>
      </c>
      <c r="S49" s="511">
        <v>1</v>
      </c>
      <c r="T49" s="510">
        <v>0.5</v>
      </c>
      <c r="U49" s="512">
        <v>1</v>
      </c>
    </row>
    <row r="50" spans="1:21" ht="14.4" customHeight="1" x14ac:dyDescent="0.3">
      <c r="A50" s="505">
        <v>19</v>
      </c>
      <c r="B50" s="506" t="s">
        <v>425</v>
      </c>
      <c r="C50" s="506">
        <v>89301192</v>
      </c>
      <c r="D50" s="507" t="s">
        <v>737</v>
      </c>
      <c r="E50" s="508" t="s">
        <v>545</v>
      </c>
      <c r="F50" s="506" t="s">
        <v>538</v>
      </c>
      <c r="G50" s="506" t="s">
        <v>567</v>
      </c>
      <c r="H50" s="506" t="s">
        <v>426</v>
      </c>
      <c r="I50" s="506" t="s">
        <v>568</v>
      </c>
      <c r="J50" s="506" t="s">
        <v>569</v>
      </c>
      <c r="K50" s="506" t="s">
        <v>570</v>
      </c>
      <c r="L50" s="509">
        <v>41.83</v>
      </c>
      <c r="M50" s="509">
        <v>83.66</v>
      </c>
      <c r="N50" s="506">
        <v>2</v>
      </c>
      <c r="O50" s="510">
        <v>1</v>
      </c>
      <c r="P50" s="509">
        <v>83.66</v>
      </c>
      <c r="Q50" s="511">
        <v>1</v>
      </c>
      <c r="R50" s="506">
        <v>2</v>
      </c>
      <c r="S50" s="511">
        <v>1</v>
      </c>
      <c r="T50" s="510">
        <v>1</v>
      </c>
      <c r="U50" s="512">
        <v>1</v>
      </c>
    </row>
    <row r="51" spans="1:21" ht="14.4" customHeight="1" x14ac:dyDescent="0.3">
      <c r="A51" s="505">
        <v>19</v>
      </c>
      <c r="B51" s="506" t="s">
        <v>425</v>
      </c>
      <c r="C51" s="506">
        <v>89301192</v>
      </c>
      <c r="D51" s="507" t="s">
        <v>737</v>
      </c>
      <c r="E51" s="508" t="s">
        <v>545</v>
      </c>
      <c r="F51" s="506" t="s">
        <v>538</v>
      </c>
      <c r="G51" s="506" t="s">
        <v>684</v>
      </c>
      <c r="H51" s="506" t="s">
        <v>486</v>
      </c>
      <c r="I51" s="506" t="s">
        <v>685</v>
      </c>
      <c r="J51" s="506" t="s">
        <v>686</v>
      </c>
      <c r="K51" s="506" t="s">
        <v>687</v>
      </c>
      <c r="L51" s="509">
        <v>106.3</v>
      </c>
      <c r="M51" s="509">
        <v>425.2</v>
      </c>
      <c r="N51" s="506">
        <v>4</v>
      </c>
      <c r="O51" s="510">
        <v>0.5</v>
      </c>
      <c r="P51" s="509"/>
      <c r="Q51" s="511">
        <v>0</v>
      </c>
      <c r="R51" s="506"/>
      <c r="S51" s="511">
        <v>0</v>
      </c>
      <c r="T51" s="510"/>
      <c r="U51" s="512">
        <v>0</v>
      </c>
    </row>
    <row r="52" spans="1:21" ht="14.4" customHeight="1" x14ac:dyDescent="0.3">
      <c r="A52" s="505">
        <v>19</v>
      </c>
      <c r="B52" s="506" t="s">
        <v>425</v>
      </c>
      <c r="C52" s="506">
        <v>89301192</v>
      </c>
      <c r="D52" s="507" t="s">
        <v>737</v>
      </c>
      <c r="E52" s="508" t="s">
        <v>545</v>
      </c>
      <c r="F52" s="506" t="s">
        <v>538</v>
      </c>
      <c r="G52" s="506" t="s">
        <v>688</v>
      </c>
      <c r="H52" s="506" t="s">
        <v>486</v>
      </c>
      <c r="I52" s="506" t="s">
        <v>689</v>
      </c>
      <c r="J52" s="506" t="s">
        <v>690</v>
      </c>
      <c r="K52" s="506" t="s">
        <v>691</v>
      </c>
      <c r="L52" s="509">
        <v>38.130000000000003</v>
      </c>
      <c r="M52" s="509">
        <v>228.78000000000003</v>
      </c>
      <c r="N52" s="506">
        <v>6</v>
      </c>
      <c r="O52" s="510">
        <v>1.5</v>
      </c>
      <c r="P52" s="509"/>
      <c r="Q52" s="511">
        <v>0</v>
      </c>
      <c r="R52" s="506"/>
      <c r="S52" s="511">
        <v>0</v>
      </c>
      <c r="T52" s="510"/>
      <c r="U52" s="512">
        <v>0</v>
      </c>
    </row>
    <row r="53" spans="1:21" ht="14.4" customHeight="1" x14ac:dyDescent="0.3">
      <c r="A53" s="505">
        <v>19</v>
      </c>
      <c r="B53" s="506" t="s">
        <v>425</v>
      </c>
      <c r="C53" s="506">
        <v>89301192</v>
      </c>
      <c r="D53" s="507" t="s">
        <v>737</v>
      </c>
      <c r="E53" s="508" t="s">
        <v>545</v>
      </c>
      <c r="F53" s="506" t="s">
        <v>538</v>
      </c>
      <c r="G53" s="506" t="s">
        <v>692</v>
      </c>
      <c r="H53" s="506" t="s">
        <v>426</v>
      </c>
      <c r="I53" s="506" t="s">
        <v>693</v>
      </c>
      <c r="J53" s="506" t="s">
        <v>694</v>
      </c>
      <c r="K53" s="506" t="s">
        <v>695</v>
      </c>
      <c r="L53" s="509">
        <v>200.07</v>
      </c>
      <c r="M53" s="509">
        <v>800.28</v>
      </c>
      <c r="N53" s="506">
        <v>4</v>
      </c>
      <c r="O53" s="510">
        <v>1</v>
      </c>
      <c r="P53" s="509"/>
      <c r="Q53" s="511">
        <v>0</v>
      </c>
      <c r="R53" s="506"/>
      <c r="S53" s="511">
        <v>0</v>
      </c>
      <c r="T53" s="510"/>
      <c r="U53" s="512">
        <v>0</v>
      </c>
    </row>
    <row r="54" spans="1:21" ht="14.4" customHeight="1" x14ac:dyDescent="0.3">
      <c r="A54" s="505">
        <v>19</v>
      </c>
      <c r="B54" s="506" t="s">
        <v>425</v>
      </c>
      <c r="C54" s="506">
        <v>89301192</v>
      </c>
      <c r="D54" s="507" t="s">
        <v>737</v>
      </c>
      <c r="E54" s="508" t="s">
        <v>545</v>
      </c>
      <c r="F54" s="506" t="s">
        <v>538</v>
      </c>
      <c r="G54" s="506" t="s">
        <v>696</v>
      </c>
      <c r="H54" s="506" t="s">
        <v>486</v>
      </c>
      <c r="I54" s="506" t="s">
        <v>697</v>
      </c>
      <c r="J54" s="506" t="s">
        <v>698</v>
      </c>
      <c r="K54" s="506" t="s">
        <v>699</v>
      </c>
      <c r="L54" s="509">
        <v>48.31</v>
      </c>
      <c r="M54" s="509">
        <v>144.93</v>
      </c>
      <c r="N54" s="506">
        <v>3</v>
      </c>
      <c r="O54" s="510">
        <v>2</v>
      </c>
      <c r="P54" s="509">
        <v>96.62</v>
      </c>
      <c r="Q54" s="511">
        <v>0.66666666666666663</v>
      </c>
      <c r="R54" s="506">
        <v>2</v>
      </c>
      <c r="S54" s="511">
        <v>0.66666666666666663</v>
      </c>
      <c r="T54" s="510">
        <v>1</v>
      </c>
      <c r="U54" s="512">
        <v>0.5</v>
      </c>
    </row>
    <row r="55" spans="1:21" ht="14.4" customHeight="1" x14ac:dyDescent="0.3">
      <c r="A55" s="505">
        <v>19</v>
      </c>
      <c r="B55" s="506" t="s">
        <v>425</v>
      </c>
      <c r="C55" s="506">
        <v>89301192</v>
      </c>
      <c r="D55" s="507" t="s">
        <v>737</v>
      </c>
      <c r="E55" s="508" t="s">
        <v>545</v>
      </c>
      <c r="F55" s="506" t="s">
        <v>538</v>
      </c>
      <c r="G55" s="506" t="s">
        <v>700</v>
      </c>
      <c r="H55" s="506" t="s">
        <v>486</v>
      </c>
      <c r="I55" s="506" t="s">
        <v>701</v>
      </c>
      <c r="J55" s="506" t="s">
        <v>702</v>
      </c>
      <c r="K55" s="506" t="s">
        <v>703</v>
      </c>
      <c r="L55" s="509">
        <v>42.08</v>
      </c>
      <c r="M55" s="509">
        <v>126.24</v>
      </c>
      <c r="N55" s="506">
        <v>3</v>
      </c>
      <c r="O55" s="510">
        <v>0.5</v>
      </c>
      <c r="P55" s="509">
        <v>126.24</v>
      </c>
      <c r="Q55" s="511">
        <v>1</v>
      </c>
      <c r="R55" s="506">
        <v>3</v>
      </c>
      <c r="S55" s="511">
        <v>1</v>
      </c>
      <c r="T55" s="510">
        <v>0.5</v>
      </c>
      <c r="U55" s="512">
        <v>1</v>
      </c>
    </row>
    <row r="56" spans="1:21" ht="14.4" customHeight="1" x14ac:dyDescent="0.3">
      <c r="A56" s="505">
        <v>19</v>
      </c>
      <c r="B56" s="506" t="s">
        <v>425</v>
      </c>
      <c r="C56" s="506">
        <v>89301192</v>
      </c>
      <c r="D56" s="507" t="s">
        <v>737</v>
      </c>
      <c r="E56" s="508" t="s">
        <v>545</v>
      </c>
      <c r="F56" s="506" t="s">
        <v>538</v>
      </c>
      <c r="G56" s="506" t="s">
        <v>704</v>
      </c>
      <c r="H56" s="506" t="s">
        <v>426</v>
      </c>
      <c r="I56" s="506" t="s">
        <v>705</v>
      </c>
      <c r="J56" s="506" t="s">
        <v>706</v>
      </c>
      <c r="K56" s="506" t="s">
        <v>641</v>
      </c>
      <c r="L56" s="509">
        <v>129.94999999999999</v>
      </c>
      <c r="M56" s="509">
        <v>779.69999999999993</v>
      </c>
      <c r="N56" s="506">
        <v>6</v>
      </c>
      <c r="O56" s="510">
        <v>1</v>
      </c>
      <c r="P56" s="509"/>
      <c r="Q56" s="511">
        <v>0</v>
      </c>
      <c r="R56" s="506"/>
      <c r="S56" s="511">
        <v>0</v>
      </c>
      <c r="T56" s="510"/>
      <c r="U56" s="512">
        <v>0</v>
      </c>
    </row>
    <row r="57" spans="1:21" ht="14.4" customHeight="1" x14ac:dyDescent="0.3">
      <c r="A57" s="505">
        <v>19</v>
      </c>
      <c r="B57" s="506" t="s">
        <v>425</v>
      </c>
      <c r="C57" s="506">
        <v>89301192</v>
      </c>
      <c r="D57" s="507" t="s">
        <v>737</v>
      </c>
      <c r="E57" s="508" t="s">
        <v>546</v>
      </c>
      <c r="F57" s="506" t="s">
        <v>538</v>
      </c>
      <c r="G57" s="506" t="s">
        <v>606</v>
      </c>
      <c r="H57" s="506" t="s">
        <v>486</v>
      </c>
      <c r="I57" s="506" t="s">
        <v>607</v>
      </c>
      <c r="J57" s="506" t="s">
        <v>608</v>
      </c>
      <c r="K57" s="506" t="s">
        <v>609</v>
      </c>
      <c r="L57" s="509">
        <v>156.86000000000001</v>
      </c>
      <c r="M57" s="509">
        <v>156.86000000000001</v>
      </c>
      <c r="N57" s="506">
        <v>1</v>
      </c>
      <c r="O57" s="510">
        <v>1</v>
      </c>
      <c r="P57" s="509">
        <v>156.86000000000001</v>
      </c>
      <c r="Q57" s="511">
        <v>1</v>
      </c>
      <c r="R57" s="506">
        <v>1</v>
      </c>
      <c r="S57" s="511">
        <v>1</v>
      </c>
      <c r="T57" s="510">
        <v>1</v>
      </c>
      <c r="U57" s="512">
        <v>1</v>
      </c>
    </row>
    <row r="58" spans="1:21" ht="14.4" customHeight="1" x14ac:dyDescent="0.3">
      <c r="A58" s="505">
        <v>19</v>
      </c>
      <c r="B58" s="506" t="s">
        <v>425</v>
      </c>
      <c r="C58" s="506">
        <v>89301192</v>
      </c>
      <c r="D58" s="507" t="s">
        <v>737</v>
      </c>
      <c r="E58" s="508" t="s">
        <v>546</v>
      </c>
      <c r="F58" s="506" t="s">
        <v>538</v>
      </c>
      <c r="G58" s="506" t="s">
        <v>707</v>
      </c>
      <c r="H58" s="506" t="s">
        <v>426</v>
      </c>
      <c r="I58" s="506" t="s">
        <v>708</v>
      </c>
      <c r="J58" s="506" t="s">
        <v>709</v>
      </c>
      <c r="K58" s="506" t="s">
        <v>710</v>
      </c>
      <c r="L58" s="509">
        <v>0</v>
      </c>
      <c r="M58" s="509">
        <v>0</v>
      </c>
      <c r="N58" s="506">
        <v>1</v>
      </c>
      <c r="O58" s="510">
        <v>1</v>
      </c>
      <c r="P58" s="509">
        <v>0</v>
      </c>
      <c r="Q58" s="511"/>
      <c r="R58" s="506">
        <v>1</v>
      </c>
      <c r="S58" s="511">
        <v>1</v>
      </c>
      <c r="T58" s="510">
        <v>1</v>
      </c>
      <c r="U58" s="512">
        <v>1</v>
      </c>
    </row>
    <row r="59" spans="1:21" ht="14.4" customHeight="1" x14ac:dyDescent="0.3">
      <c r="A59" s="505">
        <v>19</v>
      </c>
      <c r="B59" s="506" t="s">
        <v>425</v>
      </c>
      <c r="C59" s="506">
        <v>89301192</v>
      </c>
      <c r="D59" s="507" t="s">
        <v>737</v>
      </c>
      <c r="E59" s="508" t="s">
        <v>546</v>
      </c>
      <c r="F59" s="506" t="s">
        <v>538</v>
      </c>
      <c r="G59" s="506" t="s">
        <v>711</v>
      </c>
      <c r="H59" s="506" t="s">
        <v>426</v>
      </c>
      <c r="I59" s="506" t="s">
        <v>712</v>
      </c>
      <c r="J59" s="506" t="s">
        <v>713</v>
      </c>
      <c r="K59" s="506" t="s">
        <v>714</v>
      </c>
      <c r="L59" s="509">
        <v>230.59</v>
      </c>
      <c r="M59" s="509">
        <v>230.59</v>
      </c>
      <c r="N59" s="506">
        <v>1</v>
      </c>
      <c r="O59" s="510">
        <v>0.5</v>
      </c>
      <c r="P59" s="509">
        <v>230.59</v>
      </c>
      <c r="Q59" s="511">
        <v>1</v>
      </c>
      <c r="R59" s="506">
        <v>1</v>
      </c>
      <c r="S59" s="511">
        <v>1</v>
      </c>
      <c r="T59" s="510">
        <v>0.5</v>
      </c>
      <c r="U59" s="512">
        <v>1</v>
      </c>
    </row>
    <row r="60" spans="1:21" ht="14.4" customHeight="1" x14ac:dyDescent="0.3">
      <c r="A60" s="505">
        <v>19</v>
      </c>
      <c r="B60" s="506" t="s">
        <v>425</v>
      </c>
      <c r="C60" s="506">
        <v>89301192</v>
      </c>
      <c r="D60" s="507" t="s">
        <v>737</v>
      </c>
      <c r="E60" s="508" t="s">
        <v>546</v>
      </c>
      <c r="F60" s="506" t="s">
        <v>538</v>
      </c>
      <c r="G60" s="506" t="s">
        <v>559</v>
      </c>
      <c r="H60" s="506" t="s">
        <v>426</v>
      </c>
      <c r="I60" s="506" t="s">
        <v>715</v>
      </c>
      <c r="J60" s="506" t="s">
        <v>561</v>
      </c>
      <c r="K60" s="506" t="s">
        <v>716</v>
      </c>
      <c r="L60" s="509">
        <v>58.1</v>
      </c>
      <c r="M60" s="509">
        <v>58.1</v>
      </c>
      <c r="N60" s="506">
        <v>1</v>
      </c>
      <c r="O60" s="510">
        <v>0.5</v>
      </c>
      <c r="P60" s="509">
        <v>58.1</v>
      </c>
      <c r="Q60" s="511">
        <v>1</v>
      </c>
      <c r="R60" s="506">
        <v>1</v>
      </c>
      <c r="S60" s="511">
        <v>1</v>
      </c>
      <c r="T60" s="510">
        <v>0.5</v>
      </c>
      <c r="U60" s="512">
        <v>1</v>
      </c>
    </row>
    <row r="61" spans="1:21" ht="14.4" customHeight="1" x14ac:dyDescent="0.3">
      <c r="A61" s="505">
        <v>19</v>
      </c>
      <c r="B61" s="506" t="s">
        <v>425</v>
      </c>
      <c r="C61" s="506">
        <v>89301192</v>
      </c>
      <c r="D61" s="507" t="s">
        <v>737</v>
      </c>
      <c r="E61" s="508" t="s">
        <v>546</v>
      </c>
      <c r="F61" s="506" t="s">
        <v>538</v>
      </c>
      <c r="G61" s="506" t="s">
        <v>567</v>
      </c>
      <c r="H61" s="506" t="s">
        <v>426</v>
      </c>
      <c r="I61" s="506" t="s">
        <v>568</v>
      </c>
      <c r="J61" s="506" t="s">
        <v>569</v>
      </c>
      <c r="K61" s="506" t="s">
        <v>570</v>
      </c>
      <c r="L61" s="509">
        <v>41.83</v>
      </c>
      <c r="M61" s="509">
        <v>501.95999999999992</v>
      </c>
      <c r="N61" s="506">
        <v>12</v>
      </c>
      <c r="O61" s="510">
        <v>5.5</v>
      </c>
      <c r="P61" s="509">
        <v>418.29999999999995</v>
      </c>
      <c r="Q61" s="511">
        <v>0.83333333333333337</v>
      </c>
      <c r="R61" s="506">
        <v>10</v>
      </c>
      <c r="S61" s="511">
        <v>0.83333333333333337</v>
      </c>
      <c r="T61" s="510">
        <v>4.5</v>
      </c>
      <c r="U61" s="512">
        <v>0.81818181818181823</v>
      </c>
    </row>
    <row r="62" spans="1:21" ht="14.4" customHeight="1" x14ac:dyDescent="0.3">
      <c r="A62" s="505">
        <v>19</v>
      </c>
      <c r="B62" s="506" t="s">
        <v>425</v>
      </c>
      <c r="C62" s="506">
        <v>89301192</v>
      </c>
      <c r="D62" s="507" t="s">
        <v>737</v>
      </c>
      <c r="E62" s="508" t="s">
        <v>546</v>
      </c>
      <c r="F62" s="506" t="s">
        <v>538</v>
      </c>
      <c r="G62" s="506" t="s">
        <v>598</v>
      </c>
      <c r="H62" s="506" t="s">
        <v>426</v>
      </c>
      <c r="I62" s="506" t="s">
        <v>599</v>
      </c>
      <c r="J62" s="506" t="s">
        <v>600</v>
      </c>
      <c r="K62" s="506" t="s">
        <v>601</v>
      </c>
      <c r="L62" s="509">
        <v>61.29</v>
      </c>
      <c r="M62" s="509">
        <v>61.29</v>
      </c>
      <c r="N62" s="506">
        <v>1</v>
      </c>
      <c r="O62" s="510">
        <v>0.5</v>
      </c>
      <c r="P62" s="509">
        <v>61.29</v>
      </c>
      <c r="Q62" s="511">
        <v>1</v>
      </c>
      <c r="R62" s="506">
        <v>1</v>
      </c>
      <c r="S62" s="511">
        <v>1</v>
      </c>
      <c r="T62" s="510">
        <v>0.5</v>
      </c>
      <c r="U62" s="512">
        <v>1</v>
      </c>
    </row>
    <row r="63" spans="1:21" ht="14.4" customHeight="1" x14ac:dyDescent="0.3">
      <c r="A63" s="505">
        <v>19</v>
      </c>
      <c r="B63" s="506" t="s">
        <v>425</v>
      </c>
      <c r="C63" s="506">
        <v>89301192</v>
      </c>
      <c r="D63" s="507" t="s">
        <v>737</v>
      </c>
      <c r="E63" s="508" t="s">
        <v>546</v>
      </c>
      <c r="F63" s="506" t="s">
        <v>538</v>
      </c>
      <c r="G63" s="506" t="s">
        <v>717</v>
      </c>
      <c r="H63" s="506" t="s">
        <v>486</v>
      </c>
      <c r="I63" s="506" t="s">
        <v>718</v>
      </c>
      <c r="J63" s="506" t="s">
        <v>719</v>
      </c>
      <c r="K63" s="506" t="s">
        <v>720</v>
      </c>
      <c r="L63" s="509">
        <v>413.22</v>
      </c>
      <c r="M63" s="509">
        <v>413.22</v>
      </c>
      <c r="N63" s="506">
        <v>1</v>
      </c>
      <c r="O63" s="510">
        <v>0.5</v>
      </c>
      <c r="P63" s="509">
        <v>413.22</v>
      </c>
      <c r="Q63" s="511">
        <v>1</v>
      </c>
      <c r="R63" s="506">
        <v>1</v>
      </c>
      <c r="S63" s="511">
        <v>1</v>
      </c>
      <c r="T63" s="510">
        <v>0.5</v>
      </c>
      <c r="U63" s="512">
        <v>1</v>
      </c>
    </row>
    <row r="64" spans="1:21" ht="14.4" customHeight="1" x14ac:dyDescent="0.3">
      <c r="A64" s="505">
        <v>19</v>
      </c>
      <c r="B64" s="506" t="s">
        <v>425</v>
      </c>
      <c r="C64" s="506">
        <v>89301192</v>
      </c>
      <c r="D64" s="507" t="s">
        <v>737</v>
      </c>
      <c r="E64" s="508" t="s">
        <v>546</v>
      </c>
      <c r="F64" s="506" t="s">
        <v>538</v>
      </c>
      <c r="G64" s="506" t="s">
        <v>628</v>
      </c>
      <c r="H64" s="506" t="s">
        <v>486</v>
      </c>
      <c r="I64" s="506" t="s">
        <v>721</v>
      </c>
      <c r="J64" s="506" t="s">
        <v>722</v>
      </c>
      <c r="K64" s="506" t="s">
        <v>723</v>
      </c>
      <c r="L64" s="509">
        <v>0</v>
      </c>
      <c r="M64" s="509">
        <v>0</v>
      </c>
      <c r="N64" s="506">
        <v>1</v>
      </c>
      <c r="O64" s="510">
        <v>1</v>
      </c>
      <c r="P64" s="509">
        <v>0</v>
      </c>
      <c r="Q64" s="511"/>
      <c r="R64" s="506">
        <v>1</v>
      </c>
      <c r="S64" s="511">
        <v>1</v>
      </c>
      <c r="T64" s="510">
        <v>1</v>
      </c>
      <c r="U64" s="512">
        <v>1</v>
      </c>
    </row>
    <row r="65" spans="1:21" ht="14.4" customHeight="1" x14ac:dyDescent="0.3">
      <c r="A65" s="505">
        <v>19</v>
      </c>
      <c r="B65" s="506" t="s">
        <v>425</v>
      </c>
      <c r="C65" s="506">
        <v>89301192</v>
      </c>
      <c r="D65" s="507" t="s">
        <v>737</v>
      </c>
      <c r="E65" s="508" t="s">
        <v>546</v>
      </c>
      <c r="F65" s="506" t="s">
        <v>538</v>
      </c>
      <c r="G65" s="506" t="s">
        <v>571</v>
      </c>
      <c r="H65" s="506" t="s">
        <v>426</v>
      </c>
      <c r="I65" s="506" t="s">
        <v>572</v>
      </c>
      <c r="J65" s="506" t="s">
        <v>573</v>
      </c>
      <c r="K65" s="506" t="s">
        <v>574</v>
      </c>
      <c r="L65" s="509">
        <v>242.93</v>
      </c>
      <c r="M65" s="509">
        <v>242.93</v>
      </c>
      <c r="N65" s="506">
        <v>1</v>
      </c>
      <c r="O65" s="510">
        <v>1</v>
      </c>
      <c r="P65" s="509">
        <v>242.93</v>
      </c>
      <c r="Q65" s="511">
        <v>1</v>
      </c>
      <c r="R65" s="506">
        <v>1</v>
      </c>
      <c r="S65" s="511">
        <v>1</v>
      </c>
      <c r="T65" s="510">
        <v>1</v>
      </c>
      <c r="U65" s="512">
        <v>1</v>
      </c>
    </row>
    <row r="66" spans="1:21" ht="14.4" customHeight="1" x14ac:dyDescent="0.3">
      <c r="A66" s="505">
        <v>19</v>
      </c>
      <c r="B66" s="506" t="s">
        <v>425</v>
      </c>
      <c r="C66" s="506">
        <v>89301192</v>
      </c>
      <c r="D66" s="507" t="s">
        <v>737</v>
      </c>
      <c r="E66" s="508" t="s">
        <v>546</v>
      </c>
      <c r="F66" s="506" t="s">
        <v>538</v>
      </c>
      <c r="G66" s="506" t="s">
        <v>668</v>
      </c>
      <c r="H66" s="506" t="s">
        <v>426</v>
      </c>
      <c r="I66" s="506" t="s">
        <v>669</v>
      </c>
      <c r="J66" s="506" t="s">
        <v>670</v>
      </c>
      <c r="K66" s="506" t="s">
        <v>671</v>
      </c>
      <c r="L66" s="509">
        <v>0</v>
      </c>
      <c r="M66" s="509">
        <v>0</v>
      </c>
      <c r="N66" s="506">
        <v>6</v>
      </c>
      <c r="O66" s="510">
        <v>2.5</v>
      </c>
      <c r="P66" s="509">
        <v>0</v>
      </c>
      <c r="Q66" s="511"/>
      <c r="R66" s="506">
        <v>3</v>
      </c>
      <c r="S66" s="511">
        <v>0.5</v>
      </c>
      <c r="T66" s="510">
        <v>1.5</v>
      </c>
      <c r="U66" s="512">
        <v>0.6</v>
      </c>
    </row>
    <row r="67" spans="1:21" ht="14.4" customHeight="1" x14ac:dyDescent="0.3">
      <c r="A67" s="505">
        <v>19</v>
      </c>
      <c r="B67" s="506" t="s">
        <v>425</v>
      </c>
      <c r="C67" s="506">
        <v>89301192</v>
      </c>
      <c r="D67" s="507" t="s">
        <v>737</v>
      </c>
      <c r="E67" s="508" t="s">
        <v>546</v>
      </c>
      <c r="F67" s="506" t="s">
        <v>538</v>
      </c>
      <c r="G67" s="506" t="s">
        <v>696</v>
      </c>
      <c r="H67" s="506" t="s">
        <v>426</v>
      </c>
      <c r="I67" s="506" t="s">
        <v>724</v>
      </c>
      <c r="J67" s="506" t="s">
        <v>698</v>
      </c>
      <c r="K67" s="506" t="s">
        <v>725</v>
      </c>
      <c r="L67" s="509">
        <v>48.31</v>
      </c>
      <c r="M67" s="509">
        <v>48.31</v>
      </c>
      <c r="N67" s="506">
        <v>1</v>
      </c>
      <c r="O67" s="510">
        <v>1</v>
      </c>
      <c r="P67" s="509">
        <v>48.31</v>
      </c>
      <c r="Q67" s="511">
        <v>1</v>
      </c>
      <c r="R67" s="506">
        <v>1</v>
      </c>
      <c r="S67" s="511">
        <v>1</v>
      </c>
      <c r="T67" s="510">
        <v>1</v>
      </c>
      <c r="U67" s="512">
        <v>1</v>
      </c>
    </row>
    <row r="68" spans="1:21" ht="14.4" customHeight="1" x14ac:dyDescent="0.3">
      <c r="A68" s="505">
        <v>19</v>
      </c>
      <c r="B68" s="506" t="s">
        <v>425</v>
      </c>
      <c r="C68" s="506">
        <v>89301192</v>
      </c>
      <c r="D68" s="507" t="s">
        <v>737</v>
      </c>
      <c r="E68" s="508" t="s">
        <v>546</v>
      </c>
      <c r="F68" s="506" t="s">
        <v>538</v>
      </c>
      <c r="G68" s="506" t="s">
        <v>579</v>
      </c>
      <c r="H68" s="506" t="s">
        <v>426</v>
      </c>
      <c r="I68" s="506" t="s">
        <v>583</v>
      </c>
      <c r="J68" s="506" t="s">
        <v>581</v>
      </c>
      <c r="K68" s="506" t="s">
        <v>582</v>
      </c>
      <c r="L68" s="509">
        <v>0</v>
      </c>
      <c r="M68" s="509">
        <v>0</v>
      </c>
      <c r="N68" s="506">
        <v>2</v>
      </c>
      <c r="O68" s="510">
        <v>0.5</v>
      </c>
      <c r="P68" s="509">
        <v>0</v>
      </c>
      <c r="Q68" s="511"/>
      <c r="R68" s="506">
        <v>2</v>
      </c>
      <c r="S68" s="511">
        <v>1</v>
      </c>
      <c r="T68" s="510">
        <v>0.5</v>
      </c>
      <c r="U68" s="512">
        <v>1</v>
      </c>
    </row>
    <row r="69" spans="1:21" ht="14.4" customHeight="1" x14ac:dyDescent="0.3">
      <c r="A69" s="505">
        <v>19</v>
      </c>
      <c r="B69" s="506" t="s">
        <v>425</v>
      </c>
      <c r="C69" s="506">
        <v>89301192</v>
      </c>
      <c r="D69" s="507" t="s">
        <v>737</v>
      </c>
      <c r="E69" s="508" t="s">
        <v>546</v>
      </c>
      <c r="F69" s="506" t="s">
        <v>538</v>
      </c>
      <c r="G69" s="506" t="s">
        <v>586</v>
      </c>
      <c r="H69" s="506" t="s">
        <v>426</v>
      </c>
      <c r="I69" s="506" t="s">
        <v>587</v>
      </c>
      <c r="J69" s="506" t="s">
        <v>588</v>
      </c>
      <c r="K69" s="506" t="s">
        <v>589</v>
      </c>
      <c r="L69" s="509">
        <v>0</v>
      </c>
      <c r="M69" s="509">
        <v>0</v>
      </c>
      <c r="N69" s="506">
        <v>2</v>
      </c>
      <c r="O69" s="510">
        <v>0.5</v>
      </c>
      <c r="P69" s="509">
        <v>0</v>
      </c>
      <c r="Q69" s="511"/>
      <c r="R69" s="506">
        <v>2</v>
      </c>
      <c r="S69" s="511">
        <v>1</v>
      </c>
      <c r="T69" s="510">
        <v>0.5</v>
      </c>
      <c r="U69" s="512">
        <v>1</v>
      </c>
    </row>
    <row r="70" spans="1:21" ht="14.4" customHeight="1" x14ac:dyDescent="0.3">
      <c r="A70" s="505">
        <v>19</v>
      </c>
      <c r="B70" s="506" t="s">
        <v>425</v>
      </c>
      <c r="C70" s="506">
        <v>89301192</v>
      </c>
      <c r="D70" s="507" t="s">
        <v>737</v>
      </c>
      <c r="E70" s="508" t="s">
        <v>546</v>
      </c>
      <c r="F70" s="506" t="s">
        <v>538</v>
      </c>
      <c r="G70" s="506" t="s">
        <v>726</v>
      </c>
      <c r="H70" s="506" t="s">
        <v>486</v>
      </c>
      <c r="I70" s="506" t="s">
        <v>727</v>
      </c>
      <c r="J70" s="506" t="s">
        <v>728</v>
      </c>
      <c r="K70" s="506" t="s">
        <v>729</v>
      </c>
      <c r="L70" s="509">
        <v>33.72</v>
      </c>
      <c r="M70" s="509">
        <v>101.16</v>
      </c>
      <c r="N70" s="506">
        <v>3</v>
      </c>
      <c r="O70" s="510">
        <v>0.5</v>
      </c>
      <c r="P70" s="509">
        <v>101.16</v>
      </c>
      <c r="Q70" s="511">
        <v>1</v>
      </c>
      <c r="R70" s="506">
        <v>3</v>
      </c>
      <c r="S70" s="511">
        <v>1</v>
      </c>
      <c r="T70" s="510">
        <v>0.5</v>
      </c>
      <c r="U70" s="512">
        <v>1</v>
      </c>
    </row>
    <row r="71" spans="1:21" ht="14.4" customHeight="1" x14ac:dyDescent="0.3">
      <c r="A71" s="505">
        <v>19</v>
      </c>
      <c r="B71" s="506" t="s">
        <v>425</v>
      </c>
      <c r="C71" s="506">
        <v>89301192</v>
      </c>
      <c r="D71" s="507" t="s">
        <v>737</v>
      </c>
      <c r="E71" s="508" t="s">
        <v>546</v>
      </c>
      <c r="F71" s="506" t="s">
        <v>538</v>
      </c>
      <c r="G71" s="506" t="s">
        <v>730</v>
      </c>
      <c r="H71" s="506" t="s">
        <v>486</v>
      </c>
      <c r="I71" s="506" t="s">
        <v>731</v>
      </c>
      <c r="J71" s="506" t="s">
        <v>732</v>
      </c>
      <c r="K71" s="506" t="s">
        <v>733</v>
      </c>
      <c r="L71" s="509">
        <v>32.630000000000003</v>
      </c>
      <c r="M71" s="509">
        <v>32.630000000000003</v>
      </c>
      <c r="N71" s="506">
        <v>1</v>
      </c>
      <c r="O71" s="510">
        <v>0.5</v>
      </c>
      <c r="P71" s="509">
        <v>32.630000000000003</v>
      </c>
      <c r="Q71" s="511">
        <v>1</v>
      </c>
      <c r="R71" s="506">
        <v>1</v>
      </c>
      <c r="S71" s="511">
        <v>1</v>
      </c>
      <c r="T71" s="510">
        <v>0.5</v>
      </c>
      <c r="U71" s="512">
        <v>1</v>
      </c>
    </row>
    <row r="72" spans="1:21" ht="14.4" customHeight="1" thickBot="1" x14ac:dyDescent="0.35">
      <c r="A72" s="513">
        <v>19</v>
      </c>
      <c r="B72" s="514" t="s">
        <v>425</v>
      </c>
      <c r="C72" s="514">
        <v>89301192</v>
      </c>
      <c r="D72" s="515" t="s">
        <v>737</v>
      </c>
      <c r="E72" s="516" t="s">
        <v>546</v>
      </c>
      <c r="F72" s="514" t="s">
        <v>538</v>
      </c>
      <c r="G72" s="514" t="s">
        <v>642</v>
      </c>
      <c r="H72" s="514" t="s">
        <v>426</v>
      </c>
      <c r="I72" s="514" t="s">
        <v>734</v>
      </c>
      <c r="J72" s="514" t="s">
        <v>735</v>
      </c>
      <c r="K72" s="514" t="s">
        <v>736</v>
      </c>
      <c r="L72" s="517">
        <v>0</v>
      </c>
      <c r="M72" s="517">
        <v>0</v>
      </c>
      <c r="N72" s="514">
        <v>1</v>
      </c>
      <c r="O72" s="518">
        <v>1</v>
      </c>
      <c r="P72" s="517">
        <v>0</v>
      </c>
      <c r="Q72" s="519"/>
      <c r="R72" s="514">
        <v>1</v>
      </c>
      <c r="S72" s="519">
        <v>1</v>
      </c>
      <c r="T72" s="518">
        <v>1</v>
      </c>
      <c r="U72" s="520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0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3" customWidth="1"/>
    <col min="2" max="2" width="10" style="212" customWidth="1"/>
    <col min="3" max="3" width="5.5546875" style="215" customWidth="1"/>
    <col min="4" max="4" width="10" style="212" customWidth="1"/>
    <col min="5" max="5" width="5.5546875" style="215" customWidth="1"/>
    <col min="6" max="6" width="10" style="212" customWidth="1"/>
    <col min="7" max="7" width="8.88671875" style="133" customWidth="1"/>
    <col min="8" max="16384" width="8.88671875" style="133"/>
  </cols>
  <sheetData>
    <row r="1" spans="1:6" ht="37.799999999999997" customHeight="1" thickBot="1" x14ac:dyDescent="0.4">
      <c r="A1" s="347" t="s">
        <v>739</v>
      </c>
      <c r="B1" s="348"/>
      <c r="C1" s="348"/>
      <c r="D1" s="348"/>
      <c r="E1" s="348"/>
      <c r="F1" s="348"/>
    </row>
    <row r="2" spans="1:6" ht="14.4" customHeight="1" thickBot="1" x14ac:dyDescent="0.35">
      <c r="A2" s="240" t="s">
        <v>272</v>
      </c>
      <c r="B2" s="63"/>
      <c r="C2" s="64"/>
      <c r="D2" s="65"/>
      <c r="E2" s="64"/>
      <c r="F2" s="65"/>
    </row>
    <row r="3" spans="1:6" ht="14.4" customHeight="1" thickBot="1" x14ac:dyDescent="0.35">
      <c r="A3" s="101"/>
      <c r="B3" s="349" t="s">
        <v>135</v>
      </c>
      <c r="C3" s="350"/>
      <c r="D3" s="351" t="s">
        <v>134</v>
      </c>
      <c r="E3" s="350"/>
      <c r="F3" s="80" t="s">
        <v>3</v>
      </c>
    </row>
    <row r="4" spans="1:6" ht="14.4" customHeight="1" thickBot="1" x14ac:dyDescent="0.35">
      <c r="A4" s="452" t="s">
        <v>194</v>
      </c>
      <c r="B4" s="453" t="s">
        <v>14</v>
      </c>
      <c r="C4" s="454" t="s">
        <v>2</v>
      </c>
      <c r="D4" s="453" t="s">
        <v>14</v>
      </c>
      <c r="E4" s="454" t="s">
        <v>2</v>
      </c>
      <c r="F4" s="455" t="s">
        <v>14</v>
      </c>
    </row>
    <row r="5" spans="1:6" ht="14.4" customHeight="1" x14ac:dyDescent="0.3">
      <c r="A5" s="528" t="s">
        <v>544</v>
      </c>
      <c r="B5" s="438">
        <v>576.51</v>
      </c>
      <c r="C5" s="457">
        <v>0.39741221237229951</v>
      </c>
      <c r="D5" s="438">
        <v>874.15</v>
      </c>
      <c r="E5" s="457">
        <v>0.60258778762770049</v>
      </c>
      <c r="F5" s="439">
        <v>1450.6599999999999</v>
      </c>
    </row>
    <row r="6" spans="1:6" ht="14.4" customHeight="1" x14ac:dyDescent="0.3">
      <c r="A6" s="529" t="s">
        <v>543</v>
      </c>
      <c r="B6" s="521">
        <v>253.08</v>
      </c>
      <c r="C6" s="511">
        <v>0.26573984627661812</v>
      </c>
      <c r="D6" s="521">
        <v>699.28</v>
      </c>
      <c r="E6" s="511">
        <v>0.73426015372338183</v>
      </c>
      <c r="F6" s="522">
        <v>952.36</v>
      </c>
    </row>
    <row r="7" spans="1:6" ht="14.4" customHeight="1" x14ac:dyDescent="0.3">
      <c r="A7" s="529" t="s">
        <v>545</v>
      </c>
      <c r="B7" s="521">
        <v>200.07</v>
      </c>
      <c r="C7" s="511">
        <v>0.17780522919962322</v>
      </c>
      <c r="D7" s="521">
        <v>925.14999999999986</v>
      </c>
      <c r="E7" s="511">
        <v>0.82219477080037684</v>
      </c>
      <c r="F7" s="522">
        <v>1125.2199999999998</v>
      </c>
    </row>
    <row r="8" spans="1:6" ht="14.4" customHeight="1" x14ac:dyDescent="0.3">
      <c r="A8" s="529" t="s">
        <v>542</v>
      </c>
      <c r="B8" s="521"/>
      <c r="C8" s="511">
        <v>0</v>
      </c>
      <c r="D8" s="521">
        <v>391.77</v>
      </c>
      <c r="E8" s="511">
        <v>1</v>
      </c>
      <c r="F8" s="522">
        <v>391.77</v>
      </c>
    </row>
    <row r="9" spans="1:6" ht="14.4" customHeight="1" thickBot="1" x14ac:dyDescent="0.35">
      <c r="A9" s="530" t="s">
        <v>546</v>
      </c>
      <c r="B9" s="525"/>
      <c r="C9" s="526">
        <v>0</v>
      </c>
      <c r="D9" s="525">
        <v>703.87</v>
      </c>
      <c r="E9" s="526">
        <v>1</v>
      </c>
      <c r="F9" s="527">
        <v>703.87</v>
      </c>
    </row>
    <row r="10" spans="1:6" ht="14.4" customHeight="1" thickBot="1" x14ac:dyDescent="0.35">
      <c r="A10" s="463" t="s">
        <v>3</v>
      </c>
      <c r="B10" s="464">
        <v>1029.6600000000001</v>
      </c>
      <c r="C10" s="465">
        <v>0.22268311461370111</v>
      </c>
      <c r="D10" s="464">
        <v>3594.22</v>
      </c>
      <c r="E10" s="465">
        <v>0.77731688538629906</v>
      </c>
      <c r="F10" s="466">
        <v>4623.8799999999992</v>
      </c>
    </row>
    <row r="11" spans="1:6" ht="14.4" customHeight="1" thickBot="1" x14ac:dyDescent="0.35"/>
    <row r="12" spans="1:6" ht="14.4" customHeight="1" x14ac:dyDescent="0.3">
      <c r="A12" s="528" t="s">
        <v>740</v>
      </c>
      <c r="B12" s="438">
        <v>506.16</v>
      </c>
      <c r="C12" s="457">
        <v>1</v>
      </c>
      <c r="D12" s="438"/>
      <c r="E12" s="457">
        <v>0</v>
      </c>
      <c r="F12" s="439">
        <v>506.16</v>
      </c>
    </row>
    <row r="13" spans="1:6" ht="14.4" customHeight="1" x14ac:dyDescent="0.3">
      <c r="A13" s="529" t="s">
        <v>741</v>
      </c>
      <c r="B13" s="521">
        <v>323.43</v>
      </c>
      <c r="C13" s="511">
        <v>1</v>
      </c>
      <c r="D13" s="521"/>
      <c r="E13" s="511">
        <v>0</v>
      </c>
      <c r="F13" s="522">
        <v>323.43</v>
      </c>
    </row>
    <row r="14" spans="1:6" ht="14.4" customHeight="1" x14ac:dyDescent="0.3">
      <c r="A14" s="529" t="s">
        <v>742</v>
      </c>
      <c r="B14" s="521">
        <v>200.07</v>
      </c>
      <c r="C14" s="511">
        <v>1</v>
      </c>
      <c r="D14" s="521"/>
      <c r="E14" s="511">
        <v>0</v>
      </c>
      <c r="F14" s="522">
        <v>200.07</v>
      </c>
    </row>
    <row r="15" spans="1:6" ht="14.4" customHeight="1" x14ac:dyDescent="0.3">
      <c r="A15" s="529" t="s">
        <v>743</v>
      </c>
      <c r="B15" s="521"/>
      <c r="C15" s="511">
        <v>0</v>
      </c>
      <c r="D15" s="521">
        <v>151.71</v>
      </c>
      <c r="E15" s="511">
        <v>1</v>
      </c>
      <c r="F15" s="522">
        <v>151.71</v>
      </c>
    </row>
    <row r="16" spans="1:6" ht="14.4" customHeight="1" x14ac:dyDescent="0.3">
      <c r="A16" s="529" t="s">
        <v>744</v>
      </c>
      <c r="B16" s="521"/>
      <c r="C16" s="511">
        <v>0</v>
      </c>
      <c r="D16" s="521">
        <v>391.77</v>
      </c>
      <c r="E16" s="511">
        <v>1</v>
      </c>
      <c r="F16" s="522">
        <v>391.77</v>
      </c>
    </row>
    <row r="17" spans="1:6" ht="14.4" customHeight="1" x14ac:dyDescent="0.3">
      <c r="A17" s="529" t="s">
        <v>745</v>
      </c>
      <c r="B17" s="521"/>
      <c r="C17" s="511">
        <v>0</v>
      </c>
      <c r="D17" s="521">
        <v>116.8</v>
      </c>
      <c r="E17" s="511">
        <v>1</v>
      </c>
      <c r="F17" s="522">
        <v>116.8</v>
      </c>
    </row>
    <row r="18" spans="1:6" ht="14.4" customHeight="1" x14ac:dyDescent="0.3">
      <c r="A18" s="529" t="s">
        <v>746</v>
      </c>
      <c r="B18" s="521"/>
      <c r="C18" s="511">
        <v>0</v>
      </c>
      <c r="D18" s="521">
        <v>144.93</v>
      </c>
      <c r="E18" s="511">
        <v>1</v>
      </c>
      <c r="F18" s="522">
        <v>144.93</v>
      </c>
    </row>
    <row r="19" spans="1:6" ht="14.4" customHeight="1" x14ac:dyDescent="0.3">
      <c r="A19" s="529" t="s">
        <v>747</v>
      </c>
      <c r="B19" s="521"/>
      <c r="C19" s="511">
        <v>0</v>
      </c>
      <c r="D19" s="521">
        <v>101.16</v>
      </c>
      <c r="E19" s="511">
        <v>1</v>
      </c>
      <c r="F19" s="522">
        <v>101.16</v>
      </c>
    </row>
    <row r="20" spans="1:6" ht="14.4" customHeight="1" x14ac:dyDescent="0.3">
      <c r="A20" s="529" t="s">
        <v>748</v>
      </c>
      <c r="B20" s="521"/>
      <c r="C20" s="511">
        <v>0</v>
      </c>
      <c r="D20" s="521">
        <v>228.78000000000003</v>
      </c>
      <c r="E20" s="511">
        <v>1</v>
      </c>
      <c r="F20" s="522">
        <v>228.78000000000003</v>
      </c>
    </row>
    <row r="21" spans="1:6" ht="14.4" customHeight="1" x14ac:dyDescent="0.3">
      <c r="A21" s="529" t="s">
        <v>749</v>
      </c>
      <c r="B21" s="521"/>
      <c r="C21" s="511">
        <v>0</v>
      </c>
      <c r="D21" s="521">
        <v>425.2</v>
      </c>
      <c r="E21" s="511">
        <v>1</v>
      </c>
      <c r="F21" s="522">
        <v>425.2</v>
      </c>
    </row>
    <row r="22" spans="1:6" ht="14.4" customHeight="1" x14ac:dyDescent="0.3">
      <c r="A22" s="529" t="s">
        <v>750</v>
      </c>
      <c r="B22" s="521"/>
      <c r="C22" s="511">
        <v>0</v>
      </c>
      <c r="D22" s="521">
        <v>490.17</v>
      </c>
      <c r="E22" s="511">
        <v>1</v>
      </c>
      <c r="F22" s="522">
        <v>490.17</v>
      </c>
    </row>
    <row r="23" spans="1:6" ht="14.4" customHeight="1" x14ac:dyDescent="0.3">
      <c r="A23" s="529" t="s">
        <v>751</v>
      </c>
      <c r="B23" s="521"/>
      <c r="C23" s="511">
        <v>0</v>
      </c>
      <c r="D23" s="521">
        <v>143.72</v>
      </c>
      <c r="E23" s="511">
        <v>1</v>
      </c>
      <c r="F23" s="522">
        <v>143.72</v>
      </c>
    </row>
    <row r="24" spans="1:6" ht="14.4" customHeight="1" x14ac:dyDescent="0.3">
      <c r="A24" s="529" t="s">
        <v>752</v>
      </c>
      <c r="B24" s="521"/>
      <c r="C24" s="511">
        <v>0</v>
      </c>
      <c r="D24" s="521">
        <v>222.25</v>
      </c>
      <c r="E24" s="511">
        <v>1</v>
      </c>
      <c r="F24" s="522">
        <v>222.25</v>
      </c>
    </row>
    <row r="25" spans="1:6" ht="14.4" customHeight="1" x14ac:dyDescent="0.3">
      <c r="A25" s="529" t="s">
        <v>753</v>
      </c>
      <c r="B25" s="521"/>
      <c r="C25" s="511">
        <v>0</v>
      </c>
      <c r="D25" s="521">
        <v>126.24</v>
      </c>
      <c r="E25" s="511">
        <v>1</v>
      </c>
      <c r="F25" s="522">
        <v>126.24</v>
      </c>
    </row>
    <row r="26" spans="1:6" ht="14.4" customHeight="1" x14ac:dyDescent="0.3">
      <c r="A26" s="529" t="s">
        <v>754</v>
      </c>
      <c r="B26" s="521">
        <v>0</v>
      </c>
      <c r="C26" s="511"/>
      <c r="D26" s="521"/>
      <c r="E26" s="511"/>
      <c r="F26" s="522">
        <v>0</v>
      </c>
    </row>
    <row r="27" spans="1:6" ht="14.4" customHeight="1" x14ac:dyDescent="0.3">
      <c r="A27" s="529" t="s">
        <v>755</v>
      </c>
      <c r="B27" s="521"/>
      <c r="C27" s="511">
        <v>0</v>
      </c>
      <c r="D27" s="521">
        <v>413.22</v>
      </c>
      <c r="E27" s="511">
        <v>1</v>
      </c>
      <c r="F27" s="522">
        <v>413.22</v>
      </c>
    </row>
    <row r="28" spans="1:6" ht="14.4" customHeight="1" x14ac:dyDescent="0.3">
      <c r="A28" s="529" t="s">
        <v>756</v>
      </c>
      <c r="B28" s="521"/>
      <c r="C28" s="511">
        <v>0</v>
      </c>
      <c r="D28" s="521">
        <v>32.630000000000003</v>
      </c>
      <c r="E28" s="511">
        <v>1</v>
      </c>
      <c r="F28" s="522">
        <v>32.630000000000003</v>
      </c>
    </row>
    <row r="29" spans="1:6" ht="14.4" customHeight="1" thickBot="1" x14ac:dyDescent="0.35">
      <c r="A29" s="530" t="s">
        <v>757</v>
      </c>
      <c r="B29" s="525"/>
      <c r="C29" s="526">
        <v>0</v>
      </c>
      <c r="D29" s="525">
        <v>605.64</v>
      </c>
      <c r="E29" s="526">
        <v>1</v>
      </c>
      <c r="F29" s="527">
        <v>605.64</v>
      </c>
    </row>
    <row r="30" spans="1:6" ht="14.4" customHeight="1" thickBot="1" x14ac:dyDescent="0.35">
      <c r="A30" s="463" t="s">
        <v>3</v>
      </c>
      <c r="B30" s="464">
        <v>1029.6600000000001</v>
      </c>
      <c r="C30" s="465">
        <v>0.22268311461370102</v>
      </c>
      <c r="D30" s="464">
        <v>3594.2199999999993</v>
      </c>
      <c r="E30" s="465">
        <v>0.77731688538629862</v>
      </c>
      <c r="F30" s="466">
        <v>4623.880000000001</v>
      </c>
    </row>
  </sheetData>
  <mergeCells count="3">
    <mergeCell ref="A1:F1"/>
    <mergeCell ref="B3:C3"/>
    <mergeCell ref="D3:E3"/>
  </mergeCells>
  <conditionalFormatting sqref="C5:C1048576">
    <cfRule type="cellIs" dxfId="20" priority="12" stopIfTrue="1" operator="greaterThan">
      <formula>0.2</formula>
    </cfRule>
  </conditionalFormatting>
  <conditionalFormatting sqref="F5:F9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{BEDB886E-8D47-4135-8A07-29975CE91E5E}</x14:id>
        </ext>
      </extLst>
    </cfRule>
  </conditionalFormatting>
  <conditionalFormatting sqref="F12:F29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{07767AB5-AF3F-4489-8473-8933FCAF1DB4}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EDB886E-8D47-4135-8A07-29975CE91E5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F5:F9</xm:sqref>
        </x14:conditionalFormatting>
        <x14:conditionalFormatting xmlns:xm="http://schemas.microsoft.com/office/excel/2006/main">
          <x14:cfRule type="dataBar" id="{07767AB5-AF3F-4489-8473-8933FCAF1DB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F12:F29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3" customWidth="1"/>
    <col min="2" max="2" width="8.88671875" style="133" bestFit="1" customWidth="1"/>
    <col min="3" max="3" width="7" style="133" bestFit="1" customWidth="1"/>
    <col min="4" max="5" width="22.21875" style="133" customWidth="1"/>
    <col min="6" max="6" width="6.6640625" style="212" customWidth="1"/>
    <col min="7" max="7" width="10" style="212" customWidth="1"/>
    <col min="8" max="8" width="6.77734375" style="215" customWidth="1"/>
    <col min="9" max="9" width="6.6640625" style="212" customWidth="1"/>
    <col min="10" max="10" width="10" style="212" customWidth="1"/>
    <col min="11" max="11" width="6.77734375" style="215" customWidth="1"/>
    <col min="12" max="12" width="6.6640625" style="212" customWidth="1"/>
    <col min="13" max="13" width="10" style="212" customWidth="1"/>
    <col min="14" max="16384" width="8.88671875" style="133"/>
  </cols>
  <sheetData>
    <row r="1" spans="1:13" ht="18.600000000000001" customHeight="1" thickBot="1" x14ac:dyDescent="0.4">
      <c r="A1" s="348" t="s">
        <v>776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10"/>
      <c r="M1" s="310"/>
    </row>
    <row r="2" spans="1:13" ht="14.4" customHeight="1" thickBot="1" x14ac:dyDescent="0.35">
      <c r="A2" s="240" t="s">
        <v>272</v>
      </c>
      <c r="B2" s="211"/>
      <c r="C2" s="211"/>
      <c r="D2" s="211"/>
      <c r="E2" s="211"/>
      <c r="F2" s="219"/>
      <c r="G2" s="219"/>
      <c r="H2" s="220"/>
      <c r="I2" s="219"/>
      <c r="J2" s="219"/>
      <c r="K2" s="220"/>
      <c r="L2" s="219"/>
    </row>
    <row r="3" spans="1:13" ht="14.4" customHeight="1" thickBot="1" x14ac:dyDescent="0.35">
      <c r="E3" s="79" t="s">
        <v>133</v>
      </c>
      <c r="F3" s="43">
        <f>SUBTOTAL(9,F6:F1048576)</f>
        <v>8</v>
      </c>
      <c r="G3" s="43">
        <f>SUBTOTAL(9,G6:G1048576)</f>
        <v>1029.6600000000001</v>
      </c>
      <c r="H3" s="44">
        <f>IF(M3=0,0,G3/M3)</f>
        <v>0.22268311461370105</v>
      </c>
      <c r="I3" s="43">
        <f>SUBTOTAL(9,I6:I1048576)</f>
        <v>36</v>
      </c>
      <c r="J3" s="43">
        <f>SUBTOTAL(9,J6:J1048576)</f>
        <v>3594.2200000000003</v>
      </c>
      <c r="K3" s="44">
        <f>IF(M3=0,0,J3/M3)</f>
        <v>0.77731688538629895</v>
      </c>
      <c r="L3" s="43">
        <f>SUBTOTAL(9,L6:L1048576)</f>
        <v>44</v>
      </c>
      <c r="M3" s="45">
        <f>SUBTOTAL(9,M6:M1048576)</f>
        <v>4623.88</v>
      </c>
    </row>
    <row r="4" spans="1:13" ht="14.4" customHeight="1" thickBot="1" x14ac:dyDescent="0.35">
      <c r="A4" s="41"/>
      <c r="B4" s="41"/>
      <c r="C4" s="41"/>
      <c r="D4" s="41"/>
      <c r="E4" s="42"/>
      <c r="F4" s="352" t="s">
        <v>135</v>
      </c>
      <c r="G4" s="353"/>
      <c r="H4" s="354"/>
      <c r="I4" s="355" t="s">
        <v>134</v>
      </c>
      <c r="J4" s="353"/>
      <c r="K4" s="354"/>
      <c r="L4" s="356" t="s">
        <v>3</v>
      </c>
      <c r="M4" s="357"/>
    </row>
    <row r="5" spans="1:13" ht="14.4" customHeight="1" thickBot="1" x14ac:dyDescent="0.35">
      <c r="A5" s="452" t="s">
        <v>141</v>
      </c>
      <c r="B5" s="469" t="s">
        <v>137</v>
      </c>
      <c r="C5" s="469" t="s">
        <v>71</v>
      </c>
      <c r="D5" s="469" t="s">
        <v>138</v>
      </c>
      <c r="E5" s="469" t="s">
        <v>139</v>
      </c>
      <c r="F5" s="470" t="s">
        <v>28</v>
      </c>
      <c r="G5" s="470" t="s">
        <v>14</v>
      </c>
      <c r="H5" s="454" t="s">
        <v>140</v>
      </c>
      <c r="I5" s="453" t="s">
        <v>28</v>
      </c>
      <c r="J5" s="470" t="s">
        <v>14</v>
      </c>
      <c r="K5" s="454" t="s">
        <v>140</v>
      </c>
      <c r="L5" s="453" t="s">
        <v>28</v>
      </c>
      <c r="M5" s="471" t="s">
        <v>14</v>
      </c>
    </row>
    <row r="6" spans="1:13" ht="14.4" customHeight="1" x14ac:dyDescent="0.3">
      <c r="A6" s="434" t="s">
        <v>542</v>
      </c>
      <c r="B6" s="435" t="s">
        <v>758</v>
      </c>
      <c r="C6" s="435" t="s">
        <v>603</v>
      </c>
      <c r="D6" s="435" t="s">
        <v>604</v>
      </c>
      <c r="E6" s="435" t="s">
        <v>605</v>
      </c>
      <c r="F6" s="438"/>
      <c r="G6" s="438"/>
      <c r="H6" s="457">
        <v>0</v>
      </c>
      <c r="I6" s="438">
        <v>1</v>
      </c>
      <c r="J6" s="438">
        <v>391.77</v>
      </c>
      <c r="K6" s="457">
        <v>1</v>
      </c>
      <c r="L6" s="438">
        <v>1</v>
      </c>
      <c r="M6" s="439">
        <v>391.77</v>
      </c>
    </row>
    <row r="7" spans="1:13" ht="14.4" customHeight="1" x14ac:dyDescent="0.3">
      <c r="A7" s="505" t="s">
        <v>543</v>
      </c>
      <c r="B7" s="506" t="s">
        <v>759</v>
      </c>
      <c r="C7" s="506" t="s">
        <v>639</v>
      </c>
      <c r="D7" s="506" t="s">
        <v>640</v>
      </c>
      <c r="E7" s="506" t="s">
        <v>641</v>
      </c>
      <c r="F7" s="521">
        <v>2</v>
      </c>
      <c r="G7" s="521">
        <v>253.08</v>
      </c>
      <c r="H7" s="511">
        <v>1</v>
      </c>
      <c r="I7" s="521"/>
      <c r="J7" s="521"/>
      <c r="K7" s="511">
        <v>0</v>
      </c>
      <c r="L7" s="521">
        <v>2</v>
      </c>
      <c r="M7" s="522">
        <v>253.08</v>
      </c>
    </row>
    <row r="8" spans="1:13" ht="14.4" customHeight="1" x14ac:dyDescent="0.3">
      <c r="A8" s="505" t="s">
        <v>543</v>
      </c>
      <c r="B8" s="506" t="s">
        <v>760</v>
      </c>
      <c r="C8" s="506" t="s">
        <v>629</v>
      </c>
      <c r="D8" s="506" t="s">
        <v>630</v>
      </c>
      <c r="E8" s="506" t="s">
        <v>631</v>
      </c>
      <c r="F8" s="521"/>
      <c r="G8" s="521"/>
      <c r="H8" s="511">
        <v>0</v>
      </c>
      <c r="I8" s="521">
        <v>2</v>
      </c>
      <c r="J8" s="521">
        <v>143.72</v>
      </c>
      <c r="K8" s="511">
        <v>1</v>
      </c>
      <c r="L8" s="521">
        <v>2</v>
      </c>
      <c r="M8" s="522">
        <v>143.72</v>
      </c>
    </row>
    <row r="9" spans="1:13" ht="14.4" customHeight="1" x14ac:dyDescent="0.3">
      <c r="A9" s="505" t="s">
        <v>543</v>
      </c>
      <c r="B9" s="506" t="s">
        <v>760</v>
      </c>
      <c r="C9" s="506" t="s">
        <v>632</v>
      </c>
      <c r="D9" s="506" t="s">
        <v>630</v>
      </c>
      <c r="E9" s="506" t="s">
        <v>633</v>
      </c>
      <c r="F9" s="521"/>
      <c r="G9" s="521"/>
      <c r="H9" s="511"/>
      <c r="I9" s="521">
        <v>1</v>
      </c>
      <c r="J9" s="521">
        <v>0</v>
      </c>
      <c r="K9" s="511"/>
      <c r="L9" s="521">
        <v>1</v>
      </c>
      <c r="M9" s="522">
        <v>0</v>
      </c>
    </row>
    <row r="10" spans="1:13" ht="14.4" customHeight="1" x14ac:dyDescent="0.3">
      <c r="A10" s="505" t="s">
        <v>543</v>
      </c>
      <c r="B10" s="506" t="s">
        <v>761</v>
      </c>
      <c r="C10" s="506" t="s">
        <v>607</v>
      </c>
      <c r="D10" s="506" t="s">
        <v>608</v>
      </c>
      <c r="E10" s="506" t="s">
        <v>609</v>
      </c>
      <c r="F10" s="521"/>
      <c r="G10" s="521"/>
      <c r="H10" s="511">
        <v>0</v>
      </c>
      <c r="I10" s="521">
        <v>1</v>
      </c>
      <c r="J10" s="521">
        <v>333.31</v>
      </c>
      <c r="K10" s="511">
        <v>1</v>
      </c>
      <c r="L10" s="521">
        <v>1</v>
      </c>
      <c r="M10" s="522">
        <v>333.31</v>
      </c>
    </row>
    <row r="11" spans="1:13" ht="14.4" customHeight="1" x14ac:dyDescent="0.3">
      <c r="A11" s="505" t="s">
        <v>543</v>
      </c>
      <c r="B11" s="506" t="s">
        <v>762</v>
      </c>
      <c r="C11" s="506" t="s">
        <v>611</v>
      </c>
      <c r="D11" s="506" t="s">
        <v>612</v>
      </c>
      <c r="E11" s="506" t="s">
        <v>613</v>
      </c>
      <c r="F11" s="521"/>
      <c r="G11" s="521"/>
      <c r="H11" s="511">
        <v>0</v>
      </c>
      <c r="I11" s="521">
        <v>1</v>
      </c>
      <c r="J11" s="521">
        <v>222.25</v>
      </c>
      <c r="K11" s="511">
        <v>1</v>
      </c>
      <c r="L11" s="521">
        <v>1</v>
      </c>
      <c r="M11" s="522">
        <v>222.25</v>
      </c>
    </row>
    <row r="12" spans="1:13" ht="14.4" customHeight="1" x14ac:dyDescent="0.3">
      <c r="A12" s="505" t="s">
        <v>544</v>
      </c>
      <c r="B12" s="506" t="s">
        <v>763</v>
      </c>
      <c r="C12" s="506" t="s">
        <v>655</v>
      </c>
      <c r="D12" s="506" t="s">
        <v>656</v>
      </c>
      <c r="E12" s="506"/>
      <c r="F12" s="521">
        <v>2</v>
      </c>
      <c r="G12" s="521">
        <v>0</v>
      </c>
      <c r="H12" s="511"/>
      <c r="I12" s="521"/>
      <c r="J12" s="521"/>
      <c r="K12" s="511"/>
      <c r="L12" s="521">
        <v>2</v>
      </c>
      <c r="M12" s="522">
        <v>0</v>
      </c>
    </row>
    <row r="13" spans="1:13" ht="14.4" customHeight="1" x14ac:dyDescent="0.3">
      <c r="A13" s="505" t="s">
        <v>544</v>
      </c>
      <c r="B13" s="506" t="s">
        <v>759</v>
      </c>
      <c r="C13" s="506" t="s">
        <v>639</v>
      </c>
      <c r="D13" s="506" t="s">
        <v>640</v>
      </c>
      <c r="E13" s="506" t="s">
        <v>641</v>
      </c>
      <c r="F13" s="521">
        <v>2</v>
      </c>
      <c r="G13" s="521">
        <v>253.08</v>
      </c>
      <c r="H13" s="511">
        <v>1</v>
      </c>
      <c r="I13" s="521"/>
      <c r="J13" s="521"/>
      <c r="K13" s="511">
        <v>0</v>
      </c>
      <c r="L13" s="521">
        <v>2</v>
      </c>
      <c r="M13" s="522">
        <v>253.08</v>
      </c>
    </row>
    <row r="14" spans="1:13" ht="14.4" customHeight="1" x14ac:dyDescent="0.3">
      <c r="A14" s="505" t="s">
        <v>544</v>
      </c>
      <c r="B14" s="506" t="s">
        <v>764</v>
      </c>
      <c r="C14" s="506" t="s">
        <v>673</v>
      </c>
      <c r="D14" s="506" t="s">
        <v>674</v>
      </c>
      <c r="E14" s="506" t="s">
        <v>675</v>
      </c>
      <c r="F14" s="521">
        <v>1</v>
      </c>
      <c r="G14" s="521">
        <v>323.43</v>
      </c>
      <c r="H14" s="511">
        <v>1</v>
      </c>
      <c r="I14" s="521"/>
      <c r="J14" s="521"/>
      <c r="K14" s="511">
        <v>0</v>
      </c>
      <c r="L14" s="521">
        <v>1</v>
      </c>
      <c r="M14" s="522">
        <v>323.43</v>
      </c>
    </row>
    <row r="15" spans="1:13" ht="14.4" customHeight="1" x14ac:dyDescent="0.3">
      <c r="A15" s="505" t="s">
        <v>544</v>
      </c>
      <c r="B15" s="506" t="s">
        <v>765</v>
      </c>
      <c r="C15" s="506" t="s">
        <v>647</v>
      </c>
      <c r="D15" s="506" t="s">
        <v>648</v>
      </c>
      <c r="E15" s="506" t="s">
        <v>649</v>
      </c>
      <c r="F15" s="521"/>
      <c r="G15" s="521"/>
      <c r="H15" s="511">
        <v>0</v>
      </c>
      <c r="I15" s="521">
        <v>3</v>
      </c>
      <c r="J15" s="521">
        <v>605.64</v>
      </c>
      <c r="K15" s="511">
        <v>1</v>
      </c>
      <c r="L15" s="521">
        <v>3</v>
      </c>
      <c r="M15" s="522">
        <v>605.64</v>
      </c>
    </row>
    <row r="16" spans="1:13" ht="14.4" customHeight="1" x14ac:dyDescent="0.3">
      <c r="A16" s="505" t="s">
        <v>544</v>
      </c>
      <c r="B16" s="506" t="s">
        <v>766</v>
      </c>
      <c r="C16" s="506" t="s">
        <v>665</v>
      </c>
      <c r="D16" s="506" t="s">
        <v>666</v>
      </c>
      <c r="E16" s="506" t="s">
        <v>667</v>
      </c>
      <c r="F16" s="521"/>
      <c r="G16" s="521"/>
      <c r="H16" s="511">
        <v>0</v>
      </c>
      <c r="I16" s="521">
        <v>3</v>
      </c>
      <c r="J16" s="521">
        <v>151.71</v>
      </c>
      <c r="K16" s="511">
        <v>1</v>
      </c>
      <c r="L16" s="521">
        <v>3</v>
      </c>
      <c r="M16" s="522">
        <v>151.71</v>
      </c>
    </row>
    <row r="17" spans="1:13" ht="14.4" customHeight="1" x14ac:dyDescent="0.3">
      <c r="A17" s="505" t="s">
        <v>544</v>
      </c>
      <c r="B17" s="506" t="s">
        <v>767</v>
      </c>
      <c r="C17" s="506" t="s">
        <v>658</v>
      </c>
      <c r="D17" s="506" t="s">
        <v>659</v>
      </c>
      <c r="E17" s="506" t="s">
        <v>660</v>
      </c>
      <c r="F17" s="521"/>
      <c r="G17" s="521"/>
      <c r="H17" s="511">
        <v>0</v>
      </c>
      <c r="I17" s="521">
        <v>1</v>
      </c>
      <c r="J17" s="521">
        <v>116.8</v>
      </c>
      <c r="K17" s="511">
        <v>1</v>
      </c>
      <c r="L17" s="521">
        <v>1</v>
      </c>
      <c r="M17" s="522">
        <v>116.8</v>
      </c>
    </row>
    <row r="18" spans="1:13" ht="14.4" customHeight="1" x14ac:dyDescent="0.3">
      <c r="A18" s="505" t="s">
        <v>545</v>
      </c>
      <c r="B18" s="506" t="s">
        <v>768</v>
      </c>
      <c r="C18" s="506" t="s">
        <v>685</v>
      </c>
      <c r="D18" s="506" t="s">
        <v>686</v>
      </c>
      <c r="E18" s="506" t="s">
        <v>687</v>
      </c>
      <c r="F18" s="521"/>
      <c r="G18" s="521"/>
      <c r="H18" s="511">
        <v>0</v>
      </c>
      <c r="I18" s="521">
        <v>4</v>
      </c>
      <c r="J18" s="521">
        <v>425.2</v>
      </c>
      <c r="K18" s="511">
        <v>1</v>
      </c>
      <c r="L18" s="521">
        <v>4</v>
      </c>
      <c r="M18" s="522">
        <v>425.2</v>
      </c>
    </row>
    <row r="19" spans="1:13" ht="14.4" customHeight="1" x14ac:dyDescent="0.3">
      <c r="A19" s="505" t="s">
        <v>545</v>
      </c>
      <c r="B19" s="506" t="s">
        <v>769</v>
      </c>
      <c r="C19" s="506" t="s">
        <v>693</v>
      </c>
      <c r="D19" s="506" t="s">
        <v>694</v>
      </c>
      <c r="E19" s="506" t="s">
        <v>695</v>
      </c>
      <c r="F19" s="521">
        <v>1</v>
      </c>
      <c r="G19" s="521">
        <v>200.07</v>
      </c>
      <c r="H19" s="511">
        <v>1</v>
      </c>
      <c r="I19" s="521"/>
      <c r="J19" s="521"/>
      <c r="K19" s="511">
        <v>0</v>
      </c>
      <c r="L19" s="521">
        <v>1</v>
      </c>
      <c r="M19" s="522">
        <v>200.07</v>
      </c>
    </row>
    <row r="20" spans="1:13" ht="14.4" customHeight="1" x14ac:dyDescent="0.3">
      <c r="A20" s="505" t="s">
        <v>545</v>
      </c>
      <c r="B20" s="506" t="s">
        <v>770</v>
      </c>
      <c r="C20" s="506" t="s">
        <v>689</v>
      </c>
      <c r="D20" s="506" t="s">
        <v>690</v>
      </c>
      <c r="E20" s="506" t="s">
        <v>691</v>
      </c>
      <c r="F20" s="521"/>
      <c r="G20" s="521"/>
      <c r="H20" s="511">
        <v>0</v>
      </c>
      <c r="I20" s="521">
        <v>6</v>
      </c>
      <c r="J20" s="521">
        <v>228.78000000000003</v>
      </c>
      <c r="K20" s="511">
        <v>1</v>
      </c>
      <c r="L20" s="521">
        <v>6</v>
      </c>
      <c r="M20" s="522">
        <v>228.78000000000003</v>
      </c>
    </row>
    <row r="21" spans="1:13" ht="14.4" customHeight="1" x14ac:dyDescent="0.3">
      <c r="A21" s="505" t="s">
        <v>545</v>
      </c>
      <c r="B21" s="506" t="s">
        <v>771</v>
      </c>
      <c r="C21" s="506" t="s">
        <v>697</v>
      </c>
      <c r="D21" s="506" t="s">
        <v>698</v>
      </c>
      <c r="E21" s="506" t="s">
        <v>699</v>
      </c>
      <c r="F21" s="521"/>
      <c r="G21" s="521"/>
      <c r="H21" s="511">
        <v>0</v>
      </c>
      <c r="I21" s="521">
        <v>3</v>
      </c>
      <c r="J21" s="521">
        <v>144.93</v>
      </c>
      <c r="K21" s="511">
        <v>1</v>
      </c>
      <c r="L21" s="521">
        <v>3</v>
      </c>
      <c r="M21" s="522">
        <v>144.93</v>
      </c>
    </row>
    <row r="22" spans="1:13" ht="14.4" customHeight="1" x14ac:dyDescent="0.3">
      <c r="A22" s="505" t="s">
        <v>545</v>
      </c>
      <c r="B22" s="506" t="s">
        <v>772</v>
      </c>
      <c r="C22" s="506" t="s">
        <v>701</v>
      </c>
      <c r="D22" s="506" t="s">
        <v>702</v>
      </c>
      <c r="E22" s="506" t="s">
        <v>703</v>
      </c>
      <c r="F22" s="521"/>
      <c r="G22" s="521"/>
      <c r="H22" s="511">
        <v>0</v>
      </c>
      <c r="I22" s="521">
        <v>3</v>
      </c>
      <c r="J22" s="521">
        <v>126.24</v>
      </c>
      <c r="K22" s="511">
        <v>1</v>
      </c>
      <c r="L22" s="521">
        <v>3</v>
      </c>
      <c r="M22" s="522">
        <v>126.24</v>
      </c>
    </row>
    <row r="23" spans="1:13" ht="14.4" customHeight="1" x14ac:dyDescent="0.3">
      <c r="A23" s="505" t="s">
        <v>546</v>
      </c>
      <c r="B23" s="506" t="s">
        <v>773</v>
      </c>
      <c r="C23" s="506" t="s">
        <v>731</v>
      </c>
      <c r="D23" s="506" t="s">
        <v>732</v>
      </c>
      <c r="E23" s="506" t="s">
        <v>733</v>
      </c>
      <c r="F23" s="521"/>
      <c r="G23" s="521"/>
      <c r="H23" s="511">
        <v>0</v>
      </c>
      <c r="I23" s="521">
        <v>1</v>
      </c>
      <c r="J23" s="521">
        <v>32.630000000000003</v>
      </c>
      <c r="K23" s="511">
        <v>1</v>
      </c>
      <c r="L23" s="521">
        <v>1</v>
      </c>
      <c r="M23" s="522">
        <v>32.630000000000003</v>
      </c>
    </row>
    <row r="24" spans="1:13" ht="14.4" customHeight="1" x14ac:dyDescent="0.3">
      <c r="A24" s="505" t="s">
        <v>546</v>
      </c>
      <c r="B24" s="506" t="s">
        <v>774</v>
      </c>
      <c r="C24" s="506" t="s">
        <v>727</v>
      </c>
      <c r="D24" s="506" t="s">
        <v>728</v>
      </c>
      <c r="E24" s="506" t="s">
        <v>729</v>
      </c>
      <c r="F24" s="521"/>
      <c r="G24" s="521"/>
      <c r="H24" s="511">
        <v>0</v>
      </c>
      <c r="I24" s="521">
        <v>3</v>
      </c>
      <c r="J24" s="521">
        <v>101.16</v>
      </c>
      <c r="K24" s="511">
        <v>1</v>
      </c>
      <c r="L24" s="521">
        <v>3</v>
      </c>
      <c r="M24" s="522">
        <v>101.16</v>
      </c>
    </row>
    <row r="25" spans="1:13" ht="14.4" customHeight="1" x14ac:dyDescent="0.3">
      <c r="A25" s="505" t="s">
        <v>546</v>
      </c>
      <c r="B25" s="506" t="s">
        <v>760</v>
      </c>
      <c r="C25" s="506" t="s">
        <v>721</v>
      </c>
      <c r="D25" s="506" t="s">
        <v>722</v>
      </c>
      <c r="E25" s="506" t="s">
        <v>723</v>
      </c>
      <c r="F25" s="521"/>
      <c r="G25" s="521"/>
      <c r="H25" s="511"/>
      <c r="I25" s="521">
        <v>1</v>
      </c>
      <c r="J25" s="521">
        <v>0</v>
      </c>
      <c r="K25" s="511"/>
      <c r="L25" s="521">
        <v>1</v>
      </c>
      <c r="M25" s="522">
        <v>0</v>
      </c>
    </row>
    <row r="26" spans="1:13" ht="14.4" customHeight="1" x14ac:dyDescent="0.3">
      <c r="A26" s="505" t="s">
        <v>546</v>
      </c>
      <c r="B26" s="506" t="s">
        <v>761</v>
      </c>
      <c r="C26" s="506" t="s">
        <v>607</v>
      </c>
      <c r="D26" s="506" t="s">
        <v>608</v>
      </c>
      <c r="E26" s="506" t="s">
        <v>609</v>
      </c>
      <c r="F26" s="521"/>
      <c r="G26" s="521"/>
      <c r="H26" s="511">
        <v>0</v>
      </c>
      <c r="I26" s="521">
        <v>1</v>
      </c>
      <c r="J26" s="521">
        <v>156.86000000000001</v>
      </c>
      <c r="K26" s="511">
        <v>1</v>
      </c>
      <c r="L26" s="521">
        <v>1</v>
      </c>
      <c r="M26" s="522">
        <v>156.86000000000001</v>
      </c>
    </row>
    <row r="27" spans="1:13" ht="14.4" customHeight="1" thickBot="1" x14ac:dyDescent="0.35">
      <c r="A27" s="513" t="s">
        <v>546</v>
      </c>
      <c r="B27" s="514" t="s">
        <v>775</v>
      </c>
      <c r="C27" s="514" t="s">
        <v>718</v>
      </c>
      <c r="D27" s="514" t="s">
        <v>719</v>
      </c>
      <c r="E27" s="514" t="s">
        <v>720</v>
      </c>
      <c r="F27" s="523"/>
      <c r="G27" s="523"/>
      <c r="H27" s="519">
        <v>0</v>
      </c>
      <c r="I27" s="523">
        <v>1</v>
      </c>
      <c r="J27" s="523">
        <v>413.22</v>
      </c>
      <c r="K27" s="519">
        <v>1</v>
      </c>
      <c r="L27" s="523">
        <v>1</v>
      </c>
      <c r="M27" s="524">
        <v>413.22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13" customWidth="1"/>
    <col min="2" max="2" width="61.109375" style="213" customWidth="1"/>
    <col min="3" max="3" width="9.5546875" style="133" customWidth="1"/>
    <col min="4" max="4" width="9.5546875" style="214" customWidth="1"/>
    <col min="5" max="5" width="2.21875" style="214" customWidth="1"/>
    <col min="6" max="6" width="9.5546875" style="215" customWidth="1"/>
    <col min="7" max="7" width="9.5546875" style="212" customWidth="1"/>
    <col min="8" max="9" width="9.5546875" style="133" customWidth="1"/>
    <col min="10" max="10" width="0" style="133" hidden="1" customWidth="1"/>
    <col min="11" max="16384" width="8.88671875" style="133"/>
  </cols>
  <sheetData>
    <row r="1" spans="1:10" ht="18.600000000000001" customHeight="1" thickBot="1" x14ac:dyDescent="0.4">
      <c r="A1" s="339" t="s">
        <v>145</v>
      </c>
      <c r="B1" s="340"/>
      <c r="C1" s="340"/>
      <c r="D1" s="340"/>
      <c r="E1" s="340"/>
      <c r="F1" s="340"/>
      <c r="G1" s="311"/>
      <c r="H1" s="341"/>
      <c r="I1" s="341"/>
    </row>
    <row r="2" spans="1:10" ht="14.4" customHeight="1" thickBot="1" x14ac:dyDescent="0.35">
      <c r="A2" s="240" t="s">
        <v>272</v>
      </c>
      <c r="B2" s="211"/>
      <c r="C2" s="211"/>
      <c r="D2" s="211"/>
      <c r="E2" s="211"/>
      <c r="F2" s="211"/>
    </row>
    <row r="3" spans="1:10" ht="14.4" customHeight="1" thickBot="1" x14ac:dyDescent="0.35">
      <c r="A3" s="240"/>
      <c r="B3" s="211"/>
      <c r="C3" s="298">
        <v>2012</v>
      </c>
      <c r="D3" s="299">
        <v>2013</v>
      </c>
      <c r="E3" s="7"/>
      <c r="F3" s="334">
        <v>2014</v>
      </c>
      <c r="G3" s="335"/>
      <c r="H3" s="335"/>
      <c r="I3" s="336"/>
    </row>
    <row r="4" spans="1:10" ht="14.4" customHeight="1" thickBot="1" x14ac:dyDescent="0.35">
      <c r="A4" s="303" t="s">
        <v>0</v>
      </c>
      <c r="B4" s="304" t="s">
        <v>271</v>
      </c>
      <c r="C4" s="337" t="s">
        <v>73</v>
      </c>
      <c r="D4" s="338"/>
      <c r="E4" s="305"/>
      <c r="F4" s="300" t="s">
        <v>73</v>
      </c>
      <c r="G4" s="301" t="s">
        <v>74</v>
      </c>
      <c r="H4" s="301" t="s">
        <v>68</v>
      </c>
      <c r="I4" s="302" t="s">
        <v>75</v>
      </c>
    </row>
    <row r="5" spans="1:10" ht="14.4" customHeight="1" x14ac:dyDescent="0.3">
      <c r="A5" s="422" t="s">
        <v>424</v>
      </c>
      <c r="B5" s="423" t="s">
        <v>425</v>
      </c>
      <c r="C5" s="424" t="s">
        <v>426</v>
      </c>
      <c r="D5" s="424" t="s">
        <v>426</v>
      </c>
      <c r="E5" s="424"/>
      <c r="F5" s="424" t="s">
        <v>426</v>
      </c>
      <c r="G5" s="424" t="s">
        <v>426</v>
      </c>
      <c r="H5" s="424" t="s">
        <v>426</v>
      </c>
      <c r="I5" s="425" t="s">
        <v>426</v>
      </c>
      <c r="J5" s="426" t="s">
        <v>69</v>
      </c>
    </row>
    <row r="6" spans="1:10" ht="14.4" customHeight="1" x14ac:dyDescent="0.3">
      <c r="A6" s="422" t="s">
        <v>424</v>
      </c>
      <c r="B6" s="423" t="s">
        <v>282</v>
      </c>
      <c r="C6" s="424">
        <v>0</v>
      </c>
      <c r="D6" s="424">
        <v>0.77176999999899998</v>
      </c>
      <c r="E6" s="424"/>
      <c r="F6" s="424">
        <v>4.9694699999999994</v>
      </c>
      <c r="G6" s="424">
        <v>4.333333333333333</v>
      </c>
      <c r="H6" s="424">
        <v>0.63613666666666635</v>
      </c>
      <c r="I6" s="425">
        <v>1.1468007692307691</v>
      </c>
      <c r="J6" s="426" t="s">
        <v>1</v>
      </c>
    </row>
    <row r="7" spans="1:10" ht="14.4" customHeight="1" x14ac:dyDescent="0.3">
      <c r="A7" s="422" t="s">
        <v>424</v>
      </c>
      <c r="B7" s="423" t="s">
        <v>283</v>
      </c>
      <c r="C7" s="424">
        <v>0.75968000000000002</v>
      </c>
      <c r="D7" s="424">
        <v>0.48746</v>
      </c>
      <c r="E7" s="424"/>
      <c r="F7" s="424">
        <v>0.49342999999999998</v>
      </c>
      <c r="G7" s="424">
        <v>1</v>
      </c>
      <c r="H7" s="424">
        <v>-0.50656999999999996</v>
      </c>
      <c r="I7" s="425">
        <v>0.49342999999999998</v>
      </c>
      <c r="J7" s="426" t="s">
        <v>1</v>
      </c>
    </row>
    <row r="8" spans="1:10" ht="14.4" customHeight="1" x14ac:dyDescent="0.3">
      <c r="A8" s="422" t="s">
        <v>424</v>
      </c>
      <c r="B8" s="423" t="s">
        <v>284</v>
      </c>
      <c r="C8" s="424">
        <v>20.695549999999997</v>
      </c>
      <c r="D8" s="424">
        <v>6.8212399999989994</v>
      </c>
      <c r="E8" s="424"/>
      <c r="F8" s="424">
        <v>4.9854500000000002</v>
      </c>
      <c r="G8" s="424">
        <v>10.333333333333334</v>
      </c>
      <c r="H8" s="424">
        <v>-5.3478833333333338</v>
      </c>
      <c r="I8" s="425">
        <v>0.48246290322580643</v>
      </c>
      <c r="J8" s="426" t="s">
        <v>1</v>
      </c>
    </row>
    <row r="9" spans="1:10" ht="14.4" customHeight="1" x14ac:dyDescent="0.3">
      <c r="A9" s="422" t="s">
        <v>424</v>
      </c>
      <c r="B9" s="423" t="s">
        <v>285</v>
      </c>
      <c r="C9" s="424">
        <v>7.71</v>
      </c>
      <c r="D9" s="424">
        <v>11.153</v>
      </c>
      <c r="E9" s="424"/>
      <c r="F9" s="424">
        <v>4.8999999999999995</v>
      </c>
      <c r="G9" s="424">
        <v>10</v>
      </c>
      <c r="H9" s="424">
        <v>-5.1000000000000005</v>
      </c>
      <c r="I9" s="425">
        <v>0.48999999999999994</v>
      </c>
      <c r="J9" s="426" t="s">
        <v>1</v>
      </c>
    </row>
    <row r="10" spans="1:10" ht="14.4" customHeight="1" x14ac:dyDescent="0.3">
      <c r="A10" s="422" t="s">
        <v>424</v>
      </c>
      <c r="B10" s="423" t="s">
        <v>286</v>
      </c>
      <c r="C10" s="424">
        <v>0.72899999999999998</v>
      </c>
      <c r="D10" s="424">
        <v>0.43399999999900002</v>
      </c>
      <c r="E10" s="424"/>
      <c r="F10" s="424">
        <v>0.65</v>
      </c>
      <c r="G10" s="424">
        <v>0.66666666666666663</v>
      </c>
      <c r="H10" s="424">
        <v>-1.6666666666666607E-2</v>
      </c>
      <c r="I10" s="425">
        <v>0.97500000000000009</v>
      </c>
      <c r="J10" s="426" t="s">
        <v>1</v>
      </c>
    </row>
    <row r="11" spans="1:10" ht="14.4" customHeight="1" x14ac:dyDescent="0.3">
      <c r="A11" s="422" t="s">
        <v>424</v>
      </c>
      <c r="B11" s="423" t="s">
        <v>287</v>
      </c>
      <c r="C11" s="424">
        <v>0.95399999999999996</v>
      </c>
      <c r="D11" s="424">
        <v>0.71899999999899999</v>
      </c>
      <c r="E11" s="424"/>
      <c r="F11" s="424">
        <v>0.46300000000000002</v>
      </c>
      <c r="G11" s="424">
        <v>0.66666666666666663</v>
      </c>
      <c r="H11" s="424">
        <v>-0.20366666666666661</v>
      </c>
      <c r="I11" s="425">
        <v>0.69450000000000012</v>
      </c>
      <c r="J11" s="426" t="s">
        <v>1</v>
      </c>
    </row>
    <row r="12" spans="1:10" ht="14.4" customHeight="1" x14ac:dyDescent="0.3">
      <c r="A12" s="422" t="s">
        <v>424</v>
      </c>
      <c r="B12" s="423" t="s">
        <v>428</v>
      </c>
      <c r="C12" s="424">
        <v>30.848229999999997</v>
      </c>
      <c r="D12" s="424">
        <v>20.386469999995999</v>
      </c>
      <c r="E12" s="424"/>
      <c r="F12" s="424">
        <v>16.461349999999999</v>
      </c>
      <c r="G12" s="424">
        <v>27.000000000000004</v>
      </c>
      <c r="H12" s="424">
        <v>-10.538650000000004</v>
      </c>
      <c r="I12" s="425">
        <v>0.60967962962962952</v>
      </c>
      <c r="J12" s="426" t="s">
        <v>429</v>
      </c>
    </row>
    <row r="14" spans="1:10" ht="14.4" customHeight="1" x14ac:dyDescent="0.3">
      <c r="A14" s="422" t="s">
        <v>424</v>
      </c>
      <c r="B14" s="423" t="s">
        <v>425</v>
      </c>
      <c r="C14" s="424" t="s">
        <v>426</v>
      </c>
      <c r="D14" s="424" t="s">
        <v>426</v>
      </c>
      <c r="E14" s="424"/>
      <c r="F14" s="424" t="s">
        <v>426</v>
      </c>
      <c r="G14" s="424" t="s">
        <v>426</v>
      </c>
      <c r="H14" s="424" t="s">
        <v>426</v>
      </c>
      <c r="I14" s="425" t="s">
        <v>426</v>
      </c>
      <c r="J14" s="426" t="s">
        <v>69</v>
      </c>
    </row>
    <row r="15" spans="1:10" ht="14.4" customHeight="1" x14ac:dyDescent="0.3">
      <c r="A15" s="422" t="s">
        <v>430</v>
      </c>
      <c r="B15" s="423" t="s">
        <v>431</v>
      </c>
      <c r="C15" s="424" t="s">
        <v>426</v>
      </c>
      <c r="D15" s="424" t="s">
        <v>426</v>
      </c>
      <c r="E15" s="424"/>
      <c r="F15" s="424" t="s">
        <v>426</v>
      </c>
      <c r="G15" s="424" t="s">
        <v>426</v>
      </c>
      <c r="H15" s="424" t="s">
        <v>426</v>
      </c>
      <c r="I15" s="425" t="s">
        <v>426</v>
      </c>
      <c r="J15" s="426" t="s">
        <v>0</v>
      </c>
    </row>
    <row r="16" spans="1:10" ht="14.4" customHeight="1" x14ac:dyDescent="0.3">
      <c r="A16" s="422" t="s">
        <v>430</v>
      </c>
      <c r="B16" s="423" t="s">
        <v>283</v>
      </c>
      <c r="C16" s="424">
        <v>0.28045999999999999</v>
      </c>
      <c r="D16" s="424" t="s">
        <v>426</v>
      </c>
      <c r="E16" s="424"/>
      <c r="F16" s="424" t="s">
        <v>426</v>
      </c>
      <c r="G16" s="424" t="s">
        <v>426</v>
      </c>
      <c r="H16" s="424" t="s">
        <v>426</v>
      </c>
      <c r="I16" s="425" t="s">
        <v>426</v>
      </c>
      <c r="J16" s="426" t="s">
        <v>1</v>
      </c>
    </row>
    <row r="17" spans="1:10" ht="14.4" customHeight="1" x14ac:dyDescent="0.3">
      <c r="A17" s="422" t="s">
        <v>430</v>
      </c>
      <c r="B17" s="423" t="s">
        <v>284</v>
      </c>
      <c r="C17" s="424">
        <v>9.9777999999999984</v>
      </c>
      <c r="D17" s="424" t="s">
        <v>426</v>
      </c>
      <c r="E17" s="424"/>
      <c r="F17" s="424" t="s">
        <v>426</v>
      </c>
      <c r="G17" s="424" t="s">
        <v>426</v>
      </c>
      <c r="H17" s="424" t="s">
        <v>426</v>
      </c>
      <c r="I17" s="425" t="s">
        <v>426</v>
      </c>
      <c r="J17" s="426" t="s">
        <v>1</v>
      </c>
    </row>
    <row r="18" spans="1:10" ht="14.4" customHeight="1" x14ac:dyDescent="0.3">
      <c r="A18" s="422" t="s">
        <v>430</v>
      </c>
      <c r="B18" s="423" t="s">
        <v>285</v>
      </c>
      <c r="C18" s="424">
        <v>7.71</v>
      </c>
      <c r="D18" s="424" t="s">
        <v>426</v>
      </c>
      <c r="E18" s="424"/>
      <c r="F18" s="424" t="s">
        <v>426</v>
      </c>
      <c r="G18" s="424" t="s">
        <v>426</v>
      </c>
      <c r="H18" s="424" t="s">
        <v>426</v>
      </c>
      <c r="I18" s="425" t="s">
        <v>426</v>
      </c>
      <c r="J18" s="426" t="s">
        <v>1</v>
      </c>
    </row>
    <row r="19" spans="1:10" ht="14.4" customHeight="1" x14ac:dyDescent="0.3">
      <c r="A19" s="422" t="s">
        <v>430</v>
      </c>
      <c r="B19" s="423" t="s">
        <v>286</v>
      </c>
      <c r="C19" s="424">
        <v>0.7</v>
      </c>
      <c r="D19" s="424" t="s">
        <v>426</v>
      </c>
      <c r="E19" s="424"/>
      <c r="F19" s="424" t="s">
        <v>426</v>
      </c>
      <c r="G19" s="424" t="s">
        <v>426</v>
      </c>
      <c r="H19" s="424" t="s">
        <v>426</v>
      </c>
      <c r="I19" s="425" t="s">
        <v>426</v>
      </c>
      <c r="J19" s="426" t="s">
        <v>1</v>
      </c>
    </row>
    <row r="20" spans="1:10" ht="14.4" customHeight="1" x14ac:dyDescent="0.3">
      <c r="A20" s="422" t="s">
        <v>430</v>
      </c>
      <c r="B20" s="423" t="s">
        <v>287</v>
      </c>
      <c r="C20" s="424">
        <v>0.25600000000000001</v>
      </c>
      <c r="D20" s="424" t="s">
        <v>426</v>
      </c>
      <c r="E20" s="424"/>
      <c r="F20" s="424" t="s">
        <v>426</v>
      </c>
      <c r="G20" s="424" t="s">
        <v>426</v>
      </c>
      <c r="H20" s="424" t="s">
        <v>426</v>
      </c>
      <c r="I20" s="425" t="s">
        <v>426</v>
      </c>
      <c r="J20" s="426" t="s">
        <v>1</v>
      </c>
    </row>
    <row r="21" spans="1:10" ht="14.4" customHeight="1" x14ac:dyDescent="0.3">
      <c r="A21" s="422" t="s">
        <v>430</v>
      </c>
      <c r="B21" s="423" t="s">
        <v>432</v>
      </c>
      <c r="C21" s="424">
        <v>18.924259999999997</v>
      </c>
      <c r="D21" s="424" t="s">
        <v>426</v>
      </c>
      <c r="E21" s="424"/>
      <c r="F21" s="424" t="s">
        <v>426</v>
      </c>
      <c r="G21" s="424" t="s">
        <v>426</v>
      </c>
      <c r="H21" s="424" t="s">
        <v>426</v>
      </c>
      <c r="I21" s="425" t="s">
        <v>426</v>
      </c>
      <c r="J21" s="426" t="s">
        <v>433</v>
      </c>
    </row>
    <row r="22" spans="1:10" ht="14.4" customHeight="1" x14ac:dyDescent="0.3">
      <c r="A22" s="422" t="s">
        <v>426</v>
      </c>
      <c r="B22" s="423" t="s">
        <v>426</v>
      </c>
      <c r="C22" s="424" t="s">
        <v>426</v>
      </c>
      <c r="D22" s="424" t="s">
        <v>426</v>
      </c>
      <c r="E22" s="424"/>
      <c r="F22" s="424" t="s">
        <v>426</v>
      </c>
      <c r="G22" s="424" t="s">
        <v>426</v>
      </c>
      <c r="H22" s="424" t="s">
        <v>426</v>
      </c>
      <c r="I22" s="425" t="s">
        <v>426</v>
      </c>
      <c r="J22" s="426" t="s">
        <v>434</v>
      </c>
    </row>
    <row r="23" spans="1:10" ht="14.4" customHeight="1" x14ac:dyDescent="0.3">
      <c r="A23" s="422" t="s">
        <v>435</v>
      </c>
      <c r="B23" s="423" t="s">
        <v>436</v>
      </c>
      <c r="C23" s="424" t="s">
        <v>426</v>
      </c>
      <c r="D23" s="424" t="s">
        <v>426</v>
      </c>
      <c r="E23" s="424"/>
      <c r="F23" s="424" t="s">
        <v>426</v>
      </c>
      <c r="G23" s="424" t="s">
        <v>426</v>
      </c>
      <c r="H23" s="424" t="s">
        <v>426</v>
      </c>
      <c r="I23" s="425" t="s">
        <v>426</v>
      </c>
      <c r="J23" s="426" t="s">
        <v>0</v>
      </c>
    </row>
    <row r="24" spans="1:10" ht="14.4" customHeight="1" x14ac:dyDescent="0.3">
      <c r="A24" s="422" t="s">
        <v>435</v>
      </c>
      <c r="B24" s="423" t="s">
        <v>282</v>
      </c>
      <c r="C24" s="424">
        <v>0</v>
      </c>
      <c r="D24" s="424">
        <v>0.77176999999899998</v>
      </c>
      <c r="E24" s="424"/>
      <c r="F24" s="424">
        <v>4.9694699999999994</v>
      </c>
      <c r="G24" s="424">
        <v>4</v>
      </c>
      <c r="H24" s="424">
        <v>0.96946999999999939</v>
      </c>
      <c r="I24" s="425">
        <v>1.2423674999999998</v>
      </c>
      <c r="J24" s="426" t="s">
        <v>1</v>
      </c>
    </row>
    <row r="25" spans="1:10" ht="14.4" customHeight="1" x14ac:dyDescent="0.3">
      <c r="A25" s="422" t="s">
        <v>435</v>
      </c>
      <c r="B25" s="423" t="s">
        <v>283</v>
      </c>
      <c r="C25" s="424">
        <v>0.219</v>
      </c>
      <c r="D25" s="424">
        <v>0.27145000000000002</v>
      </c>
      <c r="E25" s="424"/>
      <c r="F25" s="424">
        <v>0.40006999999999998</v>
      </c>
      <c r="G25" s="424">
        <v>0.66666666666666663</v>
      </c>
      <c r="H25" s="424">
        <v>-0.26659666666666665</v>
      </c>
      <c r="I25" s="425">
        <v>0.600105</v>
      </c>
      <c r="J25" s="426" t="s">
        <v>1</v>
      </c>
    </row>
    <row r="26" spans="1:10" ht="14.4" customHeight="1" x14ac:dyDescent="0.3">
      <c r="A26" s="422" t="s">
        <v>435</v>
      </c>
      <c r="B26" s="423" t="s">
        <v>284</v>
      </c>
      <c r="C26" s="424">
        <v>6.7838000000000003</v>
      </c>
      <c r="D26" s="424">
        <v>3.7479899999999997</v>
      </c>
      <c r="E26" s="424"/>
      <c r="F26" s="424">
        <v>3.35155</v>
      </c>
      <c r="G26" s="424">
        <v>6.666666666666667</v>
      </c>
      <c r="H26" s="424">
        <v>-3.3151166666666669</v>
      </c>
      <c r="I26" s="425">
        <v>0.50273250000000003</v>
      </c>
      <c r="J26" s="426" t="s">
        <v>1</v>
      </c>
    </row>
    <row r="27" spans="1:10" ht="14.4" customHeight="1" x14ac:dyDescent="0.3">
      <c r="A27" s="422" t="s">
        <v>435</v>
      </c>
      <c r="B27" s="423" t="s">
        <v>285</v>
      </c>
      <c r="C27" s="424">
        <v>0</v>
      </c>
      <c r="D27" s="424">
        <v>11.153</v>
      </c>
      <c r="E27" s="424"/>
      <c r="F27" s="424">
        <v>4.8999999999999995</v>
      </c>
      <c r="G27" s="424">
        <v>10</v>
      </c>
      <c r="H27" s="424">
        <v>-5.1000000000000005</v>
      </c>
      <c r="I27" s="425">
        <v>0.48999999999999994</v>
      </c>
      <c r="J27" s="426" t="s">
        <v>1</v>
      </c>
    </row>
    <row r="28" spans="1:10" ht="14.4" customHeight="1" x14ac:dyDescent="0.3">
      <c r="A28" s="422" t="s">
        <v>435</v>
      </c>
      <c r="B28" s="423" t="s">
        <v>286</v>
      </c>
      <c r="C28" s="424">
        <v>0</v>
      </c>
      <c r="D28" s="424">
        <v>0.31699999999900003</v>
      </c>
      <c r="E28" s="424"/>
      <c r="F28" s="424">
        <v>0.53</v>
      </c>
      <c r="G28" s="424">
        <v>0.33333333333333331</v>
      </c>
      <c r="H28" s="424">
        <v>0.19666666666666671</v>
      </c>
      <c r="I28" s="425">
        <v>1.59</v>
      </c>
      <c r="J28" s="426" t="s">
        <v>1</v>
      </c>
    </row>
    <row r="29" spans="1:10" ht="14.4" customHeight="1" x14ac:dyDescent="0.3">
      <c r="A29" s="422" t="s">
        <v>435</v>
      </c>
      <c r="B29" s="423" t="s">
        <v>287</v>
      </c>
      <c r="C29" s="424">
        <v>0.38300000000000001</v>
      </c>
      <c r="D29" s="424">
        <v>0.39200000000000002</v>
      </c>
      <c r="E29" s="424"/>
      <c r="F29" s="424">
        <v>0.38500000000000001</v>
      </c>
      <c r="G29" s="424">
        <v>0.33333333333333331</v>
      </c>
      <c r="H29" s="424">
        <v>5.1666666666666694E-2</v>
      </c>
      <c r="I29" s="425">
        <v>1.155</v>
      </c>
      <c r="J29" s="426" t="s">
        <v>1</v>
      </c>
    </row>
    <row r="30" spans="1:10" ht="14.4" customHeight="1" x14ac:dyDescent="0.3">
      <c r="A30" s="422" t="s">
        <v>435</v>
      </c>
      <c r="B30" s="423" t="s">
        <v>437</v>
      </c>
      <c r="C30" s="424">
        <v>7.3858000000000006</v>
      </c>
      <c r="D30" s="424">
        <v>16.653209999997998</v>
      </c>
      <c r="E30" s="424"/>
      <c r="F30" s="424">
        <v>14.536089999999998</v>
      </c>
      <c r="G30" s="424">
        <v>22</v>
      </c>
      <c r="H30" s="424">
        <v>-7.463910000000002</v>
      </c>
      <c r="I30" s="425">
        <v>0.66073136363636353</v>
      </c>
      <c r="J30" s="426" t="s">
        <v>433</v>
      </c>
    </row>
    <row r="31" spans="1:10" ht="14.4" customHeight="1" x14ac:dyDescent="0.3">
      <c r="A31" s="422" t="s">
        <v>426</v>
      </c>
      <c r="B31" s="423" t="s">
        <v>426</v>
      </c>
      <c r="C31" s="424" t="s">
        <v>426</v>
      </c>
      <c r="D31" s="424" t="s">
        <v>426</v>
      </c>
      <c r="E31" s="424"/>
      <c r="F31" s="424" t="s">
        <v>426</v>
      </c>
      <c r="G31" s="424" t="s">
        <v>426</v>
      </c>
      <c r="H31" s="424" t="s">
        <v>426</v>
      </c>
      <c r="I31" s="425" t="s">
        <v>426</v>
      </c>
      <c r="J31" s="426" t="s">
        <v>434</v>
      </c>
    </row>
    <row r="32" spans="1:10" ht="14.4" customHeight="1" x14ac:dyDescent="0.3">
      <c r="A32" s="422" t="s">
        <v>777</v>
      </c>
      <c r="B32" s="423" t="s">
        <v>778</v>
      </c>
      <c r="C32" s="424" t="s">
        <v>426</v>
      </c>
      <c r="D32" s="424" t="s">
        <v>426</v>
      </c>
      <c r="E32" s="424"/>
      <c r="F32" s="424" t="s">
        <v>426</v>
      </c>
      <c r="G32" s="424" t="s">
        <v>426</v>
      </c>
      <c r="H32" s="424" t="s">
        <v>426</v>
      </c>
      <c r="I32" s="425" t="s">
        <v>426</v>
      </c>
      <c r="J32" s="426" t="s">
        <v>0</v>
      </c>
    </row>
    <row r="33" spans="1:10" ht="14.4" customHeight="1" x14ac:dyDescent="0.3">
      <c r="A33" s="422" t="s">
        <v>777</v>
      </c>
      <c r="B33" s="423" t="s">
        <v>282</v>
      </c>
      <c r="C33" s="424" t="s">
        <v>426</v>
      </c>
      <c r="D33" s="424">
        <v>0</v>
      </c>
      <c r="E33" s="424"/>
      <c r="F33" s="424">
        <v>0</v>
      </c>
      <c r="G33" s="424">
        <v>0.33333333333333331</v>
      </c>
      <c r="H33" s="424">
        <v>-0.33333333333333331</v>
      </c>
      <c r="I33" s="425">
        <v>0</v>
      </c>
      <c r="J33" s="426" t="s">
        <v>1</v>
      </c>
    </row>
    <row r="34" spans="1:10" ht="14.4" customHeight="1" x14ac:dyDescent="0.3">
      <c r="A34" s="422" t="s">
        <v>777</v>
      </c>
      <c r="B34" s="423" t="s">
        <v>283</v>
      </c>
      <c r="C34" s="424">
        <v>0.26022000000000001</v>
      </c>
      <c r="D34" s="424">
        <v>0.21600999999999998</v>
      </c>
      <c r="E34" s="424"/>
      <c r="F34" s="424">
        <v>9.3359999999999999E-2</v>
      </c>
      <c r="G34" s="424">
        <v>0.33333333333333331</v>
      </c>
      <c r="H34" s="424">
        <v>-0.23997333333333332</v>
      </c>
      <c r="I34" s="425">
        <v>0.28008</v>
      </c>
      <c r="J34" s="426" t="s">
        <v>1</v>
      </c>
    </row>
    <row r="35" spans="1:10" ht="14.4" customHeight="1" x14ac:dyDescent="0.3">
      <c r="A35" s="422" t="s">
        <v>777</v>
      </c>
      <c r="B35" s="423" t="s">
        <v>284</v>
      </c>
      <c r="C35" s="424">
        <v>3.9339499999999998</v>
      </c>
      <c r="D35" s="424">
        <v>3.0732499999990002</v>
      </c>
      <c r="E35" s="424"/>
      <c r="F35" s="424">
        <v>1.6339000000000001</v>
      </c>
      <c r="G35" s="424">
        <v>3.6666666666666665</v>
      </c>
      <c r="H35" s="424">
        <v>-2.0327666666666664</v>
      </c>
      <c r="I35" s="425">
        <v>0.44560909090909095</v>
      </c>
      <c r="J35" s="426" t="s">
        <v>1</v>
      </c>
    </row>
    <row r="36" spans="1:10" ht="14.4" customHeight="1" x14ac:dyDescent="0.3">
      <c r="A36" s="422" t="s">
        <v>777</v>
      </c>
      <c r="B36" s="423" t="s">
        <v>285</v>
      </c>
      <c r="C36" s="424">
        <v>0</v>
      </c>
      <c r="D36" s="424" t="s">
        <v>426</v>
      </c>
      <c r="E36" s="424"/>
      <c r="F36" s="424" t="s">
        <v>426</v>
      </c>
      <c r="G36" s="424" t="s">
        <v>426</v>
      </c>
      <c r="H36" s="424" t="s">
        <v>426</v>
      </c>
      <c r="I36" s="425" t="s">
        <v>426</v>
      </c>
      <c r="J36" s="426" t="s">
        <v>1</v>
      </c>
    </row>
    <row r="37" spans="1:10" ht="14.4" customHeight="1" x14ac:dyDescent="0.3">
      <c r="A37" s="422" t="s">
        <v>777</v>
      </c>
      <c r="B37" s="423" t="s">
        <v>286</v>
      </c>
      <c r="C37" s="424">
        <v>2.9000000000000001E-2</v>
      </c>
      <c r="D37" s="424">
        <v>0.11699999999999999</v>
      </c>
      <c r="E37" s="424"/>
      <c r="F37" s="424">
        <v>0.12</v>
      </c>
      <c r="G37" s="424">
        <v>0.33333333333333331</v>
      </c>
      <c r="H37" s="424">
        <v>-0.21333333333333332</v>
      </c>
      <c r="I37" s="425">
        <v>0.36</v>
      </c>
      <c r="J37" s="426" t="s">
        <v>1</v>
      </c>
    </row>
    <row r="38" spans="1:10" ht="14.4" customHeight="1" x14ac:dyDescent="0.3">
      <c r="A38" s="422" t="s">
        <v>777</v>
      </c>
      <c r="B38" s="423" t="s">
        <v>287</v>
      </c>
      <c r="C38" s="424">
        <v>0.315</v>
      </c>
      <c r="D38" s="424">
        <v>0.32699999999899998</v>
      </c>
      <c r="E38" s="424"/>
      <c r="F38" s="424">
        <v>7.8E-2</v>
      </c>
      <c r="G38" s="424">
        <v>0.33333333333333331</v>
      </c>
      <c r="H38" s="424">
        <v>-0.2553333333333333</v>
      </c>
      <c r="I38" s="425">
        <v>0.23400000000000001</v>
      </c>
      <c r="J38" s="426" t="s">
        <v>1</v>
      </c>
    </row>
    <row r="39" spans="1:10" ht="14.4" customHeight="1" x14ac:dyDescent="0.3">
      <c r="A39" s="422" t="s">
        <v>777</v>
      </c>
      <c r="B39" s="423" t="s">
        <v>779</v>
      </c>
      <c r="C39" s="424">
        <v>4.53817</v>
      </c>
      <c r="D39" s="424">
        <v>3.7332599999979998</v>
      </c>
      <c r="E39" s="424"/>
      <c r="F39" s="424">
        <v>1.9252600000000004</v>
      </c>
      <c r="G39" s="424">
        <v>4.9999999999999991</v>
      </c>
      <c r="H39" s="424">
        <v>-3.0747399999999985</v>
      </c>
      <c r="I39" s="425">
        <v>0.38505200000000017</v>
      </c>
      <c r="J39" s="426" t="s">
        <v>433</v>
      </c>
    </row>
    <row r="40" spans="1:10" ht="14.4" customHeight="1" x14ac:dyDescent="0.3">
      <c r="A40" s="422" t="s">
        <v>426</v>
      </c>
      <c r="B40" s="423" t="s">
        <v>426</v>
      </c>
      <c r="C40" s="424" t="s">
        <v>426</v>
      </c>
      <c r="D40" s="424" t="s">
        <v>426</v>
      </c>
      <c r="E40" s="424"/>
      <c r="F40" s="424" t="s">
        <v>426</v>
      </c>
      <c r="G40" s="424" t="s">
        <v>426</v>
      </c>
      <c r="H40" s="424" t="s">
        <v>426</v>
      </c>
      <c r="I40" s="425" t="s">
        <v>426</v>
      </c>
      <c r="J40" s="426" t="s">
        <v>434</v>
      </c>
    </row>
    <row r="41" spans="1:10" ht="14.4" customHeight="1" x14ac:dyDescent="0.3">
      <c r="A41" s="422" t="s">
        <v>438</v>
      </c>
      <c r="B41" s="423" t="s">
        <v>439</v>
      </c>
      <c r="C41" s="424" t="s">
        <v>426</v>
      </c>
      <c r="D41" s="424" t="s">
        <v>426</v>
      </c>
      <c r="E41" s="424"/>
      <c r="F41" s="424" t="s">
        <v>426</v>
      </c>
      <c r="G41" s="424" t="s">
        <v>426</v>
      </c>
      <c r="H41" s="424" t="s">
        <v>426</v>
      </c>
      <c r="I41" s="425" t="s">
        <v>426</v>
      </c>
      <c r="J41" s="426" t="s">
        <v>0</v>
      </c>
    </row>
    <row r="42" spans="1:10" ht="14.4" customHeight="1" x14ac:dyDescent="0.3">
      <c r="A42" s="422" t="s">
        <v>438</v>
      </c>
      <c r="B42" s="423" t="s">
        <v>283</v>
      </c>
      <c r="C42" s="424">
        <v>0</v>
      </c>
      <c r="D42" s="424" t="s">
        <v>426</v>
      </c>
      <c r="E42" s="424"/>
      <c r="F42" s="424" t="s">
        <v>426</v>
      </c>
      <c r="G42" s="424" t="s">
        <v>426</v>
      </c>
      <c r="H42" s="424" t="s">
        <v>426</v>
      </c>
      <c r="I42" s="425" t="s">
        <v>426</v>
      </c>
      <c r="J42" s="426" t="s">
        <v>1</v>
      </c>
    </row>
    <row r="43" spans="1:10" ht="14.4" customHeight="1" x14ac:dyDescent="0.3">
      <c r="A43" s="422" t="s">
        <v>438</v>
      </c>
      <c r="B43" s="423" t="s">
        <v>284</v>
      </c>
      <c r="C43" s="424">
        <v>0</v>
      </c>
      <c r="D43" s="424">
        <v>0</v>
      </c>
      <c r="E43" s="424"/>
      <c r="F43" s="424" t="s">
        <v>426</v>
      </c>
      <c r="G43" s="424" t="s">
        <v>426</v>
      </c>
      <c r="H43" s="424" t="s">
        <v>426</v>
      </c>
      <c r="I43" s="425" t="s">
        <v>426</v>
      </c>
      <c r="J43" s="426" t="s">
        <v>1</v>
      </c>
    </row>
    <row r="44" spans="1:10" ht="14.4" customHeight="1" x14ac:dyDescent="0.3">
      <c r="A44" s="422" t="s">
        <v>438</v>
      </c>
      <c r="B44" s="423" t="s">
        <v>286</v>
      </c>
      <c r="C44" s="424" t="s">
        <v>426</v>
      </c>
      <c r="D44" s="424">
        <v>0</v>
      </c>
      <c r="E44" s="424"/>
      <c r="F44" s="424" t="s">
        <v>426</v>
      </c>
      <c r="G44" s="424" t="s">
        <v>426</v>
      </c>
      <c r="H44" s="424" t="s">
        <v>426</v>
      </c>
      <c r="I44" s="425" t="s">
        <v>426</v>
      </c>
      <c r="J44" s="426" t="s">
        <v>1</v>
      </c>
    </row>
    <row r="45" spans="1:10" ht="14.4" customHeight="1" x14ac:dyDescent="0.3">
      <c r="A45" s="422" t="s">
        <v>438</v>
      </c>
      <c r="B45" s="423" t="s">
        <v>440</v>
      </c>
      <c r="C45" s="424">
        <v>0</v>
      </c>
      <c r="D45" s="424">
        <v>0</v>
      </c>
      <c r="E45" s="424"/>
      <c r="F45" s="424" t="s">
        <v>426</v>
      </c>
      <c r="G45" s="424" t="s">
        <v>426</v>
      </c>
      <c r="H45" s="424" t="s">
        <v>426</v>
      </c>
      <c r="I45" s="425" t="s">
        <v>426</v>
      </c>
      <c r="J45" s="426" t="s">
        <v>433</v>
      </c>
    </row>
    <row r="46" spans="1:10" ht="14.4" customHeight="1" x14ac:dyDescent="0.3">
      <c r="A46" s="422" t="s">
        <v>426</v>
      </c>
      <c r="B46" s="423" t="s">
        <v>426</v>
      </c>
      <c r="C46" s="424" t="s">
        <v>426</v>
      </c>
      <c r="D46" s="424" t="s">
        <v>426</v>
      </c>
      <c r="E46" s="424"/>
      <c r="F46" s="424" t="s">
        <v>426</v>
      </c>
      <c r="G46" s="424" t="s">
        <v>426</v>
      </c>
      <c r="H46" s="424" t="s">
        <v>426</v>
      </c>
      <c r="I46" s="425" t="s">
        <v>426</v>
      </c>
      <c r="J46" s="426" t="s">
        <v>434</v>
      </c>
    </row>
    <row r="47" spans="1:10" ht="14.4" customHeight="1" x14ac:dyDescent="0.3">
      <c r="A47" s="422" t="s">
        <v>424</v>
      </c>
      <c r="B47" s="423" t="s">
        <v>428</v>
      </c>
      <c r="C47" s="424">
        <v>30.848229999999997</v>
      </c>
      <c r="D47" s="424">
        <v>20.386469999995999</v>
      </c>
      <c r="E47" s="424"/>
      <c r="F47" s="424">
        <v>16.461349999999999</v>
      </c>
      <c r="G47" s="424">
        <v>26.999999999999996</v>
      </c>
      <c r="H47" s="424">
        <v>-10.538649999999997</v>
      </c>
      <c r="I47" s="425">
        <v>0.60967962962962974</v>
      </c>
      <c r="J47" s="426" t="s">
        <v>429</v>
      </c>
    </row>
  </sheetData>
  <mergeCells count="3">
    <mergeCell ref="A1:I1"/>
    <mergeCell ref="F3:I3"/>
    <mergeCell ref="C4:D4"/>
  </mergeCells>
  <conditionalFormatting sqref="F13 F48:F65537">
    <cfRule type="cellIs" dxfId="19" priority="18" stopIfTrue="1" operator="greaterThan">
      <formula>1</formula>
    </cfRule>
  </conditionalFormatting>
  <conditionalFormatting sqref="H5:H12">
    <cfRule type="expression" dxfId="18" priority="14">
      <formula>$H5&gt;0</formula>
    </cfRule>
  </conditionalFormatting>
  <conditionalFormatting sqref="I5:I12">
    <cfRule type="expression" dxfId="17" priority="15">
      <formula>$I5&gt;1</formula>
    </cfRule>
  </conditionalFormatting>
  <conditionalFormatting sqref="B5:B12">
    <cfRule type="expression" dxfId="16" priority="11">
      <formula>OR($J5="NS",$J5="SumaNS",$J5="Účet")</formula>
    </cfRule>
  </conditionalFormatting>
  <conditionalFormatting sqref="F5:I12 B5:D12">
    <cfRule type="expression" dxfId="15" priority="17">
      <formula>AND($J5&lt;&gt;"",$J5&lt;&gt;"mezeraKL")</formula>
    </cfRule>
  </conditionalFormatting>
  <conditionalFormatting sqref="B5:D12 F5:I12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3" priority="13">
      <formula>OR($J5="SumaNS",$J5="NS")</formula>
    </cfRule>
  </conditionalFormatting>
  <conditionalFormatting sqref="A5:A12">
    <cfRule type="expression" dxfId="12" priority="9">
      <formula>AND($J5&lt;&gt;"mezeraKL",$J5&lt;&gt;"")</formula>
    </cfRule>
  </conditionalFormatting>
  <conditionalFormatting sqref="A5:A12">
    <cfRule type="expression" dxfId="11" priority="10">
      <formula>AND($J5&lt;&gt;"",$J5&lt;&gt;"mezeraKL")</formula>
    </cfRule>
  </conditionalFormatting>
  <conditionalFormatting sqref="H14:H47">
    <cfRule type="expression" dxfId="10" priority="5">
      <formula>$H14&gt;0</formula>
    </cfRule>
  </conditionalFormatting>
  <conditionalFormatting sqref="A14:A47">
    <cfRule type="expression" dxfId="9" priority="2">
      <formula>AND($J14&lt;&gt;"mezeraKL",$J14&lt;&gt;"")</formula>
    </cfRule>
  </conditionalFormatting>
  <conditionalFormatting sqref="I14:I47">
    <cfRule type="expression" dxfId="8" priority="6">
      <formula>$I14&gt;1</formula>
    </cfRule>
  </conditionalFormatting>
  <conditionalFormatting sqref="B14:B47">
    <cfRule type="expression" dxfId="7" priority="1">
      <formula>OR($J14="NS",$J14="SumaNS",$J14="Účet")</formula>
    </cfRule>
  </conditionalFormatting>
  <conditionalFormatting sqref="A14:D47 F14:I47">
    <cfRule type="expression" dxfId="6" priority="8">
      <formula>AND($J14&lt;&gt;"",$J14&lt;&gt;"mezeraKL")</formula>
    </cfRule>
  </conditionalFormatting>
  <conditionalFormatting sqref="B14:D47 F14:I47">
    <cfRule type="expression" dxfId="5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47 F14:I47">
    <cfRule type="expression" dxfId="4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3" hidden="1" customWidth="1" outlineLevel="1"/>
    <col min="2" max="2" width="28.33203125" style="133" hidden="1" customWidth="1" outlineLevel="1"/>
    <col min="3" max="3" width="5.33203125" style="214" bestFit="1" customWidth="1" collapsed="1"/>
    <col min="4" max="4" width="18.77734375" style="218" customWidth="1"/>
    <col min="5" max="5" width="9" style="214" bestFit="1" customWidth="1"/>
    <col min="6" max="6" width="18.77734375" style="218" customWidth="1"/>
    <col min="7" max="7" width="12.44140625" style="214" hidden="1" customWidth="1" outlineLevel="1"/>
    <col min="8" max="8" width="25.77734375" style="214" customWidth="1" collapsed="1"/>
    <col min="9" max="9" width="7.77734375" style="212" customWidth="1"/>
    <col min="10" max="10" width="10" style="212" customWidth="1"/>
    <col min="11" max="11" width="11.109375" style="212" customWidth="1"/>
    <col min="12" max="16384" width="8.88671875" style="133"/>
  </cols>
  <sheetData>
    <row r="1" spans="1:11" ht="18.600000000000001" customHeight="1" thickBot="1" x14ac:dyDescent="0.4">
      <c r="A1" s="346" t="s">
        <v>865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</row>
    <row r="2" spans="1:11" ht="14.4" customHeight="1" thickBot="1" x14ac:dyDescent="0.35">
      <c r="A2" s="240" t="s">
        <v>272</v>
      </c>
      <c r="B2" s="62"/>
      <c r="C2" s="216"/>
      <c r="D2" s="216"/>
      <c r="E2" s="216"/>
      <c r="F2" s="216"/>
      <c r="G2" s="216"/>
      <c r="H2" s="216"/>
      <c r="I2" s="217"/>
      <c r="J2" s="217"/>
      <c r="K2" s="217"/>
    </row>
    <row r="3" spans="1:11" ht="14.4" customHeight="1" thickBot="1" x14ac:dyDescent="0.35">
      <c r="A3" s="62"/>
      <c r="B3" s="62"/>
      <c r="C3" s="342"/>
      <c r="D3" s="343"/>
      <c r="E3" s="343"/>
      <c r="F3" s="343"/>
      <c r="G3" s="343"/>
      <c r="H3" s="145" t="s">
        <v>133</v>
      </c>
      <c r="I3" s="99">
        <f>IF(J3&lt;&gt;0,K3/J3,0)</f>
        <v>3.2213992172211361</v>
      </c>
      <c r="J3" s="99">
        <f>SUBTOTAL(9,J5:J1048576)</f>
        <v>5110</v>
      </c>
      <c r="K3" s="100">
        <f>SUBTOTAL(9,K5:K1048576)</f>
        <v>16461.350000000006</v>
      </c>
    </row>
    <row r="4" spans="1:11" s="213" customFormat="1" ht="14.4" customHeight="1" thickBot="1" x14ac:dyDescent="0.35">
      <c r="A4" s="427" t="s">
        <v>4</v>
      </c>
      <c r="B4" s="428" t="s">
        <v>5</v>
      </c>
      <c r="C4" s="428" t="s">
        <v>0</v>
      </c>
      <c r="D4" s="428" t="s">
        <v>6</v>
      </c>
      <c r="E4" s="428" t="s">
        <v>7</v>
      </c>
      <c r="F4" s="428" t="s">
        <v>1</v>
      </c>
      <c r="G4" s="428" t="s">
        <v>71</v>
      </c>
      <c r="H4" s="429" t="s">
        <v>11</v>
      </c>
      <c r="I4" s="430" t="s">
        <v>148</v>
      </c>
      <c r="J4" s="430" t="s">
        <v>13</v>
      </c>
      <c r="K4" s="431" t="s">
        <v>165</v>
      </c>
    </row>
    <row r="5" spans="1:11" ht="14.4" customHeight="1" x14ac:dyDescent="0.3">
      <c r="A5" s="434" t="s">
        <v>424</v>
      </c>
      <c r="B5" s="435" t="s">
        <v>425</v>
      </c>
      <c r="C5" s="436" t="s">
        <v>435</v>
      </c>
      <c r="D5" s="437" t="s">
        <v>530</v>
      </c>
      <c r="E5" s="436" t="s">
        <v>852</v>
      </c>
      <c r="F5" s="437" t="s">
        <v>853</v>
      </c>
      <c r="G5" s="436" t="s">
        <v>780</v>
      </c>
      <c r="H5" s="436" t="s">
        <v>781</v>
      </c>
      <c r="I5" s="438">
        <v>4.3033333333333337</v>
      </c>
      <c r="J5" s="438">
        <v>18</v>
      </c>
      <c r="K5" s="439">
        <v>77.47</v>
      </c>
    </row>
    <row r="6" spans="1:11" ht="14.4" customHeight="1" x14ac:dyDescent="0.3">
      <c r="A6" s="505" t="s">
        <v>424</v>
      </c>
      <c r="B6" s="506" t="s">
        <v>425</v>
      </c>
      <c r="C6" s="509" t="s">
        <v>435</v>
      </c>
      <c r="D6" s="531" t="s">
        <v>530</v>
      </c>
      <c r="E6" s="509" t="s">
        <v>852</v>
      </c>
      <c r="F6" s="531" t="s">
        <v>853</v>
      </c>
      <c r="G6" s="509" t="s">
        <v>782</v>
      </c>
      <c r="H6" s="509" t="s">
        <v>783</v>
      </c>
      <c r="I6" s="521">
        <v>27.36</v>
      </c>
      <c r="J6" s="521">
        <v>4</v>
      </c>
      <c r="K6" s="522">
        <v>109.44</v>
      </c>
    </row>
    <row r="7" spans="1:11" ht="14.4" customHeight="1" x14ac:dyDescent="0.3">
      <c r="A7" s="505" t="s">
        <v>424</v>
      </c>
      <c r="B7" s="506" t="s">
        <v>425</v>
      </c>
      <c r="C7" s="509" t="s">
        <v>435</v>
      </c>
      <c r="D7" s="531" t="s">
        <v>530</v>
      </c>
      <c r="E7" s="509" t="s">
        <v>852</v>
      </c>
      <c r="F7" s="531" t="s">
        <v>853</v>
      </c>
      <c r="G7" s="509" t="s">
        <v>784</v>
      </c>
      <c r="H7" s="509" t="s">
        <v>785</v>
      </c>
      <c r="I7" s="521">
        <v>13.016666666666666</v>
      </c>
      <c r="J7" s="521">
        <v>12</v>
      </c>
      <c r="K7" s="522">
        <v>156.20999999999998</v>
      </c>
    </row>
    <row r="8" spans="1:11" ht="14.4" customHeight="1" x14ac:dyDescent="0.3">
      <c r="A8" s="505" t="s">
        <v>424</v>
      </c>
      <c r="B8" s="506" t="s">
        <v>425</v>
      </c>
      <c r="C8" s="509" t="s">
        <v>435</v>
      </c>
      <c r="D8" s="531" t="s">
        <v>530</v>
      </c>
      <c r="E8" s="509" t="s">
        <v>852</v>
      </c>
      <c r="F8" s="531" t="s">
        <v>853</v>
      </c>
      <c r="G8" s="509" t="s">
        <v>786</v>
      </c>
      <c r="H8" s="509" t="s">
        <v>787</v>
      </c>
      <c r="I8" s="521">
        <v>28.475000000000001</v>
      </c>
      <c r="J8" s="521">
        <v>2</v>
      </c>
      <c r="K8" s="522">
        <v>56.95</v>
      </c>
    </row>
    <row r="9" spans="1:11" ht="14.4" customHeight="1" x14ac:dyDescent="0.3">
      <c r="A9" s="505" t="s">
        <v>424</v>
      </c>
      <c r="B9" s="506" t="s">
        <v>425</v>
      </c>
      <c r="C9" s="509" t="s">
        <v>435</v>
      </c>
      <c r="D9" s="531" t="s">
        <v>530</v>
      </c>
      <c r="E9" s="509" t="s">
        <v>854</v>
      </c>
      <c r="F9" s="531" t="s">
        <v>855</v>
      </c>
      <c r="G9" s="509" t="s">
        <v>788</v>
      </c>
      <c r="H9" s="509" t="s">
        <v>789</v>
      </c>
      <c r="I9" s="521">
        <v>16.29</v>
      </c>
      <c r="J9" s="521">
        <v>10</v>
      </c>
      <c r="K9" s="522">
        <v>162.9</v>
      </c>
    </row>
    <row r="10" spans="1:11" ht="14.4" customHeight="1" x14ac:dyDescent="0.3">
      <c r="A10" s="505" t="s">
        <v>424</v>
      </c>
      <c r="B10" s="506" t="s">
        <v>425</v>
      </c>
      <c r="C10" s="509" t="s">
        <v>435</v>
      </c>
      <c r="D10" s="531" t="s">
        <v>530</v>
      </c>
      <c r="E10" s="509" t="s">
        <v>854</v>
      </c>
      <c r="F10" s="531" t="s">
        <v>855</v>
      </c>
      <c r="G10" s="509" t="s">
        <v>790</v>
      </c>
      <c r="H10" s="509" t="s">
        <v>791</v>
      </c>
      <c r="I10" s="521">
        <v>1.43</v>
      </c>
      <c r="J10" s="521">
        <v>100</v>
      </c>
      <c r="K10" s="522">
        <v>143</v>
      </c>
    </row>
    <row r="11" spans="1:11" ht="14.4" customHeight="1" x14ac:dyDescent="0.3">
      <c r="A11" s="505" t="s">
        <v>424</v>
      </c>
      <c r="B11" s="506" t="s">
        <v>425</v>
      </c>
      <c r="C11" s="509" t="s">
        <v>435</v>
      </c>
      <c r="D11" s="531" t="s">
        <v>530</v>
      </c>
      <c r="E11" s="509" t="s">
        <v>854</v>
      </c>
      <c r="F11" s="531" t="s">
        <v>855</v>
      </c>
      <c r="G11" s="509" t="s">
        <v>792</v>
      </c>
      <c r="H11" s="509" t="s">
        <v>793</v>
      </c>
      <c r="I11" s="521">
        <v>1.82</v>
      </c>
      <c r="J11" s="521">
        <v>250</v>
      </c>
      <c r="K11" s="522">
        <v>457</v>
      </c>
    </row>
    <row r="12" spans="1:11" ht="14.4" customHeight="1" x14ac:dyDescent="0.3">
      <c r="A12" s="505" t="s">
        <v>424</v>
      </c>
      <c r="B12" s="506" t="s">
        <v>425</v>
      </c>
      <c r="C12" s="509" t="s">
        <v>435</v>
      </c>
      <c r="D12" s="531" t="s">
        <v>530</v>
      </c>
      <c r="E12" s="509" t="s">
        <v>854</v>
      </c>
      <c r="F12" s="531" t="s">
        <v>855</v>
      </c>
      <c r="G12" s="509" t="s">
        <v>794</v>
      </c>
      <c r="H12" s="509" t="s">
        <v>795</v>
      </c>
      <c r="I12" s="521">
        <v>2.79</v>
      </c>
      <c r="J12" s="521">
        <v>10</v>
      </c>
      <c r="K12" s="522">
        <v>27.9</v>
      </c>
    </row>
    <row r="13" spans="1:11" ht="14.4" customHeight="1" x14ac:dyDescent="0.3">
      <c r="A13" s="505" t="s">
        <v>424</v>
      </c>
      <c r="B13" s="506" t="s">
        <v>425</v>
      </c>
      <c r="C13" s="509" t="s">
        <v>435</v>
      </c>
      <c r="D13" s="531" t="s">
        <v>530</v>
      </c>
      <c r="E13" s="509" t="s">
        <v>854</v>
      </c>
      <c r="F13" s="531" t="s">
        <v>855</v>
      </c>
      <c r="G13" s="509" t="s">
        <v>796</v>
      </c>
      <c r="H13" s="509" t="s">
        <v>797</v>
      </c>
      <c r="I13" s="521">
        <v>1.77</v>
      </c>
      <c r="J13" s="521">
        <v>10</v>
      </c>
      <c r="K13" s="522">
        <v>17.7</v>
      </c>
    </row>
    <row r="14" spans="1:11" ht="14.4" customHeight="1" x14ac:dyDescent="0.3">
      <c r="A14" s="505" t="s">
        <v>424</v>
      </c>
      <c r="B14" s="506" t="s">
        <v>425</v>
      </c>
      <c r="C14" s="509" t="s">
        <v>435</v>
      </c>
      <c r="D14" s="531" t="s">
        <v>530</v>
      </c>
      <c r="E14" s="509" t="s">
        <v>854</v>
      </c>
      <c r="F14" s="531" t="s">
        <v>855</v>
      </c>
      <c r="G14" s="509" t="s">
        <v>798</v>
      </c>
      <c r="H14" s="509" t="s">
        <v>799</v>
      </c>
      <c r="I14" s="521">
        <v>0.02</v>
      </c>
      <c r="J14" s="521">
        <v>200</v>
      </c>
      <c r="K14" s="522">
        <v>4</v>
      </c>
    </row>
    <row r="15" spans="1:11" ht="14.4" customHeight="1" x14ac:dyDescent="0.3">
      <c r="A15" s="505" t="s">
        <v>424</v>
      </c>
      <c r="B15" s="506" t="s">
        <v>425</v>
      </c>
      <c r="C15" s="509" t="s">
        <v>435</v>
      </c>
      <c r="D15" s="531" t="s">
        <v>530</v>
      </c>
      <c r="E15" s="509" t="s">
        <v>854</v>
      </c>
      <c r="F15" s="531" t="s">
        <v>855</v>
      </c>
      <c r="G15" s="509" t="s">
        <v>800</v>
      </c>
      <c r="H15" s="509" t="s">
        <v>801</v>
      </c>
      <c r="I15" s="521">
        <v>1.99</v>
      </c>
      <c r="J15" s="521">
        <v>10</v>
      </c>
      <c r="K15" s="522">
        <v>19.899999999999999</v>
      </c>
    </row>
    <row r="16" spans="1:11" ht="14.4" customHeight="1" x14ac:dyDescent="0.3">
      <c r="A16" s="505" t="s">
        <v>424</v>
      </c>
      <c r="B16" s="506" t="s">
        <v>425</v>
      </c>
      <c r="C16" s="509" t="s">
        <v>435</v>
      </c>
      <c r="D16" s="531" t="s">
        <v>530</v>
      </c>
      <c r="E16" s="509" t="s">
        <v>854</v>
      </c>
      <c r="F16" s="531" t="s">
        <v>855</v>
      </c>
      <c r="G16" s="509" t="s">
        <v>802</v>
      </c>
      <c r="H16" s="509" t="s">
        <v>803</v>
      </c>
      <c r="I16" s="521">
        <v>2</v>
      </c>
      <c r="J16" s="521">
        <v>10</v>
      </c>
      <c r="K16" s="522">
        <v>20</v>
      </c>
    </row>
    <row r="17" spans="1:11" ht="14.4" customHeight="1" x14ac:dyDescent="0.3">
      <c r="A17" s="505" t="s">
        <v>424</v>
      </c>
      <c r="B17" s="506" t="s">
        <v>425</v>
      </c>
      <c r="C17" s="509" t="s">
        <v>435</v>
      </c>
      <c r="D17" s="531" t="s">
        <v>530</v>
      </c>
      <c r="E17" s="509" t="s">
        <v>854</v>
      </c>
      <c r="F17" s="531" t="s">
        <v>855</v>
      </c>
      <c r="G17" s="509" t="s">
        <v>804</v>
      </c>
      <c r="H17" s="509" t="s">
        <v>805</v>
      </c>
      <c r="I17" s="521">
        <v>3.14</v>
      </c>
      <c r="J17" s="521">
        <v>5</v>
      </c>
      <c r="K17" s="522">
        <v>15.7</v>
      </c>
    </row>
    <row r="18" spans="1:11" ht="14.4" customHeight="1" x14ac:dyDescent="0.3">
      <c r="A18" s="505" t="s">
        <v>424</v>
      </c>
      <c r="B18" s="506" t="s">
        <v>425</v>
      </c>
      <c r="C18" s="509" t="s">
        <v>435</v>
      </c>
      <c r="D18" s="531" t="s">
        <v>530</v>
      </c>
      <c r="E18" s="509" t="s">
        <v>854</v>
      </c>
      <c r="F18" s="531" t="s">
        <v>855</v>
      </c>
      <c r="G18" s="509" t="s">
        <v>806</v>
      </c>
      <c r="H18" s="509" t="s">
        <v>807</v>
      </c>
      <c r="I18" s="521">
        <v>2.41</v>
      </c>
      <c r="J18" s="521">
        <v>300</v>
      </c>
      <c r="K18" s="522">
        <v>723</v>
      </c>
    </row>
    <row r="19" spans="1:11" ht="14.4" customHeight="1" x14ac:dyDescent="0.3">
      <c r="A19" s="505" t="s">
        <v>424</v>
      </c>
      <c r="B19" s="506" t="s">
        <v>425</v>
      </c>
      <c r="C19" s="509" t="s">
        <v>435</v>
      </c>
      <c r="D19" s="531" t="s">
        <v>530</v>
      </c>
      <c r="E19" s="509" t="s">
        <v>854</v>
      </c>
      <c r="F19" s="531" t="s">
        <v>855</v>
      </c>
      <c r="G19" s="509" t="s">
        <v>808</v>
      </c>
      <c r="H19" s="509" t="s">
        <v>809</v>
      </c>
      <c r="I19" s="521">
        <v>1.68</v>
      </c>
      <c r="J19" s="521">
        <v>20</v>
      </c>
      <c r="K19" s="522">
        <v>33.6</v>
      </c>
    </row>
    <row r="20" spans="1:11" ht="14.4" customHeight="1" x14ac:dyDescent="0.3">
      <c r="A20" s="505" t="s">
        <v>424</v>
      </c>
      <c r="B20" s="506" t="s">
        <v>425</v>
      </c>
      <c r="C20" s="509" t="s">
        <v>435</v>
      </c>
      <c r="D20" s="531" t="s">
        <v>530</v>
      </c>
      <c r="E20" s="509" t="s">
        <v>854</v>
      </c>
      <c r="F20" s="531" t="s">
        <v>855</v>
      </c>
      <c r="G20" s="509" t="s">
        <v>810</v>
      </c>
      <c r="H20" s="509" t="s">
        <v>811</v>
      </c>
      <c r="I20" s="521">
        <v>12.11</v>
      </c>
      <c r="J20" s="521">
        <v>5</v>
      </c>
      <c r="K20" s="522">
        <v>60.55</v>
      </c>
    </row>
    <row r="21" spans="1:11" ht="14.4" customHeight="1" x14ac:dyDescent="0.3">
      <c r="A21" s="505" t="s">
        <v>424</v>
      </c>
      <c r="B21" s="506" t="s">
        <v>425</v>
      </c>
      <c r="C21" s="509" t="s">
        <v>435</v>
      </c>
      <c r="D21" s="531" t="s">
        <v>530</v>
      </c>
      <c r="E21" s="509" t="s">
        <v>854</v>
      </c>
      <c r="F21" s="531" t="s">
        <v>855</v>
      </c>
      <c r="G21" s="509" t="s">
        <v>812</v>
      </c>
      <c r="H21" s="509" t="s">
        <v>813</v>
      </c>
      <c r="I21" s="521">
        <v>2.8899999999999997</v>
      </c>
      <c r="J21" s="521">
        <v>200</v>
      </c>
      <c r="K21" s="522">
        <v>578</v>
      </c>
    </row>
    <row r="22" spans="1:11" ht="14.4" customHeight="1" x14ac:dyDescent="0.3">
      <c r="A22" s="505" t="s">
        <v>424</v>
      </c>
      <c r="B22" s="506" t="s">
        <v>425</v>
      </c>
      <c r="C22" s="509" t="s">
        <v>435</v>
      </c>
      <c r="D22" s="531" t="s">
        <v>530</v>
      </c>
      <c r="E22" s="509" t="s">
        <v>854</v>
      </c>
      <c r="F22" s="531" t="s">
        <v>855</v>
      </c>
      <c r="G22" s="509" t="s">
        <v>814</v>
      </c>
      <c r="H22" s="509" t="s">
        <v>815</v>
      </c>
      <c r="I22" s="521">
        <v>21.23</v>
      </c>
      <c r="J22" s="521">
        <v>10</v>
      </c>
      <c r="K22" s="522">
        <v>212.3</v>
      </c>
    </row>
    <row r="23" spans="1:11" ht="14.4" customHeight="1" x14ac:dyDescent="0.3">
      <c r="A23" s="505" t="s">
        <v>424</v>
      </c>
      <c r="B23" s="506" t="s">
        <v>425</v>
      </c>
      <c r="C23" s="509" t="s">
        <v>435</v>
      </c>
      <c r="D23" s="531" t="s">
        <v>530</v>
      </c>
      <c r="E23" s="509" t="s">
        <v>854</v>
      </c>
      <c r="F23" s="531" t="s">
        <v>855</v>
      </c>
      <c r="G23" s="509" t="s">
        <v>816</v>
      </c>
      <c r="H23" s="509" t="s">
        <v>817</v>
      </c>
      <c r="I23" s="521">
        <v>121</v>
      </c>
      <c r="J23" s="521">
        <v>2</v>
      </c>
      <c r="K23" s="522">
        <v>242</v>
      </c>
    </row>
    <row r="24" spans="1:11" ht="14.4" customHeight="1" x14ac:dyDescent="0.3">
      <c r="A24" s="505" t="s">
        <v>424</v>
      </c>
      <c r="B24" s="506" t="s">
        <v>425</v>
      </c>
      <c r="C24" s="509" t="s">
        <v>435</v>
      </c>
      <c r="D24" s="531" t="s">
        <v>530</v>
      </c>
      <c r="E24" s="509" t="s">
        <v>854</v>
      </c>
      <c r="F24" s="531" t="s">
        <v>855</v>
      </c>
      <c r="G24" s="509" t="s">
        <v>818</v>
      </c>
      <c r="H24" s="509" t="s">
        <v>819</v>
      </c>
      <c r="I24" s="521">
        <v>3.17</v>
      </c>
      <c r="J24" s="521">
        <v>200</v>
      </c>
      <c r="K24" s="522">
        <v>634</v>
      </c>
    </row>
    <row r="25" spans="1:11" ht="14.4" customHeight="1" x14ac:dyDescent="0.3">
      <c r="A25" s="505" t="s">
        <v>424</v>
      </c>
      <c r="B25" s="506" t="s">
        <v>425</v>
      </c>
      <c r="C25" s="509" t="s">
        <v>435</v>
      </c>
      <c r="D25" s="531" t="s">
        <v>530</v>
      </c>
      <c r="E25" s="509" t="s">
        <v>856</v>
      </c>
      <c r="F25" s="531" t="s">
        <v>857</v>
      </c>
      <c r="G25" s="509" t="s">
        <v>820</v>
      </c>
      <c r="H25" s="509" t="s">
        <v>821</v>
      </c>
      <c r="I25" s="521">
        <v>8.1666666666666661</v>
      </c>
      <c r="J25" s="521">
        <v>600</v>
      </c>
      <c r="K25" s="522">
        <v>4900</v>
      </c>
    </row>
    <row r="26" spans="1:11" ht="14.4" customHeight="1" x14ac:dyDescent="0.3">
      <c r="A26" s="505" t="s">
        <v>424</v>
      </c>
      <c r="B26" s="506" t="s">
        <v>425</v>
      </c>
      <c r="C26" s="509" t="s">
        <v>435</v>
      </c>
      <c r="D26" s="531" t="s">
        <v>530</v>
      </c>
      <c r="E26" s="509" t="s">
        <v>858</v>
      </c>
      <c r="F26" s="531" t="s">
        <v>859</v>
      </c>
      <c r="G26" s="509" t="s">
        <v>822</v>
      </c>
      <c r="H26" s="509" t="s">
        <v>823</v>
      </c>
      <c r="I26" s="521">
        <v>0.3</v>
      </c>
      <c r="J26" s="521">
        <v>600</v>
      </c>
      <c r="K26" s="522">
        <v>180</v>
      </c>
    </row>
    <row r="27" spans="1:11" ht="14.4" customHeight="1" x14ac:dyDescent="0.3">
      <c r="A27" s="505" t="s">
        <v>424</v>
      </c>
      <c r="B27" s="506" t="s">
        <v>425</v>
      </c>
      <c r="C27" s="509" t="s">
        <v>435</v>
      </c>
      <c r="D27" s="531" t="s">
        <v>530</v>
      </c>
      <c r="E27" s="509" t="s">
        <v>858</v>
      </c>
      <c r="F27" s="531" t="s">
        <v>859</v>
      </c>
      <c r="G27" s="509" t="s">
        <v>824</v>
      </c>
      <c r="H27" s="509" t="s">
        <v>825</v>
      </c>
      <c r="I27" s="521">
        <v>1.75</v>
      </c>
      <c r="J27" s="521">
        <v>200</v>
      </c>
      <c r="K27" s="522">
        <v>350</v>
      </c>
    </row>
    <row r="28" spans="1:11" ht="14.4" customHeight="1" x14ac:dyDescent="0.3">
      <c r="A28" s="505" t="s">
        <v>424</v>
      </c>
      <c r="B28" s="506" t="s">
        <v>425</v>
      </c>
      <c r="C28" s="509" t="s">
        <v>435</v>
      </c>
      <c r="D28" s="531" t="s">
        <v>530</v>
      </c>
      <c r="E28" s="509" t="s">
        <v>860</v>
      </c>
      <c r="F28" s="531" t="s">
        <v>861</v>
      </c>
      <c r="G28" s="509" t="s">
        <v>826</v>
      </c>
      <c r="H28" s="509" t="s">
        <v>827</v>
      </c>
      <c r="I28" s="521">
        <v>0.77</v>
      </c>
      <c r="J28" s="521">
        <v>500</v>
      </c>
      <c r="K28" s="522">
        <v>385</v>
      </c>
    </row>
    <row r="29" spans="1:11" ht="14.4" customHeight="1" x14ac:dyDescent="0.3">
      <c r="A29" s="505" t="s">
        <v>424</v>
      </c>
      <c r="B29" s="506" t="s">
        <v>425</v>
      </c>
      <c r="C29" s="509" t="s">
        <v>435</v>
      </c>
      <c r="D29" s="531" t="s">
        <v>530</v>
      </c>
      <c r="E29" s="509" t="s">
        <v>862</v>
      </c>
      <c r="F29" s="531" t="s">
        <v>863</v>
      </c>
      <c r="G29" s="509" t="s">
        <v>828</v>
      </c>
      <c r="H29" s="509" t="s">
        <v>829</v>
      </c>
      <c r="I29" s="521">
        <v>191.06999999999996</v>
      </c>
      <c r="J29" s="521">
        <v>26</v>
      </c>
      <c r="K29" s="522">
        <v>4969.47</v>
      </c>
    </row>
    <row r="30" spans="1:11" ht="14.4" customHeight="1" x14ac:dyDescent="0.3">
      <c r="A30" s="505" t="s">
        <v>424</v>
      </c>
      <c r="B30" s="506" t="s">
        <v>425</v>
      </c>
      <c r="C30" s="509" t="s">
        <v>777</v>
      </c>
      <c r="D30" s="531" t="s">
        <v>864</v>
      </c>
      <c r="E30" s="509" t="s">
        <v>852</v>
      </c>
      <c r="F30" s="531" t="s">
        <v>853</v>
      </c>
      <c r="G30" s="509" t="s">
        <v>786</v>
      </c>
      <c r="H30" s="509" t="s">
        <v>787</v>
      </c>
      <c r="I30" s="521">
        <v>27.94</v>
      </c>
      <c r="J30" s="521">
        <v>1</v>
      </c>
      <c r="K30" s="522">
        <v>27.94</v>
      </c>
    </row>
    <row r="31" spans="1:11" ht="14.4" customHeight="1" x14ac:dyDescent="0.3">
      <c r="A31" s="505" t="s">
        <v>424</v>
      </c>
      <c r="B31" s="506" t="s">
        <v>425</v>
      </c>
      <c r="C31" s="509" t="s">
        <v>777</v>
      </c>
      <c r="D31" s="531" t="s">
        <v>864</v>
      </c>
      <c r="E31" s="509" t="s">
        <v>852</v>
      </c>
      <c r="F31" s="531" t="s">
        <v>853</v>
      </c>
      <c r="G31" s="509" t="s">
        <v>830</v>
      </c>
      <c r="H31" s="509" t="s">
        <v>831</v>
      </c>
      <c r="I31" s="521">
        <v>9.7200000000000006</v>
      </c>
      <c r="J31" s="521">
        <v>2</v>
      </c>
      <c r="K31" s="522">
        <v>19.440000000000001</v>
      </c>
    </row>
    <row r="32" spans="1:11" ht="14.4" customHeight="1" x14ac:dyDescent="0.3">
      <c r="A32" s="505" t="s">
        <v>424</v>
      </c>
      <c r="B32" s="506" t="s">
        <v>425</v>
      </c>
      <c r="C32" s="509" t="s">
        <v>777</v>
      </c>
      <c r="D32" s="531" t="s">
        <v>864</v>
      </c>
      <c r="E32" s="509" t="s">
        <v>852</v>
      </c>
      <c r="F32" s="531" t="s">
        <v>853</v>
      </c>
      <c r="G32" s="509" t="s">
        <v>832</v>
      </c>
      <c r="H32" s="509" t="s">
        <v>833</v>
      </c>
      <c r="I32" s="521">
        <v>0.32</v>
      </c>
      <c r="J32" s="521">
        <v>5</v>
      </c>
      <c r="K32" s="522">
        <v>1.6</v>
      </c>
    </row>
    <row r="33" spans="1:11" ht="14.4" customHeight="1" x14ac:dyDescent="0.3">
      <c r="A33" s="505" t="s">
        <v>424</v>
      </c>
      <c r="B33" s="506" t="s">
        <v>425</v>
      </c>
      <c r="C33" s="509" t="s">
        <v>777</v>
      </c>
      <c r="D33" s="531" t="s">
        <v>864</v>
      </c>
      <c r="E33" s="509" t="s">
        <v>852</v>
      </c>
      <c r="F33" s="531" t="s">
        <v>853</v>
      </c>
      <c r="G33" s="509" t="s">
        <v>834</v>
      </c>
      <c r="H33" s="509" t="s">
        <v>835</v>
      </c>
      <c r="I33" s="521">
        <v>14.09</v>
      </c>
      <c r="J33" s="521">
        <v>1</v>
      </c>
      <c r="K33" s="522">
        <v>14.09</v>
      </c>
    </row>
    <row r="34" spans="1:11" ht="14.4" customHeight="1" x14ac:dyDescent="0.3">
      <c r="A34" s="505" t="s">
        <v>424</v>
      </c>
      <c r="B34" s="506" t="s">
        <v>425</v>
      </c>
      <c r="C34" s="509" t="s">
        <v>777</v>
      </c>
      <c r="D34" s="531" t="s">
        <v>864</v>
      </c>
      <c r="E34" s="509" t="s">
        <v>852</v>
      </c>
      <c r="F34" s="531" t="s">
        <v>853</v>
      </c>
      <c r="G34" s="509" t="s">
        <v>836</v>
      </c>
      <c r="H34" s="509" t="s">
        <v>837</v>
      </c>
      <c r="I34" s="521">
        <v>7.1</v>
      </c>
      <c r="J34" s="521">
        <v>2</v>
      </c>
      <c r="K34" s="522">
        <v>14.2</v>
      </c>
    </row>
    <row r="35" spans="1:11" ht="14.4" customHeight="1" x14ac:dyDescent="0.3">
      <c r="A35" s="505" t="s">
        <v>424</v>
      </c>
      <c r="B35" s="506" t="s">
        <v>425</v>
      </c>
      <c r="C35" s="509" t="s">
        <v>777</v>
      </c>
      <c r="D35" s="531" t="s">
        <v>864</v>
      </c>
      <c r="E35" s="509" t="s">
        <v>852</v>
      </c>
      <c r="F35" s="531" t="s">
        <v>853</v>
      </c>
      <c r="G35" s="509" t="s">
        <v>838</v>
      </c>
      <c r="H35" s="509" t="s">
        <v>839</v>
      </c>
      <c r="I35" s="521">
        <v>5.92</v>
      </c>
      <c r="J35" s="521">
        <v>1</v>
      </c>
      <c r="K35" s="522">
        <v>5.92</v>
      </c>
    </row>
    <row r="36" spans="1:11" ht="14.4" customHeight="1" x14ac:dyDescent="0.3">
      <c r="A36" s="505" t="s">
        <v>424</v>
      </c>
      <c r="B36" s="506" t="s">
        <v>425</v>
      </c>
      <c r="C36" s="509" t="s">
        <v>777</v>
      </c>
      <c r="D36" s="531" t="s">
        <v>864</v>
      </c>
      <c r="E36" s="509" t="s">
        <v>852</v>
      </c>
      <c r="F36" s="531" t="s">
        <v>853</v>
      </c>
      <c r="G36" s="509" t="s">
        <v>840</v>
      </c>
      <c r="H36" s="509" t="s">
        <v>841</v>
      </c>
      <c r="I36" s="521">
        <v>2.54</v>
      </c>
      <c r="J36" s="521">
        <v>4</v>
      </c>
      <c r="K36" s="522">
        <v>10.17</v>
      </c>
    </row>
    <row r="37" spans="1:11" ht="14.4" customHeight="1" x14ac:dyDescent="0.3">
      <c r="A37" s="505" t="s">
        <v>424</v>
      </c>
      <c r="B37" s="506" t="s">
        <v>425</v>
      </c>
      <c r="C37" s="509" t="s">
        <v>777</v>
      </c>
      <c r="D37" s="531" t="s">
        <v>864</v>
      </c>
      <c r="E37" s="509" t="s">
        <v>854</v>
      </c>
      <c r="F37" s="531" t="s">
        <v>855</v>
      </c>
      <c r="G37" s="509" t="s">
        <v>842</v>
      </c>
      <c r="H37" s="509" t="s">
        <v>843</v>
      </c>
      <c r="I37" s="521">
        <v>3.51</v>
      </c>
      <c r="J37" s="521">
        <v>20</v>
      </c>
      <c r="K37" s="522">
        <v>70.2</v>
      </c>
    </row>
    <row r="38" spans="1:11" ht="14.4" customHeight="1" x14ac:dyDescent="0.3">
      <c r="A38" s="505" t="s">
        <v>424</v>
      </c>
      <c r="B38" s="506" t="s">
        <v>425</v>
      </c>
      <c r="C38" s="509" t="s">
        <v>777</v>
      </c>
      <c r="D38" s="531" t="s">
        <v>864</v>
      </c>
      <c r="E38" s="509" t="s">
        <v>854</v>
      </c>
      <c r="F38" s="531" t="s">
        <v>855</v>
      </c>
      <c r="G38" s="509" t="s">
        <v>844</v>
      </c>
      <c r="H38" s="509" t="s">
        <v>845</v>
      </c>
      <c r="I38" s="521">
        <v>0.21</v>
      </c>
      <c r="J38" s="521">
        <v>300</v>
      </c>
      <c r="K38" s="522">
        <v>63</v>
      </c>
    </row>
    <row r="39" spans="1:11" ht="14.4" customHeight="1" x14ac:dyDescent="0.3">
      <c r="A39" s="505" t="s">
        <v>424</v>
      </c>
      <c r="B39" s="506" t="s">
        <v>425</v>
      </c>
      <c r="C39" s="509" t="s">
        <v>777</v>
      </c>
      <c r="D39" s="531" t="s">
        <v>864</v>
      </c>
      <c r="E39" s="509" t="s">
        <v>854</v>
      </c>
      <c r="F39" s="531" t="s">
        <v>855</v>
      </c>
      <c r="G39" s="509" t="s">
        <v>846</v>
      </c>
      <c r="H39" s="509" t="s">
        <v>847</v>
      </c>
      <c r="I39" s="521">
        <v>1.81</v>
      </c>
      <c r="J39" s="521">
        <v>50</v>
      </c>
      <c r="K39" s="522">
        <v>90.5</v>
      </c>
    </row>
    <row r="40" spans="1:11" ht="14.4" customHeight="1" x14ac:dyDescent="0.3">
      <c r="A40" s="505" t="s">
        <v>424</v>
      </c>
      <c r="B40" s="506" t="s">
        <v>425</v>
      </c>
      <c r="C40" s="509" t="s">
        <v>777</v>
      </c>
      <c r="D40" s="531" t="s">
        <v>864</v>
      </c>
      <c r="E40" s="509" t="s">
        <v>854</v>
      </c>
      <c r="F40" s="531" t="s">
        <v>855</v>
      </c>
      <c r="G40" s="509" t="s">
        <v>848</v>
      </c>
      <c r="H40" s="509" t="s">
        <v>849</v>
      </c>
      <c r="I40" s="521">
        <v>1.81</v>
      </c>
      <c r="J40" s="521">
        <v>50</v>
      </c>
      <c r="K40" s="522">
        <v>90.5</v>
      </c>
    </row>
    <row r="41" spans="1:11" ht="14.4" customHeight="1" x14ac:dyDescent="0.3">
      <c r="A41" s="505" t="s">
        <v>424</v>
      </c>
      <c r="B41" s="506" t="s">
        <v>425</v>
      </c>
      <c r="C41" s="509" t="s">
        <v>777</v>
      </c>
      <c r="D41" s="531" t="s">
        <v>864</v>
      </c>
      <c r="E41" s="509" t="s">
        <v>854</v>
      </c>
      <c r="F41" s="531" t="s">
        <v>855</v>
      </c>
      <c r="G41" s="509" t="s">
        <v>792</v>
      </c>
      <c r="H41" s="509" t="s">
        <v>793</v>
      </c>
      <c r="I41" s="521">
        <v>1.78</v>
      </c>
      <c r="J41" s="521">
        <v>150</v>
      </c>
      <c r="K41" s="522">
        <v>267</v>
      </c>
    </row>
    <row r="42" spans="1:11" ht="14.4" customHeight="1" x14ac:dyDescent="0.3">
      <c r="A42" s="505" t="s">
        <v>424</v>
      </c>
      <c r="B42" s="506" t="s">
        <v>425</v>
      </c>
      <c r="C42" s="509" t="s">
        <v>777</v>
      </c>
      <c r="D42" s="531" t="s">
        <v>864</v>
      </c>
      <c r="E42" s="509" t="s">
        <v>854</v>
      </c>
      <c r="F42" s="531" t="s">
        <v>855</v>
      </c>
      <c r="G42" s="509" t="s">
        <v>794</v>
      </c>
      <c r="H42" s="509" t="s">
        <v>795</v>
      </c>
      <c r="I42" s="521">
        <v>2.82</v>
      </c>
      <c r="J42" s="521">
        <v>10</v>
      </c>
      <c r="K42" s="522">
        <v>28.2</v>
      </c>
    </row>
    <row r="43" spans="1:11" ht="14.4" customHeight="1" x14ac:dyDescent="0.3">
      <c r="A43" s="505" t="s">
        <v>424</v>
      </c>
      <c r="B43" s="506" t="s">
        <v>425</v>
      </c>
      <c r="C43" s="509" t="s">
        <v>777</v>
      </c>
      <c r="D43" s="531" t="s">
        <v>864</v>
      </c>
      <c r="E43" s="509" t="s">
        <v>854</v>
      </c>
      <c r="F43" s="531" t="s">
        <v>855</v>
      </c>
      <c r="G43" s="509" t="s">
        <v>850</v>
      </c>
      <c r="H43" s="509" t="s">
        <v>851</v>
      </c>
      <c r="I43" s="521">
        <v>1.76</v>
      </c>
      <c r="J43" s="521">
        <v>150</v>
      </c>
      <c r="K43" s="522">
        <v>264</v>
      </c>
    </row>
    <row r="44" spans="1:11" ht="14.4" customHeight="1" x14ac:dyDescent="0.3">
      <c r="A44" s="505" t="s">
        <v>424</v>
      </c>
      <c r="B44" s="506" t="s">
        <v>425</v>
      </c>
      <c r="C44" s="509" t="s">
        <v>777</v>
      </c>
      <c r="D44" s="531" t="s">
        <v>864</v>
      </c>
      <c r="E44" s="509" t="s">
        <v>854</v>
      </c>
      <c r="F44" s="531" t="s">
        <v>855</v>
      </c>
      <c r="G44" s="509" t="s">
        <v>798</v>
      </c>
      <c r="H44" s="509" t="s">
        <v>799</v>
      </c>
      <c r="I44" s="521">
        <v>0.01</v>
      </c>
      <c r="J44" s="521">
        <v>200</v>
      </c>
      <c r="K44" s="522">
        <v>2</v>
      </c>
    </row>
    <row r="45" spans="1:11" ht="14.4" customHeight="1" x14ac:dyDescent="0.3">
      <c r="A45" s="505" t="s">
        <v>424</v>
      </c>
      <c r="B45" s="506" t="s">
        <v>425</v>
      </c>
      <c r="C45" s="509" t="s">
        <v>777</v>
      </c>
      <c r="D45" s="531" t="s">
        <v>864</v>
      </c>
      <c r="E45" s="509" t="s">
        <v>854</v>
      </c>
      <c r="F45" s="531" t="s">
        <v>855</v>
      </c>
      <c r="G45" s="509" t="s">
        <v>800</v>
      </c>
      <c r="H45" s="509" t="s">
        <v>801</v>
      </c>
      <c r="I45" s="521">
        <v>2</v>
      </c>
      <c r="J45" s="521">
        <v>10</v>
      </c>
      <c r="K45" s="522">
        <v>20</v>
      </c>
    </row>
    <row r="46" spans="1:11" ht="14.4" customHeight="1" x14ac:dyDescent="0.3">
      <c r="A46" s="505" t="s">
        <v>424</v>
      </c>
      <c r="B46" s="506" t="s">
        <v>425</v>
      </c>
      <c r="C46" s="509" t="s">
        <v>777</v>
      </c>
      <c r="D46" s="531" t="s">
        <v>864</v>
      </c>
      <c r="E46" s="509" t="s">
        <v>854</v>
      </c>
      <c r="F46" s="531" t="s">
        <v>855</v>
      </c>
      <c r="G46" s="509" t="s">
        <v>806</v>
      </c>
      <c r="H46" s="509" t="s">
        <v>807</v>
      </c>
      <c r="I46" s="521">
        <v>2.41</v>
      </c>
      <c r="J46" s="521">
        <v>100</v>
      </c>
      <c r="K46" s="522">
        <v>241</v>
      </c>
    </row>
    <row r="47" spans="1:11" ht="14.4" customHeight="1" x14ac:dyDescent="0.3">
      <c r="A47" s="505" t="s">
        <v>424</v>
      </c>
      <c r="B47" s="506" t="s">
        <v>425</v>
      </c>
      <c r="C47" s="509" t="s">
        <v>777</v>
      </c>
      <c r="D47" s="531" t="s">
        <v>864</v>
      </c>
      <c r="E47" s="509" t="s">
        <v>854</v>
      </c>
      <c r="F47" s="531" t="s">
        <v>855</v>
      </c>
      <c r="G47" s="509" t="s">
        <v>812</v>
      </c>
      <c r="H47" s="509" t="s">
        <v>813</v>
      </c>
      <c r="I47" s="521">
        <v>2.91</v>
      </c>
      <c r="J47" s="521">
        <v>50</v>
      </c>
      <c r="K47" s="522">
        <v>145.5</v>
      </c>
    </row>
    <row r="48" spans="1:11" ht="14.4" customHeight="1" x14ac:dyDescent="0.3">
      <c r="A48" s="505" t="s">
        <v>424</v>
      </c>
      <c r="B48" s="506" t="s">
        <v>425</v>
      </c>
      <c r="C48" s="509" t="s">
        <v>777</v>
      </c>
      <c r="D48" s="531" t="s">
        <v>864</v>
      </c>
      <c r="E48" s="509" t="s">
        <v>858</v>
      </c>
      <c r="F48" s="531" t="s">
        <v>859</v>
      </c>
      <c r="G48" s="509" t="s">
        <v>822</v>
      </c>
      <c r="H48" s="509" t="s">
        <v>823</v>
      </c>
      <c r="I48" s="521">
        <v>0.3</v>
      </c>
      <c r="J48" s="521">
        <v>400</v>
      </c>
      <c r="K48" s="522">
        <v>120</v>
      </c>
    </row>
    <row r="49" spans="1:11" ht="14.4" customHeight="1" x14ac:dyDescent="0.3">
      <c r="A49" s="505" t="s">
        <v>424</v>
      </c>
      <c r="B49" s="506" t="s">
        <v>425</v>
      </c>
      <c r="C49" s="509" t="s">
        <v>777</v>
      </c>
      <c r="D49" s="531" t="s">
        <v>864</v>
      </c>
      <c r="E49" s="509" t="s">
        <v>858</v>
      </c>
      <c r="F49" s="531" t="s">
        <v>859</v>
      </c>
      <c r="G49" s="509" t="s">
        <v>824</v>
      </c>
      <c r="H49" s="509" t="s">
        <v>825</v>
      </c>
      <c r="I49" s="521">
        <v>1.76</v>
      </c>
      <c r="J49" s="521">
        <v>200</v>
      </c>
      <c r="K49" s="522">
        <v>352</v>
      </c>
    </row>
    <row r="50" spans="1:11" ht="14.4" customHeight="1" thickBot="1" x14ac:dyDescent="0.35">
      <c r="A50" s="513" t="s">
        <v>424</v>
      </c>
      <c r="B50" s="514" t="s">
        <v>425</v>
      </c>
      <c r="C50" s="517" t="s">
        <v>777</v>
      </c>
      <c r="D50" s="532" t="s">
        <v>864</v>
      </c>
      <c r="E50" s="517" t="s">
        <v>860</v>
      </c>
      <c r="F50" s="532" t="s">
        <v>861</v>
      </c>
      <c r="G50" s="517" t="s">
        <v>826</v>
      </c>
      <c r="H50" s="517" t="s">
        <v>827</v>
      </c>
      <c r="I50" s="523">
        <v>0.78</v>
      </c>
      <c r="J50" s="523">
        <v>100</v>
      </c>
      <c r="K50" s="524">
        <v>78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32" width="13.109375" hidden="1" customWidth="1"/>
    <col min="33" max="33" width="13.109375" customWidth="1"/>
  </cols>
  <sheetData>
    <row r="1" spans="1:34" ht="18.600000000000001" thickBot="1" x14ac:dyDescent="0.4">
      <c r="A1" s="373" t="s">
        <v>108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  <c r="X1" s="341"/>
      <c r="Y1" s="341"/>
      <c r="Z1" s="341"/>
      <c r="AA1" s="341"/>
      <c r="AB1" s="341"/>
      <c r="AC1" s="341"/>
      <c r="AD1" s="341"/>
      <c r="AE1" s="341"/>
      <c r="AF1" s="341"/>
      <c r="AG1" s="341"/>
    </row>
    <row r="2" spans="1:34" ht="15" thickBot="1" x14ac:dyDescent="0.35">
      <c r="A2" s="240" t="s">
        <v>272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</row>
    <row r="3" spans="1:34" x14ac:dyDescent="0.3">
      <c r="A3" s="259" t="s">
        <v>232</v>
      </c>
      <c r="B3" s="374" t="s">
        <v>213</v>
      </c>
      <c r="C3" s="242">
        <v>0</v>
      </c>
      <c r="D3" s="243">
        <v>101</v>
      </c>
      <c r="E3" s="243">
        <v>102</v>
      </c>
      <c r="F3" s="262">
        <v>305</v>
      </c>
      <c r="G3" s="262">
        <v>306</v>
      </c>
      <c r="H3" s="262">
        <v>408</v>
      </c>
      <c r="I3" s="262">
        <v>409</v>
      </c>
      <c r="J3" s="262">
        <v>410</v>
      </c>
      <c r="K3" s="262">
        <v>415</v>
      </c>
      <c r="L3" s="262">
        <v>416</v>
      </c>
      <c r="M3" s="262">
        <v>418</v>
      </c>
      <c r="N3" s="262">
        <v>419</v>
      </c>
      <c r="O3" s="262">
        <v>420</v>
      </c>
      <c r="P3" s="262">
        <v>421</v>
      </c>
      <c r="Q3" s="262">
        <v>522</v>
      </c>
      <c r="R3" s="262">
        <v>523</v>
      </c>
      <c r="S3" s="262">
        <v>524</v>
      </c>
      <c r="T3" s="262">
        <v>525</v>
      </c>
      <c r="U3" s="262">
        <v>526</v>
      </c>
      <c r="V3" s="262">
        <v>527</v>
      </c>
      <c r="W3" s="262">
        <v>528</v>
      </c>
      <c r="X3" s="262">
        <v>629</v>
      </c>
      <c r="Y3" s="262">
        <v>630</v>
      </c>
      <c r="Z3" s="262">
        <v>636</v>
      </c>
      <c r="AA3" s="262">
        <v>637</v>
      </c>
      <c r="AB3" s="262">
        <v>640</v>
      </c>
      <c r="AC3" s="262">
        <v>642</v>
      </c>
      <c r="AD3" s="262">
        <v>743</v>
      </c>
      <c r="AE3" s="243">
        <v>745</v>
      </c>
      <c r="AF3" s="243">
        <v>746</v>
      </c>
      <c r="AG3" s="542">
        <v>930</v>
      </c>
      <c r="AH3" s="557"/>
    </row>
    <row r="4" spans="1:34" ht="36.6" outlineLevel="1" thickBot="1" x14ac:dyDescent="0.35">
      <c r="A4" s="260">
        <v>2014</v>
      </c>
      <c r="B4" s="375"/>
      <c r="C4" s="244" t="s">
        <v>214</v>
      </c>
      <c r="D4" s="245" t="s">
        <v>215</v>
      </c>
      <c r="E4" s="245" t="s">
        <v>216</v>
      </c>
      <c r="F4" s="263" t="s">
        <v>244</v>
      </c>
      <c r="G4" s="263" t="s">
        <v>245</v>
      </c>
      <c r="H4" s="263" t="s">
        <v>246</v>
      </c>
      <c r="I4" s="263" t="s">
        <v>247</v>
      </c>
      <c r="J4" s="263" t="s">
        <v>248</v>
      </c>
      <c r="K4" s="263" t="s">
        <v>249</v>
      </c>
      <c r="L4" s="263" t="s">
        <v>250</v>
      </c>
      <c r="M4" s="263" t="s">
        <v>251</v>
      </c>
      <c r="N4" s="263" t="s">
        <v>252</v>
      </c>
      <c r="O4" s="263" t="s">
        <v>253</v>
      </c>
      <c r="P4" s="263" t="s">
        <v>254</v>
      </c>
      <c r="Q4" s="263" t="s">
        <v>255</v>
      </c>
      <c r="R4" s="263" t="s">
        <v>256</v>
      </c>
      <c r="S4" s="263" t="s">
        <v>257</v>
      </c>
      <c r="T4" s="263" t="s">
        <v>258</v>
      </c>
      <c r="U4" s="263" t="s">
        <v>259</v>
      </c>
      <c r="V4" s="263" t="s">
        <v>260</v>
      </c>
      <c r="W4" s="263" t="s">
        <v>269</v>
      </c>
      <c r="X4" s="263" t="s">
        <v>261</v>
      </c>
      <c r="Y4" s="263" t="s">
        <v>270</v>
      </c>
      <c r="Z4" s="263" t="s">
        <v>262</v>
      </c>
      <c r="AA4" s="263" t="s">
        <v>263</v>
      </c>
      <c r="AB4" s="263" t="s">
        <v>264</v>
      </c>
      <c r="AC4" s="263" t="s">
        <v>265</v>
      </c>
      <c r="AD4" s="263" t="s">
        <v>266</v>
      </c>
      <c r="AE4" s="245" t="s">
        <v>267</v>
      </c>
      <c r="AF4" s="245" t="s">
        <v>268</v>
      </c>
      <c r="AG4" s="543" t="s">
        <v>234</v>
      </c>
      <c r="AH4" s="557"/>
    </row>
    <row r="5" spans="1:34" x14ac:dyDescent="0.3">
      <c r="A5" s="246" t="s">
        <v>217</v>
      </c>
      <c r="B5" s="282"/>
      <c r="C5" s="283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4"/>
      <c r="S5" s="284"/>
      <c r="T5" s="284"/>
      <c r="U5" s="284"/>
      <c r="V5" s="284"/>
      <c r="W5" s="284"/>
      <c r="X5" s="284"/>
      <c r="Y5" s="284"/>
      <c r="Z5" s="284"/>
      <c r="AA5" s="284"/>
      <c r="AB5" s="284"/>
      <c r="AC5" s="284"/>
      <c r="AD5" s="284"/>
      <c r="AE5" s="284"/>
      <c r="AF5" s="284"/>
      <c r="AG5" s="544"/>
      <c r="AH5" s="557"/>
    </row>
    <row r="6" spans="1:34" ht="15" collapsed="1" thickBot="1" x14ac:dyDescent="0.35">
      <c r="A6" s="247" t="s">
        <v>73</v>
      </c>
      <c r="B6" s="285">
        <f xml:space="preserve">
TRUNC(IF($A$4&lt;=12,SUMIFS('ON Data'!F:F,'ON Data'!$D:$D,$A$4,'ON Data'!$E:$E,1),SUMIFS('ON Data'!F:F,'ON Data'!$E:$E,1)/'ON Data'!$D$3),1)</f>
        <v>11.6</v>
      </c>
      <c r="C6" s="286">
        <f xml:space="preserve">
TRUNC(IF($A$4&lt;=12,SUMIFS('ON Data'!G:G,'ON Data'!$D:$D,$A$4,'ON Data'!$E:$E,1),SUMIFS('ON Data'!G:G,'ON Data'!$E:$E,1)/'ON Data'!$D$3),1)</f>
        <v>0</v>
      </c>
      <c r="D6" s="287">
        <f xml:space="preserve">
TRUNC(IF($A$4&lt;=12,SUMIFS('ON Data'!H:H,'ON Data'!$D:$D,$A$4,'ON Data'!$E:$E,1),SUMIFS('ON Data'!H:H,'ON Data'!$E:$E,1)/'ON Data'!$D$3),1)</f>
        <v>4.3</v>
      </c>
      <c r="E6" s="287">
        <f xml:space="preserve">
TRUNC(IF($A$4&lt;=12,SUMIFS('ON Data'!I:I,'ON Data'!$D:$D,$A$4,'ON Data'!$E:$E,1),SUMIFS('ON Data'!I:I,'ON Data'!$E:$E,1)/'ON Data'!$D$3),1)</f>
        <v>0</v>
      </c>
      <c r="F6" s="287">
        <f xml:space="preserve">
TRUNC(IF($A$4&lt;=12,SUMIFS('ON Data'!K:K,'ON Data'!$D:$D,$A$4,'ON Data'!$E:$E,1),SUMIFS('ON Data'!K:K,'ON Data'!$E:$E,1)/'ON Data'!$D$3),1)</f>
        <v>5</v>
      </c>
      <c r="G6" s="287">
        <f xml:space="preserve">
TRUNC(IF($A$4&lt;=12,SUMIFS('ON Data'!L:L,'ON Data'!$D:$D,$A$4,'ON Data'!$E:$E,1),SUMIFS('ON Data'!L:L,'ON Data'!$E:$E,1)/'ON Data'!$D$3),1)</f>
        <v>0</v>
      </c>
      <c r="H6" s="287">
        <f xml:space="preserve">
TRUNC(IF($A$4&lt;=12,SUMIFS('ON Data'!M:M,'ON Data'!$D:$D,$A$4,'ON Data'!$E:$E,1),SUMIFS('ON Data'!M:M,'ON Data'!$E:$E,1)/'ON Data'!$D$3),1)</f>
        <v>0</v>
      </c>
      <c r="I6" s="287">
        <f xml:space="preserve">
TRUNC(IF($A$4&lt;=12,SUMIFS('ON Data'!N:N,'ON Data'!$D:$D,$A$4,'ON Data'!$E:$E,1),SUMIFS('ON Data'!N:N,'ON Data'!$E:$E,1)/'ON Data'!$D$3),1)</f>
        <v>0</v>
      </c>
      <c r="J6" s="287">
        <f xml:space="preserve">
TRUNC(IF($A$4&lt;=12,SUMIFS('ON Data'!O:O,'ON Data'!$D:$D,$A$4,'ON Data'!$E:$E,1),SUMIFS('ON Data'!O:O,'ON Data'!$E:$E,1)/'ON Data'!$D$3),1)</f>
        <v>0</v>
      </c>
      <c r="K6" s="287">
        <f xml:space="preserve">
TRUNC(IF($A$4&lt;=12,SUMIFS('ON Data'!P:P,'ON Data'!$D:$D,$A$4,'ON Data'!$E:$E,1),SUMIFS('ON Data'!P:P,'ON Data'!$E:$E,1)/'ON Data'!$D$3),1)</f>
        <v>0</v>
      </c>
      <c r="L6" s="287">
        <f xml:space="preserve">
TRUNC(IF($A$4&lt;=12,SUMIFS('ON Data'!Q:Q,'ON Data'!$D:$D,$A$4,'ON Data'!$E:$E,1),SUMIFS('ON Data'!Q:Q,'ON Data'!$E:$E,1)/'ON Data'!$D$3),1)</f>
        <v>0</v>
      </c>
      <c r="M6" s="287">
        <f xml:space="preserve">
TRUNC(IF($A$4&lt;=12,SUMIFS('ON Data'!R:R,'ON Data'!$D:$D,$A$4,'ON Data'!$E:$E,1),SUMIFS('ON Data'!R:R,'ON Data'!$E:$E,1)/'ON Data'!$D$3),1)</f>
        <v>0</v>
      </c>
      <c r="N6" s="287">
        <f xml:space="preserve">
TRUNC(IF($A$4&lt;=12,SUMIFS('ON Data'!S:S,'ON Data'!$D:$D,$A$4,'ON Data'!$E:$E,1),SUMIFS('ON Data'!S:S,'ON Data'!$E:$E,1)/'ON Data'!$D$3),1)</f>
        <v>0</v>
      </c>
      <c r="O6" s="287">
        <f xml:space="preserve">
TRUNC(IF($A$4&lt;=12,SUMIFS('ON Data'!T:T,'ON Data'!$D:$D,$A$4,'ON Data'!$E:$E,1),SUMIFS('ON Data'!T:T,'ON Data'!$E:$E,1)/'ON Data'!$D$3),1)</f>
        <v>0</v>
      </c>
      <c r="P6" s="287">
        <f xml:space="preserve">
TRUNC(IF($A$4&lt;=12,SUMIFS('ON Data'!U:U,'ON Data'!$D:$D,$A$4,'ON Data'!$E:$E,1),SUMIFS('ON Data'!U:U,'ON Data'!$E:$E,1)/'ON Data'!$D$3),1)</f>
        <v>0</v>
      </c>
      <c r="Q6" s="287">
        <f xml:space="preserve">
TRUNC(IF($A$4&lt;=12,SUMIFS('ON Data'!V:V,'ON Data'!$D:$D,$A$4,'ON Data'!$E:$E,1),SUMIFS('ON Data'!V:V,'ON Data'!$E:$E,1)/'ON Data'!$D$3),1)</f>
        <v>0</v>
      </c>
      <c r="R6" s="287">
        <f xml:space="preserve">
TRUNC(IF($A$4&lt;=12,SUMIFS('ON Data'!W:W,'ON Data'!$D:$D,$A$4,'ON Data'!$E:$E,1),SUMIFS('ON Data'!W:W,'ON Data'!$E:$E,1)/'ON Data'!$D$3),1)</f>
        <v>0</v>
      </c>
      <c r="S6" s="287">
        <f xml:space="preserve">
TRUNC(IF($A$4&lt;=12,SUMIFS('ON Data'!X:X,'ON Data'!$D:$D,$A$4,'ON Data'!$E:$E,1),SUMIFS('ON Data'!X:X,'ON Data'!$E:$E,1)/'ON Data'!$D$3),1)</f>
        <v>0</v>
      </c>
      <c r="T6" s="287">
        <f xml:space="preserve">
TRUNC(IF($A$4&lt;=12,SUMIFS('ON Data'!Y:Y,'ON Data'!$D:$D,$A$4,'ON Data'!$E:$E,1),SUMIFS('ON Data'!Y:Y,'ON Data'!$E:$E,1)/'ON Data'!$D$3),1)</f>
        <v>0</v>
      </c>
      <c r="U6" s="287">
        <f xml:space="preserve">
TRUNC(IF($A$4&lt;=12,SUMIFS('ON Data'!Z:Z,'ON Data'!$D:$D,$A$4,'ON Data'!$E:$E,1),SUMIFS('ON Data'!Z:Z,'ON Data'!$E:$E,1)/'ON Data'!$D$3),1)</f>
        <v>0</v>
      </c>
      <c r="V6" s="287">
        <f xml:space="preserve">
TRUNC(IF($A$4&lt;=12,SUMIFS('ON Data'!AA:AA,'ON Data'!$D:$D,$A$4,'ON Data'!$E:$E,1),SUMIFS('ON Data'!AA:AA,'ON Data'!$E:$E,1)/'ON Data'!$D$3),1)</f>
        <v>0</v>
      </c>
      <c r="W6" s="287">
        <f xml:space="preserve">
TRUNC(IF($A$4&lt;=12,SUMIFS('ON Data'!AB:AB,'ON Data'!$D:$D,$A$4,'ON Data'!$E:$E,1),SUMIFS('ON Data'!AB:AB,'ON Data'!$E:$E,1)/'ON Data'!$D$3),1)</f>
        <v>0</v>
      </c>
      <c r="X6" s="287">
        <f xml:space="preserve">
TRUNC(IF($A$4&lt;=12,SUMIFS('ON Data'!AC:AC,'ON Data'!$D:$D,$A$4,'ON Data'!$E:$E,1),SUMIFS('ON Data'!AC:AC,'ON Data'!$E:$E,1)/'ON Data'!$D$3),1)</f>
        <v>0</v>
      </c>
      <c r="Y6" s="287">
        <f xml:space="preserve">
TRUNC(IF($A$4&lt;=12,SUMIFS('ON Data'!AD:AD,'ON Data'!$D:$D,$A$4,'ON Data'!$E:$E,1),SUMIFS('ON Data'!AD:AD,'ON Data'!$E:$E,1)/'ON Data'!$D$3),1)</f>
        <v>0</v>
      </c>
      <c r="Z6" s="287">
        <f xml:space="preserve">
TRUNC(IF($A$4&lt;=12,SUMIFS('ON Data'!AE:AE,'ON Data'!$D:$D,$A$4,'ON Data'!$E:$E,1),SUMIFS('ON Data'!AE:AE,'ON Data'!$E:$E,1)/'ON Data'!$D$3),1)</f>
        <v>0</v>
      </c>
      <c r="AA6" s="287">
        <f xml:space="preserve">
TRUNC(IF($A$4&lt;=12,SUMIFS('ON Data'!AF:AF,'ON Data'!$D:$D,$A$4,'ON Data'!$E:$E,1),SUMIFS('ON Data'!AF:AF,'ON Data'!$E:$E,1)/'ON Data'!$D$3),1)</f>
        <v>0</v>
      </c>
      <c r="AB6" s="287">
        <f xml:space="preserve">
TRUNC(IF($A$4&lt;=12,SUMIFS('ON Data'!AG:AG,'ON Data'!$D:$D,$A$4,'ON Data'!$E:$E,1),SUMIFS('ON Data'!AG:AG,'ON Data'!$E:$E,1)/'ON Data'!$D$3),1)</f>
        <v>0</v>
      </c>
      <c r="AC6" s="287">
        <f xml:space="preserve">
TRUNC(IF($A$4&lt;=12,SUMIFS('ON Data'!AH:AH,'ON Data'!$D:$D,$A$4,'ON Data'!$E:$E,1),SUMIFS('ON Data'!AH:AH,'ON Data'!$E:$E,1)/'ON Data'!$D$3),1)</f>
        <v>0</v>
      </c>
      <c r="AD6" s="287">
        <f xml:space="preserve">
TRUNC(IF($A$4&lt;=12,SUMIFS('ON Data'!AI:AI,'ON Data'!$D:$D,$A$4,'ON Data'!$E:$E,1),SUMIFS('ON Data'!AI:AI,'ON Data'!$E:$E,1)/'ON Data'!$D$3),1)</f>
        <v>0</v>
      </c>
      <c r="AE6" s="287">
        <f xml:space="preserve">
TRUNC(IF($A$4&lt;=12,SUMIFS('ON Data'!AJ:AJ,'ON Data'!$D:$D,$A$4,'ON Data'!$E:$E,1),SUMIFS('ON Data'!AJ:AJ,'ON Data'!$E:$E,1)/'ON Data'!$D$3),1)</f>
        <v>0</v>
      </c>
      <c r="AF6" s="287">
        <f xml:space="preserve">
TRUNC(IF($A$4&lt;=12,SUMIFS('ON Data'!AK:AK,'ON Data'!$D:$D,$A$4,'ON Data'!$E:$E,1),SUMIFS('ON Data'!AK:AK,'ON Data'!$E:$E,1)/'ON Data'!$D$3),1)</f>
        <v>0</v>
      </c>
      <c r="AG6" s="545">
        <f xml:space="preserve">
TRUNC(IF($A$4&lt;=12,SUMIFS('ON Data'!AM:AM,'ON Data'!$D:$D,$A$4,'ON Data'!$E:$E,1),SUMIFS('ON Data'!AM:AM,'ON Data'!$E:$E,1)/'ON Data'!$D$3),1)</f>
        <v>2.2000000000000002</v>
      </c>
      <c r="AH6" s="557"/>
    </row>
    <row r="7" spans="1:34" ht="15" hidden="1" outlineLevel="1" thickBot="1" x14ac:dyDescent="0.35">
      <c r="A7" s="247" t="s">
        <v>109</v>
      </c>
      <c r="B7" s="285"/>
      <c r="C7" s="288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7"/>
      <c r="S7" s="287"/>
      <c r="T7" s="287"/>
      <c r="U7" s="287"/>
      <c r="V7" s="287"/>
      <c r="W7" s="287"/>
      <c r="X7" s="287"/>
      <c r="Y7" s="287"/>
      <c r="Z7" s="287"/>
      <c r="AA7" s="287"/>
      <c r="AB7" s="287"/>
      <c r="AC7" s="287"/>
      <c r="AD7" s="287"/>
      <c r="AE7" s="287"/>
      <c r="AF7" s="287"/>
      <c r="AG7" s="545"/>
      <c r="AH7" s="557"/>
    </row>
    <row r="8" spans="1:34" ht="15" hidden="1" outlineLevel="1" thickBot="1" x14ac:dyDescent="0.35">
      <c r="A8" s="247" t="s">
        <v>75</v>
      </c>
      <c r="B8" s="285"/>
      <c r="C8" s="288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287"/>
      <c r="R8" s="287"/>
      <c r="S8" s="287"/>
      <c r="T8" s="287"/>
      <c r="U8" s="287"/>
      <c r="V8" s="287"/>
      <c r="W8" s="287"/>
      <c r="X8" s="287"/>
      <c r="Y8" s="287"/>
      <c r="Z8" s="287"/>
      <c r="AA8" s="287"/>
      <c r="AB8" s="287"/>
      <c r="AC8" s="287"/>
      <c r="AD8" s="287"/>
      <c r="AE8" s="287"/>
      <c r="AF8" s="287"/>
      <c r="AG8" s="545"/>
      <c r="AH8" s="557"/>
    </row>
    <row r="9" spans="1:34" ht="15" hidden="1" outlineLevel="1" thickBot="1" x14ac:dyDescent="0.35">
      <c r="A9" s="248" t="s">
        <v>68</v>
      </c>
      <c r="B9" s="289"/>
      <c r="C9" s="290"/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1"/>
      <c r="W9" s="291"/>
      <c r="X9" s="291"/>
      <c r="Y9" s="291"/>
      <c r="Z9" s="291"/>
      <c r="AA9" s="291"/>
      <c r="AB9" s="291"/>
      <c r="AC9" s="291"/>
      <c r="AD9" s="291"/>
      <c r="AE9" s="291"/>
      <c r="AF9" s="291"/>
      <c r="AG9" s="546"/>
      <c r="AH9" s="557"/>
    </row>
    <row r="10" spans="1:34" x14ac:dyDescent="0.3">
      <c r="A10" s="249" t="s">
        <v>218</v>
      </c>
      <c r="B10" s="264"/>
      <c r="C10" s="265"/>
      <c r="D10" s="266"/>
      <c r="E10" s="266"/>
      <c r="F10" s="266"/>
      <c r="G10" s="266"/>
      <c r="H10" s="266"/>
      <c r="I10" s="266"/>
      <c r="J10" s="266"/>
      <c r="K10" s="266"/>
      <c r="L10" s="266"/>
      <c r="M10" s="266"/>
      <c r="N10" s="266"/>
      <c r="O10" s="266"/>
      <c r="P10" s="266"/>
      <c r="Q10" s="266"/>
      <c r="R10" s="266"/>
      <c r="S10" s="266"/>
      <c r="T10" s="266"/>
      <c r="U10" s="266"/>
      <c r="V10" s="266"/>
      <c r="W10" s="266"/>
      <c r="X10" s="266"/>
      <c r="Y10" s="266"/>
      <c r="Z10" s="266"/>
      <c r="AA10" s="266"/>
      <c r="AB10" s="266"/>
      <c r="AC10" s="266"/>
      <c r="AD10" s="266"/>
      <c r="AE10" s="266"/>
      <c r="AF10" s="266"/>
      <c r="AG10" s="547"/>
      <c r="AH10" s="557"/>
    </row>
    <row r="11" spans="1:34" x14ac:dyDescent="0.3">
      <c r="A11" s="250" t="s">
        <v>219</v>
      </c>
      <c r="B11" s="267">
        <f xml:space="preserve">
IF($A$4&lt;=12,SUMIFS('ON Data'!F:F,'ON Data'!$D:$D,$A$4,'ON Data'!$E:$E,2),SUMIFS('ON Data'!F:F,'ON Data'!$E:$E,2))</f>
        <v>7194.7999999999993</v>
      </c>
      <c r="C11" s="268">
        <f xml:space="preserve">
IF($A$4&lt;=12,SUMIFS('ON Data'!G:G,'ON Data'!$D:$D,$A$4,'ON Data'!$E:$E,2),SUMIFS('ON Data'!G:G,'ON Data'!$E:$E,2))</f>
        <v>0</v>
      </c>
      <c r="D11" s="269">
        <f xml:space="preserve">
IF($A$4&lt;=12,SUMIFS('ON Data'!H:H,'ON Data'!$D:$D,$A$4,'ON Data'!$E:$E,2),SUMIFS('ON Data'!H:H,'ON Data'!$E:$E,2))</f>
        <v>2914.7999999999997</v>
      </c>
      <c r="E11" s="269">
        <f xml:space="preserve">
IF($A$4&lt;=12,SUMIFS('ON Data'!I:I,'ON Data'!$D:$D,$A$4,'ON Data'!$E:$E,2),SUMIFS('ON Data'!I:I,'ON Data'!$E:$E,2))</f>
        <v>0</v>
      </c>
      <c r="F11" s="269">
        <f xml:space="preserve">
IF($A$4&lt;=12,SUMIFS('ON Data'!K:K,'ON Data'!$D:$D,$A$4,'ON Data'!$E:$E,2),SUMIFS('ON Data'!K:K,'ON Data'!$E:$E,2))</f>
        <v>3208</v>
      </c>
      <c r="G11" s="269">
        <f xml:space="preserve">
IF($A$4&lt;=12,SUMIFS('ON Data'!L:L,'ON Data'!$D:$D,$A$4,'ON Data'!$E:$E,2),SUMIFS('ON Data'!L:L,'ON Data'!$E:$E,2))</f>
        <v>0</v>
      </c>
      <c r="H11" s="269">
        <f xml:space="preserve">
IF($A$4&lt;=12,SUMIFS('ON Data'!M:M,'ON Data'!$D:$D,$A$4,'ON Data'!$E:$E,2),SUMIFS('ON Data'!M:M,'ON Data'!$E:$E,2))</f>
        <v>0</v>
      </c>
      <c r="I11" s="269">
        <f xml:space="preserve">
IF($A$4&lt;=12,SUMIFS('ON Data'!N:N,'ON Data'!$D:$D,$A$4,'ON Data'!$E:$E,2),SUMIFS('ON Data'!N:N,'ON Data'!$E:$E,2))</f>
        <v>0</v>
      </c>
      <c r="J11" s="269">
        <f xml:space="preserve">
IF($A$4&lt;=12,SUMIFS('ON Data'!O:O,'ON Data'!$D:$D,$A$4,'ON Data'!$E:$E,2),SUMIFS('ON Data'!O:O,'ON Data'!$E:$E,2))</f>
        <v>0</v>
      </c>
      <c r="K11" s="269">
        <f xml:space="preserve">
IF($A$4&lt;=12,SUMIFS('ON Data'!P:P,'ON Data'!$D:$D,$A$4,'ON Data'!$E:$E,2),SUMIFS('ON Data'!P:P,'ON Data'!$E:$E,2))</f>
        <v>0</v>
      </c>
      <c r="L11" s="269">
        <f xml:space="preserve">
IF($A$4&lt;=12,SUMIFS('ON Data'!Q:Q,'ON Data'!$D:$D,$A$4,'ON Data'!$E:$E,2),SUMIFS('ON Data'!Q:Q,'ON Data'!$E:$E,2))</f>
        <v>0</v>
      </c>
      <c r="M11" s="269">
        <f xml:space="preserve">
IF($A$4&lt;=12,SUMIFS('ON Data'!R:R,'ON Data'!$D:$D,$A$4,'ON Data'!$E:$E,2),SUMIFS('ON Data'!R:R,'ON Data'!$E:$E,2))</f>
        <v>0</v>
      </c>
      <c r="N11" s="269">
        <f xml:space="preserve">
IF($A$4&lt;=12,SUMIFS('ON Data'!S:S,'ON Data'!$D:$D,$A$4,'ON Data'!$E:$E,2),SUMIFS('ON Data'!S:S,'ON Data'!$E:$E,2))</f>
        <v>0</v>
      </c>
      <c r="O11" s="269">
        <f xml:space="preserve">
IF($A$4&lt;=12,SUMIFS('ON Data'!T:T,'ON Data'!$D:$D,$A$4,'ON Data'!$E:$E,2),SUMIFS('ON Data'!T:T,'ON Data'!$E:$E,2))</f>
        <v>0</v>
      </c>
      <c r="P11" s="269">
        <f xml:space="preserve">
IF($A$4&lt;=12,SUMIFS('ON Data'!U:U,'ON Data'!$D:$D,$A$4,'ON Data'!$E:$E,2),SUMIFS('ON Data'!U:U,'ON Data'!$E:$E,2))</f>
        <v>0</v>
      </c>
      <c r="Q11" s="269">
        <f xml:space="preserve">
IF($A$4&lt;=12,SUMIFS('ON Data'!V:V,'ON Data'!$D:$D,$A$4,'ON Data'!$E:$E,2),SUMIFS('ON Data'!V:V,'ON Data'!$E:$E,2))</f>
        <v>0</v>
      </c>
      <c r="R11" s="269">
        <f xml:space="preserve">
IF($A$4&lt;=12,SUMIFS('ON Data'!W:W,'ON Data'!$D:$D,$A$4,'ON Data'!$E:$E,2),SUMIFS('ON Data'!W:W,'ON Data'!$E:$E,2))</f>
        <v>0</v>
      </c>
      <c r="S11" s="269">
        <f xml:space="preserve">
IF($A$4&lt;=12,SUMIFS('ON Data'!X:X,'ON Data'!$D:$D,$A$4,'ON Data'!$E:$E,2),SUMIFS('ON Data'!X:X,'ON Data'!$E:$E,2))</f>
        <v>0</v>
      </c>
      <c r="T11" s="269">
        <f xml:space="preserve">
IF($A$4&lt;=12,SUMIFS('ON Data'!Y:Y,'ON Data'!$D:$D,$A$4,'ON Data'!$E:$E,2),SUMIFS('ON Data'!Y:Y,'ON Data'!$E:$E,2))</f>
        <v>0</v>
      </c>
      <c r="U11" s="269">
        <f xml:space="preserve">
IF($A$4&lt;=12,SUMIFS('ON Data'!Z:Z,'ON Data'!$D:$D,$A$4,'ON Data'!$E:$E,2),SUMIFS('ON Data'!Z:Z,'ON Data'!$E:$E,2))</f>
        <v>0</v>
      </c>
      <c r="V11" s="269">
        <f xml:space="preserve">
IF($A$4&lt;=12,SUMIFS('ON Data'!AA:AA,'ON Data'!$D:$D,$A$4,'ON Data'!$E:$E,2),SUMIFS('ON Data'!AA:AA,'ON Data'!$E:$E,2))</f>
        <v>0</v>
      </c>
      <c r="W11" s="269">
        <f xml:space="preserve">
IF($A$4&lt;=12,SUMIFS('ON Data'!AB:AB,'ON Data'!$D:$D,$A$4,'ON Data'!$E:$E,2),SUMIFS('ON Data'!AB:AB,'ON Data'!$E:$E,2))</f>
        <v>0</v>
      </c>
      <c r="X11" s="269">
        <f xml:space="preserve">
IF($A$4&lt;=12,SUMIFS('ON Data'!AC:AC,'ON Data'!$D:$D,$A$4,'ON Data'!$E:$E,2),SUMIFS('ON Data'!AC:AC,'ON Data'!$E:$E,2))</f>
        <v>0</v>
      </c>
      <c r="Y11" s="269">
        <f xml:space="preserve">
IF($A$4&lt;=12,SUMIFS('ON Data'!AD:AD,'ON Data'!$D:$D,$A$4,'ON Data'!$E:$E,2),SUMIFS('ON Data'!AD:AD,'ON Data'!$E:$E,2))</f>
        <v>0</v>
      </c>
      <c r="Z11" s="269">
        <f xml:space="preserve">
IF($A$4&lt;=12,SUMIFS('ON Data'!AE:AE,'ON Data'!$D:$D,$A$4,'ON Data'!$E:$E,2),SUMIFS('ON Data'!AE:AE,'ON Data'!$E:$E,2))</f>
        <v>0</v>
      </c>
      <c r="AA11" s="269">
        <f xml:space="preserve">
IF($A$4&lt;=12,SUMIFS('ON Data'!AF:AF,'ON Data'!$D:$D,$A$4,'ON Data'!$E:$E,2),SUMIFS('ON Data'!AF:AF,'ON Data'!$E:$E,2))</f>
        <v>0</v>
      </c>
      <c r="AB11" s="269">
        <f xml:space="preserve">
IF($A$4&lt;=12,SUMIFS('ON Data'!AG:AG,'ON Data'!$D:$D,$A$4,'ON Data'!$E:$E,2),SUMIFS('ON Data'!AG:AG,'ON Data'!$E:$E,2))</f>
        <v>0</v>
      </c>
      <c r="AC11" s="269">
        <f xml:space="preserve">
IF($A$4&lt;=12,SUMIFS('ON Data'!AH:AH,'ON Data'!$D:$D,$A$4,'ON Data'!$E:$E,2),SUMIFS('ON Data'!AH:AH,'ON Data'!$E:$E,2))</f>
        <v>0</v>
      </c>
      <c r="AD11" s="269">
        <f xml:space="preserve">
IF($A$4&lt;=12,SUMIFS('ON Data'!AI:AI,'ON Data'!$D:$D,$A$4,'ON Data'!$E:$E,2),SUMIFS('ON Data'!AI:AI,'ON Data'!$E:$E,2))</f>
        <v>0</v>
      </c>
      <c r="AE11" s="269">
        <f xml:space="preserve">
IF($A$4&lt;=12,SUMIFS('ON Data'!AJ:AJ,'ON Data'!$D:$D,$A$4,'ON Data'!$E:$E,2),SUMIFS('ON Data'!AJ:AJ,'ON Data'!$E:$E,2))</f>
        <v>0</v>
      </c>
      <c r="AF11" s="269">
        <f xml:space="preserve">
IF($A$4&lt;=12,SUMIFS('ON Data'!AK:AK,'ON Data'!$D:$D,$A$4,'ON Data'!$E:$E,2),SUMIFS('ON Data'!AK:AK,'ON Data'!$E:$E,2))</f>
        <v>0</v>
      </c>
      <c r="AG11" s="548">
        <f xml:space="preserve">
IF($A$4&lt;=12,SUMIFS('ON Data'!AM:AM,'ON Data'!$D:$D,$A$4,'ON Data'!$E:$E,2),SUMIFS('ON Data'!AM:AM,'ON Data'!$E:$E,2))</f>
        <v>1072</v>
      </c>
      <c r="AH11" s="557"/>
    </row>
    <row r="12" spans="1:34" x14ac:dyDescent="0.3">
      <c r="A12" s="250" t="s">
        <v>220</v>
      </c>
      <c r="B12" s="267">
        <f xml:space="preserve">
IF($A$4&lt;=12,SUMIFS('ON Data'!F:F,'ON Data'!$D:$D,$A$4,'ON Data'!$E:$E,3),SUMIFS('ON Data'!F:F,'ON Data'!$E:$E,3))</f>
        <v>0</v>
      </c>
      <c r="C12" s="268">
        <f xml:space="preserve">
IF($A$4&lt;=12,SUMIFS('ON Data'!G:G,'ON Data'!$D:$D,$A$4,'ON Data'!$E:$E,3),SUMIFS('ON Data'!G:G,'ON Data'!$E:$E,3))</f>
        <v>0</v>
      </c>
      <c r="D12" s="269">
        <f xml:space="preserve">
IF($A$4&lt;=12,SUMIFS('ON Data'!H:H,'ON Data'!$D:$D,$A$4,'ON Data'!$E:$E,3),SUMIFS('ON Data'!H:H,'ON Data'!$E:$E,3))</f>
        <v>0</v>
      </c>
      <c r="E12" s="269">
        <f xml:space="preserve">
IF($A$4&lt;=12,SUMIFS('ON Data'!I:I,'ON Data'!$D:$D,$A$4,'ON Data'!$E:$E,3),SUMIFS('ON Data'!I:I,'ON Data'!$E:$E,3))</f>
        <v>0</v>
      </c>
      <c r="F12" s="269">
        <f xml:space="preserve">
IF($A$4&lt;=12,SUMIFS('ON Data'!K:K,'ON Data'!$D:$D,$A$4,'ON Data'!$E:$E,3),SUMIFS('ON Data'!K:K,'ON Data'!$E:$E,3))</f>
        <v>0</v>
      </c>
      <c r="G12" s="269">
        <f xml:space="preserve">
IF($A$4&lt;=12,SUMIFS('ON Data'!L:L,'ON Data'!$D:$D,$A$4,'ON Data'!$E:$E,3),SUMIFS('ON Data'!L:L,'ON Data'!$E:$E,3))</f>
        <v>0</v>
      </c>
      <c r="H12" s="269">
        <f xml:space="preserve">
IF($A$4&lt;=12,SUMIFS('ON Data'!M:M,'ON Data'!$D:$D,$A$4,'ON Data'!$E:$E,3),SUMIFS('ON Data'!M:M,'ON Data'!$E:$E,3))</f>
        <v>0</v>
      </c>
      <c r="I12" s="269">
        <f xml:space="preserve">
IF($A$4&lt;=12,SUMIFS('ON Data'!N:N,'ON Data'!$D:$D,$A$4,'ON Data'!$E:$E,3),SUMIFS('ON Data'!N:N,'ON Data'!$E:$E,3))</f>
        <v>0</v>
      </c>
      <c r="J12" s="269">
        <f xml:space="preserve">
IF($A$4&lt;=12,SUMIFS('ON Data'!O:O,'ON Data'!$D:$D,$A$4,'ON Data'!$E:$E,3),SUMIFS('ON Data'!O:O,'ON Data'!$E:$E,3))</f>
        <v>0</v>
      </c>
      <c r="K12" s="269">
        <f xml:space="preserve">
IF($A$4&lt;=12,SUMIFS('ON Data'!P:P,'ON Data'!$D:$D,$A$4,'ON Data'!$E:$E,3),SUMIFS('ON Data'!P:P,'ON Data'!$E:$E,3))</f>
        <v>0</v>
      </c>
      <c r="L12" s="269">
        <f xml:space="preserve">
IF($A$4&lt;=12,SUMIFS('ON Data'!Q:Q,'ON Data'!$D:$D,$A$4,'ON Data'!$E:$E,3),SUMIFS('ON Data'!Q:Q,'ON Data'!$E:$E,3))</f>
        <v>0</v>
      </c>
      <c r="M12" s="269">
        <f xml:space="preserve">
IF($A$4&lt;=12,SUMIFS('ON Data'!R:R,'ON Data'!$D:$D,$A$4,'ON Data'!$E:$E,3),SUMIFS('ON Data'!R:R,'ON Data'!$E:$E,3))</f>
        <v>0</v>
      </c>
      <c r="N12" s="269">
        <f xml:space="preserve">
IF($A$4&lt;=12,SUMIFS('ON Data'!S:S,'ON Data'!$D:$D,$A$4,'ON Data'!$E:$E,3),SUMIFS('ON Data'!S:S,'ON Data'!$E:$E,3))</f>
        <v>0</v>
      </c>
      <c r="O12" s="269">
        <f xml:space="preserve">
IF($A$4&lt;=12,SUMIFS('ON Data'!T:T,'ON Data'!$D:$D,$A$4,'ON Data'!$E:$E,3),SUMIFS('ON Data'!T:T,'ON Data'!$E:$E,3))</f>
        <v>0</v>
      </c>
      <c r="P12" s="269">
        <f xml:space="preserve">
IF($A$4&lt;=12,SUMIFS('ON Data'!U:U,'ON Data'!$D:$D,$A$4,'ON Data'!$E:$E,3),SUMIFS('ON Data'!U:U,'ON Data'!$E:$E,3))</f>
        <v>0</v>
      </c>
      <c r="Q12" s="269">
        <f xml:space="preserve">
IF($A$4&lt;=12,SUMIFS('ON Data'!V:V,'ON Data'!$D:$D,$A$4,'ON Data'!$E:$E,3),SUMIFS('ON Data'!V:V,'ON Data'!$E:$E,3))</f>
        <v>0</v>
      </c>
      <c r="R12" s="269">
        <f xml:space="preserve">
IF($A$4&lt;=12,SUMIFS('ON Data'!W:W,'ON Data'!$D:$D,$A$4,'ON Data'!$E:$E,3),SUMIFS('ON Data'!W:W,'ON Data'!$E:$E,3))</f>
        <v>0</v>
      </c>
      <c r="S12" s="269">
        <f xml:space="preserve">
IF($A$4&lt;=12,SUMIFS('ON Data'!X:X,'ON Data'!$D:$D,$A$4,'ON Data'!$E:$E,3),SUMIFS('ON Data'!X:X,'ON Data'!$E:$E,3))</f>
        <v>0</v>
      </c>
      <c r="T12" s="269">
        <f xml:space="preserve">
IF($A$4&lt;=12,SUMIFS('ON Data'!Y:Y,'ON Data'!$D:$D,$A$4,'ON Data'!$E:$E,3),SUMIFS('ON Data'!Y:Y,'ON Data'!$E:$E,3))</f>
        <v>0</v>
      </c>
      <c r="U12" s="269">
        <f xml:space="preserve">
IF($A$4&lt;=12,SUMIFS('ON Data'!Z:Z,'ON Data'!$D:$D,$A$4,'ON Data'!$E:$E,3),SUMIFS('ON Data'!Z:Z,'ON Data'!$E:$E,3))</f>
        <v>0</v>
      </c>
      <c r="V12" s="269">
        <f xml:space="preserve">
IF($A$4&lt;=12,SUMIFS('ON Data'!AA:AA,'ON Data'!$D:$D,$A$4,'ON Data'!$E:$E,3),SUMIFS('ON Data'!AA:AA,'ON Data'!$E:$E,3))</f>
        <v>0</v>
      </c>
      <c r="W12" s="269">
        <f xml:space="preserve">
IF($A$4&lt;=12,SUMIFS('ON Data'!AB:AB,'ON Data'!$D:$D,$A$4,'ON Data'!$E:$E,3),SUMIFS('ON Data'!AB:AB,'ON Data'!$E:$E,3))</f>
        <v>0</v>
      </c>
      <c r="X12" s="269">
        <f xml:space="preserve">
IF($A$4&lt;=12,SUMIFS('ON Data'!AC:AC,'ON Data'!$D:$D,$A$4,'ON Data'!$E:$E,3),SUMIFS('ON Data'!AC:AC,'ON Data'!$E:$E,3))</f>
        <v>0</v>
      </c>
      <c r="Y12" s="269">
        <f xml:space="preserve">
IF($A$4&lt;=12,SUMIFS('ON Data'!AD:AD,'ON Data'!$D:$D,$A$4,'ON Data'!$E:$E,3),SUMIFS('ON Data'!AD:AD,'ON Data'!$E:$E,3))</f>
        <v>0</v>
      </c>
      <c r="Z12" s="269">
        <f xml:space="preserve">
IF($A$4&lt;=12,SUMIFS('ON Data'!AE:AE,'ON Data'!$D:$D,$A$4,'ON Data'!$E:$E,3),SUMIFS('ON Data'!AE:AE,'ON Data'!$E:$E,3))</f>
        <v>0</v>
      </c>
      <c r="AA12" s="269">
        <f xml:space="preserve">
IF($A$4&lt;=12,SUMIFS('ON Data'!AF:AF,'ON Data'!$D:$D,$A$4,'ON Data'!$E:$E,3),SUMIFS('ON Data'!AF:AF,'ON Data'!$E:$E,3))</f>
        <v>0</v>
      </c>
      <c r="AB12" s="269">
        <f xml:space="preserve">
IF($A$4&lt;=12,SUMIFS('ON Data'!AG:AG,'ON Data'!$D:$D,$A$4,'ON Data'!$E:$E,3),SUMIFS('ON Data'!AG:AG,'ON Data'!$E:$E,3))</f>
        <v>0</v>
      </c>
      <c r="AC12" s="269">
        <f xml:space="preserve">
IF($A$4&lt;=12,SUMIFS('ON Data'!AH:AH,'ON Data'!$D:$D,$A$4,'ON Data'!$E:$E,3),SUMIFS('ON Data'!AH:AH,'ON Data'!$E:$E,3))</f>
        <v>0</v>
      </c>
      <c r="AD12" s="269">
        <f xml:space="preserve">
IF($A$4&lt;=12,SUMIFS('ON Data'!AI:AI,'ON Data'!$D:$D,$A$4,'ON Data'!$E:$E,3),SUMIFS('ON Data'!AI:AI,'ON Data'!$E:$E,3))</f>
        <v>0</v>
      </c>
      <c r="AE12" s="269">
        <f xml:space="preserve">
IF($A$4&lt;=12,SUMIFS('ON Data'!AJ:AJ,'ON Data'!$D:$D,$A$4,'ON Data'!$E:$E,3),SUMIFS('ON Data'!AJ:AJ,'ON Data'!$E:$E,3))</f>
        <v>0</v>
      </c>
      <c r="AF12" s="269">
        <f xml:space="preserve">
IF($A$4&lt;=12,SUMIFS('ON Data'!AK:AK,'ON Data'!$D:$D,$A$4,'ON Data'!$E:$E,3),SUMIFS('ON Data'!AK:AK,'ON Data'!$E:$E,3))</f>
        <v>0</v>
      </c>
      <c r="AG12" s="548">
        <f xml:space="preserve">
IF($A$4&lt;=12,SUMIFS('ON Data'!AM:AM,'ON Data'!$D:$D,$A$4,'ON Data'!$E:$E,3),SUMIFS('ON Data'!AM:AM,'ON Data'!$E:$E,3))</f>
        <v>0</v>
      </c>
      <c r="AH12" s="557"/>
    </row>
    <row r="13" spans="1:34" x14ac:dyDescent="0.3">
      <c r="A13" s="250" t="s">
        <v>227</v>
      </c>
      <c r="B13" s="267">
        <f xml:space="preserve">
IF($A$4&lt;=12,SUMIFS('ON Data'!F:F,'ON Data'!$D:$D,$A$4,'ON Data'!$E:$E,4),SUMIFS('ON Data'!F:F,'ON Data'!$E:$E,4))</f>
        <v>0</v>
      </c>
      <c r="C13" s="268">
        <f xml:space="preserve">
IF($A$4&lt;=12,SUMIFS('ON Data'!G:G,'ON Data'!$D:$D,$A$4,'ON Data'!$E:$E,4),SUMIFS('ON Data'!G:G,'ON Data'!$E:$E,4))</f>
        <v>0</v>
      </c>
      <c r="D13" s="269">
        <f xml:space="preserve">
IF($A$4&lt;=12,SUMIFS('ON Data'!H:H,'ON Data'!$D:$D,$A$4,'ON Data'!$E:$E,4),SUMIFS('ON Data'!H:H,'ON Data'!$E:$E,4))</f>
        <v>0</v>
      </c>
      <c r="E13" s="269">
        <f xml:space="preserve">
IF($A$4&lt;=12,SUMIFS('ON Data'!I:I,'ON Data'!$D:$D,$A$4,'ON Data'!$E:$E,4),SUMIFS('ON Data'!I:I,'ON Data'!$E:$E,4))</f>
        <v>0</v>
      </c>
      <c r="F13" s="269">
        <f xml:space="preserve">
IF($A$4&lt;=12,SUMIFS('ON Data'!K:K,'ON Data'!$D:$D,$A$4,'ON Data'!$E:$E,4),SUMIFS('ON Data'!K:K,'ON Data'!$E:$E,4))</f>
        <v>0</v>
      </c>
      <c r="G13" s="269">
        <f xml:space="preserve">
IF($A$4&lt;=12,SUMIFS('ON Data'!L:L,'ON Data'!$D:$D,$A$4,'ON Data'!$E:$E,4),SUMIFS('ON Data'!L:L,'ON Data'!$E:$E,4))</f>
        <v>0</v>
      </c>
      <c r="H13" s="269">
        <f xml:space="preserve">
IF($A$4&lt;=12,SUMIFS('ON Data'!M:M,'ON Data'!$D:$D,$A$4,'ON Data'!$E:$E,4),SUMIFS('ON Data'!M:M,'ON Data'!$E:$E,4))</f>
        <v>0</v>
      </c>
      <c r="I13" s="269">
        <f xml:space="preserve">
IF($A$4&lt;=12,SUMIFS('ON Data'!N:N,'ON Data'!$D:$D,$A$4,'ON Data'!$E:$E,4),SUMIFS('ON Data'!N:N,'ON Data'!$E:$E,4))</f>
        <v>0</v>
      </c>
      <c r="J13" s="269">
        <f xml:space="preserve">
IF($A$4&lt;=12,SUMIFS('ON Data'!O:O,'ON Data'!$D:$D,$A$4,'ON Data'!$E:$E,4),SUMIFS('ON Data'!O:O,'ON Data'!$E:$E,4))</f>
        <v>0</v>
      </c>
      <c r="K13" s="269">
        <f xml:space="preserve">
IF($A$4&lt;=12,SUMIFS('ON Data'!P:P,'ON Data'!$D:$D,$A$4,'ON Data'!$E:$E,4),SUMIFS('ON Data'!P:P,'ON Data'!$E:$E,4))</f>
        <v>0</v>
      </c>
      <c r="L13" s="269">
        <f xml:space="preserve">
IF($A$4&lt;=12,SUMIFS('ON Data'!Q:Q,'ON Data'!$D:$D,$A$4,'ON Data'!$E:$E,4),SUMIFS('ON Data'!Q:Q,'ON Data'!$E:$E,4))</f>
        <v>0</v>
      </c>
      <c r="M13" s="269">
        <f xml:space="preserve">
IF($A$4&lt;=12,SUMIFS('ON Data'!R:R,'ON Data'!$D:$D,$A$4,'ON Data'!$E:$E,4),SUMIFS('ON Data'!R:R,'ON Data'!$E:$E,4))</f>
        <v>0</v>
      </c>
      <c r="N13" s="269">
        <f xml:space="preserve">
IF($A$4&lt;=12,SUMIFS('ON Data'!S:S,'ON Data'!$D:$D,$A$4,'ON Data'!$E:$E,4),SUMIFS('ON Data'!S:S,'ON Data'!$E:$E,4))</f>
        <v>0</v>
      </c>
      <c r="O13" s="269">
        <f xml:space="preserve">
IF($A$4&lt;=12,SUMIFS('ON Data'!T:T,'ON Data'!$D:$D,$A$4,'ON Data'!$E:$E,4),SUMIFS('ON Data'!T:T,'ON Data'!$E:$E,4))</f>
        <v>0</v>
      </c>
      <c r="P13" s="269">
        <f xml:space="preserve">
IF($A$4&lt;=12,SUMIFS('ON Data'!U:U,'ON Data'!$D:$D,$A$4,'ON Data'!$E:$E,4),SUMIFS('ON Data'!U:U,'ON Data'!$E:$E,4))</f>
        <v>0</v>
      </c>
      <c r="Q13" s="269">
        <f xml:space="preserve">
IF($A$4&lt;=12,SUMIFS('ON Data'!V:V,'ON Data'!$D:$D,$A$4,'ON Data'!$E:$E,4),SUMIFS('ON Data'!V:V,'ON Data'!$E:$E,4))</f>
        <v>0</v>
      </c>
      <c r="R13" s="269">
        <f xml:space="preserve">
IF($A$4&lt;=12,SUMIFS('ON Data'!W:W,'ON Data'!$D:$D,$A$4,'ON Data'!$E:$E,4),SUMIFS('ON Data'!W:W,'ON Data'!$E:$E,4))</f>
        <v>0</v>
      </c>
      <c r="S13" s="269">
        <f xml:space="preserve">
IF($A$4&lt;=12,SUMIFS('ON Data'!X:X,'ON Data'!$D:$D,$A$4,'ON Data'!$E:$E,4),SUMIFS('ON Data'!X:X,'ON Data'!$E:$E,4))</f>
        <v>0</v>
      </c>
      <c r="T13" s="269">
        <f xml:space="preserve">
IF($A$4&lt;=12,SUMIFS('ON Data'!Y:Y,'ON Data'!$D:$D,$A$4,'ON Data'!$E:$E,4),SUMIFS('ON Data'!Y:Y,'ON Data'!$E:$E,4))</f>
        <v>0</v>
      </c>
      <c r="U13" s="269">
        <f xml:space="preserve">
IF($A$4&lt;=12,SUMIFS('ON Data'!Z:Z,'ON Data'!$D:$D,$A$4,'ON Data'!$E:$E,4),SUMIFS('ON Data'!Z:Z,'ON Data'!$E:$E,4))</f>
        <v>0</v>
      </c>
      <c r="V13" s="269">
        <f xml:space="preserve">
IF($A$4&lt;=12,SUMIFS('ON Data'!AA:AA,'ON Data'!$D:$D,$A$4,'ON Data'!$E:$E,4),SUMIFS('ON Data'!AA:AA,'ON Data'!$E:$E,4))</f>
        <v>0</v>
      </c>
      <c r="W13" s="269">
        <f xml:space="preserve">
IF($A$4&lt;=12,SUMIFS('ON Data'!AB:AB,'ON Data'!$D:$D,$A$4,'ON Data'!$E:$E,4),SUMIFS('ON Data'!AB:AB,'ON Data'!$E:$E,4))</f>
        <v>0</v>
      </c>
      <c r="X13" s="269">
        <f xml:space="preserve">
IF($A$4&lt;=12,SUMIFS('ON Data'!AC:AC,'ON Data'!$D:$D,$A$4,'ON Data'!$E:$E,4),SUMIFS('ON Data'!AC:AC,'ON Data'!$E:$E,4))</f>
        <v>0</v>
      </c>
      <c r="Y13" s="269">
        <f xml:space="preserve">
IF($A$4&lt;=12,SUMIFS('ON Data'!AD:AD,'ON Data'!$D:$D,$A$4,'ON Data'!$E:$E,4),SUMIFS('ON Data'!AD:AD,'ON Data'!$E:$E,4))</f>
        <v>0</v>
      </c>
      <c r="Z13" s="269">
        <f xml:space="preserve">
IF($A$4&lt;=12,SUMIFS('ON Data'!AE:AE,'ON Data'!$D:$D,$A$4,'ON Data'!$E:$E,4),SUMIFS('ON Data'!AE:AE,'ON Data'!$E:$E,4))</f>
        <v>0</v>
      </c>
      <c r="AA13" s="269">
        <f xml:space="preserve">
IF($A$4&lt;=12,SUMIFS('ON Data'!AF:AF,'ON Data'!$D:$D,$A$4,'ON Data'!$E:$E,4),SUMIFS('ON Data'!AF:AF,'ON Data'!$E:$E,4))</f>
        <v>0</v>
      </c>
      <c r="AB13" s="269">
        <f xml:space="preserve">
IF($A$4&lt;=12,SUMIFS('ON Data'!AG:AG,'ON Data'!$D:$D,$A$4,'ON Data'!$E:$E,4),SUMIFS('ON Data'!AG:AG,'ON Data'!$E:$E,4))</f>
        <v>0</v>
      </c>
      <c r="AC13" s="269">
        <f xml:space="preserve">
IF($A$4&lt;=12,SUMIFS('ON Data'!AH:AH,'ON Data'!$D:$D,$A$4,'ON Data'!$E:$E,4),SUMIFS('ON Data'!AH:AH,'ON Data'!$E:$E,4))</f>
        <v>0</v>
      </c>
      <c r="AD13" s="269">
        <f xml:space="preserve">
IF($A$4&lt;=12,SUMIFS('ON Data'!AI:AI,'ON Data'!$D:$D,$A$4,'ON Data'!$E:$E,4),SUMIFS('ON Data'!AI:AI,'ON Data'!$E:$E,4))</f>
        <v>0</v>
      </c>
      <c r="AE13" s="269">
        <f xml:space="preserve">
IF($A$4&lt;=12,SUMIFS('ON Data'!AJ:AJ,'ON Data'!$D:$D,$A$4,'ON Data'!$E:$E,4),SUMIFS('ON Data'!AJ:AJ,'ON Data'!$E:$E,4))</f>
        <v>0</v>
      </c>
      <c r="AF13" s="269">
        <f xml:space="preserve">
IF($A$4&lt;=12,SUMIFS('ON Data'!AK:AK,'ON Data'!$D:$D,$A$4,'ON Data'!$E:$E,4),SUMIFS('ON Data'!AK:AK,'ON Data'!$E:$E,4))</f>
        <v>0</v>
      </c>
      <c r="AG13" s="548">
        <f xml:space="preserve">
IF($A$4&lt;=12,SUMIFS('ON Data'!AM:AM,'ON Data'!$D:$D,$A$4,'ON Data'!$E:$E,4),SUMIFS('ON Data'!AM:AM,'ON Data'!$E:$E,4))</f>
        <v>0</v>
      </c>
      <c r="AH13" s="557"/>
    </row>
    <row r="14" spans="1:34" ht="15" thickBot="1" x14ac:dyDescent="0.35">
      <c r="A14" s="251" t="s">
        <v>221</v>
      </c>
      <c r="B14" s="270">
        <f xml:space="preserve">
IF($A$4&lt;=12,SUMIFS('ON Data'!F:F,'ON Data'!$D:$D,$A$4,'ON Data'!$E:$E,5),SUMIFS('ON Data'!F:F,'ON Data'!$E:$E,5))</f>
        <v>0</v>
      </c>
      <c r="C14" s="271">
        <f xml:space="preserve">
IF($A$4&lt;=12,SUMIFS('ON Data'!G:G,'ON Data'!$D:$D,$A$4,'ON Data'!$E:$E,5),SUMIFS('ON Data'!G:G,'ON Data'!$E:$E,5))</f>
        <v>0</v>
      </c>
      <c r="D14" s="272">
        <f xml:space="preserve">
IF($A$4&lt;=12,SUMIFS('ON Data'!H:H,'ON Data'!$D:$D,$A$4,'ON Data'!$E:$E,5),SUMIFS('ON Data'!H:H,'ON Data'!$E:$E,5))</f>
        <v>0</v>
      </c>
      <c r="E14" s="272">
        <f xml:space="preserve">
IF($A$4&lt;=12,SUMIFS('ON Data'!I:I,'ON Data'!$D:$D,$A$4,'ON Data'!$E:$E,5),SUMIFS('ON Data'!I:I,'ON Data'!$E:$E,5))</f>
        <v>0</v>
      </c>
      <c r="F14" s="272">
        <f xml:space="preserve">
IF($A$4&lt;=12,SUMIFS('ON Data'!K:K,'ON Data'!$D:$D,$A$4,'ON Data'!$E:$E,5),SUMIFS('ON Data'!K:K,'ON Data'!$E:$E,5))</f>
        <v>0</v>
      </c>
      <c r="G14" s="272">
        <f xml:space="preserve">
IF($A$4&lt;=12,SUMIFS('ON Data'!L:L,'ON Data'!$D:$D,$A$4,'ON Data'!$E:$E,5),SUMIFS('ON Data'!L:L,'ON Data'!$E:$E,5))</f>
        <v>0</v>
      </c>
      <c r="H14" s="272">
        <f xml:space="preserve">
IF($A$4&lt;=12,SUMIFS('ON Data'!M:M,'ON Data'!$D:$D,$A$4,'ON Data'!$E:$E,5),SUMIFS('ON Data'!M:M,'ON Data'!$E:$E,5))</f>
        <v>0</v>
      </c>
      <c r="I14" s="272">
        <f xml:space="preserve">
IF($A$4&lt;=12,SUMIFS('ON Data'!N:N,'ON Data'!$D:$D,$A$4,'ON Data'!$E:$E,5),SUMIFS('ON Data'!N:N,'ON Data'!$E:$E,5))</f>
        <v>0</v>
      </c>
      <c r="J14" s="272">
        <f xml:space="preserve">
IF($A$4&lt;=12,SUMIFS('ON Data'!O:O,'ON Data'!$D:$D,$A$4,'ON Data'!$E:$E,5),SUMIFS('ON Data'!O:O,'ON Data'!$E:$E,5))</f>
        <v>0</v>
      </c>
      <c r="K14" s="272">
        <f xml:space="preserve">
IF($A$4&lt;=12,SUMIFS('ON Data'!P:P,'ON Data'!$D:$D,$A$4,'ON Data'!$E:$E,5),SUMIFS('ON Data'!P:P,'ON Data'!$E:$E,5))</f>
        <v>0</v>
      </c>
      <c r="L14" s="272">
        <f xml:space="preserve">
IF($A$4&lt;=12,SUMIFS('ON Data'!Q:Q,'ON Data'!$D:$D,$A$4,'ON Data'!$E:$E,5),SUMIFS('ON Data'!Q:Q,'ON Data'!$E:$E,5))</f>
        <v>0</v>
      </c>
      <c r="M14" s="272">
        <f xml:space="preserve">
IF($A$4&lt;=12,SUMIFS('ON Data'!R:R,'ON Data'!$D:$D,$A$4,'ON Data'!$E:$E,5),SUMIFS('ON Data'!R:R,'ON Data'!$E:$E,5))</f>
        <v>0</v>
      </c>
      <c r="N14" s="272">
        <f xml:space="preserve">
IF($A$4&lt;=12,SUMIFS('ON Data'!S:S,'ON Data'!$D:$D,$A$4,'ON Data'!$E:$E,5),SUMIFS('ON Data'!S:S,'ON Data'!$E:$E,5))</f>
        <v>0</v>
      </c>
      <c r="O14" s="272">
        <f xml:space="preserve">
IF($A$4&lt;=12,SUMIFS('ON Data'!T:T,'ON Data'!$D:$D,$A$4,'ON Data'!$E:$E,5),SUMIFS('ON Data'!T:T,'ON Data'!$E:$E,5))</f>
        <v>0</v>
      </c>
      <c r="P14" s="272">
        <f xml:space="preserve">
IF($A$4&lt;=12,SUMIFS('ON Data'!U:U,'ON Data'!$D:$D,$A$4,'ON Data'!$E:$E,5),SUMIFS('ON Data'!U:U,'ON Data'!$E:$E,5))</f>
        <v>0</v>
      </c>
      <c r="Q14" s="272">
        <f xml:space="preserve">
IF($A$4&lt;=12,SUMIFS('ON Data'!V:V,'ON Data'!$D:$D,$A$4,'ON Data'!$E:$E,5),SUMIFS('ON Data'!V:V,'ON Data'!$E:$E,5))</f>
        <v>0</v>
      </c>
      <c r="R14" s="272">
        <f xml:space="preserve">
IF($A$4&lt;=12,SUMIFS('ON Data'!W:W,'ON Data'!$D:$D,$A$4,'ON Data'!$E:$E,5),SUMIFS('ON Data'!W:W,'ON Data'!$E:$E,5))</f>
        <v>0</v>
      </c>
      <c r="S14" s="272">
        <f xml:space="preserve">
IF($A$4&lt;=12,SUMIFS('ON Data'!X:X,'ON Data'!$D:$D,$A$4,'ON Data'!$E:$E,5),SUMIFS('ON Data'!X:X,'ON Data'!$E:$E,5))</f>
        <v>0</v>
      </c>
      <c r="T14" s="272">
        <f xml:space="preserve">
IF($A$4&lt;=12,SUMIFS('ON Data'!Y:Y,'ON Data'!$D:$D,$A$4,'ON Data'!$E:$E,5),SUMIFS('ON Data'!Y:Y,'ON Data'!$E:$E,5))</f>
        <v>0</v>
      </c>
      <c r="U14" s="272">
        <f xml:space="preserve">
IF($A$4&lt;=12,SUMIFS('ON Data'!Z:Z,'ON Data'!$D:$D,$A$4,'ON Data'!$E:$E,5),SUMIFS('ON Data'!Z:Z,'ON Data'!$E:$E,5))</f>
        <v>0</v>
      </c>
      <c r="V14" s="272">
        <f xml:space="preserve">
IF($A$4&lt;=12,SUMIFS('ON Data'!AA:AA,'ON Data'!$D:$D,$A$4,'ON Data'!$E:$E,5),SUMIFS('ON Data'!AA:AA,'ON Data'!$E:$E,5))</f>
        <v>0</v>
      </c>
      <c r="W14" s="272">
        <f xml:space="preserve">
IF($A$4&lt;=12,SUMIFS('ON Data'!AB:AB,'ON Data'!$D:$D,$A$4,'ON Data'!$E:$E,5),SUMIFS('ON Data'!AB:AB,'ON Data'!$E:$E,5))</f>
        <v>0</v>
      </c>
      <c r="X14" s="272">
        <f xml:space="preserve">
IF($A$4&lt;=12,SUMIFS('ON Data'!AC:AC,'ON Data'!$D:$D,$A$4,'ON Data'!$E:$E,5),SUMIFS('ON Data'!AC:AC,'ON Data'!$E:$E,5))</f>
        <v>0</v>
      </c>
      <c r="Y14" s="272">
        <f xml:space="preserve">
IF($A$4&lt;=12,SUMIFS('ON Data'!AD:AD,'ON Data'!$D:$D,$A$4,'ON Data'!$E:$E,5),SUMIFS('ON Data'!AD:AD,'ON Data'!$E:$E,5))</f>
        <v>0</v>
      </c>
      <c r="Z14" s="272">
        <f xml:space="preserve">
IF($A$4&lt;=12,SUMIFS('ON Data'!AE:AE,'ON Data'!$D:$D,$A$4,'ON Data'!$E:$E,5),SUMIFS('ON Data'!AE:AE,'ON Data'!$E:$E,5))</f>
        <v>0</v>
      </c>
      <c r="AA14" s="272">
        <f xml:space="preserve">
IF($A$4&lt;=12,SUMIFS('ON Data'!AF:AF,'ON Data'!$D:$D,$A$4,'ON Data'!$E:$E,5),SUMIFS('ON Data'!AF:AF,'ON Data'!$E:$E,5))</f>
        <v>0</v>
      </c>
      <c r="AB14" s="272">
        <f xml:space="preserve">
IF($A$4&lt;=12,SUMIFS('ON Data'!AG:AG,'ON Data'!$D:$D,$A$4,'ON Data'!$E:$E,5),SUMIFS('ON Data'!AG:AG,'ON Data'!$E:$E,5))</f>
        <v>0</v>
      </c>
      <c r="AC14" s="272">
        <f xml:space="preserve">
IF($A$4&lt;=12,SUMIFS('ON Data'!AH:AH,'ON Data'!$D:$D,$A$4,'ON Data'!$E:$E,5),SUMIFS('ON Data'!AH:AH,'ON Data'!$E:$E,5))</f>
        <v>0</v>
      </c>
      <c r="AD14" s="272">
        <f xml:space="preserve">
IF($A$4&lt;=12,SUMIFS('ON Data'!AI:AI,'ON Data'!$D:$D,$A$4,'ON Data'!$E:$E,5),SUMIFS('ON Data'!AI:AI,'ON Data'!$E:$E,5))</f>
        <v>0</v>
      </c>
      <c r="AE14" s="272">
        <f xml:space="preserve">
IF($A$4&lt;=12,SUMIFS('ON Data'!AJ:AJ,'ON Data'!$D:$D,$A$4,'ON Data'!$E:$E,5),SUMIFS('ON Data'!AJ:AJ,'ON Data'!$E:$E,5))</f>
        <v>0</v>
      </c>
      <c r="AF14" s="272">
        <f xml:space="preserve">
IF($A$4&lt;=12,SUMIFS('ON Data'!AK:AK,'ON Data'!$D:$D,$A$4,'ON Data'!$E:$E,5),SUMIFS('ON Data'!AK:AK,'ON Data'!$E:$E,5))</f>
        <v>0</v>
      </c>
      <c r="AG14" s="549">
        <f xml:space="preserve">
IF($A$4&lt;=12,SUMIFS('ON Data'!AM:AM,'ON Data'!$D:$D,$A$4,'ON Data'!$E:$E,5),SUMIFS('ON Data'!AM:AM,'ON Data'!$E:$E,5))</f>
        <v>0</v>
      </c>
      <c r="AH14" s="557"/>
    </row>
    <row r="15" spans="1:34" x14ac:dyDescent="0.3">
      <c r="A15" s="166" t="s">
        <v>231</v>
      </c>
      <c r="B15" s="273"/>
      <c r="C15" s="274"/>
      <c r="D15" s="275"/>
      <c r="E15" s="275"/>
      <c r="F15" s="275"/>
      <c r="G15" s="275"/>
      <c r="H15" s="275"/>
      <c r="I15" s="275"/>
      <c r="J15" s="275"/>
      <c r="K15" s="275"/>
      <c r="L15" s="275"/>
      <c r="M15" s="275"/>
      <c r="N15" s="275"/>
      <c r="O15" s="275"/>
      <c r="P15" s="275"/>
      <c r="Q15" s="275"/>
      <c r="R15" s="275"/>
      <c r="S15" s="275"/>
      <c r="T15" s="275"/>
      <c r="U15" s="275"/>
      <c r="V15" s="275"/>
      <c r="W15" s="275"/>
      <c r="X15" s="275"/>
      <c r="Y15" s="275"/>
      <c r="Z15" s="275"/>
      <c r="AA15" s="275"/>
      <c r="AB15" s="275"/>
      <c r="AC15" s="275"/>
      <c r="AD15" s="275"/>
      <c r="AE15" s="275"/>
      <c r="AF15" s="275"/>
      <c r="AG15" s="550"/>
      <c r="AH15" s="557"/>
    </row>
    <row r="16" spans="1:34" x14ac:dyDescent="0.3">
      <c r="A16" s="252" t="s">
        <v>222</v>
      </c>
      <c r="B16" s="267">
        <f xml:space="preserve">
IF($A$4&lt;=12,SUMIFS('ON Data'!F:F,'ON Data'!$D:$D,$A$4,'ON Data'!$E:$E,7),SUMIFS('ON Data'!F:F,'ON Data'!$E:$E,7))</f>
        <v>0</v>
      </c>
      <c r="C16" s="268">
        <f xml:space="preserve">
IF($A$4&lt;=12,SUMIFS('ON Data'!G:G,'ON Data'!$D:$D,$A$4,'ON Data'!$E:$E,7),SUMIFS('ON Data'!G:G,'ON Data'!$E:$E,7))</f>
        <v>0</v>
      </c>
      <c r="D16" s="269">
        <f xml:space="preserve">
IF($A$4&lt;=12,SUMIFS('ON Data'!H:H,'ON Data'!$D:$D,$A$4,'ON Data'!$E:$E,7),SUMIFS('ON Data'!H:H,'ON Data'!$E:$E,7))</f>
        <v>0</v>
      </c>
      <c r="E16" s="269">
        <f xml:space="preserve">
IF($A$4&lt;=12,SUMIFS('ON Data'!I:I,'ON Data'!$D:$D,$A$4,'ON Data'!$E:$E,7),SUMIFS('ON Data'!I:I,'ON Data'!$E:$E,7))</f>
        <v>0</v>
      </c>
      <c r="F16" s="269">
        <f xml:space="preserve">
IF($A$4&lt;=12,SUMIFS('ON Data'!K:K,'ON Data'!$D:$D,$A$4,'ON Data'!$E:$E,7),SUMIFS('ON Data'!K:K,'ON Data'!$E:$E,7))</f>
        <v>0</v>
      </c>
      <c r="G16" s="269">
        <f xml:space="preserve">
IF($A$4&lt;=12,SUMIFS('ON Data'!L:L,'ON Data'!$D:$D,$A$4,'ON Data'!$E:$E,7),SUMIFS('ON Data'!L:L,'ON Data'!$E:$E,7))</f>
        <v>0</v>
      </c>
      <c r="H16" s="269">
        <f xml:space="preserve">
IF($A$4&lt;=12,SUMIFS('ON Data'!M:M,'ON Data'!$D:$D,$A$4,'ON Data'!$E:$E,7),SUMIFS('ON Data'!M:M,'ON Data'!$E:$E,7))</f>
        <v>0</v>
      </c>
      <c r="I16" s="269">
        <f xml:space="preserve">
IF($A$4&lt;=12,SUMIFS('ON Data'!N:N,'ON Data'!$D:$D,$A$4,'ON Data'!$E:$E,7),SUMIFS('ON Data'!N:N,'ON Data'!$E:$E,7))</f>
        <v>0</v>
      </c>
      <c r="J16" s="269">
        <f xml:space="preserve">
IF($A$4&lt;=12,SUMIFS('ON Data'!O:O,'ON Data'!$D:$D,$A$4,'ON Data'!$E:$E,7),SUMIFS('ON Data'!O:O,'ON Data'!$E:$E,7))</f>
        <v>0</v>
      </c>
      <c r="K16" s="269">
        <f xml:space="preserve">
IF($A$4&lt;=12,SUMIFS('ON Data'!P:P,'ON Data'!$D:$D,$A$4,'ON Data'!$E:$E,7),SUMIFS('ON Data'!P:P,'ON Data'!$E:$E,7))</f>
        <v>0</v>
      </c>
      <c r="L16" s="269">
        <f xml:space="preserve">
IF($A$4&lt;=12,SUMIFS('ON Data'!Q:Q,'ON Data'!$D:$D,$A$4,'ON Data'!$E:$E,7),SUMIFS('ON Data'!Q:Q,'ON Data'!$E:$E,7))</f>
        <v>0</v>
      </c>
      <c r="M16" s="269">
        <f xml:space="preserve">
IF($A$4&lt;=12,SUMIFS('ON Data'!R:R,'ON Data'!$D:$D,$A$4,'ON Data'!$E:$E,7),SUMIFS('ON Data'!R:R,'ON Data'!$E:$E,7))</f>
        <v>0</v>
      </c>
      <c r="N16" s="269">
        <f xml:space="preserve">
IF($A$4&lt;=12,SUMIFS('ON Data'!S:S,'ON Data'!$D:$D,$A$4,'ON Data'!$E:$E,7),SUMIFS('ON Data'!S:S,'ON Data'!$E:$E,7))</f>
        <v>0</v>
      </c>
      <c r="O16" s="269">
        <f xml:space="preserve">
IF($A$4&lt;=12,SUMIFS('ON Data'!T:T,'ON Data'!$D:$D,$A$4,'ON Data'!$E:$E,7),SUMIFS('ON Data'!T:T,'ON Data'!$E:$E,7))</f>
        <v>0</v>
      </c>
      <c r="P16" s="269">
        <f xml:space="preserve">
IF($A$4&lt;=12,SUMIFS('ON Data'!U:U,'ON Data'!$D:$D,$A$4,'ON Data'!$E:$E,7),SUMIFS('ON Data'!U:U,'ON Data'!$E:$E,7))</f>
        <v>0</v>
      </c>
      <c r="Q16" s="269">
        <f xml:space="preserve">
IF($A$4&lt;=12,SUMIFS('ON Data'!V:V,'ON Data'!$D:$D,$A$4,'ON Data'!$E:$E,7),SUMIFS('ON Data'!V:V,'ON Data'!$E:$E,7))</f>
        <v>0</v>
      </c>
      <c r="R16" s="269">
        <f xml:space="preserve">
IF($A$4&lt;=12,SUMIFS('ON Data'!W:W,'ON Data'!$D:$D,$A$4,'ON Data'!$E:$E,7),SUMIFS('ON Data'!W:W,'ON Data'!$E:$E,7))</f>
        <v>0</v>
      </c>
      <c r="S16" s="269">
        <f xml:space="preserve">
IF($A$4&lt;=12,SUMIFS('ON Data'!X:X,'ON Data'!$D:$D,$A$4,'ON Data'!$E:$E,7),SUMIFS('ON Data'!X:X,'ON Data'!$E:$E,7))</f>
        <v>0</v>
      </c>
      <c r="T16" s="269">
        <f xml:space="preserve">
IF($A$4&lt;=12,SUMIFS('ON Data'!Y:Y,'ON Data'!$D:$D,$A$4,'ON Data'!$E:$E,7),SUMIFS('ON Data'!Y:Y,'ON Data'!$E:$E,7))</f>
        <v>0</v>
      </c>
      <c r="U16" s="269">
        <f xml:space="preserve">
IF($A$4&lt;=12,SUMIFS('ON Data'!Z:Z,'ON Data'!$D:$D,$A$4,'ON Data'!$E:$E,7),SUMIFS('ON Data'!Z:Z,'ON Data'!$E:$E,7))</f>
        <v>0</v>
      </c>
      <c r="V16" s="269">
        <f xml:space="preserve">
IF($A$4&lt;=12,SUMIFS('ON Data'!AA:AA,'ON Data'!$D:$D,$A$4,'ON Data'!$E:$E,7),SUMIFS('ON Data'!AA:AA,'ON Data'!$E:$E,7))</f>
        <v>0</v>
      </c>
      <c r="W16" s="269">
        <f xml:space="preserve">
IF($A$4&lt;=12,SUMIFS('ON Data'!AB:AB,'ON Data'!$D:$D,$A$4,'ON Data'!$E:$E,7),SUMIFS('ON Data'!AB:AB,'ON Data'!$E:$E,7))</f>
        <v>0</v>
      </c>
      <c r="X16" s="269">
        <f xml:space="preserve">
IF($A$4&lt;=12,SUMIFS('ON Data'!AC:AC,'ON Data'!$D:$D,$A$4,'ON Data'!$E:$E,7),SUMIFS('ON Data'!AC:AC,'ON Data'!$E:$E,7))</f>
        <v>0</v>
      </c>
      <c r="Y16" s="269">
        <f xml:space="preserve">
IF($A$4&lt;=12,SUMIFS('ON Data'!AD:AD,'ON Data'!$D:$D,$A$4,'ON Data'!$E:$E,7),SUMIFS('ON Data'!AD:AD,'ON Data'!$E:$E,7))</f>
        <v>0</v>
      </c>
      <c r="Z16" s="269">
        <f xml:space="preserve">
IF($A$4&lt;=12,SUMIFS('ON Data'!AE:AE,'ON Data'!$D:$D,$A$4,'ON Data'!$E:$E,7),SUMIFS('ON Data'!AE:AE,'ON Data'!$E:$E,7))</f>
        <v>0</v>
      </c>
      <c r="AA16" s="269">
        <f xml:space="preserve">
IF($A$4&lt;=12,SUMIFS('ON Data'!AF:AF,'ON Data'!$D:$D,$A$4,'ON Data'!$E:$E,7),SUMIFS('ON Data'!AF:AF,'ON Data'!$E:$E,7))</f>
        <v>0</v>
      </c>
      <c r="AB16" s="269">
        <f xml:space="preserve">
IF($A$4&lt;=12,SUMIFS('ON Data'!AG:AG,'ON Data'!$D:$D,$A$4,'ON Data'!$E:$E,7),SUMIFS('ON Data'!AG:AG,'ON Data'!$E:$E,7))</f>
        <v>0</v>
      </c>
      <c r="AC16" s="269">
        <f xml:space="preserve">
IF($A$4&lt;=12,SUMIFS('ON Data'!AH:AH,'ON Data'!$D:$D,$A$4,'ON Data'!$E:$E,7),SUMIFS('ON Data'!AH:AH,'ON Data'!$E:$E,7))</f>
        <v>0</v>
      </c>
      <c r="AD16" s="269">
        <f xml:space="preserve">
IF($A$4&lt;=12,SUMIFS('ON Data'!AI:AI,'ON Data'!$D:$D,$A$4,'ON Data'!$E:$E,7),SUMIFS('ON Data'!AI:AI,'ON Data'!$E:$E,7))</f>
        <v>0</v>
      </c>
      <c r="AE16" s="269">
        <f xml:space="preserve">
IF($A$4&lt;=12,SUMIFS('ON Data'!AJ:AJ,'ON Data'!$D:$D,$A$4,'ON Data'!$E:$E,7),SUMIFS('ON Data'!AJ:AJ,'ON Data'!$E:$E,7))</f>
        <v>0</v>
      </c>
      <c r="AF16" s="269">
        <f xml:space="preserve">
IF($A$4&lt;=12,SUMIFS('ON Data'!AK:AK,'ON Data'!$D:$D,$A$4,'ON Data'!$E:$E,7),SUMIFS('ON Data'!AK:AK,'ON Data'!$E:$E,7))</f>
        <v>0</v>
      </c>
      <c r="AG16" s="548">
        <f xml:space="preserve">
IF($A$4&lt;=12,SUMIFS('ON Data'!AM:AM,'ON Data'!$D:$D,$A$4,'ON Data'!$E:$E,7),SUMIFS('ON Data'!AM:AM,'ON Data'!$E:$E,7))</f>
        <v>0</v>
      </c>
      <c r="AH16" s="557"/>
    </row>
    <row r="17" spans="1:34" x14ac:dyDescent="0.3">
      <c r="A17" s="252" t="s">
        <v>223</v>
      </c>
      <c r="B17" s="267">
        <f xml:space="preserve">
IF($A$4&lt;=12,SUMIFS('ON Data'!F:F,'ON Data'!$D:$D,$A$4,'ON Data'!$E:$E,8),SUMIFS('ON Data'!F:F,'ON Data'!$E:$E,8))</f>
        <v>0</v>
      </c>
      <c r="C17" s="268">
        <f xml:space="preserve">
IF($A$4&lt;=12,SUMIFS('ON Data'!G:G,'ON Data'!$D:$D,$A$4,'ON Data'!$E:$E,8),SUMIFS('ON Data'!G:G,'ON Data'!$E:$E,8))</f>
        <v>0</v>
      </c>
      <c r="D17" s="269">
        <f xml:space="preserve">
IF($A$4&lt;=12,SUMIFS('ON Data'!H:H,'ON Data'!$D:$D,$A$4,'ON Data'!$E:$E,8),SUMIFS('ON Data'!H:H,'ON Data'!$E:$E,8))</f>
        <v>0</v>
      </c>
      <c r="E17" s="269">
        <f xml:space="preserve">
IF($A$4&lt;=12,SUMIFS('ON Data'!I:I,'ON Data'!$D:$D,$A$4,'ON Data'!$E:$E,8),SUMIFS('ON Data'!I:I,'ON Data'!$E:$E,8))</f>
        <v>0</v>
      </c>
      <c r="F17" s="269">
        <f xml:space="preserve">
IF($A$4&lt;=12,SUMIFS('ON Data'!K:K,'ON Data'!$D:$D,$A$4,'ON Data'!$E:$E,8),SUMIFS('ON Data'!K:K,'ON Data'!$E:$E,8))</f>
        <v>0</v>
      </c>
      <c r="G17" s="269">
        <f xml:space="preserve">
IF($A$4&lt;=12,SUMIFS('ON Data'!L:L,'ON Data'!$D:$D,$A$4,'ON Data'!$E:$E,8),SUMIFS('ON Data'!L:L,'ON Data'!$E:$E,8))</f>
        <v>0</v>
      </c>
      <c r="H17" s="269">
        <f xml:space="preserve">
IF($A$4&lt;=12,SUMIFS('ON Data'!M:M,'ON Data'!$D:$D,$A$4,'ON Data'!$E:$E,8),SUMIFS('ON Data'!M:M,'ON Data'!$E:$E,8))</f>
        <v>0</v>
      </c>
      <c r="I17" s="269">
        <f xml:space="preserve">
IF($A$4&lt;=12,SUMIFS('ON Data'!N:N,'ON Data'!$D:$D,$A$4,'ON Data'!$E:$E,8),SUMIFS('ON Data'!N:N,'ON Data'!$E:$E,8))</f>
        <v>0</v>
      </c>
      <c r="J17" s="269">
        <f xml:space="preserve">
IF($A$4&lt;=12,SUMIFS('ON Data'!O:O,'ON Data'!$D:$D,$A$4,'ON Data'!$E:$E,8),SUMIFS('ON Data'!O:O,'ON Data'!$E:$E,8))</f>
        <v>0</v>
      </c>
      <c r="K17" s="269">
        <f xml:space="preserve">
IF($A$4&lt;=12,SUMIFS('ON Data'!P:P,'ON Data'!$D:$D,$A$4,'ON Data'!$E:$E,8),SUMIFS('ON Data'!P:P,'ON Data'!$E:$E,8))</f>
        <v>0</v>
      </c>
      <c r="L17" s="269">
        <f xml:space="preserve">
IF($A$4&lt;=12,SUMIFS('ON Data'!Q:Q,'ON Data'!$D:$D,$A$4,'ON Data'!$E:$E,8),SUMIFS('ON Data'!Q:Q,'ON Data'!$E:$E,8))</f>
        <v>0</v>
      </c>
      <c r="M17" s="269">
        <f xml:space="preserve">
IF($A$4&lt;=12,SUMIFS('ON Data'!R:R,'ON Data'!$D:$D,$A$4,'ON Data'!$E:$E,8),SUMIFS('ON Data'!R:R,'ON Data'!$E:$E,8))</f>
        <v>0</v>
      </c>
      <c r="N17" s="269">
        <f xml:space="preserve">
IF($A$4&lt;=12,SUMIFS('ON Data'!S:S,'ON Data'!$D:$D,$A$4,'ON Data'!$E:$E,8),SUMIFS('ON Data'!S:S,'ON Data'!$E:$E,8))</f>
        <v>0</v>
      </c>
      <c r="O17" s="269">
        <f xml:space="preserve">
IF($A$4&lt;=12,SUMIFS('ON Data'!T:T,'ON Data'!$D:$D,$A$4,'ON Data'!$E:$E,8),SUMIFS('ON Data'!T:T,'ON Data'!$E:$E,8))</f>
        <v>0</v>
      </c>
      <c r="P17" s="269">
        <f xml:space="preserve">
IF($A$4&lt;=12,SUMIFS('ON Data'!U:U,'ON Data'!$D:$D,$A$4,'ON Data'!$E:$E,8),SUMIFS('ON Data'!U:U,'ON Data'!$E:$E,8))</f>
        <v>0</v>
      </c>
      <c r="Q17" s="269">
        <f xml:space="preserve">
IF($A$4&lt;=12,SUMIFS('ON Data'!V:V,'ON Data'!$D:$D,$A$4,'ON Data'!$E:$E,8),SUMIFS('ON Data'!V:V,'ON Data'!$E:$E,8))</f>
        <v>0</v>
      </c>
      <c r="R17" s="269">
        <f xml:space="preserve">
IF($A$4&lt;=12,SUMIFS('ON Data'!W:W,'ON Data'!$D:$D,$A$4,'ON Data'!$E:$E,8),SUMIFS('ON Data'!W:W,'ON Data'!$E:$E,8))</f>
        <v>0</v>
      </c>
      <c r="S17" s="269">
        <f xml:space="preserve">
IF($A$4&lt;=12,SUMIFS('ON Data'!X:X,'ON Data'!$D:$D,$A$4,'ON Data'!$E:$E,8),SUMIFS('ON Data'!X:X,'ON Data'!$E:$E,8))</f>
        <v>0</v>
      </c>
      <c r="T17" s="269">
        <f xml:space="preserve">
IF($A$4&lt;=12,SUMIFS('ON Data'!Y:Y,'ON Data'!$D:$D,$A$4,'ON Data'!$E:$E,8),SUMIFS('ON Data'!Y:Y,'ON Data'!$E:$E,8))</f>
        <v>0</v>
      </c>
      <c r="U17" s="269">
        <f xml:space="preserve">
IF($A$4&lt;=12,SUMIFS('ON Data'!Z:Z,'ON Data'!$D:$D,$A$4,'ON Data'!$E:$E,8),SUMIFS('ON Data'!Z:Z,'ON Data'!$E:$E,8))</f>
        <v>0</v>
      </c>
      <c r="V17" s="269">
        <f xml:space="preserve">
IF($A$4&lt;=12,SUMIFS('ON Data'!AA:AA,'ON Data'!$D:$D,$A$4,'ON Data'!$E:$E,8),SUMIFS('ON Data'!AA:AA,'ON Data'!$E:$E,8))</f>
        <v>0</v>
      </c>
      <c r="W17" s="269">
        <f xml:space="preserve">
IF($A$4&lt;=12,SUMIFS('ON Data'!AB:AB,'ON Data'!$D:$D,$A$4,'ON Data'!$E:$E,8),SUMIFS('ON Data'!AB:AB,'ON Data'!$E:$E,8))</f>
        <v>0</v>
      </c>
      <c r="X17" s="269">
        <f xml:space="preserve">
IF($A$4&lt;=12,SUMIFS('ON Data'!AC:AC,'ON Data'!$D:$D,$A$4,'ON Data'!$E:$E,8),SUMIFS('ON Data'!AC:AC,'ON Data'!$E:$E,8))</f>
        <v>0</v>
      </c>
      <c r="Y17" s="269">
        <f xml:space="preserve">
IF($A$4&lt;=12,SUMIFS('ON Data'!AD:AD,'ON Data'!$D:$D,$A$4,'ON Data'!$E:$E,8),SUMIFS('ON Data'!AD:AD,'ON Data'!$E:$E,8))</f>
        <v>0</v>
      </c>
      <c r="Z17" s="269">
        <f xml:space="preserve">
IF($A$4&lt;=12,SUMIFS('ON Data'!AE:AE,'ON Data'!$D:$D,$A$4,'ON Data'!$E:$E,8),SUMIFS('ON Data'!AE:AE,'ON Data'!$E:$E,8))</f>
        <v>0</v>
      </c>
      <c r="AA17" s="269">
        <f xml:space="preserve">
IF($A$4&lt;=12,SUMIFS('ON Data'!AF:AF,'ON Data'!$D:$D,$A$4,'ON Data'!$E:$E,8),SUMIFS('ON Data'!AF:AF,'ON Data'!$E:$E,8))</f>
        <v>0</v>
      </c>
      <c r="AB17" s="269">
        <f xml:space="preserve">
IF($A$4&lt;=12,SUMIFS('ON Data'!AG:AG,'ON Data'!$D:$D,$A$4,'ON Data'!$E:$E,8),SUMIFS('ON Data'!AG:AG,'ON Data'!$E:$E,8))</f>
        <v>0</v>
      </c>
      <c r="AC17" s="269">
        <f xml:space="preserve">
IF($A$4&lt;=12,SUMIFS('ON Data'!AH:AH,'ON Data'!$D:$D,$A$4,'ON Data'!$E:$E,8),SUMIFS('ON Data'!AH:AH,'ON Data'!$E:$E,8))</f>
        <v>0</v>
      </c>
      <c r="AD17" s="269">
        <f xml:space="preserve">
IF($A$4&lt;=12,SUMIFS('ON Data'!AI:AI,'ON Data'!$D:$D,$A$4,'ON Data'!$E:$E,8),SUMIFS('ON Data'!AI:AI,'ON Data'!$E:$E,8))</f>
        <v>0</v>
      </c>
      <c r="AE17" s="269">
        <f xml:space="preserve">
IF($A$4&lt;=12,SUMIFS('ON Data'!AJ:AJ,'ON Data'!$D:$D,$A$4,'ON Data'!$E:$E,8),SUMIFS('ON Data'!AJ:AJ,'ON Data'!$E:$E,8))</f>
        <v>0</v>
      </c>
      <c r="AF17" s="269">
        <f xml:space="preserve">
IF($A$4&lt;=12,SUMIFS('ON Data'!AK:AK,'ON Data'!$D:$D,$A$4,'ON Data'!$E:$E,8),SUMIFS('ON Data'!AK:AK,'ON Data'!$E:$E,8))</f>
        <v>0</v>
      </c>
      <c r="AG17" s="548">
        <f xml:space="preserve">
IF($A$4&lt;=12,SUMIFS('ON Data'!AM:AM,'ON Data'!$D:$D,$A$4,'ON Data'!$E:$E,8),SUMIFS('ON Data'!AM:AM,'ON Data'!$E:$E,8))</f>
        <v>0</v>
      </c>
      <c r="AH17" s="557"/>
    </row>
    <row r="18" spans="1:34" x14ac:dyDescent="0.3">
      <c r="A18" s="252" t="s">
        <v>224</v>
      </c>
      <c r="B18" s="267">
        <f xml:space="preserve">
B19-B16-B17</f>
        <v>8434</v>
      </c>
      <c r="C18" s="268">
        <f t="shared" ref="C18" si="0" xml:space="preserve">
C19-C16-C17</f>
        <v>0</v>
      </c>
      <c r="D18" s="269">
        <f t="shared" ref="D18:AG18" si="1" xml:space="preserve">
D19-D16-D17</f>
        <v>8000</v>
      </c>
      <c r="E18" s="269">
        <f t="shared" si="1"/>
        <v>0</v>
      </c>
      <c r="F18" s="269">
        <f t="shared" si="1"/>
        <v>0</v>
      </c>
      <c r="G18" s="269">
        <f t="shared" si="1"/>
        <v>0</v>
      </c>
      <c r="H18" s="269">
        <f t="shared" si="1"/>
        <v>0</v>
      </c>
      <c r="I18" s="269">
        <f t="shared" si="1"/>
        <v>0</v>
      </c>
      <c r="J18" s="269">
        <f t="shared" si="1"/>
        <v>0</v>
      </c>
      <c r="K18" s="269">
        <f t="shared" si="1"/>
        <v>0</v>
      </c>
      <c r="L18" s="269">
        <f t="shared" si="1"/>
        <v>0</v>
      </c>
      <c r="M18" s="269">
        <f t="shared" si="1"/>
        <v>0</v>
      </c>
      <c r="N18" s="269">
        <f t="shared" si="1"/>
        <v>0</v>
      </c>
      <c r="O18" s="269">
        <f t="shared" si="1"/>
        <v>0</v>
      </c>
      <c r="P18" s="269">
        <f t="shared" si="1"/>
        <v>0</v>
      </c>
      <c r="Q18" s="269">
        <f t="shared" si="1"/>
        <v>0</v>
      </c>
      <c r="R18" s="269">
        <f t="shared" si="1"/>
        <v>0</v>
      </c>
      <c r="S18" s="269">
        <f t="shared" si="1"/>
        <v>0</v>
      </c>
      <c r="T18" s="269">
        <f t="shared" si="1"/>
        <v>0</v>
      </c>
      <c r="U18" s="269">
        <f t="shared" si="1"/>
        <v>0</v>
      </c>
      <c r="V18" s="269">
        <f t="shared" si="1"/>
        <v>0</v>
      </c>
      <c r="W18" s="269">
        <f t="shared" si="1"/>
        <v>0</v>
      </c>
      <c r="X18" s="269">
        <f t="shared" si="1"/>
        <v>0</v>
      </c>
      <c r="Y18" s="269">
        <f t="shared" si="1"/>
        <v>0</v>
      </c>
      <c r="Z18" s="269">
        <f t="shared" si="1"/>
        <v>0</v>
      </c>
      <c r="AA18" s="269">
        <f t="shared" si="1"/>
        <v>0</v>
      </c>
      <c r="AB18" s="269">
        <f t="shared" si="1"/>
        <v>0</v>
      </c>
      <c r="AC18" s="269">
        <f t="shared" si="1"/>
        <v>0</v>
      </c>
      <c r="AD18" s="269">
        <f t="shared" si="1"/>
        <v>0</v>
      </c>
      <c r="AE18" s="269">
        <f t="shared" si="1"/>
        <v>0</v>
      </c>
      <c r="AF18" s="269">
        <f t="shared" si="1"/>
        <v>0</v>
      </c>
      <c r="AG18" s="548">
        <f t="shared" si="1"/>
        <v>434</v>
      </c>
      <c r="AH18" s="557"/>
    </row>
    <row r="19" spans="1:34" ht="15" thickBot="1" x14ac:dyDescent="0.35">
      <c r="A19" s="253" t="s">
        <v>225</v>
      </c>
      <c r="B19" s="276">
        <f xml:space="preserve">
IF($A$4&lt;=12,SUMIFS('ON Data'!F:F,'ON Data'!$D:$D,$A$4,'ON Data'!$E:$E,9),SUMIFS('ON Data'!F:F,'ON Data'!$E:$E,9))</f>
        <v>8434</v>
      </c>
      <c r="C19" s="277">
        <f xml:space="preserve">
IF($A$4&lt;=12,SUMIFS('ON Data'!G:G,'ON Data'!$D:$D,$A$4,'ON Data'!$E:$E,9),SUMIFS('ON Data'!G:G,'ON Data'!$E:$E,9))</f>
        <v>0</v>
      </c>
      <c r="D19" s="278">
        <f xml:space="preserve">
IF($A$4&lt;=12,SUMIFS('ON Data'!H:H,'ON Data'!$D:$D,$A$4,'ON Data'!$E:$E,9),SUMIFS('ON Data'!H:H,'ON Data'!$E:$E,9))</f>
        <v>8000</v>
      </c>
      <c r="E19" s="278">
        <f xml:space="preserve">
IF($A$4&lt;=12,SUMIFS('ON Data'!I:I,'ON Data'!$D:$D,$A$4,'ON Data'!$E:$E,9),SUMIFS('ON Data'!I:I,'ON Data'!$E:$E,9))</f>
        <v>0</v>
      </c>
      <c r="F19" s="278">
        <f xml:space="preserve">
IF($A$4&lt;=12,SUMIFS('ON Data'!K:K,'ON Data'!$D:$D,$A$4,'ON Data'!$E:$E,9),SUMIFS('ON Data'!K:K,'ON Data'!$E:$E,9))</f>
        <v>0</v>
      </c>
      <c r="G19" s="278">
        <f xml:space="preserve">
IF($A$4&lt;=12,SUMIFS('ON Data'!L:L,'ON Data'!$D:$D,$A$4,'ON Data'!$E:$E,9),SUMIFS('ON Data'!L:L,'ON Data'!$E:$E,9))</f>
        <v>0</v>
      </c>
      <c r="H19" s="278">
        <f xml:space="preserve">
IF($A$4&lt;=12,SUMIFS('ON Data'!M:M,'ON Data'!$D:$D,$A$4,'ON Data'!$E:$E,9),SUMIFS('ON Data'!M:M,'ON Data'!$E:$E,9))</f>
        <v>0</v>
      </c>
      <c r="I19" s="278">
        <f xml:space="preserve">
IF($A$4&lt;=12,SUMIFS('ON Data'!N:N,'ON Data'!$D:$D,$A$4,'ON Data'!$E:$E,9),SUMIFS('ON Data'!N:N,'ON Data'!$E:$E,9))</f>
        <v>0</v>
      </c>
      <c r="J19" s="278">
        <f xml:space="preserve">
IF($A$4&lt;=12,SUMIFS('ON Data'!O:O,'ON Data'!$D:$D,$A$4,'ON Data'!$E:$E,9),SUMIFS('ON Data'!O:O,'ON Data'!$E:$E,9))</f>
        <v>0</v>
      </c>
      <c r="K19" s="278">
        <f xml:space="preserve">
IF($A$4&lt;=12,SUMIFS('ON Data'!P:P,'ON Data'!$D:$D,$A$4,'ON Data'!$E:$E,9),SUMIFS('ON Data'!P:P,'ON Data'!$E:$E,9))</f>
        <v>0</v>
      </c>
      <c r="L19" s="278">
        <f xml:space="preserve">
IF($A$4&lt;=12,SUMIFS('ON Data'!Q:Q,'ON Data'!$D:$D,$A$4,'ON Data'!$E:$E,9),SUMIFS('ON Data'!Q:Q,'ON Data'!$E:$E,9))</f>
        <v>0</v>
      </c>
      <c r="M19" s="278">
        <f xml:space="preserve">
IF($A$4&lt;=12,SUMIFS('ON Data'!R:R,'ON Data'!$D:$D,$A$4,'ON Data'!$E:$E,9),SUMIFS('ON Data'!R:R,'ON Data'!$E:$E,9))</f>
        <v>0</v>
      </c>
      <c r="N19" s="278">
        <f xml:space="preserve">
IF($A$4&lt;=12,SUMIFS('ON Data'!S:S,'ON Data'!$D:$D,$A$4,'ON Data'!$E:$E,9),SUMIFS('ON Data'!S:S,'ON Data'!$E:$E,9))</f>
        <v>0</v>
      </c>
      <c r="O19" s="278">
        <f xml:space="preserve">
IF($A$4&lt;=12,SUMIFS('ON Data'!T:T,'ON Data'!$D:$D,$A$4,'ON Data'!$E:$E,9),SUMIFS('ON Data'!T:T,'ON Data'!$E:$E,9))</f>
        <v>0</v>
      </c>
      <c r="P19" s="278">
        <f xml:space="preserve">
IF($A$4&lt;=12,SUMIFS('ON Data'!U:U,'ON Data'!$D:$D,$A$4,'ON Data'!$E:$E,9),SUMIFS('ON Data'!U:U,'ON Data'!$E:$E,9))</f>
        <v>0</v>
      </c>
      <c r="Q19" s="278">
        <f xml:space="preserve">
IF($A$4&lt;=12,SUMIFS('ON Data'!V:V,'ON Data'!$D:$D,$A$4,'ON Data'!$E:$E,9),SUMIFS('ON Data'!V:V,'ON Data'!$E:$E,9))</f>
        <v>0</v>
      </c>
      <c r="R19" s="278">
        <f xml:space="preserve">
IF($A$4&lt;=12,SUMIFS('ON Data'!W:W,'ON Data'!$D:$D,$A$4,'ON Data'!$E:$E,9),SUMIFS('ON Data'!W:W,'ON Data'!$E:$E,9))</f>
        <v>0</v>
      </c>
      <c r="S19" s="278">
        <f xml:space="preserve">
IF($A$4&lt;=12,SUMIFS('ON Data'!X:X,'ON Data'!$D:$D,$A$4,'ON Data'!$E:$E,9),SUMIFS('ON Data'!X:X,'ON Data'!$E:$E,9))</f>
        <v>0</v>
      </c>
      <c r="T19" s="278">
        <f xml:space="preserve">
IF($A$4&lt;=12,SUMIFS('ON Data'!Y:Y,'ON Data'!$D:$D,$A$4,'ON Data'!$E:$E,9),SUMIFS('ON Data'!Y:Y,'ON Data'!$E:$E,9))</f>
        <v>0</v>
      </c>
      <c r="U19" s="278">
        <f xml:space="preserve">
IF($A$4&lt;=12,SUMIFS('ON Data'!Z:Z,'ON Data'!$D:$D,$A$4,'ON Data'!$E:$E,9),SUMIFS('ON Data'!Z:Z,'ON Data'!$E:$E,9))</f>
        <v>0</v>
      </c>
      <c r="V19" s="278">
        <f xml:space="preserve">
IF($A$4&lt;=12,SUMIFS('ON Data'!AA:AA,'ON Data'!$D:$D,$A$4,'ON Data'!$E:$E,9),SUMIFS('ON Data'!AA:AA,'ON Data'!$E:$E,9))</f>
        <v>0</v>
      </c>
      <c r="W19" s="278">
        <f xml:space="preserve">
IF($A$4&lt;=12,SUMIFS('ON Data'!AB:AB,'ON Data'!$D:$D,$A$4,'ON Data'!$E:$E,9),SUMIFS('ON Data'!AB:AB,'ON Data'!$E:$E,9))</f>
        <v>0</v>
      </c>
      <c r="X19" s="278">
        <f xml:space="preserve">
IF($A$4&lt;=12,SUMIFS('ON Data'!AC:AC,'ON Data'!$D:$D,$A$4,'ON Data'!$E:$E,9),SUMIFS('ON Data'!AC:AC,'ON Data'!$E:$E,9))</f>
        <v>0</v>
      </c>
      <c r="Y19" s="278">
        <f xml:space="preserve">
IF($A$4&lt;=12,SUMIFS('ON Data'!AD:AD,'ON Data'!$D:$D,$A$4,'ON Data'!$E:$E,9),SUMIFS('ON Data'!AD:AD,'ON Data'!$E:$E,9))</f>
        <v>0</v>
      </c>
      <c r="Z19" s="278">
        <f xml:space="preserve">
IF($A$4&lt;=12,SUMIFS('ON Data'!AE:AE,'ON Data'!$D:$D,$A$4,'ON Data'!$E:$E,9),SUMIFS('ON Data'!AE:AE,'ON Data'!$E:$E,9))</f>
        <v>0</v>
      </c>
      <c r="AA19" s="278">
        <f xml:space="preserve">
IF($A$4&lt;=12,SUMIFS('ON Data'!AF:AF,'ON Data'!$D:$D,$A$4,'ON Data'!$E:$E,9),SUMIFS('ON Data'!AF:AF,'ON Data'!$E:$E,9))</f>
        <v>0</v>
      </c>
      <c r="AB19" s="278">
        <f xml:space="preserve">
IF($A$4&lt;=12,SUMIFS('ON Data'!AG:AG,'ON Data'!$D:$D,$A$4,'ON Data'!$E:$E,9),SUMIFS('ON Data'!AG:AG,'ON Data'!$E:$E,9))</f>
        <v>0</v>
      </c>
      <c r="AC19" s="278">
        <f xml:space="preserve">
IF($A$4&lt;=12,SUMIFS('ON Data'!AH:AH,'ON Data'!$D:$D,$A$4,'ON Data'!$E:$E,9),SUMIFS('ON Data'!AH:AH,'ON Data'!$E:$E,9))</f>
        <v>0</v>
      </c>
      <c r="AD19" s="278">
        <f xml:space="preserve">
IF($A$4&lt;=12,SUMIFS('ON Data'!AI:AI,'ON Data'!$D:$D,$A$4,'ON Data'!$E:$E,9),SUMIFS('ON Data'!AI:AI,'ON Data'!$E:$E,9))</f>
        <v>0</v>
      </c>
      <c r="AE19" s="278">
        <f xml:space="preserve">
IF($A$4&lt;=12,SUMIFS('ON Data'!AJ:AJ,'ON Data'!$D:$D,$A$4,'ON Data'!$E:$E,9),SUMIFS('ON Data'!AJ:AJ,'ON Data'!$E:$E,9))</f>
        <v>0</v>
      </c>
      <c r="AF19" s="278">
        <f xml:space="preserve">
IF($A$4&lt;=12,SUMIFS('ON Data'!AK:AK,'ON Data'!$D:$D,$A$4,'ON Data'!$E:$E,9),SUMIFS('ON Data'!AK:AK,'ON Data'!$E:$E,9))</f>
        <v>0</v>
      </c>
      <c r="AG19" s="551">
        <f xml:space="preserve">
IF($A$4&lt;=12,SUMIFS('ON Data'!AM:AM,'ON Data'!$D:$D,$A$4,'ON Data'!$E:$E,9),SUMIFS('ON Data'!AM:AM,'ON Data'!$E:$E,9))</f>
        <v>434</v>
      </c>
      <c r="AH19" s="557"/>
    </row>
    <row r="20" spans="1:34" ht="15" collapsed="1" thickBot="1" x14ac:dyDescent="0.35">
      <c r="A20" s="254" t="s">
        <v>73</v>
      </c>
      <c r="B20" s="279">
        <f xml:space="preserve">
IF($A$4&lt;=12,SUMIFS('ON Data'!F:F,'ON Data'!$D:$D,$A$4,'ON Data'!$E:$E,6),SUMIFS('ON Data'!F:F,'ON Data'!$E:$E,6))</f>
        <v>1557543</v>
      </c>
      <c r="C20" s="280">
        <f xml:space="preserve">
IF($A$4&lt;=12,SUMIFS('ON Data'!G:G,'ON Data'!$D:$D,$A$4,'ON Data'!$E:$E,6),SUMIFS('ON Data'!G:G,'ON Data'!$E:$E,6))</f>
        <v>0</v>
      </c>
      <c r="D20" s="281">
        <f xml:space="preserve">
IF($A$4&lt;=12,SUMIFS('ON Data'!H:H,'ON Data'!$D:$D,$A$4,'ON Data'!$E:$E,6),SUMIFS('ON Data'!H:H,'ON Data'!$E:$E,6))</f>
        <v>884170</v>
      </c>
      <c r="E20" s="281">
        <f xml:space="preserve">
IF($A$4&lt;=12,SUMIFS('ON Data'!I:I,'ON Data'!$D:$D,$A$4,'ON Data'!$E:$E,6),SUMIFS('ON Data'!I:I,'ON Data'!$E:$E,6))</f>
        <v>0</v>
      </c>
      <c r="F20" s="281">
        <f xml:space="preserve">
IF($A$4&lt;=12,SUMIFS('ON Data'!K:K,'ON Data'!$D:$D,$A$4,'ON Data'!$E:$E,6),SUMIFS('ON Data'!K:K,'ON Data'!$E:$E,6))</f>
        <v>541463</v>
      </c>
      <c r="G20" s="281">
        <f xml:space="preserve">
IF($A$4&lt;=12,SUMIFS('ON Data'!L:L,'ON Data'!$D:$D,$A$4,'ON Data'!$E:$E,6),SUMIFS('ON Data'!L:L,'ON Data'!$E:$E,6))</f>
        <v>0</v>
      </c>
      <c r="H20" s="281">
        <f xml:space="preserve">
IF($A$4&lt;=12,SUMIFS('ON Data'!M:M,'ON Data'!$D:$D,$A$4,'ON Data'!$E:$E,6),SUMIFS('ON Data'!M:M,'ON Data'!$E:$E,6))</f>
        <v>0</v>
      </c>
      <c r="I20" s="281">
        <f xml:space="preserve">
IF($A$4&lt;=12,SUMIFS('ON Data'!N:N,'ON Data'!$D:$D,$A$4,'ON Data'!$E:$E,6),SUMIFS('ON Data'!N:N,'ON Data'!$E:$E,6))</f>
        <v>0</v>
      </c>
      <c r="J20" s="281">
        <f xml:space="preserve">
IF($A$4&lt;=12,SUMIFS('ON Data'!O:O,'ON Data'!$D:$D,$A$4,'ON Data'!$E:$E,6),SUMIFS('ON Data'!O:O,'ON Data'!$E:$E,6))</f>
        <v>0</v>
      </c>
      <c r="K20" s="281">
        <f xml:space="preserve">
IF($A$4&lt;=12,SUMIFS('ON Data'!P:P,'ON Data'!$D:$D,$A$4,'ON Data'!$E:$E,6),SUMIFS('ON Data'!P:P,'ON Data'!$E:$E,6))</f>
        <v>0</v>
      </c>
      <c r="L20" s="281">
        <f xml:space="preserve">
IF($A$4&lt;=12,SUMIFS('ON Data'!Q:Q,'ON Data'!$D:$D,$A$4,'ON Data'!$E:$E,6),SUMIFS('ON Data'!Q:Q,'ON Data'!$E:$E,6))</f>
        <v>0</v>
      </c>
      <c r="M20" s="281">
        <f xml:space="preserve">
IF($A$4&lt;=12,SUMIFS('ON Data'!R:R,'ON Data'!$D:$D,$A$4,'ON Data'!$E:$E,6),SUMIFS('ON Data'!R:R,'ON Data'!$E:$E,6))</f>
        <v>0</v>
      </c>
      <c r="N20" s="281">
        <f xml:space="preserve">
IF($A$4&lt;=12,SUMIFS('ON Data'!S:S,'ON Data'!$D:$D,$A$4,'ON Data'!$E:$E,6),SUMIFS('ON Data'!S:S,'ON Data'!$E:$E,6))</f>
        <v>0</v>
      </c>
      <c r="O20" s="281">
        <f xml:space="preserve">
IF($A$4&lt;=12,SUMIFS('ON Data'!T:T,'ON Data'!$D:$D,$A$4,'ON Data'!$E:$E,6),SUMIFS('ON Data'!T:T,'ON Data'!$E:$E,6))</f>
        <v>0</v>
      </c>
      <c r="P20" s="281">
        <f xml:space="preserve">
IF($A$4&lt;=12,SUMIFS('ON Data'!U:U,'ON Data'!$D:$D,$A$4,'ON Data'!$E:$E,6),SUMIFS('ON Data'!U:U,'ON Data'!$E:$E,6))</f>
        <v>0</v>
      </c>
      <c r="Q20" s="281">
        <f xml:space="preserve">
IF($A$4&lt;=12,SUMIFS('ON Data'!V:V,'ON Data'!$D:$D,$A$4,'ON Data'!$E:$E,6),SUMIFS('ON Data'!V:V,'ON Data'!$E:$E,6))</f>
        <v>0</v>
      </c>
      <c r="R20" s="281">
        <f xml:space="preserve">
IF($A$4&lt;=12,SUMIFS('ON Data'!W:W,'ON Data'!$D:$D,$A$4,'ON Data'!$E:$E,6),SUMIFS('ON Data'!W:W,'ON Data'!$E:$E,6))</f>
        <v>0</v>
      </c>
      <c r="S20" s="281">
        <f xml:space="preserve">
IF($A$4&lt;=12,SUMIFS('ON Data'!X:X,'ON Data'!$D:$D,$A$4,'ON Data'!$E:$E,6),SUMIFS('ON Data'!X:X,'ON Data'!$E:$E,6))</f>
        <v>0</v>
      </c>
      <c r="T20" s="281">
        <f xml:space="preserve">
IF($A$4&lt;=12,SUMIFS('ON Data'!Y:Y,'ON Data'!$D:$D,$A$4,'ON Data'!$E:$E,6),SUMIFS('ON Data'!Y:Y,'ON Data'!$E:$E,6))</f>
        <v>0</v>
      </c>
      <c r="U20" s="281">
        <f xml:space="preserve">
IF($A$4&lt;=12,SUMIFS('ON Data'!Z:Z,'ON Data'!$D:$D,$A$4,'ON Data'!$E:$E,6),SUMIFS('ON Data'!Z:Z,'ON Data'!$E:$E,6))</f>
        <v>0</v>
      </c>
      <c r="V20" s="281">
        <f xml:space="preserve">
IF($A$4&lt;=12,SUMIFS('ON Data'!AA:AA,'ON Data'!$D:$D,$A$4,'ON Data'!$E:$E,6),SUMIFS('ON Data'!AA:AA,'ON Data'!$E:$E,6))</f>
        <v>0</v>
      </c>
      <c r="W20" s="281">
        <f xml:space="preserve">
IF($A$4&lt;=12,SUMIFS('ON Data'!AB:AB,'ON Data'!$D:$D,$A$4,'ON Data'!$E:$E,6),SUMIFS('ON Data'!AB:AB,'ON Data'!$E:$E,6))</f>
        <v>0</v>
      </c>
      <c r="X20" s="281">
        <f xml:space="preserve">
IF($A$4&lt;=12,SUMIFS('ON Data'!AC:AC,'ON Data'!$D:$D,$A$4,'ON Data'!$E:$E,6),SUMIFS('ON Data'!AC:AC,'ON Data'!$E:$E,6))</f>
        <v>0</v>
      </c>
      <c r="Y20" s="281">
        <f xml:space="preserve">
IF($A$4&lt;=12,SUMIFS('ON Data'!AD:AD,'ON Data'!$D:$D,$A$4,'ON Data'!$E:$E,6),SUMIFS('ON Data'!AD:AD,'ON Data'!$E:$E,6))</f>
        <v>0</v>
      </c>
      <c r="Z20" s="281">
        <f xml:space="preserve">
IF($A$4&lt;=12,SUMIFS('ON Data'!AE:AE,'ON Data'!$D:$D,$A$4,'ON Data'!$E:$E,6),SUMIFS('ON Data'!AE:AE,'ON Data'!$E:$E,6))</f>
        <v>0</v>
      </c>
      <c r="AA20" s="281">
        <f xml:space="preserve">
IF($A$4&lt;=12,SUMIFS('ON Data'!AF:AF,'ON Data'!$D:$D,$A$4,'ON Data'!$E:$E,6),SUMIFS('ON Data'!AF:AF,'ON Data'!$E:$E,6))</f>
        <v>0</v>
      </c>
      <c r="AB20" s="281">
        <f xml:space="preserve">
IF($A$4&lt;=12,SUMIFS('ON Data'!AG:AG,'ON Data'!$D:$D,$A$4,'ON Data'!$E:$E,6),SUMIFS('ON Data'!AG:AG,'ON Data'!$E:$E,6))</f>
        <v>0</v>
      </c>
      <c r="AC20" s="281">
        <f xml:space="preserve">
IF($A$4&lt;=12,SUMIFS('ON Data'!AH:AH,'ON Data'!$D:$D,$A$4,'ON Data'!$E:$E,6),SUMIFS('ON Data'!AH:AH,'ON Data'!$E:$E,6))</f>
        <v>0</v>
      </c>
      <c r="AD20" s="281">
        <f xml:space="preserve">
IF($A$4&lt;=12,SUMIFS('ON Data'!AI:AI,'ON Data'!$D:$D,$A$4,'ON Data'!$E:$E,6),SUMIFS('ON Data'!AI:AI,'ON Data'!$E:$E,6))</f>
        <v>0</v>
      </c>
      <c r="AE20" s="281">
        <f xml:space="preserve">
IF($A$4&lt;=12,SUMIFS('ON Data'!AJ:AJ,'ON Data'!$D:$D,$A$4,'ON Data'!$E:$E,6),SUMIFS('ON Data'!AJ:AJ,'ON Data'!$E:$E,6))</f>
        <v>0</v>
      </c>
      <c r="AF20" s="281">
        <f xml:space="preserve">
IF($A$4&lt;=12,SUMIFS('ON Data'!AK:AK,'ON Data'!$D:$D,$A$4,'ON Data'!$E:$E,6),SUMIFS('ON Data'!AK:AK,'ON Data'!$E:$E,6))</f>
        <v>0</v>
      </c>
      <c r="AG20" s="552">
        <f xml:space="preserve">
IF($A$4&lt;=12,SUMIFS('ON Data'!AM:AM,'ON Data'!$D:$D,$A$4,'ON Data'!$E:$E,6),SUMIFS('ON Data'!AM:AM,'ON Data'!$E:$E,6))</f>
        <v>131910</v>
      </c>
      <c r="AH20" s="557"/>
    </row>
    <row r="21" spans="1:34" ht="15" hidden="1" outlineLevel="1" thickBot="1" x14ac:dyDescent="0.35">
      <c r="A21" s="247" t="s">
        <v>109</v>
      </c>
      <c r="B21" s="267"/>
      <c r="C21" s="268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  <c r="Y21" s="269"/>
      <c r="Z21" s="269"/>
      <c r="AA21" s="269"/>
      <c r="AB21" s="269"/>
      <c r="AC21" s="269"/>
      <c r="AD21" s="269"/>
      <c r="AE21" s="269"/>
      <c r="AF21" s="269"/>
      <c r="AG21" s="548"/>
      <c r="AH21" s="557"/>
    </row>
    <row r="22" spans="1:34" ht="15" hidden="1" outlineLevel="1" thickBot="1" x14ac:dyDescent="0.35">
      <c r="A22" s="247" t="s">
        <v>75</v>
      </c>
      <c r="B22" s="267"/>
      <c r="C22" s="268"/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  <c r="Y22" s="269"/>
      <c r="Z22" s="269"/>
      <c r="AA22" s="269"/>
      <c r="AB22" s="269"/>
      <c r="AC22" s="269"/>
      <c r="AD22" s="269"/>
      <c r="AE22" s="269"/>
      <c r="AF22" s="269"/>
      <c r="AG22" s="548"/>
      <c r="AH22" s="557"/>
    </row>
    <row r="23" spans="1:34" ht="15" hidden="1" outlineLevel="1" thickBot="1" x14ac:dyDescent="0.35">
      <c r="A23" s="255" t="s">
        <v>68</v>
      </c>
      <c r="B23" s="270"/>
      <c r="C23" s="271"/>
      <c r="D23" s="272"/>
      <c r="E23" s="272"/>
      <c r="F23" s="272"/>
      <c r="G23" s="272"/>
      <c r="H23" s="272"/>
      <c r="I23" s="272"/>
      <c r="J23" s="272"/>
      <c r="K23" s="272"/>
      <c r="L23" s="272"/>
      <c r="M23" s="272"/>
      <c r="N23" s="272"/>
      <c r="O23" s="272"/>
      <c r="P23" s="272"/>
      <c r="Q23" s="272"/>
      <c r="R23" s="272"/>
      <c r="S23" s="272"/>
      <c r="T23" s="272"/>
      <c r="U23" s="272"/>
      <c r="V23" s="272"/>
      <c r="W23" s="272"/>
      <c r="X23" s="272"/>
      <c r="Y23" s="272"/>
      <c r="Z23" s="272"/>
      <c r="AA23" s="272"/>
      <c r="AB23" s="272"/>
      <c r="AC23" s="272"/>
      <c r="AD23" s="272"/>
      <c r="AE23" s="272"/>
      <c r="AF23" s="272"/>
      <c r="AG23" s="549"/>
      <c r="AH23" s="557"/>
    </row>
    <row r="24" spans="1:34" x14ac:dyDescent="0.3">
      <c r="A24" s="249" t="s">
        <v>226</v>
      </c>
      <c r="B24" s="296" t="s">
        <v>3</v>
      </c>
      <c r="C24" s="558" t="s">
        <v>237</v>
      </c>
      <c r="D24" s="533"/>
      <c r="E24" s="534"/>
      <c r="F24" s="534" t="s">
        <v>238</v>
      </c>
      <c r="G24" s="534"/>
      <c r="H24" s="534"/>
      <c r="I24" s="534"/>
      <c r="J24" s="534"/>
      <c r="K24" s="534"/>
      <c r="L24" s="534"/>
      <c r="M24" s="534"/>
      <c r="N24" s="534"/>
      <c r="O24" s="534"/>
      <c r="P24" s="534"/>
      <c r="Q24" s="534"/>
      <c r="R24" s="534"/>
      <c r="S24" s="534"/>
      <c r="T24" s="534"/>
      <c r="U24" s="534"/>
      <c r="V24" s="534"/>
      <c r="W24" s="534"/>
      <c r="X24" s="534"/>
      <c r="Y24" s="534"/>
      <c r="Z24" s="534"/>
      <c r="AA24" s="534"/>
      <c r="AB24" s="534"/>
      <c r="AC24" s="534"/>
      <c r="AD24" s="534"/>
      <c r="AE24" s="534"/>
      <c r="AF24" s="534"/>
      <c r="AG24" s="553" t="s">
        <v>239</v>
      </c>
      <c r="AH24" s="557"/>
    </row>
    <row r="25" spans="1:34" x14ac:dyDescent="0.3">
      <c r="A25" s="250" t="s">
        <v>73</v>
      </c>
      <c r="B25" s="267">
        <f xml:space="preserve">
SUM(C25:AG25)</f>
        <v>0</v>
      </c>
      <c r="C25" s="559">
        <f xml:space="preserve">
IF($A$4&lt;=12,SUMIFS('ON Data'!H:H,'ON Data'!$D:$D,$A$4,'ON Data'!$E:$E,10),SUMIFS('ON Data'!H:H,'ON Data'!$E:$E,10))</f>
        <v>0</v>
      </c>
      <c r="D25" s="535"/>
      <c r="E25" s="536"/>
      <c r="F25" s="536">
        <f xml:space="preserve">
IF($A$4&lt;=12,SUMIFS('ON Data'!K:K,'ON Data'!$D:$D,$A$4,'ON Data'!$E:$E,10),SUMIFS('ON Data'!K:K,'ON Data'!$E:$E,10))</f>
        <v>0</v>
      </c>
      <c r="G25" s="536"/>
      <c r="H25" s="536"/>
      <c r="I25" s="536"/>
      <c r="J25" s="536"/>
      <c r="K25" s="536"/>
      <c r="L25" s="536"/>
      <c r="M25" s="536"/>
      <c r="N25" s="536"/>
      <c r="O25" s="536"/>
      <c r="P25" s="536"/>
      <c r="Q25" s="536"/>
      <c r="R25" s="536"/>
      <c r="S25" s="536"/>
      <c r="T25" s="536"/>
      <c r="U25" s="536"/>
      <c r="V25" s="536"/>
      <c r="W25" s="536"/>
      <c r="X25" s="536"/>
      <c r="Y25" s="536"/>
      <c r="Z25" s="536"/>
      <c r="AA25" s="536"/>
      <c r="AB25" s="536"/>
      <c r="AC25" s="536"/>
      <c r="AD25" s="536"/>
      <c r="AE25" s="536"/>
      <c r="AF25" s="536"/>
      <c r="AG25" s="554">
        <f xml:space="preserve">
IF($A$4&lt;=12,SUMIFS('ON Data'!AM:AM,'ON Data'!$D:$D,$A$4,'ON Data'!$E:$E,10),SUMIFS('ON Data'!AM:AM,'ON Data'!$E:$E,10))</f>
        <v>0</v>
      </c>
      <c r="AH25" s="557"/>
    </row>
    <row r="26" spans="1:34" x14ac:dyDescent="0.3">
      <c r="A26" s="256" t="s">
        <v>236</v>
      </c>
      <c r="B26" s="276">
        <f xml:space="preserve">
SUM(C26:AG26)</f>
        <v>5488.333333333333</v>
      </c>
      <c r="C26" s="559">
        <f xml:space="preserve">
IF($A$4&lt;=12,SUMIFS('ON Data'!H:H,'ON Data'!$D:$D,$A$4,'ON Data'!$E:$E,11),SUMIFS('ON Data'!H:H,'ON Data'!$E:$E,11))</f>
        <v>5488.333333333333</v>
      </c>
      <c r="D26" s="535"/>
      <c r="E26" s="536"/>
      <c r="F26" s="537">
        <f xml:space="preserve">
IF($A$4&lt;=12,SUMIFS('ON Data'!K:K,'ON Data'!$D:$D,$A$4,'ON Data'!$E:$E,11),SUMIFS('ON Data'!K:K,'ON Data'!$E:$E,11))</f>
        <v>0</v>
      </c>
      <c r="G26" s="537"/>
      <c r="H26" s="537"/>
      <c r="I26" s="537"/>
      <c r="J26" s="537"/>
      <c r="K26" s="537"/>
      <c r="L26" s="537"/>
      <c r="M26" s="537"/>
      <c r="N26" s="537"/>
      <c r="O26" s="537"/>
      <c r="P26" s="537"/>
      <c r="Q26" s="537"/>
      <c r="R26" s="537"/>
      <c r="S26" s="537"/>
      <c r="T26" s="537"/>
      <c r="U26" s="537"/>
      <c r="V26" s="537"/>
      <c r="W26" s="537"/>
      <c r="X26" s="537"/>
      <c r="Y26" s="537"/>
      <c r="Z26" s="537"/>
      <c r="AA26" s="537"/>
      <c r="AB26" s="537"/>
      <c r="AC26" s="537"/>
      <c r="AD26" s="537"/>
      <c r="AE26" s="537"/>
      <c r="AF26" s="537"/>
      <c r="AG26" s="554">
        <f xml:space="preserve">
IF($A$4&lt;=12,SUMIFS('ON Data'!AM:AM,'ON Data'!$D:$D,$A$4,'ON Data'!$E:$E,11),SUMIFS('ON Data'!AM:AM,'ON Data'!$E:$E,11))</f>
        <v>0</v>
      </c>
      <c r="AH26" s="557"/>
    </row>
    <row r="27" spans="1:34" x14ac:dyDescent="0.3">
      <c r="A27" s="256" t="s">
        <v>75</v>
      </c>
      <c r="B27" s="297">
        <f xml:space="preserve">
IF(B26=0,0,B25/B26)</f>
        <v>0</v>
      </c>
      <c r="C27" s="560">
        <f xml:space="preserve">
IF(C26=0,0,C25/C26)</f>
        <v>0</v>
      </c>
      <c r="D27" s="538"/>
      <c r="E27" s="539"/>
      <c r="F27" s="539">
        <f xml:space="preserve">
IF(F26=0,0,F25/F26)</f>
        <v>0</v>
      </c>
      <c r="G27" s="539"/>
      <c r="H27" s="539"/>
      <c r="I27" s="539"/>
      <c r="J27" s="539"/>
      <c r="K27" s="539"/>
      <c r="L27" s="539"/>
      <c r="M27" s="539"/>
      <c r="N27" s="539"/>
      <c r="O27" s="539"/>
      <c r="P27" s="539"/>
      <c r="Q27" s="539"/>
      <c r="R27" s="539"/>
      <c r="S27" s="539"/>
      <c r="T27" s="539"/>
      <c r="U27" s="539"/>
      <c r="V27" s="539"/>
      <c r="W27" s="539"/>
      <c r="X27" s="539"/>
      <c r="Y27" s="539"/>
      <c r="Z27" s="539"/>
      <c r="AA27" s="539"/>
      <c r="AB27" s="539"/>
      <c r="AC27" s="539"/>
      <c r="AD27" s="539"/>
      <c r="AE27" s="539"/>
      <c r="AF27" s="539"/>
      <c r="AG27" s="555">
        <f xml:space="preserve">
IF(AG26=0,0,AG25/AG26)</f>
        <v>0</v>
      </c>
      <c r="AH27" s="557"/>
    </row>
    <row r="28" spans="1:34" ht="15" thickBot="1" x14ac:dyDescent="0.35">
      <c r="A28" s="256" t="s">
        <v>235</v>
      </c>
      <c r="B28" s="276">
        <f xml:space="preserve">
SUM(C28:AG28)</f>
        <v>5488.333333333333</v>
      </c>
      <c r="C28" s="561">
        <f xml:space="preserve">
C26-C25</f>
        <v>5488.333333333333</v>
      </c>
      <c r="D28" s="540"/>
      <c r="E28" s="541"/>
      <c r="F28" s="541">
        <f xml:space="preserve">
F26-F25</f>
        <v>0</v>
      </c>
      <c r="G28" s="541"/>
      <c r="H28" s="541"/>
      <c r="I28" s="541"/>
      <c r="J28" s="541"/>
      <c r="K28" s="541"/>
      <c r="L28" s="541"/>
      <c r="M28" s="541"/>
      <c r="N28" s="541"/>
      <c r="O28" s="541"/>
      <c r="P28" s="541"/>
      <c r="Q28" s="541"/>
      <c r="R28" s="541"/>
      <c r="S28" s="541"/>
      <c r="T28" s="541"/>
      <c r="U28" s="541"/>
      <c r="V28" s="541"/>
      <c r="W28" s="541"/>
      <c r="X28" s="541"/>
      <c r="Y28" s="541"/>
      <c r="Z28" s="541"/>
      <c r="AA28" s="541"/>
      <c r="AB28" s="541"/>
      <c r="AC28" s="541"/>
      <c r="AD28" s="541"/>
      <c r="AE28" s="541"/>
      <c r="AF28" s="541"/>
      <c r="AG28" s="556">
        <f xml:space="preserve">
AG26-AG25</f>
        <v>0</v>
      </c>
      <c r="AH28" s="557"/>
    </row>
    <row r="29" spans="1:34" x14ac:dyDescent="0.3">
      <c r="A29" s="257"/>
      <c r="B29" s="257"/>
      <c r="C29" s="258"/>
      <c r="D29" s="257"/>
      <c r="E29" s="257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P29" s="258"/>
      <c r="Q29" s="258"/>
      <c r="R29" s="258"/>
      <c r="S29" s="258"/>
      <c r="T29" s="258"/>
      <c r="U29" s="258"/>
      <c r="V29" s="258"/>
      <c r="W29" s="258"/>
      <c r="X29" s="258"/>
      <c r="Y29" s="258"/>
      <c r="Z29" s="258"/>
      <c r="AA29" s="258"/>
      <c r="AB29" s="258"/>
      <c r="AC29" s="258"/>
      <c r="AD29" s="258"/>
      <c r="AE29" s="257"/>
      <c r="AF29" s="257"/>
      <c r="AG29" s="257"/>
    </row>
    <row r="30" spans="1:34" x14ac:dyDescent="0.3">
      <c r="A30" s="116" t="s">
        <v>166</v>
      </c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54"/>
    </row>
    <row r="31" spans="1:34" x14ac:dyDescent="0.3">
      <c r="A31" s="117" t="s">
        <v>233</v>
      </c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54"/>
    </row>
    <row r="32" spans="1:34" ht="14.4" customHeight="1" x14ac:dyDescent="0.3">
      <c r="A32" s="293" t="s">
        <v>230</v>
      </c>
      <c r="B32" s="294"/>
      <c r="C32" s="294"/>
      <c r="D32" s="294"/>
      <c r="E32" s="294"/>
      <c r="F32" s="294"/>
      <c r="G32" s="294"/>
      <c r="H32" s="294"/>
      <c r="I32" s="294"/>
      <c r="J32" s="294"/>
      <c r="K32" s="294"/>
      <c r="L32" s="294"/>
      <c r="M32" s="294"/>
      <c r="N32" s="294"/>
      <c r="O32" s="294"/>
      <c r="P32" s="294"/>
      <c r="Q32" s="294"/>
      <c r="R32" s="294"/>
      <c r="S32" s="294"/>
      <c r="T32" s="294"/>
      <c r="U32" s="294"/>
      <c r="V32" s="294"/>
      <c r="W32" s="294"/>
      <c r="X32" s="294"/>
      <c r="Y32" s="294"/>
      <c r="Z32" s="294"/>
      <c r="AA32" s="294"/>
      <c r="AB32" s="294"/>
      <c r="AC32" s="294"/>
      <c r="AD32" s="294"/>
      <c r="AE32" s="294"/>
      <c r="AF32" s="294"/>
    </row>
    <row r="33" spans="1:1" x14ac:dyDescent="0.3">
      <c r="A33" s="295" t="s">
        <v>240</v>
      </c>
    </row>
    <row r="34" spans="1:1" x14ac:dyDescent="0.3">
      <c r="A34" s="295" t="s">
        <v>241</v>
      </c>
    </row>
    <row r="35" spans="1:1" x14ac:dyDescent="0.3">
      <c r="A35" s="295" t="s">
        <v>242</v>
      </c>
    </row>
    <row r="36" spans="1:1" x14ac:dyDescent="0.3">
      <c r="A36" s="295" t="s">
        <v>243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3" priority="2" operator="greaterThan">
      <formula>1</formula>
    </cfRule>
  </conditionalFormatting>
  <conditionalFormatting sqref="C28 AG28 F28">
    <cfRule type="cellIs" dxfId="2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22"/>
  <sheetViews>
    <sheetView showGridLines="0" showRowColHeaders="0" workbookViewId="0"/>
  </sheetViews>
  <sheetFormatPr defaultRowHeight="14.4" x14ac:dyDescent="0.3"/>
  <cols>
    <col min="1" max="16384" width="8.88671875" style="236"/>
  </cols>
  <sheetData>
    <row r="1" spans="1:40" x14ac:dyDescent="0.3">
      <c r="A1" s="236" t="s">
        <v>866</v>
      </c>
    </row>
    <row r="2" spans="1:40" x14ac:dyDescent="0.3">
      <c r="A2" s="240" t="s">
        <v>272</v>
      </c>
    </row>
    <row r="3" spans="1:40" x14ac:dyDescent="0.3">
      <c r="A3" s="236" t="s">
        <v>200</v>
      </c>
      <c r="B3" s="261">
        <v>2014</v>
      </c>
      <c r="D3" s="237">
        <f>MAX(D5:D1048576)</f>
        <v>4</v>
      </c>
      <c r="F3" s="237">
        <f>SUMIF($E5:$E1048576,"&lt;10",F5:F1048576)</f>
        <v>1573218.2000000002</v>
      </c>
      <c r="G3" s="237">
        <f t="shared" ref="G3:AN3" si="0">SUMIF($E5:$E1048576,"&lt;10",G5:G1048576)</f>
        <v>0</v>
      </c>
      <c r="H3" s="237">
        <f t="shared" si="0"/>
        <v>895102.2</v>
      </c>
      <c r="I3" s="237">
        <f t="shared" si="0"/>
        <v>0</v>
      </c>
      <c r="J3" s="237">
        <f t="shared" si="0"/>
        <v>0</v>
      </c>
      <c r="K3" s="237">
        <f t="shared" si="0"/>
        <v>544691</v>
      </c>
      <c r="L3" s="237">
        <f t="shared" si="0"/>
        <v>0</v>
      </c>
      <c r="M3" s="237">
        <f t="shared" si="0"/>
        <v>0</v>
      </c>
      <c r="N3" s="237">
        <f t="shared" si="0"/>
        <v>0</v>
      </c>
      <c r="O3" s="237">
        <f t="shared" si="0"/>
        <v>0</v>
      </c>
      <c r="P3" s="237">
        <f t="shared" si="0"/>
        <v>0</v>
      </c>
      <c r="Q3" s="237">
        <f t="shared" si="0"/>
        <v>0</v>
      </c>
      <c r="R3" s="237">
        <f t="shared" si="0"/>
        <v>0</v>
      </c>
      <c r="S3" s="237">
        <f t="shared" si="0"/>
        <v>0</v>
      </c>
      <c r="T3" s="237">
        <f t="shared" si="0"/>
        <v>0</v>
      </c>
      <c r="U3" s="237">
        <f t="shared" si="0"/>
        <v>0</v>
      </c>
      <c r="V3" s="237">
        <f t="shared" si="0"/>
        <v>0</v>
      </c>
      <c r="W3" s="237">
        <f t="shared" si="0"/>
        <v>0</v>
      </c>
      <c r="X3" s="237">
        <f t="shared" si="0"/>
        <v>0</v>
      </c>
      <c r="Y3" s="237">
        <f t="shared" si="0"/>
        <v>0</v>
      </c>
      <c r="Z3" s="237">
        <f t="shared" si="0"/>
        <v>0</v>
      </c>
      <c r="AA3" s="237">
        <f t="shared" si="0"/>
        <v>0</v>
      </c>
      <c r="AB3" s="237">
        <f t="shared" si="0"/>
        <v>0</v>
      </c>
      <c r="AC3" s="237">
        <f t="shared" si="0"/>
        <v>0</v>
      </c>
      <c r="AD3" s="237">
        <f t="shared" si="0"/>
        <v>0</v>
      </c>
      <c r="AE3" s="237">
        <f t="shared" si="0"/>
        <v>0</v>
      </c>
      <c r="AF3" s="237">
        <f t="shared" si="0"/>
        <v>0</v>
      </c>
      <c r="AG3" s="237">
        <f t="shared" si="0"/>
        <v>0</v>
      </c>
      <c r="AH3" s="237">
        <f t="shared" si="0"/>
        <v>0</v>
      </c>
      <c r="AI3" s="237">
        <f t="shared" si="0"/>
        <v>0</v>
      </c>
      <c r="AJ3" s="237">
        <f t="shared" si="0"/>
        <v>0</v>
      </c>
      <c r="AK3" s="237">
        <f t="shared" si="0"/>
        <v>0</v>
      </c>
      <c r="AL3" s="237">
        <f t="shared" si="0"/>
        <v>0</v>
      </c>
      <c r="AM3" s="237">
        <f t="shared" si="0"/>
        <v>133425</v>
      </c>
      <c r="AN3" s="237">
        <f t="shared" si="0"/>
        <v>0</v>
      </c>
    </row>
    <row r="4" spans="1:40" x14ac:dyDescent="0.3">
      <c r="A4" s="236" t="s">
        <v>201</v>
      </c>
      <c r="B4" s="261">
        <v>1</v>
      </c>
      <c r="C4" s="238" t="s">
        <v>5</v>
      </c>
      <c r="D4" s="239" t="s">
        <v>67</v>
      </c>
      <c r="E4" s="239" t="s">
        <v>195</v>
      </c>
      <c r="F4" s="239" t="s">
        <v>3</v>
      </c>
      <c r="G4" s="239" t="s">
        <v>196</v>
      </c>
      <c r="H4" s="239" t="s">
        <v>197</v>
      </c>
      <c r="I4" s="239" t="s">
        <v>198</v>
      </c>
      <c r="J4" s="239" t="s">
        <v>199</v>
      </c>
      <c r="K4" s="239">
        <v>305</v>
      </c>
      <c r="L4" s="239">
        <v>306</v>
      </c>
      <c r="M4" s="239">
        <v>408</v>
      </c>
      <c r="N4" s="239">
        <v>409</v>
      </c>
      <c r="O4" s="239">
        <v>410</v>
      </c>
      <c r="P4" s="239">
        <v>415</v>
      </c>
      <c r="Q4" s="239">
        <v>416</v>
      </c>
      <c r="R4" s="239">
        <v>418</v>
      </c>
      <c r="S4" s="239">
        <v>419</v>
      </c>
      <c r="T4" s="239">
        <v>420</v>
      </c>
      <c r="U4" s="239">
        <v>421</v>
      </c>
      <c r="V4" s="239">
        <v>522</v>
      </c>
      <c r="W4" s="239">
        <v>523</v>
      </c>
      <c r="X4" s="239">
        <v>524</v>
      </c>
      <c r="Y4" s="239">
        <v>525</v>
      </c>
      <c r="Z4" s="239">
        <v>526</v>
      </c>
      <c r="AA4" s="239">
        <v>527</v>
      </c>
      <c r="AB4" s="239">
        <v>528</v>
      </c>
      <c r="AC4" s="239">
        <v>629</v>
      </c>
      <c r="AD4" s="239">
        <v>630</v>
      </c>
      <c r="AE4" s="239">
        <v>636</v>
      </c>
      <c r="AF4" s="239">
        <v>637</v>
      </c>
      <c r="AG4" s="239">
        <v>640</v>
      </c>
      <c r="AH4" s="239">
        <v>642</v>
      </c>
      <c r="AI4" s="239">
        <v>743</v>
      </c>
      <c r="AJ4" s="239">
        <v>745</v>
      </c>
      <c r="AK4" s="239">
        <v>746</v>
      </c>
      <c r="AL4" s="239">
        <v>747</v>
      </c>
      <c r="AM4" s="239">
        <v>930</v>
      </c>
      <c r="AN4" s="239">
        <v>940</v>
      </c>
    </row>
    <row r="5" spans="1:40" x14ac:dyDescent="0.3">
      <c r="A5" s="236" t="s">
        <v>202</v>
      </c>
      <c r="B5" s="261">
        <v>2</v>
      </c>
      <c r="C5" s="236">
        <v>19</v>
      </c>
      <c r="D5" s="236">
        <v>1</v>
      </c>
      <c r="E5" s="236">
        <v>1</v>
      </c>
      <c r="F5" s="236">
        <v>11.35</v>
      </c>
      <c r="G5" s="236">
        <v>0</v>
      </c>
      <c r="H5" s="236">
        <v>4.3499999999999996</v>
      </c>
      <c r="I5" s="236">
        <v>0</v>
      </c>
      <c r="J5" s="236">
        <v>0</v>
      </c>
      <c r="K5" s="236">
        <v>5</v>
      </c>
      <c r="L5" s="236">
        <v>0</v>
      </c>
      <c r="M5" s="236">
        <v>0</v>
      </c>
      <c r="N5" s="236">
        <v>0</v>
      </c>
      <c r="O5" s="236">
        <v>0</v>
      </c>
      <c r="P5" s="236">
        <v>0</v>
      </c>
      <c r="Q5" s="236">
        <v>0</v>
      </c>
      <c r="R5" s="236">
        <v>0</v>
      </c>
      <c r="S5" s="236">
        <v>0</v>
      </c>
      <c r="T5" s="236">
        <v>0</v>
      </c>
      <c r="U5" s="236">
        <v>0</v>
      </c>
      <c r="V5" s="236">
        <v>0</v>
      </c>
      <c r="W5" s="236">
        <v>0</v>
      </c>
      <c r="X5" s="236">
        <v>0</v>
      </c>
      <c r="Y5" s="236">
        <v>0</v>
      </c>
      <c r="Z5" s="236">
        <v>0</v>
      </c>
      <c r="AA5" s="236">
        <v>0</v>
      </c>
      <c r="AB5" s="236">
        <v>0</v>
      </c>
      <c r="AC5" s="236">
        <v>0</v>
      </c>
      <c r="AD5" s="236">
        <v>0</v>
      </c>
      <c r="AE5" s="236">
        <v>0</v>
      </c>
      <c r="AF5" s="236">
        <v>0</v>
      </c>
      <c r="AG5" s="236">
        <v>0</v>
      </c>
      <c r="AH5" s="236">
        <v>0</v>
      </c>
      <c r="AI5" s="236">
        <v>0</v>
      </c>
      <c r="AJ5" s="236">
        <v>0</v>
      </c>
      <c r="AK5" s="236">
        <v>0</v>
      </c>
      <c r="AL5" s="236">
        <v>0</v>
      </c>
      <c r="AM5" s="236">
        <v>2</v>
      </c>
      <c r="AN5" s="236">
        <v>0</v>
      </c>
    </row>
    <row r="6" spans="1:40" x14ac:dyDescent="0.3">
      <c r="A6" s="236" t="s">
        <v>203</v>
      </c>
      <c r="B6" s="261">
        <v>3</v>
      </c>
      <c r="C6" s="236">
        <v>19</v>
      </c>
      <c r="D6" s="236">
        <v>1</v>
      </c>
      <c r="E6" s="236">
        <v>2</v>
      </c>
      <c r="F6" s="236">
        <v>2008.4</v>
      </c>
      <c r="G6" s="236">
        <v>0</v>
      </c>
      <c r="H6" s="236">
        <v>784.4</v>
      </c>
      <c r="I6" s="236">
        <v>0</v>
      </c>
      <c r="J6" s="236">
        <v>0</v>
      </c>
      <c r="K6" s="236">
        <v>880</v>
      </c>
      <c r="L6" s="236">
        <v>0</v>
      </c>
      <c r="M6" s="236">
        <v>0</v>
      </c>
      <c r="N6" s="236">
        <v>0</v>
      </c>
      <c r="O6" s="236">
        <v>0</v>
      </c>
      <c r="P6" s="236">
        <v>0</v>
      </c>
      <c r="Q6" s="236">
        <v>0</v>
      </c>
      <c r="R6" s="236">
        <v>0</v>
      </c>
      <c r="S6" s="236">
        <v>0</v>
      </c>
      <c r="T6" s="236">
        <v>0</v>
      </c>
      <c r="U6" s="236">
        <v>0</v>
      </c>
      <c r="V6" s="236">
        <v>0</v>
      </c>
      <c r="W6" s="236">
        <v>0</v>
      </c>
      <c r="X6" s="236">
        <v>0</v>
      </c>
      <c r="Y6" s="236">
        <v>0</v>
      </c>
      <c r="Z6" s="236">
        <v>0</v>
      </c>
      <c r="AA6" s="236">
        <v>0</v>
      </c>
      <c r="AB6" s="236">
        <v>0</v>
      </c>
      <c r="AC6" s="236">
        <v>0</v>
      </c>
      <c r="AD6" s="236">
        <v>0</v>
      </c>
      <c r="AE6" s="236">
        <v>0</v>
      </c>
      <c r="AF6" s="236">
        <v>0</v>
      </c>
      <c r="AG6" s="236">
        <v>0</v>
      </c>
      <c r="AH6" s="236">
        <v>0</v>
      </c>
      <c r="AI6" s="236">
        <v>0</v>
      </c>
      <c r="AJ6" s="236">
        <v>0</v>
      </c>
      <c r="AK6" s="236">
        <v>0</v>
      </c>
      <c r="AL6" s="236">
        <v>0</v>
      </c>
      <c r="AM6" s="236">
        <v>344</v>
      </c>
      <c r="AN6" s="236">
        <v>0</v>
      </c>
    </row>
    <row r="7" spans="1:40" x14ac:dyDescent="0.3">
      <c r="A7" s="236" t="s">
        <v>204</v>
      </c>
      <c r="B7" s="261">
        <v>4</v>
      </c>
      <c r="C7" s="236">
        <v>19</v>
      </c>
      <c r="D7" s="236">
        <v>1</v>
      </c>
      <c r="E7" s="236">
        <v>6</v>
      </c>
      <c r="F7" s="236">
        <v>395123</v>
      </c>
      <c r="G7" s="236">
        <v>0</v>
      </c>
      <c r="H7" s="236">
        <v>219346</v>
      </c>
      <c r="I7" s="236">
        <v>0</v>
      </c>
      <c r="J7" s="236">
        <v>0</v>
      </c>
      <c r="K7" s="236">
        <v>134988</v>
      </c>
      <c r="L7" s="236">
        <v>0</v>
      </c>
      <c r="M7" s="236">
        <v>0</v>
      </c>
      <c r="N7" s="236">
        <v>0</v>
      </c>
      <c r="O7" s="236">
        <v>0</v>
      </c>
      <c r="P7" s="236">
        <v>0</v>
      </c>
      <c r="Q7" s="236">
        <v>0</v>
      </c>
      <c r="R7" s="236">
        <v>0</v>
      </c>
      <c r="S7" s="236">
        <v>0</v>
      </c>
      <c r="T7" s="236">
        <v>0</v>
      </c>
      <c r="U7" s="236">
        <v>0</v>
      </c>
      <c r="V7" s="236">
        <v>0</v>
      </c>
      <c r="W7" s="236">
        <v>0</v>
      </c>
      <c r="X7" s="236">
        <v>0</v>
      </c>
      <c r="Y7" s="236">
        <v>0</v>
      </c>
      <c r="Z7" s="236">
        <v>0</v>
      </c>
      <c r="AA7" s="236">
        <v>0</v>
      </c>
      <c r="AB7" s="236">
        <v>0</v>
      </c>
      <c r="AC7" s="236">
        <v>0</v>
      </c>
      <c r="AD7" s="236">
        <v>0</v>
      </c>
      <c r="AE7" s="236">
        <v>0</v>
      </c>
      <c r="AF7" s="236">
        <v>0</v>
      </c>
      <c r="AG7" s="236">
        <v>0</v>
      </c>
      <c r="AH7" s="236">
        <v>0</v>
      </c>
      <c r="AI7" s="236">
        <v>0</v>
      </c>
      <c r="AJ7" s="236">
        <v>0</v>
      </c>
      <c r="AK7" s="236">
        <v>0</v>
      </c>
      <c r="AL7" s="236">
        <v>0</v>
      </c>
      <c r="AM7" s="236">
        <v>40789</v>
      </c>
      <c r="AN7" s="236">
        <v>0</v>
      </c>
    </row>
    <row r="8" spans="1:40" x14ac:dyDescent="0.3">
      <c r="A8" s="236" t="s">
        <v>205</v>
      </c>
      <c r="B8" s="261">
        <v>5</v>
      </c>
      <c r="C8" s="236">
        <v>19</v>
      </c>
      <c r="D8" s="236">
        <v>1</v>
      </c>
      <c r="E8" s="236">
        <v>11</v>
      </c>
      <c r="F8" s="236">
        <v>1372.0833333333333</v>
      </c>
      <c r="G8" s="236">
        <v>0</v>
      </c>
      <c r="H8" s="236">
        <v>1372.0833333333333</v>
      </c>
      <c r="I8" s="236">
        <v>0</v>
      </c>
      <c r="J8" s="236">
        <v>0</v>
      </c>
      <c r="K8" s="236">
        <v>0</v>
      </c>
      <c r="L8" s="236">
        <v>0</v>
      </c>
      <c r="M8" s="236">
        <v>0</v>
      </c>
      <c r="N8" s="236">
        <v>0</v>
      </c>
      <c r="O8" s="236">
        <v>0</v>
      </c>
      <c r="P8" s="236">
        <v>0</v>
      </c>
      <c r="Q8" s="236">
        <v>0</v>
      </c>
      <c r="R8" s="236">
        <v>0</v>
      </c>
      <c r="S8" s="236">
        <v>0</v>
      </c>
      <c r="T8" s="236">
        <v>0</v>
      </c>
      <c r="U8" s="236">
        <v>0</v>
      </c>
      <c r="V8" s="236">
        <v>0</v>
      </c>
      <c r="W8" s="236">
        <v>0</v>
      </c>
      <c r="X8" s="236">
        <v>0</v>
      </c>
      <c r="Y8" s="236">
        <v>0</v>
      </c>
      <c r="Z8" s="236">
        <v>0</v>
      </c>
      <c r="AA8" s="236">
        <v>0</v>
      </c>
      <c r="AB8" s="236">
        <v>0</v>
      </c>
      <c r="AC8" s="236">
        <v>0</v>
      </c>
      <c r="AD8" s="236">
        <v>0</v>
      </c>
      <c r="AE8" s="236">
        <v>0</v>
      </c>
      <c r="AF8" s="236">
        <v>0</v>
      </c>
      <c r="AG8" s="236">
        <v>0</v>
      </c>
      <c r="AH8" s="236">
        <v>0</v>
      </c>
      <c r="AI8" s="236">
        <v>0</v>
      </c>
      <c r="AJ8" s="236">
        <v>0</v>
      </c>
      <c r="AK8" s="236">
        <v>0</v>
      </c>
      <c r="AL8" s="236">
        <v>0</v>
      </c>
      <c r="AM8" s="236">
        <v>0</v>
      </c>
      <c r="AN8" s="236">
        <v>0</v>
      </c>
    </row>
    <row r="9" spans="1:40" x14ac:dyDescent="0.3">
      <c r="A9" s="236" t="s">
        <v>206</v>
      </c>
      <c r="B9" s="261">
        <v>6</v>
      </c>
      <c r="C9" s="236">
        <v>19</v>
      </c>
      <c r="D9" s="236">
        <v>2</v>
      </c>
      <c r="E9" s="236">
        <v>1</v>
      </c>
      <c r="F9" s="236">
        <v>11.35</v>
      </c>
      <c r="G9" s="236">
        <v>0</v>
      </c>
      <c r="H9" s="236">
        <v>4.3499999999999996</v>
      </c>
      <c r="I9" s="236">
        <v>0</v>
      </c>
      <c r="J9" s="236">
        <v>0</v>
      </c>
      <c r="K9" s="236">
        <v>5</v>
      </c>
      <c r="L9" s="236">
        <v>0</v>
      </c>
      <c r="M9" s="236">
        <v>0</v>
      </c>
      <c r="N9" s="236">
        <v>0</v>
      </c>
      <c r="O9" s="236">
        <v>0</v>
      </c>
      <c r="P9" s="236">
        <v>0</v>
      </c>
      <c r="Q9" s="236">
        <v>0</v>
      </c>
      <c r="R9" s="236">
        <v>0</v>
      </c>
      <c r="S9" s="236">
        <v>0</v>
      </c>
      <c r="T9" s="236">
        <v>0</v>
      </c>
      <c r="U9" s="236">
        <v>0</v>
      </c>
      <c r="V9" s="236">
        <v>0</v>
      </c>
      <c r="W9" s="236">
        <v>0</v>
      </c>
      <c r="X9" s="236">
        <v>0</v>
      </c>
      <c r="Y9" s="236">
        <v>0</v>
      </c>
      <c r="Z9" s="236">
        <v>0</v>
      </c>
      <c r="AA9" s="236">
        <v>0</v>
      </c>
      <c r="AB9" s="236">
        <v>0</v>
      </c>
      <c r="AC9" s="236">
        <v>0</v>
      </c>
      <c r="AD9" s="236">
        <v>0</v>
      </c>
      <c r="AE9" s="236">
        <v>0</v>
      </c>
      <c r="AF9" s="236">
        <v>0</v>
      </c>
      <c r="AG9" s="236">
        <v>0</v>
      </c>
      <c r="AH9" s="236">
        <v>0</v>
      </c>
      <c r="AI9" s="236">
        <v>0</v>
      </c>
      <c r="AJ9" s="236">
        <v>0</v>
      </c>
      <c r="AK9" s="236">
        <v>0</v>
      </c>
      <c r="AL9" s="236">
        <v>0</v>
      </c>
      <c r="AM9" s="236">
        <v>2</v>
      </c>
      <c r="AN9" s="236">
        <v>0</v>
      </c>
    </row>
    <row r="10" spans="1:40" x14ac:dyDescent="0.3">
      <c r="A10" s="236" t="s">
        <v>207</v>
      </c>
      <c r="B10" s="261">
        <v>7</v>
      </c>
      <c r="C10" s="236">
        <v>19</v>
      </c>
      <c r="D10" s="236">
        <v>2</v>
      </c>
      <c r="E10" s="236">
        <v>2</v>
      </c>
      <c r="F10" s="236">
        <v>1526</v>
      </c>
      <c r="G10" s="236">
        <v>0</v>
      </c>
      <c r="H10" s="236">
        <v>638</v>
      </c>
      <c r="I10" s="236">
        <v>0</v>
      </c>
      <c r="J10" s="236">
        <v>0</v>
      </c>
      <c r="K10" s="236">
        <v>680</v>
      </c>
      <c r="L10" s="236">
        <v>0</v>
      </c>
      <c r="M10" s="236">
        <v>0</v>
      </c>
      <c r="N10" s="236">
        <v>0</v>
      </c>
      <c r="O10" s="236">
        <v>0</v>
      </c>
      <c r="P10" s="236">
        <v>0</v>
      </c>
      <c r="Q10" s="236">
        <v>0</v>
      </c>
      <c r="R10" s="236">
        <v>0</v>
      </c>
      <c r="S10" s="236">
        <v>0</v>
      </c>
      <c r="T10" s="236">
        <v>0</v>
      </c>
      <c r="U10" s="236">
        <v>0</v>
      </c>
      <c r="V10" s="236">
        <v>0</v>
      </c>
      <c r="W10" s="236">
        <v>0</v>
      </c>
      <c r="X10" s="236">
        <v>0</v>
      </c>
      <c r="Y10" s="236">
        <v>0</v>
      </c>
      <c r="Z10" s="236">
        <v>0</v>
      </c>
      <c r="AA10" s="236">
        <v>0</v>
      </c>
      <c r="AB10" s="236">
        <v>0</v>
      </c>
      <c r="AC10" s="236">
        <v>0</v>
      </c>
      <c r="AD10" s="236">
        <v>0</v>
      </c>
      <c r="AE10" s="236">
        <v>0</v>
      </c>
      <c r="AF10" s="236">
        <v>0</v>
      </c>
      <c r="AG10" s="236">
        <v>0</v>
      </c>
      <c r="AH10" s="236">
        <v>0</v>
      </c>
      <c r="AI10" s="236">
        <v>0</v>
      </c>
      <c r="AJ10" s="236">
        <v>0</v>
      </c>
      <c r="AK10" s="236">
        <v>0</v>
      </c>
      <c r="AL10" s="236">
        <v>0</v>
      </c>
      <c r="AM10" s="236">
        <v>208</v>
      </c>
      <c r="AN10" s="236">
        <v>0</v>
      </c>
    </row>
    <row r="11" spans="1:40" x14ac:dyDescent="0.3">
      <c r="A11" s="236" t="s">
        <v>208</v>
      </c>
      <c r="B11" s="261">
        <v>8</v>
      </c>
      <c r="C11" s="236">
        <v>19</v>
      </c>
      <c r="D11" s="236">
        <v>2</v>
      </c>
      <c r="E11" s="236">
        <v>6</v>
      </c>
      <c r="F11" s="236">
        <v>385065</v>
      </c>
      <c r="G11" s="236">
        <v>0</v>
      </c>
      <c r="H11" s="236">
        <v>219786</v>
      </c>
      <c r="I11" s="236">
        <v>0</v>
      </c>
      <c r="J11" s="236">
        <v>0</v>
      </c>
      <c r="K11" s="236">
        <v>135092</v>
      </c>
      <c r="L11" s="236">
        <v>0</v>
      </c>
      <c r="M11" s="236">
        <v>0</v>
      </c>
      <c r="N11" s="236">
        <v>0</v>
      </c>
      <c r="O11" s="236">
        <v>0</v>
      </c>
      <c r="P11" s="236">
        <v>0</v>
      </c>
      <c r="Q11" s="236">
        <v>0</v>
      </c>
      <c r="R11" s="236">
        <v>0</v>
      </c>
      <c r="S11" s="236">
        <v>0</v>
      </c>
      <c r="T11" s="236">
        <v>0</v>
      </c>
      <c r="U11" s="236">
        <v>0</v>
      </c>
      <c r="V11" s="236">
        <v>0</v>
      </c>
      <c r="W11" s="236">
        <v>0</v>
      </c>
      <c r="X11" s="236">
        <v>0</v>
      </c>
      <c r="Y11" s="236">
        <v>0</v>
      </c>
      <c r="Z11" s="236">
        <v>0</v>
      </c>
      <c r="AA11" s="236">
        <v>0</v>
      </c>
      <c r="AB11" s="236">
        <v>0</v>
      </c>
      <c r="AC11" s="236">
        <v>0</v>
      </c>
      <c r="AD11" s="236">
        <v>0</v>
      </c>
      <c r="AE11" s="236">
        <v>0</v>
      </c>
      <c r="AF11" s="236">
        <v>0</v>
      </c>
      <c r="AG11" s="236">
        <v>0</v>
      </c>
      <c r="AH11" s="236">
        <v>0</v>
      </c>
      <c r="AI11" s="236">
        <v>0</v>
      </c>
      <c r="AJ11" s="236">
        <v>0</v>
      </c>
      <c r="AK11" s="236">
        <v>0</v>
      </c>
      <c r="AL11" s="236">
        <v>0</v>
      </c>
      <c r="AM11" s="236">
        <v>30187</v>
      </c>
      <c r="AN11" s="236">
        <v>0</v>
      </c>
    </row>
    <row r="12" spans="1:40" x14ac:dyDescent="0.3">
      <c r="A12" s="236" t="s">
        <v>209</v>
      </c>
      <c r="B12" s="261">
        <v>9</v>
      </c>
      <c r="C12" s="236">
        <v>19</v>
      </c>
      <c r="D12" s="236">
        <v>2</v>
      </c>
      <c r="E12" s="236">
        <v>11</v>
      </c>
      <c r="F12" s="236">
        <v>1372.0833333333333</v>
      </c>
      <c r="G12" s="236">
        <v>0</v>
      </c>
      <c r="H12" s="236">
        <v>1372.0833333333333</v>
      </c>
      <c r="I12" s="236">
        <v>0</v>
      </c>
      <c r="J12" s="236">
        <v>0</v>
      </c>
      <c r="K12" s="236">
        <v>0</v>
      </c>
      <c r="L12" s="236">
        <v>0</v>
      </c>
      <c r="M12" s="236">
        <v>0</v>
      </c>
      <c r="N12" s="236">
        <v>0</v>
      </c>
      <c r="O12" s="236">
        <v>0</v>
      </c>
      <c r="P12" s="236">
        <v>0</v>
      </c>
      <c r="Q12" s="236">
        <v>0</v>
      </c>
      <c r="R12" s="236">
        <v>0</v>
      </c>
      <c r="S12" s="236">
        <v>0</v>
      </c>
      <c r="T12" s="236">
        <v>0</v>
      </c>
      <c r="U12" s="236">
        <v>0</v>
      </c>
      <c r="V12" s="236">
        <v>0</v>
      </c>
      <c r="W12" s="236">
        <v>0</v>
      </c>
      <c r="X12" s="236">
        <v>0</v>
      </c>
      <c r="Y12" s="236">
        <v>0</v>
      </c>
      <c r="Z12" s="236">
        <v>0</v>
      </c>
      <c r="AA12" s="236">
        <v>0</v>
      </c>
      <c r="AB12" s="236">
        <v>0</v>
      </c>
      <c r="AC12" s="236">
        <v>0</v>
      </c>
      <c r="AD12" s="236">
        <v>0</v>
      </c>
      <c r="AE12" s="236">
        <v>0</v>
      </c>
      <c r="AF12" s="236">
        <v>0</v>
      </c>
      <c r="AG12" s="236">
        <v>0</v>
      </c>
      <c r="AH12" s="236">
        <v>0</v>
      </c>
      <c r="AI12" s="236">
        <v>0</v>
      </c>
      <c r="AJ12" s="236">
        <v>0</v>
      </c>
      <c r="AK12" s="236">
        <v>0</v>
      </c>
      <c r="AL12" s="236">
        <v>0</v>
      </c>
      <c r="AM12" s="236">
        <v>0</v>
      </c>
      <c r="AN12" s="236">
        <v>0</v>
      </c>
    </row>
    <row r="13" spans="1:40" x14ac:dyDescent="0.3">
      <c r="A13" s="236" t="s">
        <v>210</v>
      </c>
      <c r="B13" s="261">
        <v>10</v>
      </c>
      <c r="C13" s="236">
        <v>19</v>
      </c>
      <c r="D13" s="236">
        <v>3</v>
      </c>
      <c r="E13" s="236">
        <v>1</v>
      </c>
      <c r="F13" s="236">
        <v>11.35</v>
      </c>
      <c r="G13" s="236">
        <v>0</v>
      </c>
      <c r="H13" s="236">
        <v>4.3499999999999996</v>
      </c>
      <c r="I13" s="236">
        <v>0</v>
      </c>
      <c r="J13" s="236">
        <v>0</v>
      </c>
      <c r="K13" s="236">
        <v>5</v>
      </c>
      <c r="L13" s="236">
        <v>0</v>
      </c>
      <c r="M13" s="236">
        <v>0</v>
      </c>
      <c r="N13" s="236">
        <v>0</v>
      </c>
      <c r="O13" s="236">
        <v>0</v>
      </c>
      <c r="P13" s="236">
        <v>0</v>
      </c>
      <c r="Q13" s="236">
        <v>0</v>
      </c>
      <c r="R13" s="236">
        <v>0</v>
      </c>
      <c r="S13" s="236">
        <v>0</v>
      </c>
      <c r="T13" s="236">
        <v>0</v>
      </c>
      <c r="U13" s="236">
        <v>0</v>
      </c>
      <c r="V13" s="236">
        <v>0</v>
      </c>
      <c r="W13" s="236">
        <v>0</v>
      </c>
      <c r="X13" s="236">
        <v>0</v>
      </c>
      <c r="Y13" s="236">
        <v>0</v>
      </c>
      <c r="Z13" s="236">
        <v>0</v>
      </c>
      <c r="AA13" s="236">
        <v>0</v>
      </c>
      <c r="AB13" s="236">
        <v>0</v>
      </c>
      <c r="AC13" s="236">
        <v>0</v>
      </c>
      <c r="AD13" s="236">
        <v>0</v>
      </c>
      <c r="AE13" s="236">
        <v>0</v>
      </c>
      <c r="AF13" s="236">
        <v>0</v>
      </c>
      <c r="AG13" s="236">
        <v>0</v>
      </c>
      <c r="AH13" s="236">
        <v>0</v>
      </c>
      <c r="AI13" s="236">
        <v>0</v>
      </c>
      <c r="AJ13" s="236">
        <v>0</v>
      </c>
      <c r="AK13" s="236">
        <v>0</v>
      </c>
      <c r="AL13" s="236">
        <v>0</v>
      </c>
      <c r="AM13" s="236">
        <v>2</v>
      </c>
      <c r="AN13" s="236">
        <v>0</v>
      </c>
    </row>
    <row r="14" spans="1:40" x14ac:dyDescent="0.3">
      <c r="A14" s="236" t="s">
        <v>211</v>
      </c>
      <c r="B14" s="261">
        <v>11</v>
      </c>
      <c r="C14" s="236">
        <v>19</v>
      </c>
      <c r="D14" s="236">
        <v>3</v>
      </c>
      <c r="E14" s="236">
        <v>2</v>
      </c>
      <c r="F14" s="236">
        <v>1686.8</v>
      </c>
      <c r="G14" s="236">
        <v>0</v>
      </c>
      <c r="H14" s="236">
        <v>730.8</v>
      </c>
      <c r="I14" s="236">
        <v>0</v>
      </c>
      <c r="J14" s="236">
        <v>0</v>
      </c>
      <c r="K14" s="236">
        <v>788</v>
      </c>
      <c r="L14" s="236">
        <v>0</v>
      </c>
      <c r="M14" s="236">
        <v>0</v>
      </c>
      <c r="N14" s="236">
        <v>0</v>
      </c>
      <c r="O14" s="236">
        <v>0</v>
      </c>
      <c r="P14" s="236">
        <v>0</v>
      </c>
      <c r="Q14" s="236">
        <v>0</v>
      </c>
      <c r="R14" s="236">
        <v>0</v>
      </c>
      <c r="S14" s="236">
        <v>0</v>
      </c>
      <c r="T14" s="236">
        <v>0</v>
      </c>
      <c r="U14" s="236">
        <v>0</v>
      </c>
      <c r="V14" s="236">
        <v>0</v>
      </c>
      <c r="W14" s="236">
        <v>0</v>
      </c>
      <c r="X14" s="236">
        <v>0</v>
      </c>
      <c r="Y14" s="236">
        <v>0</v>
      </c>
      <c r="Z14" s="236">
        <v>0</v>
      </c>
      <c r="AA14" s="236">
        <v>0</v>
      </c>
      <c r="AB14" s="236">
        <v>0</v>
      </c>
      <c r="AC14" s="236">
        <v>0</v>
      </c>
      <c r="AD14" s="236">
        <v>0</v>
      </c>
      <c r="AE14" s="236">
        <v>0</v>
      </c>
      <c r="AF14" s="236">
        <v>0</v>
      </c>
      <c r="AG14" s="236">
        <v>0</v>
      </c>
      <c r="AH14" s="236">
        <v>0</v>
      </c>
      <c r="AI14" s="236">
        <v>0</v>
      </c>
      <c r="AJ14" s="236">
        <v>0</v>
      </c>
      <c r="AK14" s="236">
        <v>0</v>
      </c>
      <c r="AL14" s="236">
        <v>0</v>
      </c>
      <c r="AM14" s="236">
        <v>168</v>
      </c>
      <c r="AN14" s="236">
        <v>0</v>
      </c>
    </row>
    <row r="15" spans="1:40" x14ac:dyDescent="0.3">
      <c r="A15" s="236" t="s">
        <v>212</v>
      </c>
      <c r="B15" s="261">
        <v>12</v>
      </c>
      <c r="C15" s="236">
        <v>19</v>
      </c>
      <c r="D15" s="236">
        <v>3</v>
      </c>
      <c r="E15" s="236">
        <v>6</v>
      </c>
      <c r="F15" s="236">
        <v>377995</v>
      </c>
      <c r="G15" s="236">
        <v>0</v>
      </c>
      <c r="H15" s="236">
        <v>222409</v>
      </c>
      <c r="I15" s="236">
        <v>0</v>
      </c>
      <c r="J15" s="236">
        <v>0</v>
      </c>
      <c r="K15" s="236">
        <v>135059</v>
      </c>
      <c r="L15" s="236">
        <v>0</v>
      </c>
      <c r="M15" s="236">
        <v>0</v>
      </c>
      <c r="N15" s="236">
        <v>0</v>
      </c>
      <c r="O15" s="236">
        <v>0</v>
      </c>
      <c r="P15" s="236">
        <v>0</v>
      </c>
      <c r="Q15" s="236">
        <v>0</v>
      </c>
      <c r="R15" s="236">
        <v>0</v>
      </c>
      <c r="S15" s="236">
        <v>0</v>
      </c>
      <c r="T15" s="236">
        <v>0</v>
      </c>
      <c r="U15" s="236">
        <v>0</v>
      </c>
      <c r="V15" s="236">
        <v>0</v>
      </c>
      <c r="W15" s="236">
        <v>0</v>
      </c>
      <c r="X15" s="236">
        <v>0</v>
      </c>
      <c r="Y15" s="236">
        <v>0</v>
      </c>
      <c r="Z15" s="236">
        <v>0</v>
      </c>
      <c r="AA15" s="236">
        <v>0</v>
      </c>
      <c r="AB15" s="236">
        <v>0</v>
      </c>
      <c r="AC15" s="236">
        <v>0</v>
      </c>
      <c r="AD15" s="236">
        <v>0</v>
      </c>
      <c r="AE15" s="236">
        <v>0</v>
      </c>
      <c r="AF15" s="236">
        <v>0</v>
      </c>
      <c r="AG15" s="236">
        <v>0</v>
      </c>
      <c r="AH15" s="236">
        <v>0</v>
      </c>
      <c r="AI15" s="236">
        <v>0</v>
      </c>
      <c r="AJ15" s="236">
        <v>0</v>
      </c>
      <c r="AK15" s="236">
        <v>0</v>
      </c>
      <c r="AL15" s="236">
        <v>0</v>
      </c>
      <c r="AM15" s="236">
        <v>20527</v>
      </c>
      <c r="AN15" s="236">
        <v>0</v>
      </c>
    </row>
    <row r="16" spans="1:40" x14ac:dyDescent="0.3">
      <c r="A16" s="236" t="s">
        <v>200</v>
      </c>
      <c r="B16" s="261">
        <v>2014</v>
      </c>
      <c r="C16" s="236">
        <v>19</v>
      </c>
      <c r="D16" s="236">
        <v>3</v>
      </c>
      <c r="E16" s="236">
        <v>9</v>
      </c>
      <c r="F16" s="236">
        <v>4167</v>
      </c>
      <c r="G16" s="236">
        <v>0</v>
      </c>
      <c r="H16" s="236">
        <v>4000</v>
      </c>
      <c r="I16" s="236">
        <v>0</v>
      </c>
      <c r="J16" s="236">
        <v>0</v>
      </c>
      <c r="K16" s="236">
        <v>0</v>
      </c>
      <c r="L16" s="236">
        <v>0</v>
      </c>
      <c r="M16" s="236">
        <v>0</v>
      </c>
      <c r="N16" s="236">
        <v>0</v>
      </c>
      <c r="O16" s="236">
        <v>0</v>
      </c>
      <c r="P16" s="236">
        <v>0</v>
      </c>
      <c r="Q16" s="236">
        <v>0</v>
      </c>
      <c r="R16" s="236">
        <v>0</v>
      </c>
      <c r="S16" s="236">
        <v>0</v>
      </c>
      <c r="T16" s="236">
        <v>0</v>
      </c>
      <c r="U16" s="236">
        <v>0</v>
      </c>
      <c r="V16" s="236">
        <v>0</v>
      </c>
      <c r="W16" s="236">
        <v>0</v>
      </c>
      <c r="X16" s="236">
        <v>0</v>
      </c>
      <c r="Y16" s="236">
        <v>0</v>
      </c>
      <c r="Z16" s="236">
        <v>0</v>
      </c>
      <c r="AA16" s="236">
        <v>0</v>
      </c>
      <c r="AB16" s="236">
        <v>0</v>
      </c>
      <c r="AC16" s="236">
        <v>0</v>
      </c>
      <c r="AD16" s="236">
        <v>0</v>
      </c>
      <c r="AE16" s="236">
        <v>0</v>
      </c>
      <c r="AF16" s="236">
        <v>0</v>
      </c>
      <c r="AG16" s="236">
        <v>0</v>
      </c>
      <c r="AH16" s="236">
        <v>0</v>
      </c>
      <c r="AI16" s="236">
        <v>0</v>
      </c>
      <c r="AJ16" s="236">
        <v>0</v>
      </c>
      <c r="AK16" s="236">
        <v>0</v>
      </c>
      <c r="AL16" s="236">
        <v>0</v>
      </c>
      <c r="AM16" s="236">
        <v>167</v>
      </c>
      <c r="AN16" s="236">
        <v>0</v>
      </c>
    </row>
    <row r="17" spans="3:40" x14ac:dyDescent="0.3">
      <c r="C17" s="236">
        <v>19</v>
      </c>
      <c r="D17" s="236">
        <v>3</v>
      </c>
      <c r="E17" s="236">
        <v>11</v>
      </c>
      <c r="F17" s="236">
        <v>1372.0833333333333</v>
      </c>
      <c r="G17" s="236">
        <v>0</v>
      </c>
      <c r="H17" s="236">
        <v>1372.0833333333333</v>
      </c>
      <c r="I17" s="236">
        <v>0</v>
      </c>
      <c r="J17" s="236">
        <v>0</v>
      </c>
      <c r="K17" s="236">
        <v>0</v>
      </c>
      <c r="L17" s="236">
        <v>0</v>
      </c>
      <c r="M17" s="236">
        <v>0</v>
      </c>
      <c r="N17" s="236">
        <v>0</v>
      </c>
      <c r="O17" s="236">
        <v>0</v>
      </c>
      <c r="P17" s="236">
        <v>0</v>
      </c>
      <c r="Q17" s="236">
        <v>0</v>
      </c>
      <c r="R17" s="236">
        <v>0</v>
      </c>
      <c r="S17" s="236">
        <v>0</v>
      </c>
      <c r="T17" s="236">
        <v>0</v>
      </c>
      <c r="U17" s="236">
        <v>0</v>
      </c>
      <c r="V17" s="236">
        <v>0</v>
      </c>
      <c r="W17" s="236">
        <v>0</v>
      </c>
      <c r="X17" s="236">
        <v>0</v>
      </c>
      <c r="Y17" s="236">
        <v>0</v>
      </c>
      <c r="Z17" s="236">
        <v>0</v>
      </c>
      <c r="AA17" s="236">
        <v>0</v>
      </c>
      <c r="AB17" s="236">
        <v>0</v>
      </c>
      <c r="AC17" s="236">
        <v>0</v>
      </c>
      <c r="AD17" s="236">
        <v>0</v>
      </c>
      <c r="AE17" s="236">
        <v>0</v>
      </c>
      <c r="AF17" s="236">
        <v>0</v>
      </c>
      <c r="AG17" s="236">
        <v>0</v>
      </c>
      <c r="AH17" s="236">
        <v>0</v>
      </c>
      <c r="AI17" s="236">
        <v>0</v>
      </c>
      <c r="AJ17" s="236">
        <v>0</v>
      </c>
      <c r="AK17" s="236">
        <v>0</v>
      </c>
      <c r="AL17" s="236">
        <v>0</v>
      </c>
      <c r="AM17" s="236">
        <v>0</v>
      </c>
      <c r="AN17" s="236">
        <v>0</v>
      </c>
    </row>
    <row r="18" spans="3:40" x14ac:dyDescent="0.3">
      <c r="C18" s="236">
        <v>19</v>
      </c>
      <c r="D18" s="236">
        <v>4</v>
      </c>
      <c r="E18" s="236">
        <v>1</v>
      </c>
      <c r="F18" s="236">
        <v>12.35</v>
      </c>
      <c r="G18" s="236">
        <v>0</v>
      </c>
      <c r="H18" s="236">
        <v>4.3499999999999996</v>
      </c>
      <c r="I18" s="236">
        <v>0</v>
      </c>
      <c r="J18" s="236">
        <v>0</v>
      </c>
      <c r="K18" s="236">
        <v>5</v>
      </c>
      <c r="L18" s="236">
        <v>0</v>
      </c>
      <c r="M18" s="236">
        <v>0</v>
      </c>
      <c r="N18" s="236">
        <v>0</v>
      </c>
      <c r="O18" s="236">
        <v>0</v>
      </c>
      <c r="P18" s="236">
        <v>0</v>
      </c>
      <c r="Q18" s="236">
        <v>0</v>
      </c>
      <c r="R18" s="236">
        <v>0</v>
      </c>
      <c r="S18" s="236">
        <v>0</v>
      </c>
      <c r="T18" s="236">
        <v>0</v>
      </c>
      <c r="U18" s="236">
        <v>0</v>
      </c>
      <c r="V18" s="236">
        <v>0</v>
      </c>
      <c r="W18" s="236">
        <v>0</v>
      </c>
      <c r="X18" s="236">
        <v>0</v>
      </c>
      <c r="Y18" s="236">
        <v>0</v>
      </c>
      <c r="Z18" s="236">
        <v>0</v>
      </c>
      <c r="AA18" s="236">
        <v>0</v>
      </c>
      <c r="AB18" s="236">
        <v>0</v>
      </c>
      <c r="AC18" s="236">
        <v>0</v>
      </c>
      <c r="AD18" s="236">
        <v>0</v>
      </c>
      <c r="AE18" s="236">
        <v>0</v>
      </c>
      <c r="AF18" s="236">
        <v>0</v>
      </c>
      <c r="AG18" s="236">
        <v>0</v>
      </c>
      <c r="AH18" s="236">
        <v>0</v>
      </c>
      <c r="AI18" s="236">
        <v>0</v>
      </c>
      <c r="AJ18" s="236">
        <v>0</v>
      </c>
      <c r="AK18" s="236">
        <v>0</v>
      </c>
      <c r="AL18" s="236">
        <v>0</v>
      </c>
      <c r="AM18" s="236">
        <v>3</v>
      </c>
      <c r="AN18" s="236">
        <v>0</v>
      </c>
    </row>
    <row r="19" spans="3:40" x14ac:dyDescent="0.3">
      <c r="C19" s="236">
        <v>19</v>
      </c>
      <c r="D19" s="236">
        <v>4</v>
      </c>
      <c r="E19" s="236">
        <v>2</v>
      </c>
      <c r="F19" s="236">
        <v>1973.6</v>
      </c>
      <c r="G19" s="236">
        <v>0</v>
      </c>
      <c r="H19" s="236">
        <v>761.6</v>
      </c>
      <c r="I19" s="236">
        <v>0</v>
      </c>
      <c r="J19" s="236">
        <v>0</v>
      </c>
      <c r="K19" s="236">
        <v>860</v>
      </c>
      <c r="L19" s="236">
        <v>0</v>
      </c>
      <c r="M19" s="236">
        <v>0</v>
      </c>
      <c r="N19" s="236">
        <v>0</v>
      </c>
      <c r="O19" s="236">
        <v>0</v>
      </c>
      <c r="P19" s="236">
        <v>0</v>
      </c>
      <c r="Q19" s="236">
        <v>0</v>
      </c>
      <c r="R19" s="236">
        <v>0</v>
      </c>
      <c r="S19" s="236">
        <v>0</v>
      </c>
      <c r="T19" s="236">
        <v>0</v>
      </c>
      <c r="U19" s="236">
        <v>0</v>
      </c>
      <c r="V19" s="236">
        <v>0</v>
      </c>
      <c r="W19" s="236">
        <v>0</v>
      </c>
      <c r="X19" s="236">
        <v>0</v>
      </c>
      <c r="Y19" s="236">
        <v>0</v>
      </c>
      <c r="Z19" s="236">
        <v>0</v>
      </c>
      <c r="AA19" s="236">
        <v>0</v>
      </c>
      <c r="AB19" s="236">
        <v>0</v>
      </c>
      <c r="AC19" s="236">
        <v>0</v>
      </c>
      <c r="AD19" s="236">
        <v>0</v>
      </c>
      <c r="AE19" s="236">
        <v>0</v>
      </c>
      <c r="AF19" s="236">
        <v>0</v>
      </c>
      <c r="AG19" s="236">
        <v>0</v>
      </c>
      <c r="AH19" s="236">
        <v>0</v>
      </c>
      <c r="AI19" s="236">
        <v>0</v>
      </c>
      <c r="AJ19" s="236">
        <v>0</v>
      </c>
      <c r="AK19" s="236">
        <v>0</v>
      </c>
      <c r="AL19" s="236">
        <v>0</v>
      </c>
      <c r="AM19" s="236">
        <v>352</v>
      </c>
      <c r="AN19" s="236">
        <v>0</v>
      </c>
    </row>
    <row r="20" spans="3:40" x14ac:dyDescent="0.3">
      <c r="C20" s="236">
        <v>19</v>
      </c>
      <c r="D20" s="236">
        <v>4</v>
      </c>
      <c r="E20" s="236">
        <v>6</v>
      </c>
      <c r="F20" s="236">
        <v>399360</v>
      </c>
      <c r="G20" s="236">
        <v>0</v>
      </c>
      <c r="H20" s="236">
        <v>222629</v>
      </c>
      <c r="I20" s="236">
        <v>0</v>
      </c>
      <c r="J20" s="236">
        <v>0</v>
      </c>
      <c r="K20" s="236">
        <v>136324</v>
      </c>
      <c r="L20" s="236">
        <v>0</v>
      </c>
      <c r="M20" s="236">
        <v>0</v>
      </c>
      <c r="N20" s="236">
        <v>0</v>
      </c>
      <c r="O20" s="236">
        <v>0</v>
      </c>
      <c r="P20" s="236">
        <v>0</v>
      </c>
      <c r="Q20" s="236">
        <v>0</v>
      </c>
      <c r="R20" s="236">
        <v>0</v>
      </c>
      <c r="S20" s="236">
        <v>0</v>
      </c>
      <c r="T20" s="236">
        <v>0</v>
      </c>
      <c r="U20" s="236">
        <v>0</v>
      </c>
      <c r="V20" s="236">
        <v>0</v>
      </c>
      <c r="W20" s="236">
        <v>0</v>
      </c>
      <c r="X20" s="236">
        <v>0</v>
      </c>
      <c r="Y20" s="236">
        <v>0</v>
      </c>
      <c r="Z20" s="236">
        <v>0</v>
      </c>
      <c r="AA20" s="236">
        <v>0</v>
      </c>
      <c r="AB20" s="236">
        <v>0</v>
      </c>
      <c r="AC20" s="236">
        <v>0</v>
      </c>
      <c r="AD20" s="236">
        <v>0</v>
      </c>
      <c r="AE20" s="236">
        <v>0</v>
      </c>
      <c r="AF20" s="236">
        <v>0</v>
      </c>
      <c r="AG20" s="236">
        <v>0</v>
      </c>
      <c r="AH20" s="236">
        <v>0</v>
      </c>
      <c r="AI20" s="236">
        <v>0</v>
      </c>
      <c r="AJ20" s="236">
        <v>0</v>
      </c>
      <c r="AK20" s="236">
        <v>0</v>
      </c>
      <c r="AL20" s="236">
        <v>0</v>
      </c>
      <c r="AM20" s="236">
        <v>40407</v>
      </c>
      <c r="AN20" s="236">
        <v>0</v>
      </c>
    </row>
    <row r="21" spans="3:40" x14ac:dyDescent="0.3">
      <c r="C21" s="236">
        <v>19</v>
      </c>
      <c r="D21" s="236">
        <v>4</v>
      </c>
      <c r="E21" s="236">
        <v>9</v>
      </c>
      <c r="F21" s="236">
        <v>4267</v>
      </c>
      <c r="G21" s="236">
        <v>0</v>
      </c>
      <c r="H21" s="236">
        <v>4000</v>
      </c>
      <c r="I21" s="236">
        <v>0</v>
      </c>
      <c r="J21" s="236">
        <v>0</v>
      </c>
      <c r="K21" s="236">
        <v>0</v>
      </c>
      <c r="L21" s="236">
        <v>0</v>
      </c>
      <c r="M21" s="236">
        <v>0</v>
      </c>
      <c r="N21" s="236">
        <v>0</v>
      </c>
      <c r="O21" s="236">
        <v>0</v>
      </c>
      <c r="P21" s="236">
        <v>0</v>
      </c>
      <c r="Q21" s="236">
        <v>0</v>
      </c>
      <c r="R21" s="236">
        <v>0</v>
      </c>
      <c r="S21" s="236">
        <v>0</v>
      </c>
      <c r="T21" s="236">
        <v>0</v>
      </c>
      <c r="U21" s="236">
        <v>0</v>
      </c>
      <c r="V21" s="236">
        <v>0</v>
      </c>
      <c r="W21" s="236">
        <v>0</v>
      </c>
      <c r="X21" s="236">
        <v>0</v>
      </c>
      <c r="Y21" s="236">
        <v>0</v>
      </c>
      <c r="Z21" s="236">
        <v>0</v>
      </c>
      <c r="AA21" s="236">
        <v>0</v>
      </c>
      <c r="AB21" s="236">
        <v>0</v>
      </c>
      <c r="AC21" s="236">
        <v>0</v>
      </c>
      <c r="AD21" s="236">
        <v>0</v>
      </c>
      <c r="AE21" s="236">
        <v>0</v>
      </c>
      <c r="AF21" s="236">
        <v>0</v>
      </c>
      <c r="AG21" s="236">
        <v>0</v>
      </c>
      <c r="AH21" s="236">
        <v>0</v>
      </c>
      <c r="AI21" s="236">
        <v>0</v>
      </c>
      <c r="AJ21" s="236">
        <v>0</v>
      </c>
      <c r="AK21" s="236">
        <v>0</v>
      </c>
      <c r="AL21" s="236">
        <v>0</v>
      </c>
      <c r="AM21" s="236">
        <v>267</v>
      </c>
      <c r="AN21" s="236">
        <v>0</v>
      </c>
    </row>
    <row r="22" spans="3:40" x14ac:dyDescent="0.3">
      <c r="C22" s="236">
        <v>19</v>
      </c>
      <c r="D22" s="236">
        <v>4</v>
      </c>
      <c r="E22" s="236">
        <v>11</v>
      </c>
      <c r="F22" s="236">
        <v>1372.0833333333333</v>
      </c>
      <c r="G22" s="236">
        <v>0</v>
      </c>
      <c r="H22" s="236">
        <v>1372.0833333333333</v>
      </c>
      <c r="I22" s="236">
        <v>0</v>
      </c>
      <c r="J22" s="236">
        <v>0</v>
      </c>
      <c r="K22" s="236">
        <v>0</v>
      </c>
      <c r="L22" s="236">
        <v>0</v>
      </c>
      <c r="M22" s="236">
        <v>0</v>
      </c>
      <c r="N22" s="236">
        <v>0</v>
      </c>
      <c r="O22" s="236">
        <v>0</v>
      </c>
      <c r="P22" s="236">
        <v>0</v>
      </c>
      <c r="Q22" s="236">
        <v>0</v>
      </c>
      <c r="R22" s="236">
        <v>0</v>
      </c>
      <c r="S22" s="236">
        <v>0</v>
      </c>
      <c r="T22" s="236">
        <v>0</v>
      </c>
      <c r="U22" s="236">
        <v>0</v>
      </c>
      <c r="V22" s="236">
        <v>0</v>
      </c>
      <c r="W22" s="236">
        <v>0</v>
      </c>
      <c r="X22" s="236">
        <v>0</v>
      </c>
      <c r="Y22" s="236">
        <v>0</v>
      </c>
      <c r="Z22" s="236">
        <v>0</v>
      </c>
      <c r="AA22" s="236">
        <v>0</v>
      </c>
      <c r="AB22" s="236">
        <v>0</v>
      </c>
      <c r="AC22" s="236">
        <v>0</v>
      </c>
      <c r="AD22" s="236">
        <v>0</v>
      </c>
      <c r="AE22" s="236">
        <v>0</v>
      </c>
      <c r="AF22" s="236">
        <v>0</v>
      </c>
      <c r="AG22" s="236">
        <v>0</v>
      </c>
      <c r="AH22" s="236">
        <v>0</v>
      </c>
      <c r="AI22" s="236">
        <v>0</v>
      </c>
      <c r="AJ22" s="236">
        <v>0</v>
      </c>
      <c r="AK22" s="236">
        <v>0</v>
      </c>
      <c r="AL22" s="236">
        <v>0</v>
      </c>
      <c r="AM22" s="236">
        <v>0</v>
      </c>
      <c r="AN22" s="236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4" bestFit="1" customWidth="1"/>
    <col min="2" max="2" width="11.6640625" style="154" hidden="1" customWidth="1"/>
    <col min="3" max="4" width="11" style="156" customWidth="1"/>
    <col min="5" max="5" width="11" style="157" customWidth="1"/>
    <col min="6" max="16384" width="8.88671875" style="154"/>
  </cols>
  <sheetData>
    <row r="1" spans="1:5" ht="18.600000000000001" thickBot="1" x14ac:dyDescent="0.4">
      <c r="A1" s="310" t="s">
        <v>125</v>
      </c>
      <c r="B1" s="310"/>
      <c r="C1" s="311"/>
      <c r="D1" s="311"/>
      <c r="E1" s="311"/>
    </row>
    <row r="2" spans="1:5" ht="14.4" customHeight="1" thickBot="1" x14ac:dyDescent="0.35">
      <c r="A2" s="240" t="s">
        <v>272</v>
      </c>
      <c r="B2" s="155"/>
    </row>
    <row r="3" spans="1:5" ht="14.4" customHeight="1" thickBot="1" x14ac:dyDescent="0.35">
      <c r="A3" s="158"/>
      <c r="C3" s="159" t="s">
        <v>109</v>
      </c>
      <c r="D3" s="160" t="s">
        <v>73</v>
      </c>
      <c r="E3" s="161" t="s">
        <v>75</v>
      </c>
    </row>
    <row r="4" spans="1:5" ht="14.4" customHeight="1" thickBot="1" x14ac:dyDescent="0.35">
      <c r="A4" s="162" t="str">
        <f>HYPERLINK("#HI!A1","NÁKLADY CELKEM (v tisících Kč)")</f>
        <v>NÁKLADY CELKEM (v tisících Kč)</v>
      </c>
      <c r="B4" s="163"/>
      <c r="C4" s="164">
        <f ca="1">IF(ISERROR(VLOOKUP("Náklady celkem",INDIRECT("HI!$A:$G"),6,0)),0,VLOOKUP("Náklady celkem",INDIRECT("HI!$A:$G"),6,0))</f>
        <v>3169.333333333333</v>
      </c>
      <c r="D4" s="164">
        <f ca="1">IF(ISERROR(VLOOKUP("Náklady celkem",INDIRECT("HI!$A:$G"),5,0)),0,VLOOKUP("Náklady celkem",INDIRECT("HI!$A:$G"),5,0))</f>
        <v>3000.5183100000031</v>
      </c>
      <c r="E4" s="165">
        <f ca="1">IF(C4=0,0,D4/C4)</f>
        <v>0.94673484749684589</v>
      </c>
    </row>
    <row r="5" spans="1:5" ht="14.4" customHeight="1" x14ac:dyDescent="0.3">
      <c r="A5" s="166" t="s">
        <v>158</v>
      </c>
      <c r="B5" s="167"/>
      <c r="C5" s="168"/>
      <c r="D5" s="168"/>
      <c r="E5" s="169"/>
    </row>
    <row r="6" spans="1:5" ht="14.4" customHeight="1" x14ac:dyDescent="0.3">
      <c r="A6" s="170" t="s">
        <v>163</v>
      </c>
      <c r="B6" s="171"/>
      <c r="C6" s="172"/>
      <c r="D6" s="172"/>
      <c r="E6" s="169"/>
    </row>
    <row r="7" spans="1:5" ht="14.4" customHeight="1" x14ac:dyDescent="0.3">
      <c r="A7" s="17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71" t="s">
        <v>113</v>
      </c>
      <c r="C7" s="172">
        <f>IF(ISERROR(HI!F5),"",HI!F5)</f>
        <v>266.33333333333331</v>
      </c>
      <c r="D7" s="172">
        <f>IF(ISERROR(HI!E5),"",HI!E5)</f>
        <v>208.64609000000002</v>
      </c>
      <c r="E7" s="169">
        <f t="shared" ref="E7:E14" si="0">IF(C7=0,0,D7/C7)</f>
        <v>0.78340209011264095</v>
      </c>
    </row>
    <row r="8" spans="1:5" ht="14.4" customHeight="1" x14ac:dyDescent="0.3">
      <c r="A8" s="173" t="str">
        <f>HYPERLINK("#'LŽ PL'!A1","% plnění pozitivního listu")</f>
        <v>% plnění pozitivního listu</v>
      </c>
      <c r="B8" s="171" t="s">
        <v>150</v>
      </c>
      <c r="C8" s="174">
        <v>0.9</v>
      </c>
      <c r="D8" s="174">
        <f>IF(ISERROR(VLOOKUP("celkem",'LŽ PL'!$A:$F,5,0)),0,VLOOKUP("celkem",'LŽ PL'!$A:$F,5,0))</f>
        <v>1</v>
      </c>
      <c r="E8" s="169">
        <f t="shared" si="0"/>
        <v>1.1111111111111112</v>
      </c>
    </row>
    <row r="9" spans="1:5" ht="14.4" customHeight="1" x14ac:dyDescent="0.3">
      <c r="A9" s="175" t="s">
        <v>159</v>
      </c>
      <c r="B9" s="171"/>
      <c r="C9" s="172"/>
      <c r="D9" s="172"/>
      <c r="E9" s="169"/>
    </row>
    <row r="10" spans="1:5" ht="14.4" customHeight="1" x14ac:dyDescent="0.3">
      <c r="A10" s="173" t="str">
        <f>HYPERLINK("#'Léky Recepty'!A1","% záchytu v lékárně (Úhrada Kč)")</f>
        <v>% záchytu v lékárně (Úhrada Kč)</v>
      </c>
      <c r="B10" s="171" t="s">
        <v>118</v>
      </c>
      <c r="C10" s="174">
        <v>0.6</v>
      </c>
      <c r="D10" s="174">
        <f>IF(ISERROR(VLOOKUP("Celkem",'Léky Recepty'!B:H,5,0)),0,VLOOKUP("Celkem",'Léky Recepty'!B:H,5,0))</f>
        <v>0.59937019362353183</v>
      </c>
      <c r="E10" s="169">
        <f t="shared" si="0"/>
        <v>0.99895032270588646</v>
      </c>
    </row>
    <row r="11" spans="1:5" ht="14.4" customHeight="1" x14ac:dyDescent="0.3">
      <c r="A11" s="173" t="str">
        <f>HYPERLINK("#'LRp PL'!A1","% plnění pozitivního listu")</f>
        <v>% plnění pozitivního listu</v>
      </c>
      <c r="B11" s="171" t="s">
        <v>151</v>
      </c>
      <c r="C11" s="174">
        <v>0.8</v>
      </c>
      <c r="D11" s="174">
        <f>IF(ISERROR(VLOOKUP("Celkem",'LRp PL'!A:F,5,0)),0,VLOOKUP("Celkem",'LRp PL'!A:F,5,0))</f>
        <v>0.77731688538629906</v>
      </c>
      <c r="E11" s="169">
        <f t="shared" si="0"/>
        <v>0.97164610673287377</v>
      </c>
    </row>
    <row r="12" spans="1:5" ht="14.4" customHeight="1" x14ac:dyDescent="0.3">
      <c r="A12" s="175" t="s">
        <v>160</v>
      </c>
      <c r="B12" s="171"/>
      <c r="C12" s="172"/>
      <c r="D12" s="172"/>
      <c r="E12" s="169"/>
    </row>
    <row r="13" spans="1:5" ht="14.4" customHeight="1" x14ac:dyDescent="0.3">
      <c r="A13" s="176" t="s">
        <v>164</v>
      </c>
      <c r="B13" s="171"/>
      <c r="C13" s="168"/>
      <c r="D13" s="168"/>
      <c r="E13" s="169"/>
    </row>
    <row r="14" spans="1:5" ht="14.4" customHeight="1" x14ac:dyDescent="0.3">
      <c r="A14" s="17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71" t="s">
        <v>113</v>
      </c>
      <c r="C14" s="172">
        <f>IF(ISERROR(HI!F6),"",HI!F6)</f>
        <v>27</v>
      </c>
      <c r="D14" s="172">
        <f>IF(ISERROR(HI!E6),"",HI!E6)</f>
        <v>16.461350000000003</v>
      </c>
      <c r="E14" s="169">
        <f t="shared" si="0"/>
        <v>0.60967962962962974</v>
      </c>
    </row>
    <row r="15" spans="1:5" ht="14.4" customHeight="1" thickBot="1" x14ac:dyDescent="0.35">
      <c r="A15" s="178" t="str">
        <f>HYPERLINK("#HI!A1","Osobní náklady")</f>
        <v>Osobní náklady</v>
      </c>
      <c r="B15" s="171"/>
      <c r="C15" s="168">
        <f ca="1">IF(ISERROR(VLOOKUP("Osobní náklady (Kč) *",INDIRECT("HI!$A:$G"),6,0)),0,VLOOKUP("Osobní náklady (Kč) *",INDIRECT("HI!$A:$G"),6,0))</f>
        <v>2256.666666666667</v>
      </c>
      <c r="D15" s="168">
        <f ca="1">IF(ISERROR(VLOOKUP("Osobní náklady (Kč) *",INDIRECT("HI!$A:$G"),5,0)),0,VLOOKUP("Osobní náklady (Kč) *",INDIRECT("HI!$A:$G"),5,0))</f>
        <v>2101.3778000000029</v>
      </c>
      <c r="E15" s="169">
        <f ca="1">IF(C15=0,0,D15/C15)</f>
        <v>0.93118661742983866</v>
      </c>
    </row>
    <row r="16" spans="1:5" ht="14.4" customHeight="1" thickBot="1" x14ac:dyDescent="0.35">
      <c r="A16" s="182"/>
      <c r="B16" s="183"/>
      <c r="C16" s="184"/>
      <c r="D16" s="184"/>
      <c r="E16" s="185"/>
    </row>
    <row r="17" spans="1:5" ht="14.4" customHeight="1" thickBot="1" x14ac:dyDescent="0.35">
      <c r="A17" s="186" t="str">
        <f>HYPERLINK("#HI!A1","VÝNOSY CELKEM (v tisících)")</f>
        <v>VÝNOSY CELKEM (v tisících)</v>
      </c>
      <c r="B17" s="187"/>
      <c r="C17" s="188">
        <f ca="1">IF(ISERROR(VLOOKUP("Výnosy celkem",INDIRECT("HI!$A:$G"),6,0)),0,VLOOKUP("Výnosy celkem",INDIRECT("HI!$A:$G"),6,0))</f>
        <v>889.79399999999998</v>
      </c>
      <c r="D17" s="188">
        <f ca="1">IF(ISERROR(VLOOKUP("Výnosy celkem",INDIRECT("HI!$A:$G"),5,0)),0,VLOOKUP("Výnosy celkem",INDIRECT("HI!$A:$G"),5,0))</f>
        <v>738.43700000000001</v>
      </c>
      <c r="E17" s="189">
        <f t="shared" ref="E17:E22" ca="1" si="1">IF(C17=0,0,D17/C17)</f>
        <v>0.82989658280455925</v>
      </c>
    </row>
    <row r="18" spans="1:5" ht="14.4" customHeight="1" x14ac:dyDescent="0.3">
      <c r="A18" s="190" t="str">
        <f>HYPERLINK("#HI!A1","Ambulance (body za výkony + Kč za ZUM a ZULP)")</f>
        <v>Ambulance (body za výkony + Kč za ZUM a ZULP)</v>
      </c>
      <c r="B18" s="167"/>
      <c r="C18" s="168">
        <f ca="1">IF(ISERROR(VLOOKUP("Ambulance *",INDIRECT("HI!$A:$G"),6,0)),0,VLOOKUP("Ambulance *",INDIRECT("HI!$A:$G"),6,0))</f>
        <v>889.79399999999998</v>
      </c>
      <c r="D18" s="168">
        <f ca="1">IF(ISERROR(VLOOKUP("Ambulance *",INDIRECT("HI!$A:$G"),5,0)),0,VLOOKUP("Ambulance *",INDIRECT("HI!$A:$G"),5,0))</f>
        <v>738.43700000000001</v>
      </c>
      <c r="E18" s="169">
        <f t="shared" ca="1" si="1"/>
        <v>0.82989658280455925</v>
      </c>
    </row>
    <row r="19" spans="1:5" ht="14.4" customHeight="1" x14ac:dyDescent="0.3">
      <c r="A19" s="191" t="str">
        <f>HYPERLINK("#'ZV Vykáz.-A'!A1","Zdravotní výkony vykázané u ambulantních pacientů (min. 100 %)")</f>
        <v>Zdravotní výkony vykázané u ambulantních pacientů (min. 100 %)</v>
      </c>
      <c r="B19" s="154" t="s">
        <v>127</v>
      </c>
      <c r="C19" s="174">
        <v>1</v>
      </c>
      <c r="D19" s="174">
        <f>IF(ISERROR(VLOOKUP("Celkem:",'ZV Vykáz.-A'!$A:$S,7,0)),"",VLOOKUP("Celkem:",'ZV Vykáz.-A'!$A:$S,7,0))</f>
        <v>0.82989658280455925</v>
      </c>
      <c r="E19" s="169">
        <f t="shared" si="1"/>
        <v>0.82989658280455925</v>
      </c>
    </row>
    <row r="20" spans="1:5" ht="14.4" customHeight="1" x14ac:dyDescent="0.3">
      <c r="A20" s="191" t="str">
        <f>HYPERLINK("#'ZV Vykáz.-H'!A1","Zdravotní výkony vykázané u hospitalizovaných pacientů (max. 85 %)")</f>
        <v>Zdravotní výkony vykázané u hospitalizovaných pacientů (max. 85 %)</v>
      </c>
      <c r="B20" s="154" t="s">
        <v>129</v>
      </c>
      <c r="C20" s="174">
        <v>0.85</v>
      </c>
      <c r="D20" s="174">
        <f>IF(ISERROR(VLOOKUP("Celkem:",'ZV Vykáz.-H'!$A:$S,7,0)),"",VLOOKUP("Celkem:",'ZV Vykáz.-H'!$A:$S,7,0))</f>
        <v>4.434870934701643E-3</v>
      </c>
      <c r="E20" s="169">
        <f t="shared" si="1"/>
        <v>5.2174952172960509E-3</v>
      </c>
    </row>
    <row r="21" spans="1:5" ht="14.4" customHeight="1" x14ac:dyDescent="0.3">
      <c r="A21" s="192" t="str">
        <f>HYPERLINK("#HI!A1","Hospitalizace (casemix * 30000)")</f>
        <v>Hospitalizace (casemix * 30000)</v>
      </c>
      <c r="B21" s="171"/>
      <c r="C21" s="168">
        <f ca="1">IF(ISERROR(VLOOKUP("Hospitalizace *",INDIRECT("HI!$A:$G"),6,0)),0,VLOOKUP("Hospitalizace *",INDIRECT("HI!$A:$G"),6,0))</f>
        <v>0</v>
      </c>
      <c r="D21" s="168">
        <f ca="1">IF(ISERROR(VLOOKUP("Hospitalizace *",INDIRECT("HI!$A:$G"),5,0)),0,VLOOKUP("Hospitalizace *",INDIRECT("HI!$A:$G"),5,0))</f>
        <v>0</v>
      </c>
      <c r="E21" s="169">
        <f ca="1">IF(C21=0,0,D21/C21)</f>
        <v>0</v>
      </c>
    </row>
    <row r="22" spans="1:5" ht="27.6" x14ac:dyDescent="0.3">
      <c r="A22" s="193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2" s="171" t="s">
        <v>124</v>
      </c>
      <c r="C22" s="174" t="e">
        <f>IF(#REF!&gt;1,95%,95%-2*ABS(#REF!-#REF!))</f>
        <v>#REF!</v>
      </c>
      <c r="D22" s="174">
        <f>IF(ISERROR(VLOOKUP("Celkem:",'ZV Vyžád.'!$A:$M,7,0)),"",VLOOKUP("Celkem:",'ZV Vyžád.'!$A:$M,7,0))</f>
        <v>0</v>
      </c>
      <c r="E22" s="169" t="e">
        <f t="shared" si="1"/>
        <v>#REF!</v>
      </c>
    </row>
    <row r="23" spans="1:5" ht="14.4" customHeight="1" thickBot="1" x14ac:dyDescent="0.35">
      <c r="A23" s="194" t="s">
        <v>161</v>
      </c>
      <c r="B23" s="179"/>
      <c r="C23" s="180"/>
      <c r="D23" s="180"/>
      <c r="E23" s="181"/>
    </row>
    <row r="24" spans="1:5" ht="14.4" customHeight="1" thickBot="1" x14ac:dyDescent="0.35">
      <c r="A24" s="195"/>
      <c r="B24" s="196"/>
      <c r="C24" s="197"/>
      <c r="D24" s="197"/>
      <c r="E24" s="198"/>
    </row>
    <row r="25" spans="1:5" ht="14.4" customHeight="1" thickBot="1" x14ac:dyDescent="0.35">
      <c r="A25" s="199" t="s">
        <v>162</v>
      </c>
      <c r="B25" s="200"/>
      <c r="C25" s="201"/>
      <c r="D25" s="201"/>
      <c r="E25" s="202"/>
    </row>
  </sheetData>
  <mergeCells count="1">
    <mergeCell ref="A1:E1"/>
  </mergeCells>
  <conditionalFormatting sqref="E5">
    <cfRule type="cellIs" dxfId="64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2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1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1">
    <cfRule type="cellIs" dxfId="60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59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7 E19 E8 E10:E11">
    <cfRule type="cellIs" dxfId="58" priority="16" operator="lessThan">
      <formula>1</formula>
    </cfRule>
  </conditionalFormatting>
  <conditionalFormatting sqref="E17 E19 E8 E10:E11">
    <cfRule type="iconSet" priority="56">
      <iconSet iconSet="3Symbols2">
        <cfvo type="percent" val="0"/>
        <cfvo type="num" val="1"/>
        <cfvo type="num" val="1"/>
      </iconSet>
    </cfRule>
  </conditionalFormatting>
  <conditionalFormatting sqref="E22 E4 E7 E14 E20">
    <cfRule type="cellIs" dxfId="57" priority="59" operator="greaterThan">
      <formula>1</formula>
    </cfRule>
    <cfRule type="iconSet" priority="6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3" bestFit="1" customWidth="1"/>
    <col min="2" max="2" width="7.77734375" style="109" customWidth="1"/>
    <col min="3" max="3" width="5.44140625" style="133" hidden="1" customWidth="1"/>
    <col min="4" max="4" width="7.77734375" style="109" customWidth="1"/>
    <col min="5" max="5" width="5.44140625" style="133" hidden="1" customWidth="1"/>
    <col min="6" max="6" width="7.77734375" style="109" customWidth="1"/>
    <col min="7" max="7" width="7.77734375" style="215" customWidth="1"/>
    <col min="8" max="8" width="7.77734375" style="109" customWidth="1"/>
    <col min="9" max="9" width="5.44140625" style="133" hidden="1" customWidth="1"/>
    <col min="10" max="10" width="7.77734375" style="109" customWidth="1"/>
    <col min="11" max="11" width="5.44140625" style="133" hidden="1" customWidth="1"/>
    <col min="12" max="12" width="7.77734375" style="109" customWidth="1"/>
    <col min="13" max="13" width="7.77734375" style="215" customWidth="1"/>
    <col min="14" max="14" width="7.77734375" style="109" customWidth="1"/>
    <col min="15" max="15" width="5" style="133" hidden="1" customWidth="1"/>
    <col min="16" max="16" width="7.77734375" style="109" customWidth="1"/>
    <col min="17" max="17" width="5" style="133" hidden="1" customWidth="1"/>
    <col min="18" max="18" width="7.77734375" style="109" customWidth="1"/>
    <col min="19" max="19" width="7.77734375" style="215" customWidth="1"/>
    <col min="20" max="16384" width="8.88671875" style="133"/>
  </cols>
  <sheetData>
    <row r="1" spans="1:19" ht="18.600000000000001" customHeight="1" thickBot="1" x14ac:dyDescent="0.4">
      <c r="A1" s="376" t="s">
        <v>872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</row>
    <row r="2" spans="1:19" ht="14.4" customHeight="1" thickBot="1" x14ac:dyDescent="0.35">
      <c r="A2" s="240" t="s">
        <v>272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</row>
    <row r="3" spans="1:19" ht="14.4" customHeight="1" thickBot="1" x14ac:dyDescent="0.35">
      <c r="A3" s="225" t="s">
        <v>133</v>
      </c>
      <c r="B3" s="226">
        <f>SUBTOTAL(9,B6:B1048576)</f>
        <v>889794</v>
      </c>
      <c r="C3" s="227">
        <f t="shared" ref="C3:R3" si="0">SUBTOTAL(9,C6:C1048576)</f>
        <v>1</v>
      </c>
      <c r="D3" s="227">
        <f t="shared" si="0"/>
        <v>702353</v>
      </c>
      <c r="E3" s="227">
        <f t="shared" si="0"/>
        <v>0.77303847856919694</v>
      </c>
      <c r="F3" s="227">
        <f t="shared" si="0"/>
        <v>738437</v>
      </c>
      <c r="G3" s="228">
        <f>IF(B3&lt;&gt;0,F3/B3,"")</f>
        <v>0.82989658280455925</v>
      </c>
      <c r="H3" s="229">
        <f t="shared" si="0"/>
        <v>26266.87</v>
      </c>
      <c r="I3" s="227">
        <f t="shared" si="0"/>
        <v>1</v>
      </c>
      <c r="J3" s="227">
        <f t="shared" si="0"/>
        <v>28617.279999999995</v>
      </c>
      <c r="K3" s="227">
        <f t="shared" si="0"/>
        <v>1.0894819215231961</v>
      </c>
      <c r="L3" s="227">
        <f t="shared" si="0"/>
        <v>23283.98</v>
      </c>
      <c r="M3" s="230">
        <f>IF(H3&lt;&gt;0,L3/H3,"")</f>
        <v>0.88643907705790603</v>
      </c>
      <c r="N3" s="226">
        <f t="shared" si="0"/>
        <v>0</v>
      </c>
      <c r="O3" s="227">
        <f t="shared" si="0"/>
        <v>0</v>
      </c>
      <c r="P3" s="227">
        <f t="shared" si="0"/>
        <v>0</v>
      </c>
      <c r="Q3" s="227">
        <f t="shared" si="0"/>
        <v>0</v>
      </c>
      <c r="R3" s="227">
        <f t="shared" si="0"/>
        <v>0</v>
      </c>
      <c r="S3" s="228" t="str">
        <f>IF(N3&lt;&gt;0,R3/N3,"")</f>
        <v/>
      </c>
    </row>
    <row r="4" spans="1:19" ht="14.4" customHeight="1" x14ac:dyDescent="0.3">
      <c r="A4" s="377" t="s">
        <v>100</v>
      </c>
      <c r="B4" s="378" t="s">
        <v>101</v>
      </c>
      <c r="C4" s="379"/>
      <c r="D4" s="379"/>
      <c r="E4" s="379"/>
      <c r="F4" s="379"/>
      <c r="G4" s="380"/>
      <c r="H4" s="378" t="s">
        <v>102</v>
      </c>
      <c r="I4" s="379"/>
      <c r="J4" s="379"/>
      <c r="K4" s="379"/>
      <c r="L4" s="379"/>
      <c r="M4" s="380"/>
      <c r="N4" s="378" t="s">
        <v>103</v>
      </c>
      <c r="O4" s="379"/>
      <c r="P4" s="379"/>
      <c r="Q4" s="379"/>
      <c r="R4" s="379"/>
      <c r="S4" s="380"/>
    </row>
    <row r="5" spans="1:19" ht="14.4" customHeight="1" thickBot="1" x14ac:dyDescent="0.35">
      <c r="A5" s="562"/>
      <c r="B5" s="563">
        <v>2012</v>
      </c>
      <c r="C5" s="564"/>
      <c r="D5" s="564">
        <v>2013</v>
      </c>
      <c r="E5" s="564"/>
      <c r="F5" s="564">
        <v>2014</v>
      </c>
      <c r="G5" s="565" t="s">
        <v>2</v>
      </c>
      <c r="H5" s="563">
        <v>2012</v>
      </c>
      <c r="I5" s="564"/>
      <c r="J5" s="564">
        <v>2013</v>
      </c>
      <c r="K5" s="564"/>
      <c r="L5" s="564">
        <v>2014</v>
      </c>
      <c r="M5" s="565" t="s">
        <v>2</v>
      </c>
      <c r="N5" s="563">
        <v>2012</v>
      </c>
      <c r="O5" s="564"/>
      <c r="P5" s="564">
        <v>2013</v>
      </c>
      <c r="Q5" s="564"/>
      <c r="R5" s="564">
        <v>2014</v>
      </c>
      <c r="S5" s="565" t="s">
        <v>2</v>
      </c>
    </row>
    <row r="6" spans="1:19" ht="14.4" customHeight="1" x14ac:dyDescent="0.3">
      <c r="A6" s="528" t="s">
        <v>867</v>
      </c>
      <c r="B6" s="566">
        <v>889794</v>
      </c>
      <c r="C6" s="435">
        <v>1</v>
      </c>
      <c r="D6" s="566">
        <v>687845</v>
      </c>
      <c r="E6" s="435">
        <v>0.77303847856919694</v>
      </c>
      <c r="F6" s="566">
        <v>696334</v>
      </c>
      <c r="G6" s="457">
        <v>0.78257888904622863</v>
      </c>
      <c r="H6" s="566">
        <v>26266.87</v>
      </c>
      <c r="I6" s="435">
        <v>1</v>
      </c>
      <c r="J6" s="566">
        <v>28617.279999999995</v>
      </c>
      <c r="K6" s="435">
        <v>1.0894819215231961</v>
      </c>
      <c r="L6" s="566">
        <v>23283.98</v>
      </c>
      <c r="M6" s="457">
        <v>0.88643907705790603</v>
      </c>
      <c r="N6" s="566"/>
      <c r="O6" s="435"/>
      <c r="P6" s="566"/>
      <c r="Q6" s="435"/>
      <c r="R6" s="566"/>
      <c r="S6" s="488"/>
    </row>
    <row r="7" spans="1:19" ht="14.4" customHeight="1" thickBot="1" x14ac:dyDescent="0.35">
      <c r="A7" s="568" t="s">
        <v>868</v>
      </c>
      <c r="B7" s="567"/>
      <c r="C7" s="514"/>
      <c r="D7" s="567">
        <v>14508</v>
      </c>
      <c r="E7" s="514"/>
      <c r="F7" s="567">
        <v>42103</v>
      </c>
      <c r="G7" s="519"/>
      <c r="H7" s="567"/>
      <c r="I7" s="514"/>
      <c r="J7" s="567"/>
      <c r="K7" s="514"/>
      <c r="L7" s="567"/>
      <c r="M7" s="519"/>
      <c r="N7" s="567"/>
      <c r="O7" s="514"/>
      <c r="P7" s="567"/>
      <c r="Q7" s="514"/>
      <c r="R7" s="567"/>
      <c r="S7" s="520"/>
    </row>
    <row r="8" spans="1:19" ht="14.4" customHeight="1" x14ac:dyDescent="0.3">
      <c r="A8" s="569" t="s">
        <v>869</v>
      </c>
    </row>
    <row r="9" spans="1:19" ht="14.4" customHeight="1" x14ac:dyDescent="0.3">
      <c r="A9" s="570" t="s">
        <v>870</v>
      </c>
    </row>
    <row r="10" spans="1:19" ht="14.4" customHeight="1" x14ac:dyDescent="0.3">
      <c r="A10" s="569" t="s">
        <v>871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45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33" bestFit="1" customWidth="1"/>
    <col min="2" max="2" width="2.109375" style="133" bestFit="1" customWidth="1"/>
    <col min="3" max="3" width="8" style="133" bestFit="1" customWidth="1"/>
    <col min="4" max="4" width="50.88671875" style="133" bestFit="1" customWidth="1"/>
    <col min="5" max="6" width="11.109375" style="212" customWidth="1"/>
    <col min="7" max="8" width="9.33203125" style="133" hidden="1" customWidth="1"/>
    <col min="9" max="10" width="11.109375" style="212" customWidth="1"/>
    <col min="11" max="12" width="9.33203125" style="133" hidden="1" customWidth="1"/>
    <col min="13" max="14" width="11.109375" style="212" customWidth="1"/>
    <col min="15" max="15" width="11.109375" style="215" customWidth="1"/>
    <col min="16" max="16" width="11.109375" style="212" customWidth="1"/>
    <col min="17" max="16384" width="8.88671875" style="133"/>
  </cols>
  <sheetData>
    <row r="1" spans="1:16" ht="18.600000000000001" customHeight="1" thickBot="1" x14ac:dyDescent="0.4">
      <c r="A1" s="310" t="s">
        <v>948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</row>
    <row r="2" spans="1:16" ht="14.4" customHeight="1" thickBot="1" x14ac:dyDescent="0.35">
      <c r="A2" s="240" t="s">
        <v>272</v>
      </c>
      <c r="B2" s="134"/>
      <c r="C2" s="134"/>
      <c r="D2" s="134"/>
      <c r="E2" s="233"/>
      <c r="F2" s="233"/>
      <c r="G2" s="134"/>
      <c r="H2" s="134"/>
      <c r="I2" s="233"/>
      <c r="J2" s="233"/>
      <c r="K2" s="134"/>
      <c r="L2" s="134"/>
      <c r="M2" s="233"/>
      <c r="N2" s="233"/>
      <c r="O2" s="234"/>
      <c r="P2" s="233"/>
    </row>
    <row r="3" spans="1:16" ht="14.4" customHeight="1" thickBot="1" x14ac:dyDescent="0.35">
      <c r="D3" s="87" t="s">
        <v>133</v>
      </c>
      <c r="E3" s="103">
        <f t="shared" ref="E3:N3" si="0">SUBTOTAL(9,E6:E1048576)</f>
        <v>5823.5</v>
      </c>
      <c r="F3" s="104">
        <f t="shared" si="0"/>
        <v>916060.87</v>
      </c>
      <c r="G3" s="74"/>
      <c r="H3" s="74"/>
      <c r="I3" s="104">
        <f t="shared" si="0"/>
        <v>6997.4</v>
      </c>
      <c r="J3" s="104">
        <f t="shared" si="0"/>
        <v>730970.28</v>
      </c>
      <c r="K3" s="74"/>
      <c r="L3" s="74"/>
      <c r="M3" s="104">
        <f t="shared" si="0"/>
        <v>7785.4</v>
      </c>
      <c r="N3" s="104">
        <f t="shared" si="0"/>
        <v>761720.98</v>
      </c>
      <c r="O3" s="75">
        <f>IF(F3=0,0,N3/F3)</f>
        <v>0.83151786627454127</v>
      </c>
      <c r="P3" s="105">
        <f>IF(M3=0,0,N3/M3)</f>
        <v>97.839671693169265</v>
      </c>
    </row>
    <row r="4" spans="1:16" ht="14.4" customHeight="1" x14ac:dyDescent="0.3">
      <c r="A4" s="382" t="s">
        <v>96</v>
      </c>
      <c r="B4" s="383" t="s">
        <v>97</v>
      </c>
      <c r="C4" s="384" t="s">
        <v>98</v>
      </c>
      <c r="D4" s="385" t="s">
        <v>70</v>
      </c>
      <c r="E4" s="386">
        <v>2012</v>
      </c>
      <c r="F4" s="387"/>
      <c r="G4" s="102"/>
      <c r="H4" s="102"/>
      <c r="I4" s="386">
        <v>2013</v>
      </c>
      <c r="J4" s="387"/>
      <c r="K4" s="102"/>
      <c r="L4" s="102"/>
      <c r="M4" s="386">
        <v>2014</v>
      </c>
      <c r="N4" s="387"/>
      <c r="O4" s="388" t="s">
        <v>2</v>
      </c>
      <c r="P4" s="381" t="s">
        <v>99</v>
      </c>
    </row>
    <row r="5" spans="1:16" ht="14.4" customHeight="1" thickBot="1" x14ac:dyDescent="0.35">
      <c r="A5" s="571"/>
      <c r="B5" s="572"/>
      <c r="C5" s="573"/>
      <c r="D5" s="574"/>
      <c r="E5" s="575" t="s">
        <v>72</v>
      </c>
      <c r="F5" s="576" t="s">
        <v>14</v>
      </c>
      <c r="G5" s="577"/>
      <c r="H5" s="577"/>
      <c r="I5" s="575" t="s">
        <v>72</v>
      </c>
      <c r="J5" s="576" t="s">
        <v>14</v>
      </c>
      <c r="K5" s="577"/>
      <c r="L5" s="577"/>
      <c r="M5" s="575" t="s">
        <v>72</v>
      </c>
      <c r="N5" s="576" t="s">
        <v>14</v>
      </c>
      <c r="O5" s="578"/>
      <c r="P5" s="579"/>
    </row>
    <row r="6" spans="1:16" ht="14.4" customHeight="1" x14ac:dyDescent="0.3">
      <c r="A6" s="434" t="s">
        <v>873</v>
      </c>
      <c r="B6" s="435" t="s">
        <v>874</v>
      </c>
      <c r="C6" s="435" t="s">
        <v>875</v>
      </c>
      <c r="D6" s="435" t="s">
        <v>876</v>
      </c>
      <c r="E6" s="438">
        <v>87.8</v>
      </c>
      <c r="F6" s="438">
        <v>8328.0499999999993</v>
      </c>
      <c r="G6" s="435">
        <v>1</v>
      </c>
      <c r="H6" s="435">
        <v>94.852505694760808</v>
      </c>
      <c r="I6" s="438">
        <v>167.60000000000002</v>
      </c>
      <c r="J6" s="438">
        <v>15283.420000000002</v>
      </c>
      <c r="K6" s="435">
        <v>1.8351739002527607</v>
      </c>
      <c r="L6" s="435">
        <v>91.189856801909301</v>
      </c>
      <c r="M6" s="438">
        <v>175.8</v>
      </c>
      <c r="N6" s="438">
        <v>9943</v>
      </c>
      <c r="O6" s="457">
        <v>1.1939169433420789</v>
      </c>
      <c r="P6" s="439">
        <v>56.558589306029575</v>
      </c>
    </row>
    <row r="7" spans="1:16" ht="14.4" customHeight="1" x14ac:dyDescent="0.3">
      <c r="A7" s="505" t="s">
        <v>873</v>
      </c>
      <c r="B7" s="506" t="s">
        <v>874</v>
      </c>
      <c r="C7" s="506" t="s">
        <v>877</v>
      </c>
      <c r="D7" s="506" t="s">
        <v>878</v>
      </c>
      <c r="E7" s="521">
        <v>2</v>
      </c>
      <c r="F7" s="521">
        <v>241.04</v>
      </c>
      <c r="G7" s="506">
        <v>1</v>
      </c>
      <c r="H7" s="506">
        <v>120.52</v>
      </c>
      <c r="I7" s="521">
        <v>4</v>
      </c>
      <c r="J7" s="521">
        <v>486.32</v>
      </c>
      <c r="K7" s="506">
        <v>2.017590441420511</v>
      </c>
      <c r="L7" s="506">
        <v>121.58</v>
      </c>
      <c r="M7" s="521"/>
      <c r="N7" s="521"/>
      <c r="O7" s="511"/>
      <c r="P7" s="522"/>
    </row>
    <row r="8" spans="1:16" ht="14.4" customHeight="1" x14ac:dyDescent="0.3">
      <c r="A8" s="505" t="s">
        <v>873</v>
      </c>
      <c r="B8" s="506" t="s">
        <v>874</v>
      </c>
      <c r="C8" s="506" t="s">
        <v>879</v>
      </c>
      <c r="D8" s="506" t="s">
        <v>880</v>
      </c>
      <c r="E8" s="521">
        <v>1.5999999999999999</v>
      </c>
      <c r="F8" s="521">
        <v>222.55</v>
      </c>
      <c r="G8" s="506">
        <v>1</v>
      </c>
      <c r="H8" s="506">
        <v>139.09375000000003</v>
      </c>
      <c r="I8" s="521"/>
      <c r="J8" s="521"/>
      <c r="K8" s="506"/>
      <c r="L8" s="506"/>
      <c r="M8" s="521">
        <v>0.1</v>
      </c>
      <c r="N8" s="521">
        <v>13.65</v>
      </c>
      <c r="O8" s="511">
        <v>6.1334531565940237E-2</v>
      </c>
      <c r="P8" s="522">
        <v>136.5</v>
      </c>
    </row>
    <row r="9" spans="1:16" ht="14.4" customHeight="1" x14ac:dyDescent="0.3">
      <c r="A9" s="505" t="s">
        <v>873</v>
      </c>
      <c r="B9" s="506" t="s">
        <v>874</v>
      </c>
      <c r="C9" s="506" t="s">
        <v>881</v>
      </c>
      <c r="D9" s="506" t="s">
        <v>882</v>
      </c>
      <c r="E9" s="521">
        <v>7.1</v>
      </c>
      <c r="F9" s="521">
        <v>742.23</v>
      </c>
      <c r="G9" s="506">
        <v>1</v>
      </c>
      <c r="H9" s="506">
        <v>104.53943661971832</v>
      </c>
      <c r="I9" s="521">
        <v>8.5</v>
      </c>
      <c r="J9" s="521">
        <v>896.38</v>
      </c>
      <c r="K9" s="506">
        <v>1.2076849494092128</v>
      </c>
      <c r="L9" s="506">
        <v>105.45647058823529</v>
      </c>
      <c r="M9" s="521">
        <v>11.7</v>
      </c>
      <c r="N9" s="521">
        <v>1233.3000000000002</v>
      </c>
      <c r="O9" s="511">
        <v>1.6616143244007924</v>
      </c>
      <c r="P9" s="522">
        <v>105.41025641025644</v>
      </c>
    </row>
    <row r="10" spans="1:16" ht="14.4" customHeight="1" x14ac:dyDescent="0.3">
      <c r="A10" s="505" t="s">
        <v>873</v>
      </c>
      <c r="B10" s="506" t="s">
        <v>874</v>
      </c>
      <c r="C10" s="506" t="s">
        <v>883</v>
      </c>
      <c r="D10" s="506" t="s">
        <v>884</v>
      </c>
      <c r="E10" s="521"/>
      <c r="F10" s="521"/>
      <c r="G10" s="506"/>
      <c r="H10" s="506"/>
      <c r="I10" s="521">
        <v>9.3000000000000007</v>
      </c>
      <c r="J10" s="521">
        <v>1028.8499999999999</v>
      </c>
      <c r="K10" s="506"/>
      <c r="L10" s="506">
        <v>110.6290322580645</v>
      </c>
      <c r="M10" s="521">
        <v>6.8000000000000007</v>
      </c>
      <c r="N10" s="521">
        <v>752.1400000000001</v>
      </c>
      <c r="O10" s="511"/>
      <c r="P10" s="522">
        <v>110.60882352941177</v>
      </c>
    </row>
    <row r="11" spans="1:16" ht="14.4" customHeight="1" x14ac:dyDescent="0.3">
      <c r="A11" s="505" t="s">
        <v>873</v>
      </c>
      <c r="B11" s="506" t="s">
        <v>874</v>
      </c>
      <c r="C11" s="506" t="s">
        <v>885</v>
      </c>
      <c r="D11" s="506" t="s">
        <v>886</v>
      </c>
      <c r="E11" s="521">
        <v>12</v>
      </c>
      <c r="F11" s="521">
        <v>202.8</v>
      </c>
      <c r="G11" s="506">
        <v>1</v>
      </c>
      <c r="H11" s="506">
        <v>16.900000000000002</v>
      </c>
      <c r="I11" s="521">
        <v>13</v>
      </c>
      <c r="J11" s="521">
        <v>122.85</v>
      </c>
      <c r="K11" s="506">
        <v>0.60576923076923073</v>
      </c>
      <c r="L11" s="506">
        <v>9.4499999999999993</v>
      </c>
      <c r="M11" s="521">
        <v>16</v>
      </c>
      <c r="N11" s="521">
        <v>151.19999999999999</v>
      </c>
      <c r="O11" s="511">
        <v>0.74556213017751471</v>
      </c>
      <c r="P11" s="522">
        <v>9.4499999999999993</v>
      </c>
    </row>
    <row r="12" spans="1:16" ht="14.4" customHeight="1" x14ac:dyDescent="0.3">
      <c r="A12" s="505" t="s">
        <v>873</v>
      </c>
      <c r="B12" s="506" t="s">
        <v>874</v>
      </c>
      <c r="C12" s="506" t="s">
        <v>887</v>
      </c>
      <c r="D12" s="506" t="s">
        <v>886</v>
      </c>
      <c r="E12" s="521">
        <v>373</v>
      </c>
      <c r="F12" s="521">
        <v>5265.2800000000007</v>
      </c>
      <c r="G12" s="506">
        <v>1</v>
      </c>
      <c r="H12" s="506">
        <v>14.116032171581772</v>
      </c>
      <c r="I12" s="521">
        <v>876</v>
      </c>
      <c r="J12" s="521">
        <v>3311.2799999999997</v>
      </c>
      <c r="K12" s="506">
        <v>0.62888963170049828</v>
      </c>
      <c r="L12" s="506">
        <v>3.78</v>
      </c>
      <c r="M12" s="521">
        <v>838</v>
      </c>
      <c r="N12" s="521">
        <v>3167.64</v>
      </c>
      <c r="O12" s="511">
        <v>0.60160903123860454</v>
      </c>
      <c r="P12" s="522">
        <v>3.78</v>
      </c>
    </row>
    <row r="13" spans="1:16" ht="14.4" customHeight="1" x14ac:dyDescent="0.3">
      <c r="A13" s="505" t="s">
        <v>873</v>
      </c>
      <c r="B13" s="506" t="s">
        <v>874</v>
      </c>
      <c r="C13" s="506" t="s">
        <v>888</v>
      </c>
      <c r="D13" s="506" t="s">
        <v>889</v>
      </c>
      <c r="E13" s="521">
        <v>132</v>
      </c>
      <c r="F13" s="521">
        <v>11264.919999999998</v>
      </c>
      <c r="G13" s="506">
        <v>1</v>
      </c>
      <c r="H13" s="506">
        <v>85.340303030303019</v>
      </c>
      <c r="I13" s="521">
        <v>126</v>
      </c>
      <c r="J13" s="521">
        <v>7488.1799999999994</v>
      </c>
      <c r="K13" s="506">
        <v>0.66473441444768366</v>
      </c>
      <c r="L13" s="506">
        <v>59.429999999999993</v>
      </c>
      <c r="M13" s="521">
        <v>135</v>
      </c>
      <c r="N13" s="521">
        <v>8023.0500000000011</v>
      </c>
      <c r="O13" s="511">
        <v>0.71221544405108983</v>
      </c>
      <c r="P13" s="522">
        <v>59.430000000000007</v>
      </c>
    </row>
    <row r="14" spans="1:16" ht="14.4" customHeight="1" x14ac:dyDescent="0.3">
      <c r="A14" s="505" t="s">
        <v>873</v>
      </c>
      <c r="B14" s="506" t="s">
        <v>890</v>
      </c>
      <c r="C14" s="506" t="s">
        <v>891</v>
      </c>
      <c r="D14" s="506" t="s">
        <v>869</v>
      </c>
      <c r="E14" s="521">
        <v>432</v>
      </c>
      <c r="F14" s="521">
        <v>186624</v>
      </c>
      <c r="G14" s="506">
        <v>1</v>
      </c>
      <c r="H14" s="506">
        <v>432</v>
      </c>
      <c r="I14" s="521"/>
      <c r="J14" s="521"/>
      <c r="K14" s="506"/>
      <c r="L14" s="506"/>
      <c r="M14" s="521"/>
      <c r="N14" s="521"/>
      <c r="O14" s="511"/>
      <c r="P14" s="522"/>
    </row>
    <row r="15" spans="1:16" ht="14.4" customHeight="1" x14ac:dyDescent="0.3">
      <c r="A15" s="505" t="s">
        <v>873</v>
      </c>
      <c r="B15" s="506" t="s">
        <v>890</v>
      </c>
      <c r="C15" s="506" t="s">
        <v>892</v>
      </c>
      <c r="D15" s="506" t="s">
        <v>869</v>
      </c>
      <c r="E15" s="521">
        <v>37</v>
      </c>
      <c r="F15" s="521">
        <v>6216</v>
      </c>
      <c r="G15" s="506">
        <v>1</v>
      </c>
      <c r="H15" s="506">
        <v>168</v>
      </c>
      <c r="I15" s="521"/>
      <c r="J15" s="521"/>
      <c r="K15" s="506"/>
      <c r="L15" s="506"/>
      <c r="M15" s="521"/>
      <c r="N15" s="521"/>
      <c r="O15" s="511"/>
      <c r="P15" s="522"/>
    </row>
    <row r="16" spans="1:16" ht="14.4" customHeight="1" x14ac:dyDescent="0.3">
      <c r="A16" s="505" t="s">
        <v>873</v>
      </c>
      <c r="B16" s="506" t="s">
        <v>890</v>
      </c>
      <c r="C16" s="506" t="s">
        <v>893</v>
      </c>
      <c r="D16" s="506" t="s">
        <v>894</v>
      </c>
      <c r="E16" s="521"/>
      <c r="F16" s="521"/>
      <c r="G16" s="506"/>
      <c r="H16" s="506"/>
      <c r="I16" s="521">
        <v>66</v>
      </c>
      <c r="J16" s="521">
        <v>11154</v>
      </c>
      <c r="K16" s="506"/>
      <c r="L16" s="506">
        <v>169</v>
      </c>
      <c r="M16" s="521">
        <v>37</v>
      </c>
      <c r="N16" s="521">
        <v>6261</v>
      </c>
      <c r="O16" s="511"/>
      <c r="P16" s="522">
        <v>169.21621621621622</v>
      </c>
    </row>
    <row r="17" spans="1:16" ht="14.4" customHeight="1" x14ac:dyDescent="0.3">
      <c r="A17" s="505" t="s">
        <v>873</v>
      </c>
      <c r="B17" s="506" t="s">
        <v>890</v>
      </c>
      <c r="C17" s="506" t="s">
        <v>895</v>
      </c>
      <c r="D17" s="506" t="s">
        <v>869</v>
      </c>
      <c r="E17" s="521">
        <v>1</v>
      </c>
      <c r="F17" s="521">
        <v>168</v>
      </c>
      <c r="G17" s="506">
        <v>1</v>
      </c>
      <c r="H17" s="506">
        <v>168</v>
      </c>
      <c r="I17" s="521"/>
      <c r="J17" s="521"/>
      <c r="K17" s="506"/>
      <c r="L17" s="506"/>
      <c r="M17" s="521"/>
      <c r="N17" s="521"/>
      <c r="O17" s="511"/>
      <c r="P17" s="522"/>
    </row>
    <row r="18" spans="1:16" ht="14.4" customHeight="1" x14ac:dyDescent="0.3">
      <c r="A18" s="505" t="s">
        <v>873</v>
      </c>
      <c r="B18" s="506" t="s">
        <v>890</v>
      </c>
      <c r="C18" s="506" t="s">
        <v>896</v>
      </c>
      <c r="D18" s="506" t="s">
        <v>897</v>
      </c>
      <c r="E18" s="521">
        <v>13</v>
      </c>
      <c r="F18" s="521">
        <v>806</v>
      </c>
      <c r="G18" s="506">
        <v>1</v>
      </c>
      <c r="H18" s="506">
        <v>62</v>
      </c>
      <c r="I18" s="521">
        <v>6</v>
      </c>
      <c r="J18" s="521">
        <v>672</v>
      </c>
      <c r="K18" s="506">
        <v>0.83374689826302728</v>
      </c>
      <c r="L18" s="506">
        <v>112</v>
      </c>
      <c r="M18" s="521">
        <v>44</v>
      </c>
      <c r="N18" s="521">
        <v>4941</v>
      </c>
      <c r="O18" s="511">
        <v>6.1302729528535984</v>
      </c>
      <c r="P18" s="522">
        <v>112.29545454545455</v>
      </c>
    </row>
    <row r="19" spans="1:16" ht="14.4" customHeight="1" x14ac:dyDescent="0.3">
      <c r="A19" s="505" t="s">
        <v>873</v>
      </c>
      <c r="B19" s="506" t="s">
        <v>890</v>
      </c>
      <c r="C19" s="506" t="s">
        <v>898</v>
      </c>
      <c r="D19" s="506" t="s">
        <v>899</v>
      </c>
      <c r="E19" s="521">
        <v>796</v>
      </c>
      <c r="F19" s="521">
        <v>27064</v>
      </c>
      <c r="G19" s="506">
        <v>1</v>
      </c>
      <c r="H19" s="506">
        <v>34</v>
      </c>
      <c r="I19" s="521">
        <v>1312</v>
      </c>
      <c r="J19" s="521">
        <v>44608</v>
      </c>
      <c r="K19" s="506">
        <v>1.6482412060301508</v>
      </c>
      <c r="L19" s="506">
        <v>34</v>
      </c>
      <c r="M19" s="521">
        <v>1384</v>
      </c>
      <c r="N19" s="521">
        <v>47481</v>
      </c>
      <c r="O19" s="511">
        <v>1.754396984924623</v>
      </c>
      <c r="P19" s="522">
        <v>34.307080924855491</v>
      </c>
    </row>
    <row r="20" spans="1:16" ht="14.4" customHeight="1" x14ac:dyDescent="0.3">
      <c r="A20" s="505" t="s">
        <v>873</v>
      </c>
      <c r="B20" s="506" t="s">
        <v>890</v>
      </c>
      <c r="C20" s="506" t="s">
        <v>900</v>
      </c>
      <c r="D20" s="506" t="s">
        <v>901</v>
      </c>
      <c r="E20" s="521">
        <v>55</v>
      </c>
      <c r="F20" s="521">
        <v>550</v>
      </c>
      <c r="G20" s="506">
        <v>1</v>
      </c>
      <c r="H20" s="506">
        <v>10</v>
      </c>
      <c r="I20" s="521">
        <v>232</v>
      </c>
      <c r="J20" s="521">
        <v>2320</v>
      </c>
      <c r="K20" s="506">
        <v>4.2181818181818178</v>
      </c>
      <c r="L20" s="506">
        <v>10</v>
      </c>
      <c r="M20" s="521">
        <v>317</v>
      </c>
      <c r="N20" s="521">
        <v>3170</v>
      </c>
      <c r="O20" s="511">
        <v>5.7636363636363637</v>
      </c>
      <c r="P20" s="522">
        <v>10</v>
      </c>
    </row>
    <row r="21" spans="1:16" ht="14.4" customHeight="1" x14ac:dyDescent="0.3">
      <c r="A21" s="505" t="s">
        <v>873</v>
      </c>
      <c r="B21" s="506" t="s">
        <v>890</v>
      </c>
      <c r="C21" s="506" t="s">
        <v>902</v>
      </c>
      <c r="D21" s="506" t="s">
        <v>903</v>
      </c>
      <c r="E21" s="521">
        <v>12</v>
      </c>
      <c r="F21" s="521">
        <v>60</v>
      </c>
      <c r="G21" s="506">
        <v>1</v>
      </c>
      <c r="H21" s="506">
        <v>5</v>
      </c>
      <c r="I21" s="521">
        <v>35</v>
      </c>
      <c r="J21" s="521">
        <v>175</v>
      </c>
      <c r="K21" s="506">
        <v>2.9166666666666665</v>
      </c>
      <c r="L21" s="506">
        <v>5</v>
      </c>
      <c r="M21" s="521">
        <v>41</v>
      </c>
      <c r="N21" s="521">
        <v>205</v>
      </c>
      <c r="O21" s="511">
        <v>3.4166666666666665</v>
      </c>
      <c r="P21" s="522">
        <v>5</v>
      </c>
    </row>
    <row r="22" spans="1:16" ht="14.4" customHeight="1" x14ac:dyDescent="0.3">
      <c r="A22" s="505" t="s">
        <v>873</v>
      </c>
      <c r="B22" s="506" t="s">
        <v>890</v>
      </c>
      <c r="C22" s="506" t="s">
        <v>904</v>
      </c>
      <c r="D22" s="506" t="s">
        <v>905</v>
      </c>
      <c r="E22" s="521">
        <v>1</v>
      </c>
      <c r="F22" s="521">
        <v>5</v>
      </c>
      <c r="G22" s="506">
        <v>1</v>
      </c>
      <c r="H22" s="506">
        <v>5</v>
      </c>
      <c r="I22" s="521">
        <v>10</v>
      </c>
      <c r="J22" s="521">
        <v>50</v>
      </c>
      <c r="K22" s="506">
        <v>10</v>
      </c>
      <c r="L22" s="506">
        <v>5</v>
      </c>
      <c r="M22" s="521">
        <v>5</v>
      </c>
      <c r="N22" s="521">
        <v>25</v>
      </c>
      <c r="O22" s="511">
        <v>5</v>
      </c>
      <c r="P22" s="522">
        <v>5</v>
      </c>
    </row>
    <row r="23" spans="1:16" ht="14.4" customHeight="1" x14ac:dyDescent="0.3">
      <c r="A23" s="505" t="s">
        <v>873</v>
      </c>
      <c r="B23" s="506" t="s">
        <v>890</v>
      </c>
      <c r="C23" s="506" t="s">
        <v>906</v>
      </c>
      <c r="D23" s="506" t="s">
        <v>907</v>
      </c>
      <c r="E23" s="521">
        <v>7</v>
      </c>
      <c r="F23" s="521">
        <v>476</v>
      </c>
      <c r="G23" s="506">
        <v>1</v>
      </c>
      <c r="H23" s="506">
        <v>68</v>
      </c>
      <c r="I23" s="521">
        <v>16</v>
      </c>
      <c r="J23" s="521">
        <v>1104</v>
      </c>
      <c r="K23" s="506">
        <v>2.3193277310924372</v>
      </c>
      <c r="L23" s="506">
        <v>69</v>
      </c>
      <c r="M23" s="521">
        <v>125</v>
      </c>
      <c r="N23" s="521">
        <v>8643</v>
      </c>
      <c r="O23" s="511">
        <v>18.157563025210084</v>
      </c>
      <c r="P23" s="522">
        <v>69.144000000000005</v>
      </c>
    </row>
    <row r="24" spans="1:16" ht="14.4" customHeight="1" x14ac:dyDescent="0.3">
      <c r="A24" s="505" t="s">
        <v>873</v>
      </c>
      <c r="B24" s="506" t="s">
        <v>890</v>
      </c>
      <c r="C24" s="506" t="s">
        <v>908</v>
      </c>
      <c r="D24" s="506" t="s">
        <v>909</v>
      </c>
      <c r="E24" s="521"/>
      <c r="F24" s="521"/>
      <c r="G24" s="506"/>
      <c r="H24" s="506"/>
      <c r="I24" s="521">
        <v>1</v>
      </c>
      <c r="J24" s="521">
        <v>117</v>
      </c>
      <c r="K24" s="506"/>
      <c r="L24" s="506">
        <v>117</v>
      </c>
      <c r="M24" s="521">
        <v>30</v>
      </c>
      <c r="N24" s="521">
        <v>3513</v>
      </c>
      <c r="O24" s="511"/>
      <c r="P24" s="522">
        <v>117.1</v>
      </c>
    </row>
    <row r="25" spans="1:16" ht="14.4" customHeight="1" x14ac:dyDescent="0.3">
      <c r="A25" s="505" t="s">
        <v>873</v>
      </c>
      <c r="B25" s="506" t="s">
        <v>890</v>
      </c>
      <c r="C25" s="506" t="s">
        <v>910</v>
      </c>
      <c r="D25" s="506" t="s">
        <v>911</v>
      </c>
      <c r="E25" s="521">
        <v>599</v>
      </c>
      <c r="F25" s="521">
        <v>69484</v>
      </c>
      <c r="G25" s="506">
        <v>1</v>
      </c>
      <c r="H25" s="506">
        <v>116</v>
      </c>
      <c r="I25" s="521">
        <v>496</v>
      </c>
      <c r="J25" s="521">
        <v>58032</v>
      </c>
      <c r="K25" s="506">
        <v>0.83518507857924129</v>
      </c>
      <c r="L25" s="506">
        <v>117</v>
      </c>
      <c r="M25" s="521">
        <v>93</v>
      </c>
      <c r="N25" s="521">
        <v>10881</v>
      </c>
      <c r="O25" s="511">
        <v>0.15659720223360774</v>
      </c>
      <c r="P25" s="522">
        <v>117</v>
      </c>
    </row>
    <row r="26" spans="1:16" ht="14.4" customHeight="1" x14ac:dyDescent="0.3">
      <c r="A26" s="505" t="s">
        <v>873</v>
      </c>
      <c r="B26" s="506" t="s">
        <v>890</v>
      </c>
      <c r="C26" s="506" t="s">
        <v>912</v>
      </c>
      <c r="D26" s="506" t="s">
        <v>913</v>
      </c>
      <c r="E26" s="521">
        <v>12</v>
      </c>
      <c r="F26" s="521">
        <v>1968</v>
      </c>
      <c r="G26" s="506">
        <v>1</v>
      </c>
      <c r="H26" s="506">
        <v>164</v>
      </c>
      <c r="I26" s="521">
        <v>25</v>
      </c>
      <c r="J26" s="521">
        <v>4075</v>
      </c>
      <c r="K26" s="506">
        <v>2.0706300813008132</v>
      </c>
      <c r="L26" s="506">
        <v>163</v>
      </c>
      <c r="M26" s="521">
        <v>124</v>
      </c>
      <c r="N26" s="521">
        <v>20244</v>
      </c>
      <c r="O26" s="511">
        <v>10.286585365853659</v>
      </c>
      <c r="P26" s="522">
        <v>163.25806451612902</v>
      </c>
    </row>
    <row r="27" spans="1:16" ht="14.4" customHeight="1" x14ac:dyDescent="0.3">
      <c r="A27" s="505" t="s">
        <v>873</v>
      </c>
      <c r="B27" s="506" t="s">
        <v>890</v>
      </c>
      <c r="C27" s="506" t="s">
        <v>914</v>
      </c>
      <c r="D27" s="506" t="s">
        <v>915</v>
      </c>
      <c r="E27" s="521">
        <v>1</v>
      </c>
      <c r="F27" s="521">
        <v>0</v>
      </c>
      <c r="G27" s="506"/>
      <c r="H27" s="506">
        <v>0</v>
      </c>
      <c r="I27" s="521">
        <v>3</v>
      </c>
      <c r="J27" s="521">
        <v>0</v>
      </c>
      <c r="K27" s="506"/>
      <c r="L27" s="506">
        <v>0</v>
      </c>
      <c r="M27" s="521">
        <v>2</v>
      </c>
      <c r="N27" s="521">
        <v>0</v>
      </c>
      <c r="O27" s="511"/>
      <c r="P27" s="522">
        <v>0</v>
      </c>
    </row>
    <row r="28" spans="1:16" ht="14.4" customHeight="1" x14ac:dyDescent="0.3">
      <c r="A28" s="505" t="s">
        <v>873</v>
      </c>
      <c r="B28" s="506" t="s">
        <v>890</v>
      </c>
      <c r="C28" s="506" t="s">
        <v>916</v>
      </c>
      <c r="D28" s="506" t="s">
        <v>917</v>
      </c>
      <c r="E28" s="521">
        <v>146</v>
      </c>
      <c r="F28" s="521">
        <v>24382</v>
      </c>
      <c r="G28" s="506">
        <v>1</v>
      </c>
      <c r="H28" s="506">
        <v>167</v>
      </c>
      <c r="I28" s="521">
        <v>135</v>
      </c>
      <c r="J28" s="521">
        <v>22680</v>
      </c>
      <c r="K28" s="506">
        <v>0.9301944057091297</v>
      </c>
      <c r="L28" s="506">
        <v>168</v>
      </c>
      <c r="M28" s="521">
        <v>227</v>
      </c>
      <c r="N28" s="521">
        <v>38216</v>
      </c>
      <c r="O28" s="511">
        <v>1.5673857763924206</v>
      </c>
      <c r="P28" s="522">
        <v>168.352422907489</v>
      </c>
    </row>
    <row r="29" spans="1:16" ht="14.4" customHeight="1" x14ac:dyDescent="0.3">
      <c r="A29" s="505" t="s">
        <v>873</v>
      </c>
      <c r="B29" s="506" t="s">
        <v>890</v>
      </c>
      <c r="C29" s="506" t="s">
        <v>918</v>
      </c>
      <c r="D29" s="506" t="s">
        <v>919</v>
      </c>
      <c r="E29" s="521">
        <v>195</v>
      </c>
      <c r="F29" s="521">
        <v>0</v>
      </c>
      <c r="G29" s="506"/>
      <c r="H29" s="506">
        <v>0</v>
      </c>
      <c r="I29" s="521">
        <v>469</v>
      </c>
      <c r="J29" s="521">
        <v>0</v>
      </c>
      <c r="K29" s="506"/>
      <c r="L29" s="506">
        <v>0</v>
      </c>
      <c r="M29" s="521">
        <v>595</v>
      </c>
      <c r="N29" s="521">
        <v>0</v>
      </c>
      <c r="O29" s="511"/>
      <c r="P29" s="522">
        <v>0</v>
      </c>
    </row>
    <row r="30" spans="1:16" ht="14.4" customHeight="1" x14ac:dyDescent="0.3">
      <c r="A30" s="505" t="s">
        <v>873</v>
      </c>
      <c r="B30" s="506" t="s">
        <v>890</v>
      </c>
      <c r="C30" s="506" t="s">
        <v>920</v>
      </c>
      <c r="D30" s="506" t="s">
        <v>921</v>
      </c>
      <c r="E30" s="521">
        <v>95</v>
      </c>
      <c r="F30" s="521">
        <v>2375</v>
      </c>
      <c r="G30" s="506">
        <v>1</v>
      </c>
      <c r="H30" s="506">
        <v>25</v>
      </c>
      <c r="I30" s="521">
        <v>178</v>
      </c>
      <c r="J30" s="521">
        <v>6230</v>
      </c>
      <c r="K30" s="506">
        <v>2.6231578947368419</v>
      </c>
      <c r="L30" s="506">
        <v>35</v>
      </c>
      <c r="M30" s="521">
        <v>310</v>
      </c>
      <c r="N30" s="521">
        <v>10918</v>
      </c>
      <c r="O30" s="511">
        <v>4.5970526315789471</v>
      </c>
      <c r="P30" s="522">
        <v>35.219354838709677</v>
      </c>
    </row>
    <row r="31" spans="1:16" ht="14.4" customHeight="1" x14ac:dyDescent="0.3">
      <c r="A31" s="505" t="s">
        <v>873</v>
      </c>
      <c r="B31" s="506" t="s">
        <v>890</v>
      </c>
      <c r="C31" s="506" t="s">
        <v>922</v>
      </c>
      <c r="D31" s="506" t="s">
        <v>923</v>
      </c>
      <c r="E31" s="521"/>
      <c r="F31" s="521"/>
      <c r="G31" s="506"/>
      <c r="H31" s="506"/>
      <c r="I31" s="521"/>
      <c r="J31" s="521"/>
      <c r="K31" s="506"/>
      <c r="L31" s="506"/>
      <c r="M31" s="521">
        <v>1</v>
      </c>
      <c r="N31" s="521">
        <v>82</v>
      </c>
      <c r="O31" s="511"/>
      <c r="P31" s="522">
        <v>82</v>
      </c>
    </row>
    <row r="32" spans="1:16" ht="14.4" customHeight="1" x14ac:dyDescent="0.3">
      <c r="A32" s="505" t="s">
        <v>873</v>
      </c>
      <c r="B32" s="506" t="s">
        <v>890</v>
      </c>
      <c r="C32" s="506" t="s">
        <v>924</v>
      </c>
      <c r="D32" s="506" t="s">
        <v>925</v>
      </c>
      <c r="E32" s="521">
        <v>5</v>
      </c>
      <c r="F32" s="521">
        <v>95</v>
      </c>
      <c r="G32" s="506">
        <v>1</v>
      </c>
      <c r="H32" s="506">
        <v>19</v>
      </c>
      <c r="I32" s="521"/>
      <c r="J32" s="521"/>
      <c r="K32" s="506"/>
      <c r="L32" s="506"/>
      <c r="M32" s="521"/>
      <c r="N32" s="521"/>
      <c r="O32" s="511"/>
      <c r="P32" s="522"/>
    </row>
    <row r="33" spans="1:16" ht="14.4" customHeight="1" x14ac:dyDescent="0.3">
      <c r="A33" s="505" t="s">
        <v>873</v>
      </c>
      <c r="B33" s="506" t="s">
        <v>890</v>
      </c>
      <c r="C33" s="506" t="s">
        <v>926</v>
      </c>
      <c r="D33" s="506" t="s">
        <v>927</v>
      </c>
      <c r="E33" s="521">
        <v>532</v>
      </c>
      <c r="F33" s="521">
        <v>75012</v>
      </c>
      <c r="G33" s="506">
        <v>1</v>
      </c>
      <c r="H33" s="506">
        <v>141</v>
      </c>
      <c r="I33" s="521">
        <v>1017</v>
      </c>
      <c r="J33" s="521">
        <v>143397</v>
      </c>
      <c r="K33" s="506">
        <v>1.9116541353383458</v>
      </c>
      <c r="L33" s="506">
        <v>141</v>
      </c>
      <c r="M33" s="521">
        <v>998</v>
      </c>
      <c r="N33" s="521">
        <v>136363</v>
      </c>
      <c r="O33" s="511">
        <v>1.8178824721377913</v>
      </c>
      <c r="P33" s="522">
        <v>136.63627254509018</v>
      </c>
    </row>
    <row r="34" spans="1:16" ht="14.4" customHeight="1" x14ac:dyDescent="0.3">
      <c r="A34" s="505" t="s">
        <v>873</v>
      </c>
      <c r="B34" s="506" t="s">
        <v>890</v>
      </c>
      <c r="C34" s="506" t="s">
        <v>928</v>
      </c>
      <c r="D34" s="506" t="s">
        <v>929</v>
      </c>
      <c r="E34" s="521">
        <v>312</v>
      </c>
      <c r="F34" s="521">
        <v>21216</v>
      </c>
      <c r="G34" s="506">
        <v>1</v>
      </c>
      <c r="H34" s="506">
        <v>68</v>
      </c>
      <c r="I34" s="521">
        <v>320</v>
      </c>
      <c r="J34" s="521">
        <v>22080</v>
      </c>
      <c r="K34" s="506">
        <v>1.0407239819004526</v>
      </c>
      <c r="L34" s="506">
        <v>69</v>
      </c>
      <c r="M34" s="521">
        <v>413</v>
      </c>
      <c r="N34" s="521">
        <v>28571</v>
      </c>
      <c r="O34" s="511">
        <v>1.3466723227752639</v>
      </c>
      <c r="P34" s="522">
        <v>69.179176755447941</v>
      </c>
    </row>
    <row r="35" spans="1:16" ht="14.4" customHeight="1" x14ac:dyDescent="0.3">
      <c r="A35" s="505" t="s">
        <v>873</v>
      </c>
      <c r="B35" s="506" t="s">
        <v>890</v>
      </c>
      <c r="C35" s="506" t="s">
        <v>930</v>
      </c>
      <c r="D35" s="506" t="s">
        <v>931</v>
      </c>
      <c r="E35" s="521">
        <v>371</v>
      </c>
      <c r="F35" s="521">
        <v>122430</v>
      </c>
      <c r="G35" s="506">
        <v>1</v>
      </c>
      <c r="H35" s="506">
        <v>330</v>
      </c>
      <c r="I35" s="521">
        <v>224</v>
      </c>
      <c r="J35" s="521">
        <v>73248</v>
      </c>
      <c r="K35" s="506">
        <v>0.59828473413379069</v>
      </c>
      <c r="L35" s="506">
        <v>327</v>
      </c>
      <c r="M35" s="521">
        <v>319</v>
      </c>
      <c r="N35" s="521">
        <v>104592</v>
      </c>
      <c r="O35" s="511">
        <v>0.85430041656456746</v>
      </c>
      <c r="P35" s="522">
        <v>327.87460815047024</v>
      </c>
    </row>
    <row r="36" spans="1:16" ht="14.4" customHeight="1" x14ac:dyDescent="0.3">
      <c r="A36" s="505" t="s">
        <v>873</v>
      </c>
      <c r="B36" s="506" t="s">
        <v>890</v>
      </c>
      <c r="C36" s="506" t="s">
        <v>932</v>
      </c>
      <c r="D36" s="506" t="s">
        <v>933</v>
      </c>
      <c r="E36" s="521">
        <v>5</v>
      </c>
      <c r="F36" s="521">
        <v>1025</v>
      </c>
      <c r="G36" s="506">
        <v>1</v>
      </c>
      <c r="H36" s="506">
        <v>205</v>
      </c>
      <c r="I36" s="521">
        <v>17</v>
      </c>
      <c r="J36" s="521">
        <v>3502</v>
      </c>
      <c r="K36" s="506">
        <v>3.4165853658536585</v>
      </c>
      <c r="L36" s="506">
        <v>206</v>
      </c>
      <c r="M36" s="521">
        <v>90</v>
      </c>
      <c r="N36" s="521">
        <v>18585</v>
      </c>
      <c r="O36" s="511">
        <v>18.131707317073172</v>
      </c>
      <c r="P36" s="522">
        <v>206.5</v>
      </c>
    </row>
    <row r="37" spans="1:16" ht="14.4" customHeight="1" x14ac:dyDescent="0.3">
      <c r="A37" s="505" t="s">
        <v>873</v>
      </c>
      <c r="B37" s="506" t="s">
        <v>890</v>
      </c>
      <c r="C37" s="506" t="s">
        <v>934</v>
      </c>
      <c r="D37" s="506" t="s">
        <v>935</v>
      </c>
      <c r="E37" s="521">
        <v>390</v>
      </c>
      <c r="F37" s="521">
        <v>29640</v>
      </c>
      <c r="G37" s="506">
        <v>1</v>
      </c>
      <c r="H37" s="506">
        <v>76</v>
      </c>
      <c r="I37" s="521">
        <v>210</v>
      </c>
      <c r="J37" s="521">
        <v>15960</v>
      </c>
      <c r="K37" s="506">
        <v>0.53846153846153844</v>
      </c>
      <c r="L37" s="506">
        <v>76</v>
      </c>
      <c r="M37" s="521">
        <v>306</v>
      </c>
      <c r="N37" s="521">
        <v>23318</v>
      </c>
      <c r="O37" s="511">
        <v>0.78670715249662615</v>
      </c>
      <c r="P37" s="522">
        <v>76.202614379084963</v>
      </c>
    </row>
    <row r="38" spans="1:16" ht="14.4" customHeight="1" x14ac:dyDescent="0.3">
      <c r="A38" s="505" t="s">
        <v>873</v>
      </c>
      <c r="B38" s="506" t="s">
        <v>890</v>
      </c>
      <c r="C38" s="506" t="s">
        <v>936</v>
      </c>
      <c r="D38" s="506" t="s">
        <v>937</v>
      </c>
      <c r="E38" s="521">
        <v>5</v>
      </c>
      <c r="F38" s="521">
        <v>70</v>
      </c>
      <c r="G38" s="506">
        <v>1</v>
      </c>
      <c r="H38" s="506">
        <v>14</v>
      </c>
      <c r="I38" s="521">
        <v>12</v>
      </c>
      <c r="J38" s="521">
        <v>312</v>
      </c>
      <c r="K38" s="506">
        <v>4.4571428571428573</v>
      </c>
      <c r="L38" s="506">
        <v>26</v>
      </c>
      <c r="M38" s="521">
        <v>9</v>
      </c>
      <c r="N38" s="521">
        <v>234</v>
      </c>
      <c r="O38" s="511">
        <v>3.342857142857143</v>
      </c>
      <c r="P38" s="522">
        <v>26</v>
      </c>
    </row>
    <row r="39" spans="1:16" ht="14.4" customHeight="1" x14ac:dyDescent="0.3">
      <c r="A39" s="505" t="s">
        <v>873</v>
      </c>
      <c r="B39" s="506" t="s">
        <v>890</v>
      </c>
      <c r="C39" s="506" t="s">
        <v>938</v>
      </c>
      <c r="D39" s="506" t="s">
        <v>939</v>
      </c>
      <c r="E39" s="521">
        <v>84</v>
      </c>
      <c r="F39" s="521">
        <v>4788</v>
      </c>
      <c r="G39" s="506">
        <v>1</v>
      </c>
      <c r="H39" s="506">
        <v>57</v>
      </c>
      <c r="I39" s="521">
        <v>82</v>
      </c>
      <c r="J39" s="521">
        <v>4592</v>
      </c>
      <c r="K39" s="506">
        <v>0.95906432748538006</v>
      </c>
      <c r="L39" s="506">
        <v>56</v>
      </c>
      <c r="M39" s="521">
        <v>70</v>
      </c>
      <c r="N39" s="521">
        <v>3941</v>
      </c>
      <c r="O39" s="511">
        <v>0.82309941520467833</v>
      </c>
      <c r="P39" s="522">
        <v>56.3</v>
      </c>
    </row>
    <row r="40" spans="1:16" ht="14.4" customHeight="1" x14ac:dyDescent="0.3">
      <c r="A40" s="505" t="s">
        <v>873</v>
      </c>
      <c r="B40" s="506" t="s">
        <v>890</v>
      </c>
      <c r="C40" s="506" t="s">
        <v>940</v>
      </c>
      <c r="D40" s="506" t="s">
        <v>941</v>
      </c>
      <c r="E40" s="521">
        <v>485</v>
      </c>
      <c r="F40" s="521">
        <v>115915</v>
      </c>
      <c r="G40" s="506">
        <v>1</v>
      </c>
      <c r="H40" s="506">
        <v>239</v>
      </c>
      <c r="I40" s="521">
        <v>148</v>
      </c>
      <c r="J40" s="521">
        <v>35520</v>
      </c>
      <c r="K40" s="506">
        <v>0.30643143682871071</v>
      </c>
      <c r="L40" s="506">
        <v>240</v>
      </c>
      <c r="M40" s="521">
        <v>84</v>
      </c>
      <c r="N40" s="521">
        <v>20208</v>
      </c>
      <c r="O40" s="511">
        <v>0.17433464176336108</v>
      </c>
      <c r="P40" s="522">
        <v>240.57142857142858</v>
      </c>
    </row>
    <row r="41" spans="1:16" ht="14.4" customHeight="1" x14ac:dyDescent="0.3">
      <c r="A41" s="505" t="s">
        <v>873</v>
      </c>
      <c r="B41" s="506" t="s">
        <v>890</v>
      </c>
      <c r="C41" s="506" t="s">
        <v>942</v>
      </c>
      <c r="D41" s="506" t="s">
        <v>943</v>
      </c>
      <c r="E41" s="521">
        <v>162</v>
      </c>
      <c r="F41" s="521">
        <v>104652</v>
      </c>
      <c r="G41" s="506">
        <v>1</v>
      </c>
      <c r="H41" s="506">
        <v>646</v>
      </c>
      <c r="I41" s="521">
        <v>229</v>
      </c>
      <c r="J41" s="521">
        <v>147705</v>
      </c>
      <c r="K41" s="506">
        <v>1.4113920421969957</v>
      </c>
      <c r="L41" s="506">
        <v>645</v>
      </c>
      <c r="M41" s="521">
        <v>172</v>
      </c>
      <c r="N41" s="521">
        <v>111180</v>
      </c>
      <c r="O41" s="511">
        <v>1.0623781676413255</v>
      </c>
      <c r="P41" s="522">
        <v>646.39534883720933</v>
      </c>
    </row>
    <row r="42" spans="1:16" ht="14.4" customHeight="1" x14ac:dyDescent="0.3">
      <c r="A42" s="505" t="s">
        <v>873</v>
      </c>
      <c r="B42" s="506" t="s">
        <v>890</v>
      </c>
      <c r="C42" s="506" t="s">
        <v>944</v>
      </c>
      <c r="D42" s="506" t="s">
        <v>945</v>
      </c>
      <c r="E42" s="521">
        <v>427</v>
      </c>
      <c r="F42" s="521">
        <v>90097</v>
      </c>
      <c r="G42" s="506">
        <v>1</v>
      </c>
      <c r="H42" s="506">
        <v>211</v>
      </c>
      <c r="I42" s="521">
        <v>426</v>
      </c>
      <c r="J42" s="521">
        <v>90312</v>
      </c>
      <c r="K42" s="506">
        <v>1.0023863169694884</v>
      </c>
      <c r="L42" s="506">
        <v>212</v>
      </c>
      <c r="M42" s="521">
        <v>446</v>
      </c>
      <c r="N42" s="521">
        <v>94762</v>
      </c>
      <c r="O42" s="511">
        <v>1.0517775286635516</v>
      </c>
      <c r="P42" s="522">
        <v>212.47085201793723</v>
      </c>
    </row>
    <row r="43" spans="1:16" ht="14.4" customHeight="1" x14ac:dyDescent="0.3">
      <c r="A43" s="505" t="s">
        <v>873</v>
      </c>
      <c r="B43" s="506" t="s">
        <v>890</v>
      </c>
      <c r="C43" s="506" t="s">
        <v>946</v>
      </c>
      <c r="D43" s="506" t="s">
        <v>869</v>
      </c>
      <c r="E43" s="521">
        <v>28</v>
      </c>
      <c r="F43" s="521">
        <v>4676</v>
      </c>
      <c r="G43" s="506">
        <v>1</v>
      </c>
      <c r="H43" s="506">
        <v>167</v>
      </c>
      <c r="I43" s="521"/>
      <c r="J43" s="521"/>
      <c r="K43" s="506"/>
      <c r="L43" s="506"/>
      <c r="M43" s="521"/>
      <c r="N43" s="521"/>
      <c r="O43" s="511"/>
      <c r="P43" s="522"/>
    </row>
    <row r="44" spans="1:16" ht="14.4" customHeight="1" x14ac:dyDescent="0.3">
      <c r="A44" s="505" t="s">
        <v>947</v>
      </c>
      <c r="B44" s="506" t="s">
        <v>890</v>
      </c>
      <c r="C44" s="506" t="s">
        <v>902</v>
      </c>
      <c r="D44" s="506" t="s">
        <v>903</v>
      </c>
      <c r="E44" s="521"/>
      <c r="F44" s="521"/>
      <c r="G44" s="506"/>
      <c r="H44" s="506"/>
      <c r="I44" s="521"/>
      <c r="J44" s="521"/>
      <c r="K44" s="506"/>
      <c r="L44" s="506"/>
      <c r="M44" s="521">
        <v>1</v>
      </c>
      <c r="N44" s="521">
        <v>5</v>
      </c>
      <c r="O44" s="511"/>
      <c r="P44" s="522">
        <v>5</v>
      </c>
    </row>
    <row r="45" spans="1:16" ht="14.4" customHeight="1" thickBot="1" x14ac:dyDescent="0.35">
      <c r="A45" s="513" t="s">
        <v>947</v>
      </c>
      <c r="B45" s="514" t="s">
        <v>890</v>
      </c>
      <c r="C45" s="514" t="s">
        <v>910</v>
      </c>
      <c r="D45" s="514" t="s">
        <v>911</v>
      </c>
      <c r="E45" s="523"/>
      <c r="F45" s="523"/>
      <c r="G45" s="514"/>
      <c r="H45" s="514"/>
      <c r="I45" s="523">
        <v>124</v>
      </c>
      <c r="J45" s="523">
        <v>14508</v>
      </c>
      <c r="K45" s="514"/>
      <c r="L45" s="514">
        <v>117</v>
      </c>
      <c r="M45" s="523">
        <v>359</v>
      </c>
      <c r="N45" s="523">
        <v>42098</v>
      </c>
      <c r="O45" s="519"/>
      <c r="P45" s="524">
        <v>117.26462395543176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3" bestFit="1" customWidth="1"/>
    <col min="2" max="2" width="7.77734375" style="109" customWidth="1"/>
    <col min="3" max="3" width="0.109375" style="133" hidden="1" customWidth="1"/>
    <col min="4" max="4" width="7.77734375" style="109" customWidth="1"/>
    <col min="5" max="5" width="5.44140625" style="133" hidden="1" customWidth="1"/>
    <col min="6" max="6" width="7.77734375" style="109" customWidth="1"/>
    <col min="7" max="7" width="7.77734375" style="215" customWidth="1"/>
    <col min="8" max="8" width="7.77734375" style="109" customWidth="1"/>
    <col min="9" max="9" width="5.44140625" style="133" hidden="1" customWidth="1"/>
    <col min="10" max="10" width="7.77734375" style="109" customWidth="1"/>
    <col min="11" max="11" width="5.44140625" style="133" hidden="1" customWidth="1"/>
    <col min="12" max="12" width="7.77734375" style="109" customWidth="1"/>
    <col min="13" max="13" width="7.77734375" style="215" customWidth="1"/>
    <col min="14" max="14" width="7.77734375" style="109" customWidth="1"/>
    <col min="15" max="15" width="5" style="133" hidden="1" customWidth="1"/>
    <col min="16" max="16" width="7.77734375" style="109" customWidth="1"/>
    <col min="17" max="17" width="5" style="133" hidden="1" customWidth="1"/>
    <col min="18" max="18" width="7.77734375" style="109" customWidth="1"/>
    <col min="19" max="19" width="7.77734375" style="215" customWidth="1"/>
    <col min="20" max="16384" width="8.88671875" style="133"/>
  </cols>
  <sheetData>
    <row r="1" spans="1:19" ht="18.600000000000001" customHeight="1" thickBot="1" x14ac:dyDescent="0.4">
      <c r="A1" s="319" t="s">
        <v>131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</row>
    <row r="2" spans="1:19" ht="14.4" customHeight="1" thickBot="1" x14ac:dyDescent="0.35">
      <c r="A2" s="240" t="s">
        <v>272</v>
      </c>
      <c r="B2" s="231"/>
      <c r="C2" s="114"/>
      <c r="D2" s="231"/>
      <c r="E2" s="114"/>
      <c r="F2" s="231"/>
      <c r="G2" s="232"/>
      <c r="H2" s="231"/>
      <c r="I2" s="114"/>
      <c r="J2" s="231"/>
      <c r="K2" s="114"/>
      <c r="L2" s="231"/>
      <c r="M2" s="232"/>
      <c r="N2" s="231"/>
      <c r="O2" s="114"/>
      <c r="P2" s="231"/>
      <c r="Q2" s="114"/>
      <c r="R2" s="231"/>
      <c r="S2" s="232"/>
    </row>
    <row r="3" spans="1:19" ht="14.4" customHeight="1" thickBot="1" x14ac:dyDescent="0.35">
      <c r="A3" s="225" t="s">
        <v>133</v>
      </c>
      <c r="B3" s="226">
        <f>SUBTOTAL(9,B6:B1048576)</f>
        <v>1411766</v>
      </c>
      <c r="C3" s="227">
        <f t="shared" ref="C3:R3" si="0">SUBTOTAL(9,C6:C1048576)</f>
        <v>3</v>
      </c>
      <c r="D3" s="227">
        <f t="shared" si="0"/>
        <v>8899</v>
      </c>
      <c r="E3" s="227">
        <f t="shared" si="0"/>
        <v>9.5824206251538282</v>
      </c>
      <c r="F3" s="227">
        <f t="shared" si="0"/>
        <v>6261</v>
      </c>
      <c r="G3" s="230">
        <f>IF(B3&lt;&gt;0,F3/B3,"")</f>
        <v>4.434870934701643E-3</v>
      </c>
      <c r="H3" s="226">
        <f t="shared" si="0"/>
        <v>0</v>
      </c>
      <c r="I3" s="227">
        <f t="shared" si="0"/>
        <v>0</v>
      </c>
      <c r="J3" s="227">
        <f t="shared" si="0"/>
        <v>0</v>
      </c>
      <c r="K3" s="227">
        <f t="shared" si="0"/>
        <v>0</v>
      </c>
      <c r="L3" s="227">
        <f t="shared" si="0"/>
        <v>0</v>
      </c>
      <c r="M3" s="228" t="str">
        <f>IF(H3&lt;&gt;0,L3/H3,"")</f>
        <v/>
      </c>
      <c r="N3" s="229">
        <f t="shared" si="0"/>
        <v>0</v>
      </c>
      <c r="O3" s="227">
        <f t="shared" si="0"/>
        <v>0</v>
      </c>
      <c r="P3" s="227">
        <f t="shared" si="0"/>
        <v>0</v>
      </c>
      <c r="Q3" s="227">
        <f t="shared" si="0"/>
        <v>0</v>
      </c>
      <c r="R3" s="227">
        <f t="shared" si="0"/>
        <v>0</v>
      </c>
      <c r="S3" s="228" t="str">
        <f>IF(N3&lt;&gt;0,R3/N3,"")</f>
        <v/>
      </c>
    </row>
    <row r="4" spans="1:19" ht="14.4" customHeight="1" x14ac:dyDescent="0.3">
      <c r="A4" s="377" t="s">
        <v>107</v>
      </c>
      <c r="B4" s="378" t="s">
        <v>101</v>
      </c>
      <c r="C4" s="379"/>
      <c r="D4" s="379"/>
      <c r="E4" s="379"/>
      <c r="F4" s="379"/>
      <c r="G4" s="380"/>
      <c r="H4" s="378" t="s">
        <v>102</v>
      </c>
      <c r="I4" s="379"/>
      <c r="J4" s="379"/>
      <c r="K4" s="379"/>
      <c r="L4" s="379"/>
      <c r="M4" s="380"/>
      <c r="N4" s="378" t="s">
        <v>103</v>
      </c>
      <c r="O4" s="379"/>
      <c r="P4" s="379"/>
      <c r="Q4" s="379"/>
      <c r="R4" s="379"/>
      <c r="S4" s="380"/>
    </row>
    <row r="5" spans="1:19" ht="14.4" customHeight="1" thickBot="1" x14ac:dyDescent="0.35">
      <c r="A5" s="562"/>
      <c r="B5" s="563">
        <v>2012</v>
      </c>
      <c r="C5" s="564"/>
      <c r="D5" s="564">
        <v>2013</v>
      </c>
      <c r="E5" s="564"/>
      <c r="F5" s="564">
        <v>2014</v>
      </c>
      <c r="G5" s="565" t="s">
        <v>2</v>
      </c>
      <c r="H5" s="563">
        <v>2012</v>
      </c>
      <c r="I5" s="564"/>
      <c r="J5" s="564">
        <v>2013</v>
      </c>
      <c r="K5" s="564"/>
      <c r="L5" s="564">
        <v>2014</v>
      </c>
      <c r="M5" s="565" t="s">
        <v>2</v>
      </c>
      <c r="N5" s="563">
        <v>2012</v>
      </c>
      <c r="O5" s="564"/>
      <c r="P5" s="564">
        <v>2013</v>
      </c>
      <c r="Q5" s="564"/>
      <c r="R5" s="564">
        <v>2014</v>
      </c>
      <c r="S5" s="565" t="s">
        <v>2</v>
      </c>
    </row>
    <row r="6" spans="1:19" ht="14.4" customHeight="1" x14ac:dyDescent="0.3">
      <c r="A6" s="528" t="s">
        <v>949</v>
      </c>
      <c r="B6" s="566">
        <v>956</v>
      </c>
      <c r="C6" s="435">
        <v>1</v>
      </c>
      <c r="D6" s="566">
        <v>8254</v>
      </c>
      <c r="E6" s="435">
        <v>8.6338912133891217</v>
      </c>
      <c r="F6" s="566">
        <v>3115</v>
      </c>
      <c r="G6" s="457">
        <v>3.25836820083682</v>
      </c>
      <c r="H6" s="566"/>
      <c r="I6" s="435"/>
      <c r="J6" s="566"/>
      <c r="K6" s="435"/>
      <c r="L6" s="566"/>
      <c r="M6" s="457"/>
      <c r="N6" s="566"/>
      <c r="O6" s="435"/>
      <c r="P6" s="566"/>
      <c r="Q6" s="435"/>
      <c r="R6" s="566"/>
      <c r="S6" s="488"/>
    </row>
    <row r="7" spans="1:19" ht="14.4" customHeight="1" x14ac:dyDescent="0.3">
      <c r="A7" s="529" t="s">
        <v>950</v>
      </c>
      <c r="B7" s="580"/>
      <c r="C7" s="506"/>
      <c r="D7" s="580"/>
      <c r="E7" s="506"/>
      <c r="F7" s="580">
        <v>34</v>
      </c>
      <c r="G7" s="511"/>
      <c r="H7" s="580"/>
      <c r="I7" s="506"/>
      <c r="J7" s="580"/>
      <c r="K7" s="506"/>
      <c r="L7" s="580"/>
      <c r="M7" s="511"/>
      <c r="N7" s="580"/>
      <c r="O7" s="506"/>
      <c r="P7" s="580"/>
      <c r="Q7" s="506"/>
      <c r="R7" s="580"/>
      <c r="S7" s="512"/>
    </row>
    <row r="8" spans="1:19" ht="14.4" customHeight="1" x14ac:dyDescent="0.3">
      <c r="A8" s="529" t="s">
        <v>951</v>
      </c>
      <c r="B8" s="580">
        <v>680</v>
      </c>
      <c r="C8" s="506">
        <v>1</v>
      </c>
      <c r="D8" s="580">
        <v>645</v>
      </c>
      <c r="E8" s="506">
        <v>0.94852941176470584</v>
      </c>
      <c r="F8" s="580">
        <v>1822</v>
      </c>
      <c r="G8" s="511">
        <v>2.6794117647058822</v>
      </c>
      <c r="H8" s="580"/>
      <c r="I8" s="506"/>
      <c r="J8" s="580"/>
      <c r="K8" s="506"/>
      <c r="L8" s="580"/>
      <c r="M8" s="511"/>
      <c r="N8" s="580"/>
      <c r="O8" s="506"/>
      <c r="P8" s="580"/>
      <c r="Q8" s="506"/>
      <c r="R8" s="580"/>
      <c r="S8" s="512"/>
    </row>
    <row r="9" spans="1:19" ht="14.4" customHeight="1" x14ac:dyDescent="0.3">
      <c r="A9" s="529" t="s">
        <v>952</v>
      </c>
      <c r="B9" s="580"/>
      <c r="C9" s="506"/>
      <c r="D9" s="580"/>
      <c r="E9" s="506"/>
      <c r="F9" s="580">
        <v>1290</v>
      </c>
      <c r="G9" s="511"/>
      <c r="H9" s="580"/>
      <c r="I9" s="506"/>
      <c r="J9" s="580"/>
      <c r="K9" s="506"/>
      <c r="L9" s="580"/>
      <c r="M9" s="511"/>
      <c r="N9" s="580"/>
      <c r="O9" s="506"/>
      <c r="P9" s="580"/>
      <c r="Q9" s="506"/>
      <c r="R9" s="580"/>
      <c r="S9" s="512"/>
    </row>
    <row r="10" spans="1:19" ht="14.4" customHeight="1" thickBot="1" x14ac:dyDescent="0.35">
      <c r="A10" s="568" t="s">
        <v>953</v>
      </c>
      <c r="B10" s="567">
        <v>1410130</v>
      </c>
      <c r="C10" s="514">
        <v>1</v>
      </c>
      <c r="D10" s="567"/>
      <c r="E10" s="514"/>
      <c r="F10" s="567"/>
      <c r="G10" s="519"/>
      <c r="H10" s="567"/>
      <c r="I10" s="514"/>
      <c r="J10" s="567"/>
      <c r="K10" s="514"/>
      <c r="L10" s="567"/>
      <c r="M10" s="519"/>
      <c r="N10" s="567"/>
      <c r="O10" s="514"/>
      <c r="P10" s="567"/>
      <c r="Q10" s="514"/>
      <c r="R10" s="567"/>
      <c r="S10" s="52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3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3" bestFit="1" customWidth="1"/>
    <col min="2" max="2" width="8.6640625" style="133" bestFit="1" customWidth="1"/>
    <col min="3" max="3" width="2.109375" style="133" bestFit="1" customWidth="1"/>
    <col min="4" max="4" width="8" style="133" bestFit="1" customWidth="1"/>
    <col min="5" max="5" width="52.88671875" style="133" bestFit="1" customWidth="1"/>
    <col min="6" max="7" width="11.109375" style="212" customWidth="1"/>
    <col min="8" max="9" width="9.33203125" style="212" hidden="1" customWidth="1"/>
    <col min="10" max="11" width="11.109375" style="212" customWidth="1"/>
    <col min="12" max="13" width="9.33203125" style="212" hidden="1" customWidth="1"/>
    <col min="14" max="15" width="11.109375" style="212" customWidth="1"/>
    <col min="16" max="16" width="11.109375" style="215" customWidth="1"/>
    <col min="17" max="17" width="11.109375" style="212" customWidth="1"/>
    <col min="18" max="16384" width="8.88671875" style="133"/>
  </cols>
  <sheetData>
    <row r="1" spans="1:17" ht="18.600000000000001" customHeight="1" thickBot="1" x14ac:dyDescent="0.4">
      <c r="A1" s="310" t="s">
        <v>965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</row>
    <row r="2" spans="1:17" ht="14.4" customHeight="1" thickBot="1" x14ac:dyDescent="0.35">
      <c r="A2" s="240" t="s">
        <v>272</v>
      </c>
      <c r="B2" s="134"/>
      <c r="C2" s="134"/>
      <c r="D2" s="134"/>
      <c r="E2" s="134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4"/>
      <c r="Q2" s="233"/>
    </row>
    <row r="3" spans="1:17" ht="14.4" customHeight="1" thickBot="1" x14ac:dyDescent="0.35">
      <c r="E3" s="87" t="s">
        <v>133</v>
      </c>
      <c r="F3" s="103">
        <f t="shared" ref="F3:O3" si="0">SUBTOTAL(9,F6:F1048576)</f>
        <v>2954</v>
      </c>
      <c r="G3" s="104">
        <f t="shared" si="0"/>
        <v>1411766</v>
      </c>
      <c r="H3" s="104"/>
      <c r="I3" s="104"/>
      <c r="J3" s="104">
        <f t="shared" si="0"/>
        <v>84</v>
      </c>
      <c r="K3" s="104">
        <f t="shared" si="0"/>
        <v>8899</v>
      </c>
      <c r="L3" s="104"/>
      <c r="M3" s="104"/>
      <c r="N3" s="104">
        <f t="shared" si="0"/>
        <v>33</v>
      </c>
      <c r="O3" s="104">
        <f t="shared" si="0"/>
        <v>6261</v>
      </c>
      <c r="P3" s="75">
        <f>IF(G3=0,0,O3/G3)</f>
        <v>4.434870934701643E-3</v>
      </c>
      <c r="Q3" s="105">
        <f>IF(N3=0,0,O3/N3)</f>
        <v>189.72727272727272</v>
      </c>
    </row>
    <row r="4" spans="1:17" ht="14.4" customHeight="1" x14ac:dyDescent="0.3">
      <c r="A4" s="383" t="s">
        <v>69</v>
      </c>
      <c r="B4" s="382" t="s">
        <v>96</v>
      </c>
      <c r="C4" s="383" t="s">
        <v>97</v>
      </c>
      <c r="D4" s="384" t="s">
        <v>98</v>
      </c>
      <c r="E4" s="385" t="s">
        <v>70</v>
      </c>
      <c r="F4" s="389">
        <v>2012</v>
      </c>
      <c r="G4" s="390"/>
      <c r="H4" s="106"/>
      <c r="I4" s="106"/>
      <c r="J4" s="389">
        <v>2013</v>
      </c>
      <c r="K4" s="390"/>
      <c r="L4" s="106"/>
      <c r="M4" s="106"/>
      <c r="N4" s="389">
        <v>2014</v>
      </c>
      <c r="O4" s="390"/>
      <c r="P4" s="391" t="s">
        <v>2</v>
      </c>
      <c r="Q4" s="381" t="s">
        <v>99</v>
      </c>
    </row>
    <row r="5" spans="1:17" ht="14.4" customHeight="1" thickBot="1" x14ac:dyDescent="0.35">
      <c r="A5" s="572"/>
      <c r="B5" s="571"/>
      <c r="C5" s="572"/>
      <c r="D5" s="573"/>
      <c r="E5" s="574"/>
      <c r="F5" s="581" t="s">
        <v>72</v>
      </c>
      <c r="G5" s="582" t="s">
        <v>14</v>
      </c>
      <c r="H5" s="583"/>
      <c r="I5" s="583"/>
      <c r="J5" s="581" t="s">
        <v>72</v>
      </c>
      <c r="K5" s="582" t="s">
        <v>14</v>
      </c>
      <c r="L5" s="583"/>
      <c r="M5" s="583"/>
      <c r="N5" s="581" t="s">
        <v>72</v>
      </c>
      <c r="O5" s="582" t="s">
        <v>14</v>
      </c>
      <c r="P5" s="584"/>
      <c r="Q5" s="579"/>
    </row>
    <row r="6" spans="1:17" ht="14.4" customHeight="1" x14ac:dyDescent="0.3">
      <c r="A6" s="434" t="s">
        <v>954</v>
      </c>
      <c r="B6" s="435" t="s">
        <v>873</v>
      </c>
      <c r="C6" s="435" t="s">
        <v>890</v>
      </c>
      <c r="D6" s="435" t="s">
        <v>898</v>
      </c>
      <c r="E6" s="435" t="s">
        <v>899</v>
      </c>
      <c r="F6" s="438"/>
      <c r="G6" s="438"/>
      <c r="H6" s="438"/>
      <c r="I6" s="438"/>
      <c r="J6" s="438">
        <v>28</v>
      </c>
      <c r="K6" s="438">
        <v>952</v>
      </c>
      <c r="L6" s="438"/>
      <c r="M6" s="438">
        <v>34</v>
      </c>
      <c r="N6" s="438">
        <v>8</v>
      </c>
      <c r="O6" s="438">
        <v>279</v>
      </c>
      <c r="P6" s="457"/>
      <c r="Q6" s="439">
        <v>34.875</v>
      </c>
    </row>
    <row r="7" spans="1:17" ht="14.4" customHeight="1" x14ac:dyDescent="0.3">
      <c r="A7" s="505" t="s">
        <v>954</v>
      </c>
      <c r="B7" s="506" t="s">
        <v>873</v>
      </c>
      <c r="C7" s="506" t="s">
        <v>890</v>
      </c>
      <c r="D7" s="506" t="s">
        <v>910</v>
      </c>
      <c r="E7" s="506" t="s">
        <v>911</v>
      </c>
      <c r="F7" s="521"/>
      <c r="G7" s="521"/>
      <c r="H7" s="521"/>
      <c r="I7" s="521"/>
      <c r="J7" s="521">
        <v>46</v>
      </c>
      <c r="K7" s="521">
        <v>5382</v>
      </c>
      <c r="L7" s="521"/>
      <c r="M7" s="521">
        <v>117</v>
      </c>
      <c r="N7" s="521">
        <v>14</v>
      </c>
      <c r="O7" s="521">
        <v>1652</v>
      </c>
      <c r="P7" s="511"/>
      <c r="Q7" s="522">
        <v>118</v>
      </c>
    </row>
    <row r="8" spans="1:17" ht="14.4" customHeight="1" x14ac:dyDescent="0.3">
      <c r="A8" s="505" t="s">
        <v>954</v>
      </c>
      <c r="B8" s="506" t="s">
        <v>873</v>
      </c>
      <c r="C8" s="506" t="s">
        <v>890</v>
      </c>
      <c r="D8" s="506" t="s">
        <v>930</v>
      </c>
      <c r="E8" s="506" t="s">
        <v>931</v>
      </c>
      <c r="F8" s="521"/>
      <c r="G8" s="521"/>
      <c r="H8" s="521"/>
      <c r="I8" s="521"/>
      <c r="J8" s="521"/>
      <c r="K8" s="521"/>
      <c r="L8" s="521"/>
      <c r="M8" s="521"/>
      <c r="N8" s="521">
        <v>1</v>
      </c>
      <c r="O8" s="521">
        <v>327</v>
      </c>
      <c r="P8" s="511"/>
      <c r="Q8" s="522">
        <v>327</v>
      </c>
    </row>
    <row r="9" spans="1:17" ht="14.4" customHeight="1" x14ac:dyDescent="0.3">
      <c r="A9" s="505" t="s">
        <v>954</v>
      </c>
      <c r="B9" s="506" t="s">
        <v>873</v>
      </c>
      <c r="C9" s="506" t="s">
        <v>890</v>
      </c>
      <c r="D9" s="506" t="s">
        <v>940</v>
      </c>
      <c r="E9" s="506" t="s">
        <v>941</v>
      </c>
      <c r="F9" s="521">
        <v>4</v>
      </c>
      <c r="G9" s="521">
        <v>956</v>
      </c>
      <c r="H9" s="521">
        <v>1</v>
      </c>
      <c r="I9" s="521">
        <v>239</v>
      </c>
      <c r="J9" s="521">
        <v>8</v>
      </c>
      <c r="K9" s="521">
        <v>1920</v>
      </c>
      <c r="L9" s="521">
        <v>2.00836820083682</v>
      </c>
      <c r="M9" s="521">
        <v>240</v>
      </c>
      <c r="N9" s="521"/>
      <c r="O9" s="521"/>
      <c r="P9" s="511"/>
      <c r="Q9" s="522"/>
    </row>
    <row r="10" spans="1:17" ht="14.4" customHeight="1" x14ac:dyDescent="0.3">
      <c r="A10" s="505" t="s">
        <v>954</v>
      </c>
      <c r="B10" s="506" t="s">
        <v>873</v>
      </c>
      <c r="C10" s="506" t="s">
        <v>890</v>
      </c>
      <c r="D10" s="506" t="s">
        <v>942</v>
      </c>
      <c r="E10" s="506" t="s">
        <v>943</v>
      </c>
      <c r="F10" s="521"/>
      <c r="G10" s="521"/>
      <c r="H10" s="521"/>
      <c r="I10" s="521"/>
      <c r="J10" s="521"/>
      <c r="K10" s="521"/>
      <c r="L10" s="521"/>
      <c r="M10" s="521"/>
      <c r="N10" s="521">
        <v>1</v>
      </c>
      <c r="O10" s="521">
        <v>645</v>
      </c>
      <c r="P10" s="511"/>
      <c r="Q10" s="522">
        <v>645</v>
      </c>
    </row>
    <row r="11" spans="1:17" ht="14.4" customHeight="1" x14ac:dyDescent="0.3">
      <c r="A11" s="505" t="s">
        <v>954</v>
      </c>
      <c r="B11" s="506" t="s">
        <v>873</v>
      </c>
      <c r="C11" s="506" t="s">
        <v>890</v>
      </c>
      <c r="D11" s="506" t="s">
        <v>944</v>
      </c>
      <c r="E11" s="506" t="s">
        <v>945</v>
      </c>
      <c r="F11" s="521"/>
      <c r="G11" s="521"/>
      <c r="H11" s="521"/>
      <c r="I11" s="521"/>
      <c r="J11" s="521"/>
      <c r="K11" s="521"/>
      <c r="L11" s="521"/>
      <c r="M11" s="521"/>
      <c r="N11" s="521">
        <v>1</v>
      </c>
      <c r="O11" s="521">
        <v>212</v>
      </c>
      <c r="P11" s="511"/>
      <c r="Q11" s="522">
        <v>212</v>
      </c>
    </row>
    <row r="12" spans="1:17" ht="14.4" customHeight="1" x14ac:dyDescent="0.3">
      <c r="A12" s="505" t="s">
        <v>955</v>
      </c>
      <c r="B12" s="506" t="s">
        <v>873</v>
      </c>
      <c r="C12" s="506" t="s">
        <v>890</v>
      </c>
      <c r="D12" s="506" t="s">
        <v>898</v>
      </c>
      <c r="E12" s="506" t="s">
        <v>899</v>
      </c>
      <c r="F12" s="521"/>
      <c r="G12" s="521"/>
      <c r="H12" s="521"/>
      <c r="I12" s="521"/>
      <c r="J12" s="521"/>
      <c r="K12" s="521"/>
      <c r="L12" s="521"/>
      <c r="M12" s="521"/>
      <c r="N12" s="521">
        <v>1</v>
      </c>
      <c r="O12" s="521">
        <v>34</v>
      </c>
      <c r="P12" s="511"/>
      <c r="Q12" s="522">
        <v>34</v>
      </c>
    </row>
    <row r="13" spans="1:17" ht="14.4" customHeight="1" x14ac:dyDescent="0.3">
      <c r="A13" s="505" t="s">
        <v>956</v>
      </c>
      <c r="B13" s="506" t="s">
        <v>873</v>
      </c>
      <c r="C13" s="506" t="s">
        <v>890</v>
      </c>
      <c r="D13" s="506" t="s">
        <v>898</v>
      </c>
      <c r="E13" s="506" t="s">
        <v>899</v>
      </c>
      <c r="F13" s="521">
        <v>1</v>
      </c>
      <c r="G13" s="521">
        <v>34</v>
      </c>
      <c r="H13" s="521">
        <v>1</v>
      </c>
      <c r="I13" s="521">
        <v>34</v>
      </c>
      <c r="J13" s="521"/>
      <c r="K13" s="521"/>
      <c r="L13" s="521"/>
      <c r="M13" s="521"/>
      <c r="N13" s="521">
        <v>1</v>
      </c>
      <c r="O13" s="521">
        <v>34</v>
      </c>
      <c r="P13" s="511">
        <v>1</v>
      </c>
      <c r="Q13" s="522">
        <v>34</v>
      </c>
    </row>
    <row r="14" spans="1:17" ht="14.4" customHeight="1" x14ac:dyDescent="0.3">
      <c r="A14" s="505" t="s">
        <v>956</v>
      </c>
      <c r="B14" s="506" t="s">
        <v>873</v>
      </c>
      <c r="C14" s="506" t="s">
        <v>890</v>
      </c>
      <c r="D14" s="506" t="s">
        <v>914</v>
      </c>
      <c r="E14" s="506" t="s">
        <v>915</v>
      </c>
      <c r="F14" s="521">
        <v>1</v>
      </c>
      <c r="G14" s="521">
        <v>0</v>
      </c>
      <c r="H14" s="521"/>
      <c r="I14" s="521">
        <v>0</v>
      </c>
      <c r="J14" s="521">
        <v>1</v>
      </c>
      <c r="K14" s="521">
        <v>0</v>
      </c>
      <c r="L14" s="521"/>
      <c r="M14" s="521">
        <v>0</v>
      </c>
      <c r="N14" s="521"/>
      <c r="O14" s="521"/>
      <c r="P14" s="511"/>
      <c r="Q14" s="522"/>
    </row>
    <row r="15" spans="1:17" ht="14.4" customHeight="1" x14ac:dyDescent="0.3">
      <c r="A15" s="505" t="s">
        <v>956</v>
      </c>
      <c r="B15" s="506" t="s">
        <v>873</v>
      </c>
      <c r="C15" s="506" t="s">
        <v>890</v>
      </c>
      <c r="D15" s="506" t="s">
        <v>916</v>
      </c>
      <c r="E15" s="506" t="s">
        <v>917</v>
      </c>
      <c r="F15" s="521"/>
      <c r="G15" s="521"/>
      <c r="H15" s="521"/>
      <c r="I15" s="521"/>
      <c r="J15" s="521"/>
      <c r="K15" s="521"/>
      <c r="L15" s="521"/>
      <c r="M15" s="521"/>
      <c r="N15" s="521">
        <v>1</v>
      </c>
      <c r="O15" s="521">
        <v>168</v>
      </c>
      <c r="P15" s="511"/>
      <c r="Q15" s="522">
        <v>168</v>
      </c>
    </row>
    <row r="16" spans="1:17" ht="14.4" customHeight="1" x14ac:dyDescent="0.3">
      <c r="A16" s="505" t="s">
        <v>956</v>
      </c>
      <c r="B16" s="506" t="s">
        <v>873</v>
      </c>
      <c r="C16" s="506" t="s">
        <v>890</v>
      </c>
      <c r="D16" s="506" t="s">
        <v>930</v>
      </c>
      <c r="E16" s="506" t="s">
        <v>931</v>
      </c>
      <c r="F16" s="521"/>
      <c r="G16" s="521"/>
      <c r="H16" s="521"/>
      <c r="I16" s="521"/>
      <c r="J16" s="521"/>
      <c r="K16" s="521"/>
      <c r="L16" s="521"/>
      <c r="M16" s="521"/>
      <c r="N16" s="521">
        <v>1</v>
      </c>
      <c r="O16" s="521">
        <v>330</v>
      </c>
      <c r="P16" s="511"/>
      <c r="Q16" s="522">
        <v>330</v>
      </c>
    </row>
    <row r="17" spans="1:17" ht="14.4" customHeight="1" x14ac:dyDescent="0.3">
      <c r="A17" s="505" t="s">
        <v>956</v>
      </c>
      <c r="B17" s="506" t="s">
        <v>873</v>
      </c>
      <c r="C17" s="506" t="s">
        <v>890</v>
      </c>
      <c r="D17" s="506" t="s">
        <v>942</v>
      </c>
      <c r="E17" s="506" t="s">
        <v>943</v>
      </c>
      <c r="F17" s="521">
        <v>1</v>
      </c>
      <c r="G17" s="521">
        <v>646</v>
      </c>
      <c r="H17" s="521">
        <v>1</v>
      </c>
      <c r="I17" s="521">
        <v>646</v>
      </c>
      <c r="J17" s="521">
        <v>1</v>
      </c>
      <c r="K17" s="521">
        <v>645</v>
      </c>
      <c r="L17" s="521">
        <v>0.99845201238390091</v>
      </c>
      <c r="M17" s="521">
        <v>645</v>
      </c>
      <c r="N17" s="521">
        <v>2</v>
      </c>
      <c r="O17" s="521">
        <v>1290</v>
      </c>
      <c r="P17" s="511">
        <v>1.9969040247678018</v>
      </c>
      <c r="Q17" s="522">
        <v>645</v>
      </c>
    </row>
    <row r="18" spans="1:17" ht="14.4" customHeight="1" x14ac:dyDescent="0.3">
      <c r="A18" s="505" t="s">
        <v>957</v>
      </c>
      <c r="B18" s="506" t="s">
        <v>873</v>
      </c>
      <c r="C18" s="506" t="s">
        <v>890</v>
      </c>
      <c r="D18" s="506" t="s">
        <v>942</v>
      </c>
      <c r="E18" s="506" t="s">
        <v>943</v>
      </c>
      <c r="F18" s="521"/>
      <c r="G18" s="521"/>
      <c r="H18" s="521"/>
      <c r="I18" s="521"/>
      <c r="J18" s="521"/>
      <c r="K18" s="521"/>
      <c r="L18" s="521"/>
      <c r="M18" s="521"/>
      <c r="N18" s="521">
        <v>2</v>
      </c>
      <c r="O18" s="521">
        <v>1290</v>
      </c>
      <c r="P18" s="511"/>
      <c r="Q18" s="522">
        <v>645</v>
      </c>
    </row>
    <row r="19" spans="1:17" ht="14.4" customHeight="1" x14ac:dyDescent="0.3">
      <c r="A19" s="505" t="s">
        <v>424</v>
      </c>
      <c r="B19" s="506" t="s">
        <v>873</v>
      </c>
      <c r="C19" s="506" t="s">
        <v>890</v>
      </c>
      <c r="D19" s="506" t="s">
        <v>898</v>
      </c>
      <c r="E19" s="506" t="s">
        <v>899</v>
      </c>
      <c r="F19" s="521">
        <v>158</v>
      </c>
      <c r="G19" s="521">
        <v>5372</v>
      </c>
      <c r="H19" s="521">
        <v>1</v>
      </c>
      <c r="I19" s="521">
        <v>34</v>
      </c>
      <c r="J19" s="521"/>
      <c r="K19" s="521"/>
      <c r="L19" s="521"/>
      <c r="M19" s="521"/>
      <c r="N19" s="521"/>
      <c r="O19" s="521"/>
      <c r="P19" s="511"/>
      <c r="Q19" s="522"/>
    </row>
    <row r="20" spans="1:17" ht="14.4" customHeight="1" x14ac:dyDescent="0.3">
      <c r="A20" s="505" t="s">
        <v>424</v>
      </c>
      <c r="B20" s="506" t="s">
        <v>873</v>
      </c>
      <c r="C20" s="506" t="s">
        <v>890</v>
      </c>
      <c r="D20" s="506" t="s">
        <v>902</v>
      </c>
      <c r="E20" s="506" t="s">
        <v>903</v>
      </c>
      <c r="F20" s="521">
        <v>57</v>
      </c>
      <c r="G20" s="521">
        <v>285</v>
      </c>
      <c r="H20" s="521">
        <v>1</v>
      </c>
      <c r="I20" s="521">
        <v>5</v>
      </c>
      <c r="J20" s="521"/>
      <c r="K20" s="521"/>
      <c r="L20" s="521"/>
      <c r="M20" s="521"/>
      <c r="N20" s="521"/>
      <c r="O20" s="521"/>
      <c r="P20" s="511"/>
      <c r="Q20" s="522"/>
    </row>
    <row r="21" spans="1:17" ht="14.4" customHeight="1" x14ac:dyDescent="0.3">
      <c r="A21" s="505" t="s">
        <v>424</v>
      </c>
      <c r="B21" s="506" t="s">
        <v>873</v>
      </c>
      <c r="C21" s="506" t="s">
        <v>890</v>
      </c>
      <c r="D21" s="506" t="s">
        <v>916</v>
      </c>
      <c r="E21" s="506" t="s">
        <v>917</v>
      </c>
      <c r="F21" s="521">
        <v>21</v>
      </c>
      <c r="G21" s="521">
        <v>3507</v>
      </c>
      <c r="H21" s="521">
        <v>1</v>
      </c>
      <c r="I21" s="521">
        <v>167</v>
      </c>
      <c r="J21" s="521"/>
      <c r="K21" s="521"/>
      <c r="L21" s="521"/>
      <c r="M21" s="521"/>
      <c r="N21" s="521"/>
      <c r="O21" s="521"/>
      <c r="P21" s="511"/>
      <c r="Q21" s="522"/>
    </row>
    <row r="22" spans="1:17" ht="14.4" customHeight="1" x14ac:dyDescent="0.3">
      <c r="A22" s="505" t="s">
        <v>424</v>
      </c>
      <c r="B22" s="506" t="s">
        <v>873</v>
      </c>
      <c r="C22" s="506" t="s">
        <v>890</v>
      </c>
      <c r="D22" s="506" t="s">
        <v>940</v>
      </c>
      <c r="E22" s="506" t="s">
        <v>941</v>
      </c>
      <c r="F22" s="521">
        <v>14</v>
      </c>
      <c r="G22" s="521">
        <v>3346</v>
      </c>
      <c r="H22" s="521">
        <v>1</v>
      </c>
      <c r="I22" s="521">
        <v>239</v>
      </c>
      <c r="J22" s="521"/>
      <c r="K22" s="521"/>
      <c r="L22" s="521"/>
      <c r="M22" s="521"/>
      <c r="N22" s="521"/>
      <c r="O22" s="521"/>
      <c r="P22" s="511"/>
      <c r="Q22" s="522"/>
    </row>
    <row r="23" spans="1:17" ht="14.4" customHeight="1" x14ac:dyDescent="0.3">
      <c r="A23" s="505" t="s">
        <v>424</v>
      </c>
      <c r="B23" s="506" t="s">
        <v>958</v>
      </c>
      <c r="C23" s="506" t="s">
        <v>890</v>
      </c>
      <c r="D23" s="506" t="s">
        <v>959</v>
      </c>
      <c r="E23" s="506" t="s">
        <v>960</v>
      </c>
      <c r="F23" s="521">
        <v>1069</v>
      </c>
      <c r="G23" s="521">
        <v>1216822</v>
      </c>
      <c r="H23" s="521">
        <v>1</v>
      </c>
      <c r="I23" s="521">
        <v>1138.2806361085127</v>
      </c>
      <c r="J23" s="521"/>
      <c r="K23" s="521"/>
      <c r="L23" s="521"/>
      <c r="M23" s="521"/>
      <c r="N23" s="521"/>
      <c r="O23" s="521"/>
      <c r="P23" s="511"/>
      <c r="Q23" s="522"/>
    </row>
    <row r="24" spans="1:17" ht="14.4" customHeight="1" x14ac:dyDescent="0.3">
      <c r="A24" s="505" t="s">
        <v>424</v>
      </c>
      <c r="B24" s="506" t="s">
        <v>958</v>
      </c>
      <c r="C24" s="506" t="s">
        <v>890</v>
      </c>
      <c r="D24" s="506" t="s">
        <v>906</v>
      </c>
      <c r="E24" s="506" t="s">
        <v>907</v>
      </c>
      <c r="F24" s="521">
        <v>16</v>
      </c>
      <c r="G24" s="521">
        <v>1088</v>
      </c>
      <c r="H24" s="521">
        <v>1</v>
      </c>
      <c r="I24" s="521">
        <v>68</v>
      </c>
      <c r="J24" s="521"/>
      <c r="K24" s="521"/>
      <c r="L24" s="521"/>
      <c r="M24" s="521"/>
      <c r="N24" s="521"/>
      <c r="O24" s="521"/>
      <c r="P24" s="511"/>
      <c r="Q24" s="522"/>
    </row>
    <row r="25" spans="1:17" ht="14.4" customHeight="1" x14ac:dyDescent="0.3">
      <c r="A25" s="505" t="s">
        <v>424</v>
      </c>
      <c r="B25" s="506" t="s">
        <v>958</v>
      </c>
      <c r="C25" s="506" t="s">
        <v>890</v>
      </c>
      <c r="D25" s="506" t="s">
        <v>910</v>
      </c>
      <c r="E25" s="506" t="s">
        <v>911</v>
      </c>
      <c r="F25" s="521">
        <v>197</v>
      </c>
      <c r="G25" s="521">
        <v>22852</v>
      </c>
      <c r="H25" s="521">
        <v>1</v>
      </c>
      <c r="I25" s="521">
        <v>116</v>
      </c>
      <c r="J25" s="521"/>
      <c r="K25" s="521"/>
      <c r="L25" s="521"/>
      <c r="M25" s="521"/>
      <c r="N25" s="521"/>
      <c r="O25" s="521"/>
      <c r="P25" s="511"/>
      <c r="Q25" s="522"/>
    </row>
    <row r="26" spans="1:17" ht="14.4" customHeight="1" x14ac:dyDescent="0.3">
      <c r="A26" s="505" t="s">
        <v>424</v>
      </c>
      <c r="B26" s="506" t="s">
        <v>958</v>
      </c>
      <c r="C26" s="506" t="s">
        <v>890</v>
      </c>
      <c r="D26" s="506" t="s">
        <v>961</v>
      </c>
      <c r="E26" s="506" t="s">
        <v>962</v>
      </c>
      <c r="F26" s="521">
        <v>0</v>
      </c>
      <c r="G26" s="521">
        <v>0</v>
      </c>
      <c r="H26" s="521"/>
      <c r="I26" s="521"/>
      <c r="J26" s="521"/>
      <c r="K26" s="521"/>
      <c r="L26" s="521"/>
      <c r="M26" s="521"/>
      <c r="N26" s="521"/>
      <c r="O26" s="521"/>
      <c r="P26" s="511"/>
      <c r="Q26" s="522"/>
    </row>
    <row r="27" spans="1:17" ht="14.4" customHeight="1" x14ac:dyDescent="0.3">
      <c r="A27" s="505" t="s">
        <v>424</v>
      </c>
      <c r="B27" s="506" t="s">
        <v>958</v>
      </c>
      <c r="C27" s="506" t="s">
        <v>890</v>
      </c>
      <c r="D27" s="506" t="s">
        <v>963</v>
      </c>
      <c r="E27" s="506" t="s">
        <v>964</v>
      </c>
      <c r="F27" s="521">
        <v>1066</v>
      </c>
      <c r="G27" s="521">
        <v>0</v>
      </c>
      <c r="H27" s="521"/>
      <c r="I27" s="521">
        <v>0</v>
      </c>
      <c r="J27" s="521"/>
      <c r="K27" s="521"/>
      <c r="L27" s="521"/>
      <c r="M27" s="521"/>
      <c r="N27" s="521"/>
      <c r="O27" s="521"/>
      <c r="P27" s="511"/>
      <c r="Q27" s="522"/>
    </row>
    <row r="28" spans="1:17" ht="14.4" customHeight="1" x14ac:dyDescent="0.3">
      <c r="A28" s="505" t="s">
        <v>424</v>
      </c>
      <c r="B28" s="506" t="s">
        <v>958</v>
      </c>
      <c r="C28" s="506" t="s">
        <v>890</v>
      </c>
      <c r="D28" s="506" t="s">
        <v>930</v>
      </c>
      <c r="E28" s="506" t="s">
        <v>931</v>
      </c>
      <c r="F28" s="521">
        <v>151</v>
      </c>
      <c r="G28" s="521">
        <v>49830</v>
      </c>
      <c r="H28" s="521">
        <v>1</v>
      </c>
      <c r="I28" s="521">
        <v>330</v>
      </c>
      <c r="J28" s="521"/>
      <c r="K28" s="521"/>
      <c r="L28" s="521"/>
      <c r="M28" s="521"/>
      <c r="N28" s="521"/>
      <c r="O28" s="521"/>
      <c r="P28" s="511"/>
      <c r="Q28" s="522"/>
    </row>
    <row r="29" spans="1:17" ht="14.4" customHeight="1" x14ac:dyDescent="0.3">
      <c r="A29" s="505" t="s">
        <v>424</v>
      </c>
      <c r="B29" s="506" t="s">
        <v>958</v>
      </c>
      <c r="C29" s="506" t="s">
        <v>890</v>
      </c>
      <c r="D29" s="506" t="s">
        <v>942</v>
      </c>
      <c r="E29" s="506" t="s">
        <v>943</v>
      </c>
      <c r="F29" s="521">
        <v>150</v>
      </c>
      <c r="G29" s="521">
        <v>96900</v>
      </c>
      <c r="H29" s="521">
        <v>1</v>
      </c>
      <c r="I29" s="521">
        <v>646</v>
      </c>
      <c r="J29" s="521"/>
      <c r="K29" s="521"/>
      <c r="L29" s="521"/>
      <c r="M29" s="521"/>
      <c r="N29" s="521"/>
      <c r="O29" s="521"/>
      <c r="P29" s="511"/>
      <c r="Q29" s="522"/>
    </row>
    <row r="30" spans="1:17" ht="14.4" customHeight="1" thickBot="1" x14ac:dyDescent="0.35">
      <c r="A30" s="513" t="s">
        <v>424</v>
      </c>
      <c r="B30" s="514" t="s">
        <v>958</v>
      </c>
      <c r="C30" s="514" t="s">
        <v>890</v>
      </c>
      <c r="D30" s="514" t="s">
        <v>944</v>
      </c>
      <c r="E30" s="514" t="s">
        <v>945</v>
      </c>
      <c r="F30" s="523">
        <v>48</v>
      </c>
      <c r="G30" s="523">
        <v>10128</v>
      </c>
      <c r="H30" s="523">
        <v>1</v>
      </c>
      <c r="I30" s="523">
        <v>211</v>
      </c>
      <c r="J30" s="523"/>
      <c r="K30" s="523"/>
      <c r="L30" s="523"/>
      <c r="M30" s="523"/>
      <c r="N30" s="523"/>
      <c r="O30" s="523"/>
      <c r="P30" s="519"/>
      <c r="Q30" s="524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3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133" customWidth="1"/>
    <col min="2" max="2" width="7.77734375" style="109" customWidth="1"/>
    <col min="3" max="3" width="7.21875" style="133" hidden="1" customWidth="1"/>
    <col min="4" max="4" width="7.77734375" style="109" customWidth="1"/>
    <col min="5" max="5" width="7.21875" style="133" hidden="1" customWidth="1"/>
    <col min="6" max="6" width="7.77734375" style="109" customWidth="1"/>
    <col min="7" max="7" width="7.77734375" style="215" customWidth="1"/>
    <col min="8" max="8" width="7.77734375" style="109" customWidth="1"/>
    <col min="9" max="9" width="7.21875" style="133" hidden="1" customWidth="1"/>
    <col min="10" max="10" width="7.77734375" style="109" customWidth="1"/>
    <col min="11" max="11" width="7.21875" style="133" hidden="1" customWidth="1"/>
    <col min="12" max="12" width="7.77734375" style="109" customWidth="1"/>
    <col min="13" max="13" width="7.77734375" style="215" customWidth="1"/>
    <col min="14" max="16384" width="8.88671875" style="133"/>
  </cols>
  <sheetData>
    <row r="1" spans="1:13" ht="18.600000000000001" customHeight="1" thickBot="1" x14ac:dyDescent="0.4">
      <c r="A1" s="319" t="s">
        <v>132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</row>
    <row r="2" spans="1:13" ht="14.4" customHeight="1" thickBot="1" x14ac:dyDescent="0.35">
      <c r="A2" s="240" t="s">
        <v>272</v>
      </c>
      <c r="B2" s="231"/>
      <c r="C2" s="114"/>
      <c r="D2" s="231"/>
      <c r="E2" s="114"/>
      <c r="F2" s="231"/>
      <c r="G2" s="232"/>
      <c r="H2" s="231"/>
      <c r="I2" s="114"/>
      <c r="J2" s="231"/>
      <c r="K2" s="114"/>
      <c r="L2" s="231"/>
      <c r="M2" s="232"/>
    </row>
    <row r="3" spans="1:13" ht="14.4" customHeight="1" thickBot="1" x14ac:dyDescent="0.35">
      <c r="A3" s="225" t="s">
        <v>133</v>
      </c>
      <c r="B3" s="226">
        <f>SUBTOTAL(9,B6:B1048576)</f>
        <v>64506</v>
      </c>
      <c r="C3" s="227">
        <f t="shared" ref="C3:L3" si="0">SUBTOTAL(9,C6:C1048576)</f>
        <v>7</v>
      </c>
      <c r="D3" s="227">
        <f t="shared" si="0"/>
        <v>0</v>
      </c>
      <c r="E3" s="227">
        <f t="shared" si="0"/>
        <v>0</v>
      </c>
      <c r="F3" s="227">
        <f t="shared" si="0"/>
        <v>0</v>
      </c>
      <c r="G3" s="230">
        <f>IF(B3&lt;&gt;0,F3/B3,"")</f>
        <v>0</v>
      </c>
      <c r="H3" s="226">
        <f t="shared" si="0"/>
        <v>13438.609999999999</v>
      </c>
      <c r="I3" s="227">
        <f t="shared" si="0"/>
        <v>2</v>
      </c>
      <c r="J3" s="227">
        <f t="shared" si="0"/>
        <v>0</v>
      </c>
      <c r="K3" s="227">
        <f t="shared" si="0"/>
        <v>0</v>
      </c>
      <c r="L3" s="227">
        <f t="shared" si="0"/>
        <v>0</v>
      </c>
      <c r="M3" s="228">
        <f>IF(H3&lt;&gt;0,L3/H3,"")</f>
        <v>0</v>
      </c>
    </row>
    <row r="4" spans="1:13" ht="14.4" customHeight="1" x14ac:dyDescent="0.3">
      <c r="A4" s="392" t="s">
        <v>95</v>
      </c>
      <c r="B4" s="378" t="s">
        <v>101</v>
      </c>
      <c r="C4" s="379"/>
      <c r="D4" s="379"/>
      <c r="E4" s="379"/>
      <c r="F4" s="379"/>
      <c r="G4" s="380"/>
      <c r="H4" s="378" t="s">
        <v>102</v>
      </c>
      <c r="I4" s="379"/>
      <c r="J4" s="379"/>
      <c r="K4" s="379"/>
      <c r="L4" s="379"/>
      <c r="M4" s="380"/>
    </row>
    <row r="5" spans="1:13" s="213" customFormat="1" ht="14.4" customHeight="1" thickBot="1" x14ac:dyDescent="0.35">
      <c r="A5" s="585"/>
      <c r="B5" s="586">
        <v>2012</v>
      </c>
      <c r="C5" s="587"/>
      <c r="D5" s="587">
        <v>2013</v>
      </c>
      <c r="E5" s="587"/>
      <c r="F5" s="587">
        <v>2014</v>
      </c>
      <c r="G5" s="565" t="s">
        <v>2</v>
      </c>
      <c r="H5" s="586">
        <v>2012</v>
      </c>
      <c r="I5" s="587"/>
      <c r="J5" s="587">
        <v>2013</v>
      </c>
      <c r="K5" s="587"/>
      <c r="L5" s="587">
        <v>2014</v>
      </c>
      <c r="M5" s="565" t="s">
        <v>2</v>
      </c>
    </row>
    <row r="6" spans="1:13" ht="14.4" customHeight="1" x14ac:dyDescent="0.3">
      <c r="A6" s="528" t="s">
        <v>966</v>
      </c>
      <c r="B6" s="566"/>
      <c r="C6" s="435"/>
      <c r="D6" s="566"/>
      <c r="E6" s="435"/>
      <c r="F6" s="566"/>
      <c r="G6" s="457"/>
      <c r="H6" s="566">
        <v>12572.48</v>
      </c>
      <c r="I6" s="435">
        <v>1</v>
      </c>
      <c r="J6" s="566"/>
      <c r="K6" s="435"/>
      <c r="L6" s="566"/>
      <c r="M6" s="488"/>
    </row>
    <row r="7" spans="1:13" ht="14.4" customHeight="1" x14ac:dyDescent="0.3">
      <c r="A7" s="529" t="s">
        <v>967</v>
      </c>
      <c r="B7" s="580">
        <v>6666</v>
      </c>
      <c r="C7" s="506">
        <v>1</v>
      </c>
      <c r="D7" s="580"/>
      <c r="E7" s="506"/>
      <c r="F7" s="580"/>
      <c r="G7" s="511"/>
      <c r="H7" s="580"/>
      <c r="I7" s="506"/>
      <c r="J7" s="580"/>
      <c r="K7" s="506"/>
      <c r="L7" s="580"/>
      <c r="M7" s="512"/>
    </row>
    <row r="8" spans="1:13" ht="14.4" customHeight="1" x14ac:dyDescent="0.3">
      <c r="A8" s="529" t="s">
        <v>968</v>
      </c>
      <c r="B8" s="580">
        <v>28897</v>
      </c>
      <c r="C8" s="506">
        <v>1</v>
      </c>
      <c r="D8" s="580"/>
      <c r="E8" s="506"/>
      <c r="F8" s="580"/>
      <c r="G8" s="511"/>
      <c r="H8" s="580"/>
      <c r="I8" s="506"/>
      <c r="J8" s="580"/>
      <c r="K8" s="506"/>
      <c r="L8" s="580"/>
      <c r="M8" s="512"/>
    </row>
    <row r="9" spans="1:13" ht="14.4" customHeight="1" x14ac:dyDescent="0.3">
      <c r="A9" s="529" t="s">
        <v>969</v>
      </c>
      <c r="B9" s="580">
        <v>13964</v>
      </c>
      <c r="C9" s="506">
        <v>1</v>
      </c>
      <c r="D9" s="580"/>
      <c r="E9" s="506"/>
      <c r="F9" s="580"/>
      <c r="G9" s="511"/>
      <c r="H9" s="580">
        <v>866.13</v>
      </c>
      <c r="I9" s="506">
        <v>1</v>
      </c>
      <c r="J9" s="580"/>
      <c r="K9" s="506"/>
      <c r="L9" s="580"/>
      <c r="M9" s="512"/>
    </row>
    <row r="10" spans="1:13" ht="14.4" customHeight="1" x14ac:dyDescent="0.3">
      <c r="A10" s="529" t="s">
        <v>970</v>
      </c>
      <c r="B10" s="580">
        <v>2375</v>
      </c>
      <c r="C10" s="506">
        <v>1</v>
      </c>
      <c r="D10" s="580"/>
      <c r="E10" s="506"/>
      <c r="F10" s="580"/>
      <c r="G10" s="511"/>
      <c r="H10" s="580"/>
      <c r="I10" s="506"/>
      <c r="J10" s="580"/>
      <c r="K10" s="506"/>
      <c r="L10" s="580"/>
      <c r="M10" s="512"/>
    </row>
    <row r="11" spans="1:13" ht="14.4" customHeight="1" x14ac:dyDescent="0.3">
      <c r="A11" s="529" t="s">
        <v>971</v>
      </c>
      <c r="B11" s="580">
        <v>1010</v>
      </c>
      <c r="C11" s="506">
        <v>1</v>
      </c>
      <c r="D11" s="580"/>
      <c r="E11" s="506"/>
      <c r="F11" s="580"/>
      <c r="G11" s="511"/>
      <c r="H11" s="580"/>
      <c r="I11" s="506"/>
      <c r="J11" s="580"/>
      <c r="K11" s="506"/>
      <c r="L11" s="580"/>
      <c r="M11" s="512"/>
    </row>
    <row r="12" spans="1:13" ht="14.4" customHeight="1" x14ac:dyDescent="0.3">
      <c r="A12" s="529" t="s">
        <v>972</v>
      </c>
      <c r="B12" s="580">
        <v>7808</v>
      </c>
      <c r="C12" s="506">
        <v>1</v>
      </c>
      <c r="D12" s="580"/>
      <c r="E12" s="506"/>
      <c r="F12" s="580"/>
      <c r="G12" s="511"/>
      <c r="H12" s="580"/>
      <c r="I12" s="506"/>
      <c r="J12" s="580"/>
      <c r="K12" s="506"/>
      <c r="L12" s="580"/>
      <c r="M12" s="512"/>
    </row>
    <row r="13" spans="1:13" ht="14.4" customHeight="1" thickBot="1" x14ac:dyDescent="0.35">
      <c r="A13" s="568" t="s">
        <v>973</v>
      </c>
      <c r="B13" s="567">
        <v>3786</v>
      </c>
      <c r="C13" s="514">
        <v>1</v>
      </c>
      <c r="D13" s="567"/>
      <c r="E13" s="514"/>
      <c r="F13" s="567"/>
      <c r="G13" s="519"/>
      <c r="H13" s="567"/>
      <c r="I13" s="514"/>
      <c r="J13" s="567"/>
      <c r="K13" s="514"/>
      <c r="L13" s="567"/>
      <c r="M13" s="520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82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133" bestFit="1" customWidth="1"/>
    <col min="2" max="2" width="8.6640625" style="133" bestFit="1" customWidth="1"/>
    <col min="3" max="3" width="2.109375" style="133" bestFit="1" customWidth="1"/>
    <col min="4" max="4" width="8" style="133" bestFit="1" customWidth="1"/>
    <col min="5" max="5" width="52.88671875" style="133" bestFit="1" customWidth="1"/>
    <col min="6" max="7" width="11.109375" style="212" customWidth="1"/>
    <col min="8" max="9" width="9.33203125" style="212" hidden="1" customWidth="1"/>
    <col min="10" max="11" width="11.109375" style="212" customWidth="1"/>
    <col min="12" max="13" width="9.33203125" style="212" hidden="1" customWidth="1"/>
    <col min="14" max="15" width="11.109375" style="212" customWidth="1"/>
    <col min="16" max="16" width="11.109375" style="215" customWidth="1"/>
    <col min="17" max="17" width="11.109375" style="212" customWidth="1"/>
    <col min="18" max="16384" width="8.88671875" style="133"/>
  </cols>
  <sheetData>
    <row r="1" spans="1:17" ht="18.600000000000001" customHeight="1" thickBot="1" x14ac:dyDescent="0.4">
      <c r="A1" s="319" t="s">
        <v>1142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</row>
    <row r="2" spans="1:17" ht="14.4" customHeight="1" thickBot="1" x14ac:dyDescent="0.35">
      <c r="A2" s="240" t="s">
        <v>272</v>
      </c>
      <c r="B2" s="114"/>
      <c r="C2" s="114"/>
      <c r="D2" s="114"/>
      <c r="E2" s="114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2"/>
      <c r="Q2" s="235"/>
    </row>
    <row r="3" spans="1:17" ht="14.4" customHeight="1" thickBot="1" x14ac:dyDescent="0.35">
      <c r="E3" s="87" t="s">
        <v>133</v>
      </c>
      <c r="F3" s="103">
        <f t="shared" ref="F3:O3" si="0">SUBTOTAL(9,F6:F1048576)</f>
        <v>866.08</v>
      </c>
      <c r="G3" s="107">
        <f t="shared" si="0"/>
        <v>77944.609999999986</v>
      </c>
      <c r="H3" s="108"/>
      <c r="I3" s="108"/>
      <c r="J3" s="103">
        <f t="shared" si="0"/>
        <v>0</v>
      </c>
      <c r="K3" s="107">
        <f t="shared" si="0"/>
        <v>0</v>
      </c>
      <c r="L3" s="108"/>
      <c r="M3" s="108"/>
      <c r="N3" s="103">
        <f t="shared" si="0"/>
        <v>0</v>
      </c>
      <c r="O3" s="107">
        <f t="shared" si="0"/>
        <v>0</v>
      </c>
      <c r="P3" s="88">
        <f>IF(G3=0,"",O3/G3)</f>
        <v>0</v>
      </c>
      <c r="Q3" s="105" t="str">
        <f>IF(N3=0,"",O3/N3)</f>
        <v/>
      </c>
    </row>
    <row r="4" spans="1:17" ht="14.4" customHeight="1" x14ac:dyDescent="0.3">
      <c r="A4" s="383" t="s">
        <v>69</v>
      </c>
      <c r="B4" s="382" t="s">
        <v>96</v>
      </c>
      <c r="C4" s="383" t="s">
        <v>97</v>
      </c>
      <c r="D4" s="384" t="s">
        <v>71</v>
      </c>
      <c r="E4" s="385" t="s">
        <v>11</v>
      </c>
      <c r="F4" s="389">
        <v>2012</v>
      </c>
      <c r="G4" s="390"/>
      <c r="H4" s="106"/>
      <c r="I4" s="106"/>
      <c r="J4" s="389">
        <v>2013</v>
      </c>
      <c r="K4" s="390"/>
      <c r="L4" s="106"/>
      <c r="M4" s="106"/>
      <c r="N4" s="389">
        <v>2014</v>
      </c>
      <c r="O4" s="390"/>
      <c r="P4" s="391" t="s">
        <v>2</v>
      </c>
      <c r="Q4" s="381" t="s">
        <v>99</v>
      </c>
    </row>
    <row r="5" spans="1:17" ht="14.4" customHeight="1" thickBot="1" x14ac:dyDescent="0.35">
      <c r="A5" s="572"/>
      <c r="B5" s="571"/>
      <c r="C5" s="572"/>
      <c r="D5" s="573"/>
      <c r="E5" s="574"/>
      <c r="F5" s="581" t="s">
        <v>72</v>
      </c>
      <c r="G5" s="582" t="s">
        <v>14</v>
      </c>
      <c r="H5" s="583"/>
      <c r="I5" s="583"/>
      <c r="J5" s="581" t="s">
        <v>72</v>
      </c>
      <c r="K5" s="582" t="s">
        <v>14</v>
      </c>
      <c r="L5" s="583"/>
      <c r="M5" s="583"/>
      <c r="N5" s="581" t="s">
        <v>72</v>
      </c>
      <c r="O5" s="582" t="s">
        <v>14</v>
      </c>
      <c r="P5" s="584"/>
      <c r="Q5" s="579"/>
    </row>
    <row r="6" spans="1:17" ht="14.4" customHeight="1" x14ac:dyDescent="0.3">
      <c r="A6" s="434" t="s">
        <v>974</v>
      </c>
      <c r="B6" s="435" t="s">
        <v>975</v>
      </c>
      <c r="C6" s="435" t="s">
        <v>976</v>
      </c>
      <c r="D6" s="435" t="s">
        <v>977</v>
      </c>
      <c r="E6" s="435" t="s">
        <v>869</v>
      </c>
      <c r="F6" s="438">
        <v>404</v>
      </c>
      <c r="G6" s="438">
        <v>12572.48</v>
      </c>
      <c r="H6" s="438">
        <v>1</v>
      </c>
      <c r="I6" s="438">
        <v>31.119999999999997</v>
      </c>
      <c r="J6" s="438"/>
      <c r="K6" s="438"/>
      <c r="L6" s="438"/>
      <c r="M6" s="438"/>
      <c r="N6" s="438"/>
      <c r="O6" s="438"/>
      <c r="P6" s="457"/>
      <c r="Q6" s="439"/>
    </row>
    <row r="7" spans="1:17" ht="14.4" customHeight="1" x14ac:dyDescent="0.3">
      <c r="A7" s="505" t="s">
        <v>978</v>
      </c>
      <c r="B7" s="506" t="s">
        <v>979</v>
      </c>
      <c r="C7" s="506" t="s">
        <v>890</v>
      </c>
      <c r="D7" s="506" t="s">
        <v>980</v>
      </c>
      <c r="E7" s="506" t="s">
        <v>981</v>
      </c>
      <c r="F7" s="521">
        <v>93</v>
      </c>
      <c r="G7" s="521">
        <v>5952</v>
      </c>
      <c r="H7" s="521">
        <v>1</v>
      </c>
      <c r="I7" s="521">
        <v>64</v>
      </c>
      <c r="J7" s="521"/>
      <c r="K7" s="521"/>
      <c r="L7" s="521"/>
      <c r="M7" s="521"/>
      <c r="N7" s="521"/>
      <c r="O7" s="521"/>
      <c r="P7" s="511"/>
      <c r="Q7" s="522"/>
    </row>
    <row r="8" spans="1:17" ht="14.4" customHeight="1" x14ac:dyDescent="0.3">
      <c r="A8" s="505" t="s">
        <v>978</v>
      </c>
      <c r="B8" s="506" t="s">
        <v>979</v>
      </c>
      <c r="C8" s="506" t="s">
        <v>890</v>
      </c>
      <c r="D8" s="506" t="s">
        <v>982</v>
      </c>
      <c r="E8" s="506" t="s">
        <v>983</v>
      </c>
      <c r="F8" s="521">
        <v>2</v>
      </c>
      <c r="G8" s="521">
        <v>154</v>
      </c>
      <c r="H8" s="521">
        <v>1</v>
      </c>
      <c r="I8" s="521">
        <v>77</v>
      </c>
      <c r="J8" s="521"/>
      <c r="K8" s="521"/>
      <c r="L8" s="521"/>
      <c r="M8" s="521"/>
      <c r="N8" s="521"/>
      <c r="O8" s="521"/>
      <c r="P8" s="511"/>
      <c r="Q8" s="522"/>
    </row>
    <row r="9" spans="1:17" ht="14.4" customHeight="1" x14ac:dyDescent="0.3">
      <c r="A9" s="505" t="s">
        <v>978</v>
      </c>
      <c r="B9" s="506" t="s">
        <v>979</v>
      </c>
      <c r="C9" s="506" t="s">
        <v>890</v>
      </c>
      <c r="D9" s="506" t="s">
        <v>984</v>
      </c>
      <c r="E9" s="506" t="s">
        <v>985</v>
      </c>
      <c r="F9" s="521">
        <v>3</v>
      </c>
      <c r="G9" s="521">
        <v>66</v>
      </c>
      <c r="H9" s="521">
        <v>1</v>
      </c>
      <c r="I9" s="521">
        <v>22</v>
      </c>
      <c r="J9" s="521"/>
      <c r="K9" s="521"/>
      <c r="L9" s="521"/>
      <c r="M9" s="521"/>
      <c r="N9" s="521"/>
      <c r="O9" s="521"/>
      <c r="P9" s="511"/>
      <c r="Q9" s="522"/>
    </row>
    <row r="10" spans="1:17" ht="14.4" customHeight="1" x14ac:dyDescent="0.3">
      <c r="A10" s="505" t="s">
        <v>978</v>
      </c>
      <c r="B10" s="506" t="s">
        <v>979</v>
      </c>
      <c r="C10" s="506" t="s">
        <v>890</v>
      </c>
      <c r="D10" s="506" t="s">
        <v>986</v>
      </c>
      <c r="E10" s="506" t="s">
        <v>987</v>
      </c>
      <c r="F10" s="521">
        <v>1</v>
      </c>
      <c r="G10" s="521">
        <v>209</v>
      </c>
      <c r="H10" s="521">
        <v>1</v>
      </c>
      <c r="I10" s="521">
        <v>209</v>
      </c>
      <c r="J10" s="521"/>
      <c r="K10" s="521"/>
      <c r="L10" s="521"/>
      <c r="M10" s="521"/>
      <c r="N10" s="521"/>
      <c r="O10" s="521"/>
      <c r="P10" s="511"/>
      <c r="Q10" s="522"/>
    </row>
    <row r="11" spans="1:17" ht="14.4" customHeight="1" x14ac:dyDescent="0.3">
      <c r="A11" s="505" t="s">
        <v>978</v>
      </c>
      <c r="B11" s="506" t="s">
        <v>979</v>
      </c>
      <c r="C11" s="506" t="s">
        <v>890</v>
      </c>
      <c r="D11" s="506" t="s">
        <v>988</v>
      </c>
      <c r="E11" s="506" t="s">
        <v>989</v>
      </c>
      <c r="F11" s="521">
        <v>3</v>
      </c>
      <c r="G11" s="521">
        <v>69</v>
      </c>
      <c r="H11" s="521">
        <v>1</v>
      </c>
      <c r="I11" s="521">
        <v>23</v>
      </c>
      <c r="J11" s="521"/>
      <c r="K11" s="521"/>
      <c r="L11" s="521"/>
      <c r="M11" s="521"/>
      <c r="N11" s="521"/>
      <c r="O11" s="521"/>
      <c r="P11" s="511"/>
      <c r="Q11" s="522"/>
    </row>
    <row r="12" spans="1:17" ht="14.4" customHeight="1" x14ac:dyDescent="0.3">
      <c r="A12" s="505" t="s">
        <v>978</v>
      </c>
      <c r="B12" s="506" t="s">
        <v>979</v>
      </c>
      <c r="C12" s="506" t="s">
        <v>890</v>
      </c>
      <c r="D12" s="506" t="s">
        <v>990</v>
      </c>
      <c r="E12" s="506" t="s">
        <v>991</v>
      </c>
      <c r="F12" s="521">
        <v>1</v>
      </c>
      <c r="G12" s="521">
        <v>216</v>
      </c>
      <c r="H12" s="521">
        <v>1</v>
      </c>
      <c r="I12" s="521">
        <v>216</v>
      </c>
      <c r="J12" s="521"/>
      <c r="K12" s="521"/>
      <c r="L12" s="521"/>
      <c r="M12" s="521"/>
      <c r="N12" s="521"/>
      <c r="O12" s="521"/>
      <c r="P12" s="511"/>
      <c r="Q12" s="522"/>
    </row>
    <row r="13" spans="1:17" ht="14.4" customHeight="1" x14ac:dyDescent="0.3">
      <c r="A13" s="505" t="s">
        <v>992</v>
      </c>
      <c r="B13" s="506" t="s">
        <v>993</v>
      </c>
      <c r="C13" s="506" t="s">
        <v>890</v>
      </c>
      <c r="D13" s="506" t="s">
        <v>994</v>
      </c>
      <c r="E13" s="506" t="s">
        <v>995</v>
      </c>
      <c r="F13" s="521">
        <v>1</v>
      </c>
      <c r="G13" s="521">
        <v>27</v>
      </c>
      <c r="H13" s="521">
        <v>1</v>
      </c>
      <c r="I13" s="521">
        <v>27</v>
      </c>
      <c r="J13" s="521"/>
      <c r="K13" s="521"/>
      <c r="L13" s="521"/>
      <c r="M13" s="521"/>
      <c r="N13" s="521"/>
      <c r="O13" s="521"/>
      <c r="P13" s="511"/>
      <c r="Q13" s="522"/>
    </row>
    <row r="14" spans="1:17" ht="14.4" customHeight="1" x14ac:dyDescent="0.3">
      <c r="A14" s="505" t="s">
        <v>992</v>
      </c>
      <c r="B14" s="506" t="s">
        <v>993</v>
      </c>
      <c r="C14" s="506" t="s">
        <v>890</v>
      </c>
      <c r="D14" s="506" t="s">
        <v>996</v>
      </c>
      <c r="E14" s="506" t="s">
        <v>997</v>
      </c>
      <c r="F14" s="521">
        <v>1</v>
      </c>
      <c r="G14" s="521">
        <v>54</v>
      </c>
      <c r="H14" s="521">
        <v>1</v>
      </c>
      <c r="I14" s="521">
        <v>54</v>
      </c>
      <c r="J14" s="521"/>
      <c r="K14" s="521"/>
      <c r="L14" s="521"/>
      <c r="M14" s="521"/>
      <c r="N14" s="521"/>
      <c r="O14" s="521"/>
      <c r="P14" s="511"/>
      <c r="Q14" s="522"/>
    </row>
    <row r="15" spans="1:17" ht="14.4" customHeight="1" x14ac:dyDescent="0.3">
      <c r="A15" s="505" t="s">
        <v>992</v>
      </c>
      <c r="B15" s="506" t="s">
        <v>993</v>
      </c>
      <c r="C15" s="506" t="s">
        <v>890</v>
      </c>
      <c r="D15" s="506" t="s">
        <v>998</v>
      </c>
      <c r="E15" s="506" t="s">
        <v>999</v>
      </c>
      <c r="F15" s="521">
        <v>1</v>
      </c>
      <c r="G15" s="521">
        <v>24</v>
      </c>
      <c r="H15" s="521">
        <v>1</v>
      </c>
      <c r="I15" s="521">
        <v>24</v>
      </c>
      <c r="J15" s="521"/>
      <c r="K15" s="521"/>
      <c r="L15" s="521"/>
      <c r="M15" s="521"/>
      <c r="N15" s="521"/>
      <c r="O15" s="521"/>
      <c r="P15" s="511"/>
      <c r="Q15" s="522"/>
    </row>
    <row r="16" spans="1:17" ht="14.4" customHeight="1" x14ac:dyDescent="0.3">
      <c r="A16" s="505" t="s">
        <v>992</v>
      </c>
      <c r="B16" s="506" t="s">
        <v>993</v>
      </c>
      <c r="C16" s="506" t="s">
        <v>890</v>
      </c>
      <c r="D16" s="506" t="s">
        <v>1000</v>
      </c>
      <c r="E16" s="506" t="s">
        <v>1001</v>
      </c>
      <c r="F16" s="521">
        <v>1</v>
      </c>
      <c r="G16" s="521">
        <v>27</v>
      </c>
      <c r="H16" s="521">
        <v>1</v>
      </c>
      <c r="I16" s="521">
        <v>27</v>
      </c>
      <c r="J16" s="521"/>
      <c r="K16" s="521"/>
      <c r="L16" s="521"/>
      <c r="M16" s="521"/>
      <c r="N16" s="521"/>
      <c r="O16" s="521"/>
      <c r="P16" s="511"/>
      <c r="Q16" s="522"/>
    </row>
    <row r="17" spans="1:17" ht="14.4" customHeight="1" x14ac:dyDescent="0.3">
      <c r="A17" s="505" t="s">
        <v>992</v>
      </c>
      <c r="B17" s="506" t="s">
        <v>993</v>
      </c>
      <c r="C17" s="506" t="s">
        <v>890</v>
      </c>
      <c r="D17" s="506" t="s">
        <v>1002</v>
      </c>
      <c r="E17" s="506" t="s">
        <v>1003</v>
      </c>
      <c r="F17" s="521">
        <v>1</v>
      </c>
      <c r="G17" s="521">
        <v>27</v>
      </c>
      <c r="H17" s="521">
        <v>1</v>
      </c>
      <c r="I17" s="521">
        <v>27</v>
      </c>
      <c r="J17" s="521"/>
      <c r="K17" s="521"/>
      <c r="L17" s="521"/>
      <c r="M17" s="521"/>
      <c r="N17" s="521"/>
      <c r="O17" s="521"/>
      <c r="P17" s="511"/>
      <c r="Q17" s="522"/>
    </row>
    <row r="18" spans="1:17" ht="14.4" customHeight="1" x14ac:dyDescent="0.3">
      <c r="A18" s="505" t="s">
        <v>992</v>
      </c>
      <c r="B18" s="506" t="s">
        <v>993</v>
      </c>
      <c r="C18" s="506" t="s">
        <v>890</v>
      </c>
      <c r="D18" s="506" t="s">
        <v>1004</v>
      </c>
      <c r="E18" s="506" t="s">
        <v>1005</v>
      </c>
      <c r="F18" s="521">
        <v>1</v>
      </c>
      <c r="G18" s="521">
        <v>22</v>
      </c>
      <c r="H18" s="521">
        <v>1</v>
      </c>
      <c r="I18" s="521">
        <v>22</v>
      </c>
      <c r="J18" s="521"/>
      <c r="K18" s="521"/>
      <c r="L18" s="521"/>
      <c r="M18" s="521"/>
      <c r="N18" s="521"/>
      <c r="O18" s="521"/>
      <c r="P18" s="511"/>
      <c r="Q18" s="522"/>
    </row>
    <row r="19" spans="1:17" ht="14.4" customHeight="1" x14ac:dyDescent="0.3">
      <c r="A19" s="505" t="s">
        <v>992</v>
      </c>
      <c r="B19" s="506" t="s">
        <v>993</v>
      </c>
      <c r="C19" s="506" t="s">
        <v>890</v>
      </c>
      <c r="D19" s="506" t="s">
        <v>1006</v>
      </c>
      <c r="E19" s="506" t="s">
        <v>1007</v>
      </c>
      <c r="F19" s="521">
        <v>1</v>
      </c>
      <c r="G19" s="521">
        <v>987</v>
      </c>
      <c r="H19" s="521">
        <v>1</v>
      </c>
      <c r="I19" s="521">
        <v>987</v>
      </c>
      <c r="J19" s="521"/>
      <c r="K19" s="521"/>
      <c r="L19" s="521"/>
      <c r="M19" s="521"/>
      <c r="N19" s="521"/>
      <c r="O19" s="521"/>
      <c r="P19" s="511"/>
      <c r="Q19" s="522"/>
    </row>
    <row r="20" spans="1:17" ht="14.4" customHeight="1" x14ac:dyDescent="0.3">
      <c r="A20" s="505" t="s">
        <v>992</v>
      </c>
      <c r="B20" s="506" t="s">
        <v>993</v>
      </c>
      <c r="C20" s="506" t="s">
        <v>890</v>
      </c>
      <c r="D20" s="506" t="s">
        <v>1008</v>
      </c>
      <c r="E20" s="506" t="s">
        <v>1009</v>
      </c>
      <c r="F20" s="521">
        <v>8</v>
      </c>
      <c r="G20" s="521">
        <v>504</v>
      </c>
      <c r="H20" s="521">
        <v>1</v>
      </c>
      <c r="I20" s="521">
        <v>63</v>
      </c>
      <c r="J20" s="521"/>
      <c r="K20" s="521"/>
      <c r="L20" s="521"/>
      <c r="M20" s="521"/>
      <c r="N20" s="521"/>
      <c r="O20" s="521"/>
      <c r="P20" s="511"/>
      <c r="Q20" s="522"/>
    </row>
    <row r="21" spans="1:17" ht="14.4" customHeight="1" x14ac:dyDescent="0.3">
      <c r="A21" s="505" t="s">
        <v>992</v>
      </c>
      <c r="B21" s="506" t="s">
        <v>993</v>
      </c>
      <c r="C21" s="506" t="s">
        <v>890</v>
      </c>
      <c r="D21" s="506" t="s">
        <v>1010</v>
      </c>
      <c r="E21" s="506" t="s">
        <v>1011</v>
      </c>
      <c r="F21" s="521">
        <v>1</v>
      </c>
      <c r="G21" s="521">
        <v>17</v>
      </c>
      <c r="H21" s="521">
        <v>1</v>
      </c>
      <c r="I21" s="521">
        <v>17</v>
      </c>
      <c r="J21" s="521"/>
      <c r="K21" s="521"/>
      <c r="L21" s="521"/>
      <c r="M21" s="521"/>
      <c r="N21" s="521"/>
      <c r="O21" s="521"/>
      <c r="P21" s="511"/>
      <c r="Q21" s="522"/>
    </row>
    <row r="22" spans="1:17" ht="14.4" customHeight="1" x14ac:dyDescent="0.3">
      <c r="A22" s="505" t="s">
        <v>992</v>
      </c>
      <c r="B22" s="506" t="s">
        <v>993</v>
      </c>
      <c r="C22" s="506" t="s">
        <v>890</v>
      </c>
      <c r="D22" s="506" t="s">
        <v>1012</v>
      </c>
      <c r="E22" s="506" t="s">
        <v>1013</v>
      </c>
      <c r="F22" s="521">
        <v>1</v>
      </c>
      <c r="G22" s="521">
        <v>107</v>
      </c>
      <c r="H22" s="521">
        <v>1</v>
      </c>
      <c r="I22" s="521">
        <v>107</v>
      </c>
      <c r="J22" s="521"/>
      <c r="K22" s="521"/>
      <c r="L22" s="521"/>
      <c r="M22" s="521"/>
      <c r="N22" s="521"/>
      <c r="O22" s="521"/>
      <c r="P22" s="511"/>
      <c r="Q22" s="522"/>
    </row>
    <row r="23" spans="1:17" ht="14.4" customHeight="1" x14ac:dyDescent="0.3">
      <c r="A23" s="505" t="s">
        <v>992</v>
      </c>
      <c r="B23" s="506" t="s">
        <v>993</v>
      </c>
      <c r="C23" s="506" t="s">
        <v>890</v>
      </c>
      <c r="D23" s="506" t="s">
        <v>1014</v>
      </c>
      <c r="E23" s="506" t="s">
        <v>1015</v>
      </c>
      <c r="F23" s="521">
        <v>37</v>
      </c>
      <c r="G23" s="521">
        <v>2220</v>
      </c>
      <c r="H23" s="521">
        <v>1</v>
      </c>
      <c r="I23" s="521">
        <v>60</v>
      </c>
      <c r="J23" s="521"/>
      <c r="K23" s="521"/>
      <c r="L23" s="521"/>
      <c r="M23" s="521"/>
      <c r="N23" s="521"/>
      <c r="O23" s="521"/>
      <c r="P23" s="511"/>
      <c r="Q23" s="522"/>
    </row>
    <row r="24" spans="1:17" ht="14.4" customHeight="1" x14ac:dyDescent="0.3">
      <c r="A24" s="505" t="s">
        <v>992</v>
      </c>
      <c r="B24" s="506" t="s">
        <v>993</v>
      </c>
      <c r="C24" s="506" t="s">
        <v>890</v>
      </c>
      <c r="D24" s="506" t="s">
        <v>1016</v>
      </c>
      <c r="E24" s="506" t="s">
        <v>1017</v>
      </c>
      <c r="F24" s="521">
        <v>1</v>
      </c>
      <c r="G24" s="521">
        <v>96</v>
      </c>
      <c r="H24" s="521">
        <v>1</v>
      </c>
      <c r="I24" s="521">
        <v>96</v>
      </c>
      <c r="J24" s="521"/>
      <c r="K24" s="521"/>
      <c r="L24" s="521"/>
      <c r="M24" s="521"/>
      <c r="N24" s="521"/>
      <c r="O24" s="521"/>
      <c r="P24" s="511"/>
      <c r="Q24" s="522"/>
    </row>
    <row r="25" spans="1:17" ht="14.4" customHeight="1" x14ac:dyDescent="0.3">
      <c r="A25" s="505" t="s">
        <v>992</v>
      </c>
      <c r="B25" s="506" t="s">
        <v>993</v>
      </c>
      <c r="C25" s="506" t="s">
        <v>890</v>
      </c>
      <c r="D25" s="506" t="s">
        <v>1018</v>
      </c>
      <c r="E25" s="506" t="s">
        <v>1019</v>
      </c>
      <c r="F25" s="521">
        <v>1</v>
      </c>
      <c r="G25" s="521">
        <v>60</v>
      </c>
      <c r="H25" s="521">
        <v>1</v>
      </c>
      <c r="I25" s="521">
        <v>60</v>
      </c>
      <c r="J25" s="521"/>
      <c r="K25" s="521"/>
      <c r="L25" s="521"/>
      <c r="M25" s="521"/>
      <c r="N25" s="521"/>
      <c r="O25" s="521"/>
      <c r="P25" s="511"/>
      <c r="Q25" s="522"/>
    </row>
    <row r="26" spans="1:17" ht="14.4" customHeight="1" x14ac:dyDescent="0.3">
      <c r="A26" s="505" t="s">
        <v>992</v>
      </c>
      <c r="B26" s="506" t="s">
        <v>993</v>
      </c>
      <c r="C26" s="506" t="s">
        <v>890</v>
      </c>
      <c r="D26" s="506" t="s">
        <v>1020</v>
      </c>
      <c r="E26" s="506" t="s">
        <v>1021</v>
      </c>
      <c r="F26" s="521">
        <v>1</v>
      </c>
      <c r="G26" s="521">
        <v>19</v>
      </c>
      <c r="H26" s="521">
        <v>1</v>
      </c>
      <c r="I26" s="521">
        <v>19</v>
      </c>
      <c r="J26" s="521"/>
      <c r="K26" s="521"/>
      <c r="L26" s="521"/>
      <c r="M26" s="521"/>
      <c r="N26" s="521"/>
      <c r="O26" s="521"/>
      <c r="P26" s="511"/>
      <c r="Q26" s="522"/>
    </row>
    <row r="27" spans="1:17" ht="14.4" customHeight="1" x14ac:dyDescent="0.3">
      <c r="A27" s="505" t="s">
        <v>992</v>
      </c>
      <c r="B27" s="506" t="s">
        <v>993</v>
      </c>
      <c r="C27" s="506" t="s">
        <v>890</v>
      </c>
      <c r="D27" s="506" t="s">
        <v>1022</v>
      </c>
      <c r="E27" s="506" t="s">
        <v>1023</v>
      </c>
      <c r="F27" s="521">
        <v>1</v>
      </c>
      <c r="G27" s="521">
        <v>1207</v>
      </c>
      <c r="H27" s="521">
        <v>1</v>
      </c>
      <c r="I27" s="521">
        <v>1207</v>
      </c>
      <c r="J27" s="521"/>
      <c r="K27" s="521"/>
      <c r="L27" s="521"/>
      <c r="M27" s="521"/>
      <c r="N27" s="521"/>
      <c r="O27" s="521"/>
      <c r="P27" s="511"/>
      <c r="Q27" s="522"/>
    </row>
    <row r="28" spans="1:17" ht="14.4" customHeight="1" x14ac:dyDescent="0.3">
      <c r="A28" s="505" t="s">
        <v>992</v>
      </c>
      <c r="B28" s="506" t="s">
        <v>993</v>
      </c>
      <c r="C28" s="506" t="s">
        <v>890</v>
      </c>
      <c r="D28" s="506" t="s">
        <v>1024</v>
      </c>
      <c r="E28" s="506" t="s">
        <v>1025</v>
      </c>
      <c r="F28" s="521">
        <v>2</v>
      </c>
      <c r="G28" s="521">
        <v>1192</v>
      </c>
      <c r="H28" s="521">
        <v>1</v>
      </c>
      <c r="I28" s="521">
        <v>596</v>
      </c>
      <c r="J28" s="521"/>
      <c r="K28" s="521"/>
      <c r="L28" s="521"/>
      <c r="M28" s="521"/>
      <c r="N28" s="521"/>
      <c r="O28" s="521"/>
      <c r="P28" s="511"/>
      <c r="Q28" s="522"/>
    </row>
    <row r="29" spans="1:17" ht="14.4" customHeight="1" x14ac:dyDescent="0.3">
      <c r="A29" s="505" t="s">
        <v>992</v>
      </c>
      <c r="B29" s="506" t="s">
        <v>993</v>
      </c>
      <c r="C29" s="506" t="s">
        <v>890</v>
      </c>
      <c r="D29" s="506" t="s">
        <v>1026</v>
      </c>
      <c r="E29" s="506" t="s">
        <v>1027</v>
      </c>
      <c r="F29" s="521">
        <v>2</v>
      </c>
      <c r="G29" s="521">
        <v>312</v>
      </c>
      <c r="H29" s="521">
        <v>1</v>
      </c>
      <c r="I29" s="521">
        <v>156</v>
      </c>
      <c r="J29" s="521"/>
      <c r="K29" s="521"/>
      <c r="L29" s="521"/>
      <c r="M29" s="521"/>
      <c r="N29" s="521"/>
      <c r="O29" s="521"/>
      <c r="P29" s="511"/>
      <c r="Q29" s="522"/>
    </row>
    <row r="30" spans="1:17" ht="14.4" customHeight="1" x14ac:dyDescent="0.3">
      <c r="A30" s="505" t="s">
        <v>992</v>
      </c>
      <c r="B30" s="506" t="s">
        <v>993</v>
      </c>
      <c r="C30" s="506" t="s">
        <v>890</v>
      </c>
      <c r="D30" s="506" t="s">
        <v>1028</v>
      </c>
      <c r="E30" s="506" t="s">
        <v>1029</v>
      </c>
      <c r="F30" s="521">
        <v>5</v>
      </c>
      <c r="G30" s="521">
        <v>650</v>
      </c>
      <c r="H30" s="521">
        <v>1</v>
      </c>
      <c r="I30" s="521">
        <v>130</v>
      </c>
      <c r="J30" s="521"/>
      <c r="K30" s="521"/>
      <c r="L30" s="521"/>
      <c r="M30" s="521"/>
      <c r="N30" s="521"/>
      <c r="O30" s="521"/>
      <c r="P30" s="511"/>
      <c r="Q30" s="522"/>
    </row>
    <row r="31" spans="1:17" ht="14.4" customHeight="1" x14ac:dyDescent="0.3">
      <c r="A31" s="505" t="s">
        <v>992</v>
      </c>
      <c r="B31" s="506" t="s">
        <v>993</v>
      </c>
      <c r="C31" s="506" t="s">
        <v>890</v>
      </c>
      <c r="D31" s="506" t="s">
        <v>1030</v>
      </c>
      <c r="E31" s="506" t="s">
        <v>1031</v>
      </c>
      <c r="F31" s="521">
        <v>1</v>
      </c>
      <c r="G31" s="521">
        <v>29</v>
      </c>
      <c r="H31" s="521">
        <v>1</v>
      </c>
      <c r="I31" s="521">
        <v>29</v>
      </c>
      <c r="J31" s="521"/>
      <c r="K31" s="521"/>
      <c r="L31" s="521"/>
      <c r="M31" s="521"/>
      <c r="N31" s="521"/>
      <c r="O31" s="521"/>
      <c r="P31" s="511"/>
      <c r="Q31" s="522"/>
    </row>
    <row r="32" spans="1:17" ht="14.4" customHeight="1" x14ac:dyDescent="0.3">
      <c r="A32" s="505" t="s">
        <v>992</v>
      </c>
      <c r="B32" s="506" t="s">
        <v>993</v>
      </c>
      <c r="C32" s="506" t="s">
        <v>890</v>
      </c>
      <c r="D32" s="506" t="s">
        <v>1032</v>
      </c>
      <c r="E32" s="506" t="s">
        <v>1033</v>
      </c>
      <c r="F32" s="521">
        <v>37</v>
      </c>
      <c r="G32" s="521">
        <v>1850</v>
      </c>
      <c r="H32" s="521">
        <v>1</v>
      </c>
      <c r="I32" s="521">
        <v>50</v>
      </c>
      <c r="J32" s="521"/>
      <c r="K32" s="521"/>
      <c r="L32" s="521"/>
      <c r="M32" s="521"/>
      <c r="N32" s="521"/>
      <c r="O32" s="521"/>
      <c r="P32" s="511"/>
      <c r="Q32" s="522"/>
    </row>
    <row r="33" spans="1:17" ht="14.4" customHeight="1" x14ac:dyDescent="0.3">
      <c r="A33" s="505" t="s">
        <v>992</v>
      </c>
      <c r="B33" s="506" t="s">
        <v>993</v>
      </c>
      <c r="C33" s="506" t="s">
        <v>890</v>
      </c>
      <c r="D33" s="506" t="s">
        <v>1034</v>
      </c>
      <c r="E33" s="506" t="s">
        <v>1035</v>
      </c>
      <c r="F33" s="521">
        <v>7</v>
      </c>
      <c r="G33" s="521">
        <v>1260</v>
      </c>
      <c r="H33" s="521">
        <v>1</v>
      </c>
      <c r="I33" s="521">
        <v>180</v>
      </c>
      <c r="J33" s="521"/>
      <c r="K33" s="521"/>
      <c r="L33" s="521"/>
      <c r="M33" s="521"/>
      <c r="N33" s="521"/>
      <c r="O33" s="521"/>
      <c r="P33" s="511"/>
      <c r="Q33" s="522"/>
    </row>
    <row r="34" spans="1:17" ht="14.4" customHeight="1" x14ac:dyDescent="0.3">
      <c r="A34" s="505" t="s">
        <v>992</v>
      </c>
      <c r="B34" s="506" t="s">
        <v>993</v>
      </c>
      <c r="C34" s="506" t="s">
        <v>890</v>
      </c>
      <c r="D34" s="506" t="s">
        <v>1036</v>
      </c>
      <c r="E34" s="506" t="s">
        <v>1037</v>
      </c>
      <c r="F34" s="521">
        <v>2</v>
      </c>
      <c r="G34" s="521">
        <v>142</v>
      </c>
      <c r="H34" s="521">
        <v>1</v>
      </c>
      <c r="I34" s="521">
        <v>71</v>
      </c>
      <c r="J34" s="521"/>
      <c r="K34" s="521"/>
      <c r="L34" s="521"/>
      <c r="M34" s="521"/>
      <c r="N34" s="521"/>
      <c r="O34" s="521"/>
      <c r="P34" s="511"/>
      <c r="Q34" s="522"/>
    </row>
    <row r="35" spans="1:17" ht="14.4" customHeight="1" x14ac:dyDescent="0.3">
      <c r="A35" s="505" t="s">
        <v>992</v>
      </c>
      <c r="B35" s="506" t="s">
        <v>993</v>
      </c>
      <c r="C35" s="506" t="s">
        <v>890</v>
      </c>
      <c r="D35" s="506" t="s">
        <v>1038</v>
      </c>
      <c r="E35" s="506" t="s">
        <v>1039</v>
      </c>
      <c r="F35" s="521">
        <v>66</v>
      </c>
      <c r="G35" s="521">
        <v>9702</v>
      </c>
      <c r="H35" s="521">
        <v>1</v>
      </c>
      <c r="I35" s="521">
        <v>147</v>
      </c>
      <c r="J35" s="521"/>
      <c r="K35" s="521"/>
      <c r="L35" s="521"/>
      <c r="M35" s="521"/>
      <c r="N35" s="521"/>
      <c r="O35" s="521"/>
      <c r="P35" s="511"/>
      <c r="Q35" s="522"/>
    </row>
    <row r="36" spans="1:17" ht="14.4" customHeight="1" x14ac:dyDescent="0.3">
      <c r="A36" s="505" t="s">
        <v>992</v>
      </c>
      <c r="B36" s="506" t="s">
        <v>993</v>
      </c>
      <c r="C36" s="506" t="s">
        <v>890</v>
      </c>
      <c r="D36" s="506" t="s">
        <v>1040</v>
      </c>
      <c r="E36" s="506" t="s">
        <v>1041</v>
      </c>
      <c r="F36" s="521">
        <v>2</v>
      </c>
      <c r="G36" s="521">
        <v>58</v>
      </c>
      <c r="H36" s="521">
        <v>1</v>
      </c>
      <c r="I36" s="521">
        <v>29</v>
      </c>
      <c r="J36" s="521"/>
      <c r="K36" s="521"/>
      <c r="L36" s="521"/>
      <c r="M36" s="521"/>
      <c r="N36" s="521"/>
      <c r="O36" s="521"/>
      <c r="P36" s="511"/>
      <c r="Q36" s="522"/>
    </row>
    <row r="37" spans="1:17" ht="14.4" customHeight="1" x14ac:dyDescent="0.3">
      <c r="A37" s="505" t="s">
        <v>992</v>
      </c>
      <c r="B37" s="506" t="s">
        <v>993</v>
      </c>
      <c r="C37" s="506" t="s">
        <v>890</v>
      </c>
      <c r="D37" s="506" t="s">
        <v>1042</v>
      </c>
      <c r="E37" s="506" t="s">
        <v>1043</v>
      </c>
      <c r="F37" s="521">
        <v>1</v>
      </c>
      <c r="G37" s="521">
        <v>31</v>
      </c>
      <c r="H37" s="521">
        <v>1</v>
      </c>
      <c r="I37" s="521">
        <v>31</v>
      </c>
      <c r="J37" s="521"/>
      <c r="K37" s="521"/>
      <c r="L37" s="521"/>
      <c r="M37" s="521"/>
      <c r="N37" s="521"/>
      <c r="O37" s="521"/>
      <c r="P37" s="511"/>
      <c r="Q37" s="522"/>
    </row>
    <row r="38" spans="1:17" ht="14.4" customHeight="1" x14ac:dyDescent="0.3">
      <c r="A38" s="505" t="s">
        <v>992</v>
      </c>
      <c r="B38" s="506" t="s">
        <v>993</v>
      </c>
      <c r="C38" s="506" t="s">
        <v>890</v>
      </c>
      <c r="D38" s="506" t="s">
        <v>1044</v>
      </c>
      <c r="E38" s="506" t="s">
        <v>1045</v>
      </c>
      <c r="F38" s="521">
        <v>1</v>
      </c>
      <c r="G38" s="521">
        <v>27</v>
      </c>
      <c r="H38" s="521">
        <v>1</v>
      </c>
      <c r="I38" s="521">
        <v>27</v>
      </c>
      <c r="J38" s="521"/>
      <c r="K38" s="521"/>
      <c r="L38" s="521"/>
      <c r="M38" s="521"/>
      <c r="N38" s="521"/>
      <c r="O38" s="521"/>
      <c r="P38" s="511"/>
      <c r="Q38" s="522"/>
    </row>
    <row r="39" spans="1:17" ht="14.4" customHeight="1" x14ac:dyDescent="0.3">
      <c r="A39" s="505" t="s">
        <v>992</v>
      </c>
      <c r="B39" s="506" t="s">
        <v>993</v>
      </c>
      <c r="C39" s="506" t="s">
        <v>890</v>
      </c>
      <c r="D39" s="506" t="s">
        <v>1046</v>
      </c>
      <c r="E39" s="506" t="s">
        <v>1047</v>
      </c>
      <c r="F39" s="521">
        <v>9</v>
      </c>
      <c r="G39" s="521">
        <v>2277</v>
      </c>
      <c r="H39" s="521">
        <v>1</v>
      </c>
      <c r="I39" s="521">
        <v>253</v>
      </c>
      <c r="J39" s="521"/>
      <c r="K39" s="521"/>
      <c r="L39" s="521"/>
      <c r="M39" s="521"/>
      <c r="N39" s="521"/>
      <c r="O39" s="521"/>
      <c r="P39" s="511"/>
      <c r="Q39" s="522"/>
    </row>
    <row r="40" spans="1:17" ht="14.4" customHeight="1" x14ac:dyDescent="0.3">
      <c r="A40" s="505" t="s">
        <v>992</v>
      </c>
      <c r="B40" s="506" t="s">
        <v>993</v>
      </c>
      <c r="C40" s="506" t="s">
        <v>890</v>
      </c>
      <c r="D40" s="506" t="s">
        <v>1048</v>
      </c>
      <c r="E40" s="506" t="s">
        <v>1049</v>
      </c>
      <c r="F40" s="521">
        <v>1</v>
      </c>
      <c r="G40" s="521">
        <v>25</v>
      </c>
      <c r="H40" s="521">
        <v>1</v>
      </c>
      <c r="I40" s="521">
        <v>25</v>
      </c>
      <c r="J40" s="521"/>
      <c r="K40" s="521"/>
      <c r="L40" s="521"/>
      <c r="M40" s="521"/>
      <c r="N40" s="521"/>
      <c r="O40" s="521"/>
      <c r="P40" s="511"/>
      <c r="Q40" s="522"/>
    </row>
    <row r="41" spans="1:17" ht="14.4" customHeight="1" x14ac:dyDescent="0.3">
      <c r="A41" s="505" t="s">
        <v>992</v>
      </c>
      <c r="B41" s="506" t="s">
        <v>993</v>
      </c>
      <c r="C41" s="506" t="s">
        <v>890</v>
      </c>
      <c r="D41" s="506" t="s">
        <v>1050</v>
      </c>
      <c r="E41" s="506" t="s">
        <v>1051</v>
      </c>
      <c r="F41" s="521">
        <v>1</v>
      </c>
      <c r="G41" s="521">
        <v>30</v>
      </c>
      <c r="H41" s="521">
        <v>1</v>
      </c>
      <c r="I41" s="521">
        <v>30</v>
      </c>
      <c r="J41" s="521"/>
      <c r="K41" s="521"/>
      <c r="L41" s="521"/>
      <c r="M41" s="521"/>
      <c r="N41" s="521"/>
      <c r="O41" s="521"/>
      <c r="P41" s="511"/>
      <c r="Q41" s="522"/>
    </row>
    <row r="42" spans="1:17" ht="14.4" customHeight="1" x14ac:dyDescent="0.3">
      <c r="A42" s="505" t="s">
        <v>992</v>
      </c>
      <c r="B42" s="506" t="s">
        <v>993</v>
      </c>
      <c r="C42" s="506" t="s">
        <v>890</v>
      </c>
      <c r="D42" s="506" t="s">
        <v>1052</v>
      </c>
      <c r="E42" s="506" t="s">
        <v>1053</v>
      </c>
      <c r="F42" s="521">
        <v>9</v>
      </c>
      <c r="G42" s="521">
        <v>1836</v>
      </c>
      <c r="H42" s="521">
        <v>1</v>
      </c>
      <c r="I42" s="521">
        <v>204</v>
      </c>
      <c r="J42" s="521"/>
      <c r="K42" s="521"/>
      <c r="L42" s="521"/>
      <c r="M42" s="521"/>
      <c r="N42" s="521"/>
      <c r="O42" s="521"/>
      <c r="P42" s="511"/>
      <c r="Q42" s="522"/>
    </row>
    <row r="43" spans="1:17" ht="14.4" customHeight="1" x14ac:dyDescent="0.3">
      <c r="A43" s="505" t="s">
        <v>992</v>
      </c>
      <c r="B43" s="506" t="s">
        <v>993</v>
      </c>
      <c r="C43" s="506" t="s">
        <v>890</v>
      </c>
      <c r="D43" s="506" t="s">
        <v>1054</v>
      </c>
      <c r="E43" s="506" t="s">
        <v>1055</v>
      </c>
      <c r="F43" s="521">
        <v>1</v>
      </c>
      <c r="G43" s="521">
        <v>84</v>
      </c>
      <c r="H43" s="521">
        <v>1</v>
      </c>
      <c r="I43" s="521">
        <v>84</v>
      </c>
      <c r="J43" s="521"/>
      <c r="K43" s="521"/>
      <c r="L43" s="521"/>
      <c r="M43" s="521"/>
      <c r="N43" s="521"/>
      <c r="O43" s="521"/>
      <c r="P43" s="511"/>
      <c r="Q43" s="522"/>
    </row>
    <row r="44" spans="1:17" ht="14.4" customHeight="1" x14ac:dyDescent="0.3">
      <c r="A44" s="505" t="s">
        <v>992</v>
      </c>
      <c r="B44" s="506" t="s">
        <v>993</v>
      </c>
      <c r="C44" s="506" t="s">
        <v>890</v>
      </c>
      <c r="D44" s="506" t="s">
        <v>1056</v>
      </c>
      <c r="E44" s="506" t="s">
        <v>1057</v>
      </c>
      <c r="F44" s="521">
        <v>15</v>
      </c>
      <c r="G44" s="521">
        <v>2595</v>
      </c>
      <c r="H44" s="521">
        <v>1</v>
      </c>
      <c r="I44" s="521">
        <v>173</v>
      </c>
      <c r="J44" s="521"/>
      <c r="K44" s="521"/>
      <c r="L44" s="521"/>
      <c r="M44" s="521"/>
      <c r="N44" s="521"/>
      <c r="O44" s="521"/>
      <c r="P44" s="511"/>
      <c r="Q44" s="522"/>
    </row>
    <row r="45" spans="1:17" ht="14.4" customHeight="1" x14ac:dyDescent="0.3">
      <c r="A45" s="505" t="s">
        <v>992</v>
      </c>
      <c r="B45" s="506" t="s">
        <v>993</v>
      </c>
      <c r="C45" s="506" t="s">
        <v>890</v>
      </c>
      <c r="D45" s="506" t="s">
        <v>1058</v>
      </c>
      <c r="E45" s="506" t="s">
        <v>1059</v>
      </c>
      <c r="F45" s="521">
        <v>1</v>
      </c>
      <c r="G45" s="521">
        <v>15</v>
      </c>
      <c r="H45" s="521">
        <v>1</v>
      </c>
      <c r="I45" s="521">
        <v>15</v>
      </c>
      <c r="J45" s="521"/>
      <c r="K45" s="521"/>
      <c r="L45" s="521"/>
      <c r="M45" s="521"/>
      <c r="N45" s="521"/>
      <c r="O45" s="521"/>
      <c r="P45" s="511"/>
      <c r="Q45" s="522"/>
    </row>
    <row r="46" spans="1:17" ht="14.4" customHeight="1" x14ac:dyDescent="0.3">
      <c r="A46" s="505" t="s">
        <v>992</v>
      </c>
      <c r="B46" s="506" t="s">
        <v>993</v>
      </c>
      <c r="C46" s="506" t="s">
        <v>890</v>
      </c>
      <c r="D46" s="506" t="s">
        <v>1060</v>
      </c>
      <c r="E46" s="506" t="s">
        <v>1061</v>
      </c>
      <c r="F46" s="521">
        <v>1</v>
      </c>
      <c r="G46" s="521">
        <v>37</v>
      </c>
      <c r="H46" s="521">
        <v>1</v>
      </c>
      <c r="I46" s="521">
        <v>37</v>
      </c>
      <c r="J46" s="521"/>
      <c r="K46" s="521"/>
      <c r="L46" s="521"/>
      <c r="M46" s="521"/>
      <c r="N46" s="521"/>
      <c r="O46" s="521"/>
      <c r="P46" s="511"/>
      <c r="Q46" s="522"/>
    </row>
    <row r="47" spans="1:17" ht="14.4" customHeight="1" x14ac:dyDescent="0.3">
      <c r="A47" s="505" t="s">
        <v>992</v>
      </c>
      <c r="B47" s="506" t="s">
        <v>993</v>
      </c>
      <c r="C47" s="506" t="s">
        <v>890</v>
      </c>
      <c r="D47" s="506" t="s">
        <v>1062</v>
      </c>
      <c r="E47" s="506" t="s">
        <v>1063</v>
      </c>
      <c r="F47" s="521">
        <v>1</v>
      </c>
      <c r="G47" s="521">
        <v>19</v>
      </c>
      <c r="H47" s="521">
        <v>1</v>
      </c>
      <c r="I47" s="521">
        <v>19</v>
      </c>
      <c r="J47" s="521"/>
      <c r="K47" s="521"/>
      <c r="L47" s="521"/>
      <c r="M47" s="521"/>
      <c r="N47" s="521"/>
      <c r="O47" s="521"/>
      <c r="P47" s="511"/>
      <c r="Q47" s="522"/>
    </row>
    <row r="48" spans="1:17" ht="14.4" customHeight="1" x14ac:dyDescent="0.3">
      <c r="A48" s="505" t="s">
        <v>992</v>
      </c>
      <c r="B48" s="506" t="s">
        <v>993</v>
      </c>
      <c r="C48" s="506" t="s">
        <v>890</v>
      </c>
      <c r="D48" s="506" t="s">
        <v>1064</v>
      </c>
      <c r="E48" s="506" t="s">
        <v>1065</v>
      </c>
      <c r="F48" s="521">
        <v>17</v>
      </c>
      <c r="G48" s="521">
        <v>340</v>
      </c>
      <c r="H48" s="521">
        <v>1</v>
      </c>
      <c r="I48" s="521">
        <v>20</v>
      </c>
      <c r="J48" s="521"/>
      <c r="K48" s="521"/>
      <c r="L48" s="521"/>
      <c r="M48" s="521"/>
      <c r="N48" s="521"/>
      <c r="O48" s="521"/>
      <c r="P48" s="511"/>
      <c r="Q48" s="522"/>
    </row>
    <row r="49" spans="1:17" ht="14.4" customHeight="1" x14ac:dyDescent="0.3">
      <c r="A49" s="505" t="s">
        <v>992</v>
      </c>
      <c r="B49" s="506" t="s">
        <v>993</v>
      </c>
      <c r="C49" s="506" t="s">
        <v>890</v>
      </c>
      <c r="D49" s="506" t="s">
        <v>1066</v>
      </c>
      <c r="E49" s="506" t="s">
        <v>1067</v>
      </c>
      <c r="F49" s="521">
        <v>1</v>
      </c>
      <c r="G49" s="521">
        <v>298</v>
      </c>
      <c r="H49" s="521">
        <v>1</v>
      </c>
      <c r="I49" s="521">
        <v>298</v>
      </c>
      <c r="J49" s="521"/>
      <c r="K49" s="521"/>
      <c r="L49" s="521"/>
      <c r="M49" s="521"/>
      <c r="N49" s="521"/>
      <c r="O49" s="521"/>
      <c r="P49" s="511"/>
      <c r="Q49" s="522"/>
    </row>
    <row r="50" spans="1:17" ht="14.4" customHeight="1" x14ac:dyDescent="0.3">
      <c r="A50" s="505" t="s">
        <v>992</v>
      </c>
      <c r="B50" s="506" t="s">
        <v>993</v>
      </c>
      <c r="C50" s="506" t="s">
        <v>890</v>
      </c>
      <c r="D50" s="506" t="s">
        <v>1068</v>
      </c>
      <c r="E50" s="506" t="s">
        <v>1069</v>
      </c>
      <c r="F50" s="521">
        <v>1</v>
      </c>
      <c r="G50" s="521">
        <v>21</v>
      </c>
      <c r="H50" s="521">
        <v>1</v>
      </c>
      <c r="I50" s="521">
        <v>21</v>
      </c>
      <c r="J50" s="521"/>
      <c r="K50" s="521"/>
      <c r="L50" s="521"/>
      <c r="M50" s="521"/>
      <c r="N50" s="521"/>
      <c r="O50" s="521"/>
      <c r="P50" s="511"/>
      <c r="Q50" s="522"/>
    </row>
    <row r="51" spans="1:17" ht="14.4" customHeight="1" x14ac:dyDescent="0.3">
      <c r="A51" s="505" t="s">
        <v>992</v>
      </c>
      <c r="B51" s="506" t="s">
        <v>993</v>
      </c>
      <c r="C51" s="506" t="s">
        <v>890</v>
      </c>
      <c r="D51" s="506" t="s">
        <v>1070</v>
      </c>
      <c r="E51" s="506" t="s">
        <v>1071</v>
      </c>
      <c r="F51" s="521">
        <v>1</v>
      </c>
      <c r="G51" s="521">
        <v>189</v>
      </c>
      <c r="H51" s="521">
        <v>1</v>
      </c>
      <c r="I51" s="521">
        <v>189</v>
      </c>
      <c r="J51" s="521"/>
      <c r="K51" s="521"/>
      <c r="L51" s="521"/>
      <c r="M51" s="521"/>
      <c r="N51" s="521"/>
      <c r="O51" s="521"/>
      <c r="P51" s="511"/>
      <c r="Q51" s="522"/>
    </row>
    <row r="52" spans="1:17" ht="14.4" customHeight="1" x14ac:dyDescent="0.3">
      <c r="A52" s="505" t="s">
        <v>992</v>
      </c>
      <c r="B52" s="506" t="s">
        <v>993</v>
      </c>
      <c r="C52" s="506" t="s">
        <v>890</v>
      </c>
      <c r="D52" s="506" t="s">
        <v>1072</v>
      </c>
      <c r="E52" s="506" t="s">
        <v>1073</v>
      </c>
      <c r="F52" s="521">
        <v>2</v>
      </c>
      <c r="G52" s="521">
        <v>410</v>
      </c>
      <c r="H52" s="521">
        <v>1</v>
      </c>
      <c r="I52" s="521">
        <v>205</v>
      </c>
      <c r="J52" s="521"/>
      <c r="K52" s="521"/>
      <c r="L52" s="521"/>
      <c r="M52" s="521"/>
      <c r="N52" s="521"/>
      <c r="O52" s="521"/>
      <c r="P52" s="511"/>
      <c r="Q52" s="522"/>
    </row>
    <row r="53" spans="1:17" ht="14.4" customHeight="1" x14ac:dyDescent="0.3">
      <c r="A53" s="505" t="s">
        <v>992</v>
      </c>
      <c r="B53" s="506" t="s">
        <v>993</v>
      </c>
      <c r="C53" s="506" t="s">
        <v>890</v>
      </c>
      <c r="D53" s="506" t="s">
        <v>1074</v>
      </c>
      <c r="E53" s="506" t="s">
        <v>1075</v>
      </c>
      <c r="F53" s="521">
        <v>1</v>
      </c>
      <c r="G53" s="521">
        <v>27</v>
      </c>
      <c r="H53" s="521">
        <v>1</v>
      </c>
      <c r="I53" s="521">
        <v>27</v>
      </c>
      <c r="J53" s="521"/>
      <c r="K53" s="521"/>
      <c r="L53" s="521"/>
      <c r="M53" s="521"/>
      <c r="N53" s="521"/>
      <c r="O53" s="521"/>
      <c r="P53" s="511"/>
      <c r="Q53" s="522"/>
    </row>
    <row r="54" spans="1:17" ht="14.4" customHeight="1" x14ac:dyDescent="0.3">
      <c r="A54" s="505" t="s">
        <v>992</v>
      </c>
      <c r="B54" s="506" t="s">
        <v>993</v>
      </c>
      <c r="C54" s="506" t="s">
        <v>890</v>
      </c>
      <c r="D54" s="506" t="s">
        <v>1076</v>
      </c>
      <c r="E54" s="506" t="s">
        <v>1077</v>
      </c>
      <c r="F54" s="521">
        <v>1</v>
      </c>
      <c r="G54" s="521">
        <v>43</v>
      </c>
      <c r="H54" s="521">
        <v>1</v>
      </c>
      <c r="I54" s="521">
        <v>43</v>
      </c>
      <c r="J54" s="521"/>
      <c r="K54" s="521"/>
      <c r="L54" s="521"/>
      <c r="M54" s="521"/>
      <c r="N54" s="521"/>
      <c r="O54" s="521"/>
      <c r="P54" s="511"/>
      <c r="Q54" s="522"/>
    </row>
    <row r="55" spans="1:17" ht="14.4" customHeight="1" x14ac:dyDescent="0.3">
      <c r="A55" s="505" t="s">
        <v>1078</v>
      </c>
      <c r="B55" s="506" t="s">
        <v>1079</v>
      </c>
      <c r="C55" s="506" t="s">
        <v>874</v>
      </c>
      <c r="D55" s="506" t="s">
        <v>1080</v>
      </c>
      <c r="E55" s="506" t="s">
        <v>1081</v>
      </c>
      <c r="F55" s="521">
        <v>0.08</v>
      </c>
      <c r="G55" s="521">
        <v>866.13</v>
      </c>
      <c r="H55" s="521">
        <v>1</v>
      </c>
      <c r="I55" s="521">
        <v>10826.625</v>
      </c>
      <c r="J55" s="521"/>
      <c r="K55" s="521"/>
      <c r="L55" s="521"/>
      <c r="M55" s="521"/>
      <c r="N55" s="521"/>
      <c r="O55" s="521"/>
      <c r="P55" s="511"/>
      <c r="Q55" s="522"/>
    </row>
    <row r="56" spans="1:17" ht="14.4" customHeight="1" x14ac:dyDescent="0.3">
      <c r="A56" s="505" t="s">
        <v>1078</v>
      </c>
      <c r="B56" s="506" t="s">
        <v>1079</v>
      </c>
      <c r="C56" s="506" t="s">
        <v>890</v>
      </c>
      <c r="D56" s="506" t="s">
        <v>1082</v>
      </c>
      <c r="E56" s="506" t="s">
        <v>1083</v>
      </c>
      <c r="F56" s="521">
        <v>1</v>
      </c>
      <c r="G56" s="521">
        <v>204</v>
      </c>
      <c r="H56" s="521">
        <v>1</v>
      </c>
      <c r="I56" s="521">
        <v>204</v>
      </c>
      <c r="J56" s="521"/>
      <c r="K56" s="521"/>
      <c r="L56" s="521"/>
      <c r="M56" s="521"/>
      <c r="N56" s="521"/>
      <c r="O56" s="521"/>
      <c r="P56" s="511"/>
      <c r="Q56" s="522"/>
    </row>
    <row r="57" spans="1:17" ht="14.4" customHeight="1" x14ac:dyDescent="0.3">
      <c r="A57" s="505" t="s">
        <v>1078</v>
      </c>
      <c r="B57" s="506" t="s">
        <v>1079</v>
      </c>
      <c r="C57" s="506" t="s">
        <v>890</v>
      </c>
      <c r="D57" s="506" t="s">
        <v>1084</v>
      </c>
      <c r="E57" s="506" t="s">
        <v>1085</v>
      </c>
      <c r="F57" s="521">
        <v>5</v>
      </c>
      <c r="G57" s="521">
        <v>745</v>
      </c>
      <c r="H57" s="521">
        <v>1</v>
      </c>
      <c r="I57" s="521">
        <v>149</v>
      </c>
      <c r="J57" s="521"/>
      <c r="K57" s="521"/>
      <c r="L57" s="521"/>
      <c r="M57" s="521"/>
      <c r="N57" s="521"/>
      <c r="O57" s="521"/>
      <c r="P57" s="511"/>
      <c r="Q57" s="522"/>
    </row>
    <row r="58" spans="1:17" ht="14.4" customHeight="1" x14ac:dyDescent="0.3">
      <c r="A58" s="505" t="s">
        <v>1078</v>
      </c>
      <c r="B58" s="506" t="s">
        <v>1079</v>
      </c>
      <c r="C58" s="506" t="s">
        <v>890</v>
      </c>
      <c r="D58" s="506" t="s">
        <v>1086</v>
      </c>
      <c r="E58" s="506" t="s">
        <v>1087</v>
      </c>
      <c r="F58" s="521">
        <v>4</v>
      </c>
      <c r="G58" s="521">
        <v>724</v>
      </c>
      <c r="H58" s="521">
        <v>1</v>
      </c>
      <c r="I58" s="521">
        <v>181</v>
      </c>
      <c r="J58" s="521"/>
      <c r="K58" s="521"/>
      <c r="L58" s="521"/>
      <c r="M58" s="521"/>
      <c r="N58" s="521"/>
      <c r="O58" s="521"/>
      <c r="P58" s="511"/>
      <c r="Q58" s="522"/>
    </row>
    <row r="59" spans="1:17" ht="14.4" customHeight="1" x14ac:dyDescent="0.3">
      <c r="A59" s="505" t="s">
        <v>1078</v>
      </c>
      <c r="B59" s="506" t="s">
        <v>1079</v>
      </c>
      <c r="C59" s="506" t="s">
        <v>890</v>
      </c>
      <c r="D59" s="506" t="s">
        <v>1088</v>
      </c>
      <c r="E59" s="506" t="s">
        <v>1089</v>
      </c>
      <c r="F59" s="521">
        <v>20</v>
      </c>
      <c r="G59" s="521">
        <v>4320</v>
      </c>
      <c r="H59" s="521">
        <v>1</v>
      </c>
      <c r="I59" s="521">
        <v>216</v>
      </c>
      <c r="J59" s="521"/>
      <c r="K59" s="521"/>
      <c r="L59" s="521"/>
      <c r="M59" s="521"/>
      <c r="N59" s="521"/>
      <c r="O59" s="521"/>
      <c r="P59" s="511"/>
      <c r="Q59" s="522"/>
    </row>
    <row r="60" spans="1:17" ht="14.4" customHeight="1" x14ac:dyDescent="0.3">
      <c r="A60" s="505" t="s">
        <v>1078</v>
      </c>
      <c r="B60" s="506" t="s">
        <v>1079</v>
      </c>
      <c r="C60" s="506" t="s">
        <v>890</v>
      </c>
      <c r="D60" s="506" t="s">
        <v>1090</v>
      </c>
      <c r="E60" s="506" t="s">
        <v>1091</v>
      </c>
      <c r="F60" s="521">
        <v>21</v>
      </c>
      <c r="G60" s="521">
        <v>3612</v>
      </c>
      <c r="H60" s="521">
        <v>1</v>
      </c>
      <c r="I60" s="521">
        <v>172</v>
      </c>
      <c r="J60" s="521"/>
      <c r="K60" s="521"/>
      <c r="L60" s="521"/>
      <c r="M60" s="521"/>
      <c r="N60" s="521"/>
      <c r="O60" s="521"/>
      <c r="P60" s="511"/>
      <c r="Q60" s="522"/>
    </row>
    <row r="61" spans="1:17" ht="14.4" customHeight="1" x14ac:dyDescent="0.3">
      <c r="A61" s="505" t="s">
        <v>1078</v>
      </c>
      <c r="B61" s="506" t="s">
        <v>1079</v>
      </c>
      <c r="C61" s="506" t="s">
        <v>890</v>
      </c>
      <c r="D61" s="506" t="s">
        <v>1092</v>
      </c>
      <c r="E61" s="506" t="s">
        <v>1093</v>
      </c>
      <c r="F61" s="521">
        <v>14</v>
      </c>
      <c r="G61" s="521">
        <v>2086</v>
      </c>
      <c r="H61" s="521">
        <v>1</v>
      </c>
      <c r="I61" s="521">
        <v>149</v>
      </c>
      <c r="J61" s="521"/>
      <c r="K61" s="521"/>
      <c r="L61" s="521"/>
      <c r="M61" s="521"/>
      <c r="N61" s="521"/>
      <c r="O61" s="521"/>
      <c r="P61" s="511"/>
      <c r="Q61" s="522"/>
    </row>
    <row r="62" spans="1:17" ht="14.4" customHeight="1" x14ac:dyDescent="0.3">
      <c r="A62" s="505" t="s">
        <v>1078</v>
      </c>
      <c r="B62" s="506" t="s">
        <v>1079</v>
      </c>
      <c r="C62" s="506" t="s">
        <v>890</v>
      </c>
      <c r="D62" s="506" t="s">
        <v>1094</v>
      </c>
      <c r="E62" s="506" t="s">
        <v>1095</v>
      </c>
      <c r="F62" s="521">
        <v>1</v>
      </c>
      <c r="G62" s="521">
        <v>157</v>
      </c>
      <c r="H62" s="521">
        <v>1</v>
      </c>
      <c r="I62" s="521">
        <v>157</v>
      </c>
      <c r="J62" s="521"/>
      <c r="K62" s="521"/>
      <c r="L62" s="521"/>
      <c r="M62" s="521"/>
      <c r="N62" s="521"/>
      <c r="O62" s="521"/>
      <c r="P62" s="511"/>
      <c r="Q62" s="522"/>
    </row>
    <row r="63" spans="1:17" ht="14.4" customHeight="1" x14ac:dyDescent="0.3">
      <c r="A63" s="505" t="s">
        <v>1078</v>
      </c>
      <c r="B63" s="506" t="s">
        <v>1079</v>
      </c>
      <c r="C63" s="506" t="s">
        <v>890</v>
      </c>
      <c r="D63" s="506" t="s">
        <v>1096</v>
      </c>
      <c r="E63" s="506" t="s">
        <v>1097</v>
      </c>
      <c r="F63" s="521">
        <v>1</v>
      </c>
      <c r="G63" s="521">
        <v>2116</v>
      </c>
      <c r="H63" s="521">
        <v>1</v>
      </c>
      <c r="I63" s="521">
        <v>2116</v>
      </c>
      <c r="J63" s="521"/>
      <c r="K63" s="521"/>
      <c r="L63" s="521"/>
      <c r="M63" s="521"/>
      <c r="N63" s="521"/>
      <c r="O63" s="521"/>
      <c r="P63" s="511"/>
      <c r="Q63" s="522"/>
    </row>
    <row r="64" spans="1:17" ht="14.4" customHeight="1" x14ac:dyDescent="0.3">
      <c r="A64" s="505" t="s">
        <v>1098</v>
      </c>
      <c r="B64" s="506" t="s">
        <v>1099</v>
      </c>
      <c r="C64" s="506" t="s">
        <v>890</v>
      </c>
      <c r="D64" s="506" t="s">
        <v>1100</v>
      </c>
      <c r="E64" s="506" t="s">
        <v>1101</v>
      </c>
      <c r="F64" s="521">
        <v>2</v>
      </c>
      <c r="G64" s="521">
        <v>348</v>
      </c>
      <c r="H64" s="521">
        <v>1</v>
      </c>
      <c r="I64" s="521">
        <v>174</v>
      </c>
      <c r="J64" s="521"/>
      <c r="K64" s="521"/>
      <c r="L64" s="521"/>
      <c r="M64" s="521"/>
      <c r="N64" s="521"/>
      <c r="O64" s="521"/>
      <c r="P64" s="511"/>
      <c r="Q64" s="522"/>
    </row>
    <row r="65" spans="1:17" ht="14.4" customHeight="1" x14ac:dyDescent="0.3">
      <c r="A65" s="505" t="s">
        <v>1098</v>
      </c>
      <c r="B65" s="506" t="s">
        <v>1099</v>
      </c>
      <c r="C65" s="506" t="s">
        <v>890</v>
      </c>
      <c r="D65" s="506" t="s">
        <v>1102</v>
      </c>
      <c r="E65" s="506" t="s">
        <v>1103</v>
      </c>
      <c r="F65" s="521">
        <v>1</v>
      </c>
      <c r="G65" s="521">
        <v>582</v>
      </c>
      <c r="H65" s="521">
        <v>1</v>
      </c>
      <c r="I65" s="521">
        <v>582</v>
      </c>
      <c r="J65" s="521"/>
      <c r="K65" s="521"/>
      <c r="L65" s="521"/>
      <c r="M65" s="521"/>
      <c r="N65" s="521"/>
      <c r="O65" s="521"/>
      <c r="P65" s="511"/>
      <c r="Q65" s="522"/>
    </row>
    <row r="66" spans="1:17" ht="14.4" customHeight="1" x14ac:dyDescent="0.3">
      <c r="A66" s="505" t="s">
        <v>1098</v>
      </c>
      <c r="B66" s="506" t="s">
        <v>1099</v>
      </c>
      <c r="C66" s="506" t="s">
        <v>890</v>
      </c>
      <c r="D66" s="506" t="s">
        <v>1104</v>
      </c>
      <c r="E66" s="506" t="s">
        <v>1105</v>
      </c>
      <c r="F66" s="521">
        <v>2</v>
      </c>
      <c r="G66" s="521">
        <v>430</v>
      </c>
      <c r="H66" s="521">
        <v>1</v>
      </c>
      <c r="I66" s="521">
        <v>215</v>
      </c>
      <c r="J66" s="521"/>
      <c r="K66" s="521"/>
      <c r="L66" s="521"/>
      <c r="M66" s="521"/>
      <c r="N66" s="521"/>
      <c r="O66" s="521"/>
      <c r="P66" s="511"/>
      <c r="Q66" s="522"/>
    </row>
    <row r="67" spans="1:17" ht="14.4" customHeight="1" x14ac:dyDescent="0.3">
      <c r="A67" s="505" t="s">
        <v>1098</v>
      </c>
      <c r="B67" s="506" t="s">
        <v>1099</v>
      </c>
      <c r="C67" s="506" t="s">
        <v>890</v>
      </c>
      <c r="D67" s="506" t="s">
        <v>1106</v>
      </c>
      <c r="E67" s="506" t="s">
        <v>1107</v>
      </c>
      <c r="F67" s="521">
        <v>1</v>
      </c>
      <c r="G67" s="521">
        <v>1015</v>
      </c>
      <c r="H67" s="521">
        <v>1</v>
      </c>
      <c r="I67" s="521">
        <v>1015</v>
      </c>
      <c r="J67" s="521"/>
      <c r="K67" s="521"/>
      <c r="L67" s="521"/>
      <c r="M67" s="521"/>
      <c r="N67" s="521"/>
      <c r="O67" s="521"/>
      <c r="P67" s="511"/>
      <c r="Q67" s="522"/>
    </row>
    <row r="68" spans="1:17" ht="14.4" customHeight="1" x14ac:dyDescent="0.3">
      <c r="A68" s="505" t="s">
        <v>1108</v>
      </c>
      <c r="B68" s="506" t="s">
        <v>1109</v>
      </c>
      <c r="C68" s="506" t="s">
        <v>890</v>
      </c>
      <c r="D68" s="506" t="s">
        <v>1110</v>
      </c>
      <c r="E68" s="506" t="s">
        <v>1111</v>
      </c>
      <c r="F68" s="521">
        <v>1</v>
      </c>
      <c r="G68" s="521">
        <v>453</v>
      </c>
      <c r="H68" s="521">
        <v>1</v>
      </c>
      <c r="I68" s="521">
        <v>453</v>
      </c>
      <c r="J68" s="521"/>
      <c r="K68" s="521"/>
      <c r="L68" s="521"/>
      <c r="M68" s="521"/>
      <c r="N68" s="521"/>
      <c r="O68" s="521"/>
      <c r="P68" s="511"/>
      <c r="Q68" s="522"/>
    </row>
    <row r="69" spans="1:17" ht="14.4" customHeight="1" x14ac:dyDescent="0.3">
      <c r="A69" s="505" t="s">
        <v>1108</v>
      </c>
      <c r="B69" s="506" t="s">
        <v>1109</v>
      </c>
      <c r="C69" s="506" t="s">
        <v>890</v>
      </c>
      <c r="D69" s="506" t="s">
        <v>1112</v>
      </c>
      <c r="E69" s="506" t="s">
        <v>1113</v>
      </c>
      <c r="F69" s="521">
        <v>1</v>
      </c>
      <c r="G69" s="521">
        <v>345</v>
      </c>
      <c r="H69" s="521">
        <v>1</v>
      </c>
      <c r="I69" s="521">
        <v>345</v>
      </c>
      <c r="J69" s="521"/>
      <c r="K69" s="521"/>
      <c r="L69" s="521"/>
      <c r="M69" s="521"/>
      <c r="N69" s="521"/>
      <c r="O69" s="521"/>
      <c r="P69" s="511"/>
      <c r="Q69" s="522"/>
    </row>
    <row r="70" spans="1:17" ht="14.4" customHeight="1" x14ac:dyDescent="0.3">
      <c r="A70" s="505" t="s">
        <v>1108</v>
      </c>
      <c r="B70" s="506" t="s">
        <v>1109</v>
      </c>
      <c r="C70" s="506" t="s">
        <v>890</v>
      </c>
      <c r="D70" s="506" t="s">
        <v>1114</v>
      </c>
      <c r="E70" s="506" t="s">
        <v>1115</v>
      </c>
      <c r="F70" s="521">
        <v>4</v>
      </c>
      <c r="G70" s="521">
        <v>212</v>
      </c>
      <c r="H70" s="521">
        <v>1</v>
      </c>
      <c r="I70" s="521">
        <v>53</v>
      </c>
      <c r="J70" s="521"/>
      <c r="K70" s="521"/>
      <c r="L70" s="521"/>
      <c r="M70" s="521"/>
      <c r="N70" s="521"/>
      <c r="O70" s="521"/>
      <c r="P70" s="511"/>
      <c r="Q70" s="522"/>
    </row>
    <row r="71" spans="1:17" ht="14.4" customHeight="1" x14ac:dyDescent="0.3">
      <c r="A71" s="505" t="s">
        <v>1116</v>
      </c>
      <c r="B71" s="506" t="s">
        <v>1117</v>
      </c>
      <c r="C71" s="506" t="s">
        <v>890</v>
      </c>
      <c r="D71" s="506" t="s">
        <v>1118</v>
      </c>
      <c r="E71" s="506" t="s">
        <v>1119</v>
      </c>
      <c r="F71" s="521">
        <v>3</v>
      </c>
      <c r="G71" s="521">
        <v>117</v>
      </c>
      <c r="H71" s="521">
        <v>1</v>
      </c>
      <c r="I71" s="521">
        <v>39</v>
      </c>
      <c r="J71" s="521"/>
      <c r="K71" s="521"/>
      <c r="L71" s="521"/>
      <c r="M71" s="521"/>
      <c r="N71" s="521"/>
      <c r="O71" s="521"/>
      <c r="P71" s="511"/>
      <c r="Q71" s="522"/>
    </row>
    <row r="72" spans="1:17" ht="14.4" customHeight="1" x14ac:dyDescent="0.3">
      <c r="A72" s="505" t="s">
        <v>1116</v>
      </c>
      <c r="B72" s="506" t="s">
        <v>1117</v>
      </c>
      <c r="C72" s="506" t="s">
        <v>890</v>
      </c>
      <c r="D72" s="506" t="s">
        <v>1120</v>
      </c>
      <c r="E72" s="506" t="s">
        <v>1121</v>
      </c>
      <c r="F72" s="521">
        <v>3</v>
      </c>
      <c r="G72" s="521">
        <v>108</v>
      </c>
      <c r="H72" s="521">
        <v>1</v>
      </c>
      <c r="I72" s="521">
        <v>36</v>
      </c>
      <c r="J72" s="521"/>
      <c r="K72" s="521"/>
      <c r="L72" s="521"/>
      <c r="M72" s="521"/>
      <c r="N72" s="521"/>
      <c r="O72" s="521"/>
      <c r="P72" s="511"/>
      <c r="Q72" s="522"/>
    </row>
    <row r="73" spans="1:17" ht="14.4" customHeight="1" x14ac:dyDescent="0.3">
      <c r="A73" s="505" t="s">
        <v>1116</v>
      </c>
      <c r="B73" s="506" t="s">
        <v>1117</v>
      </c>
      <c r="C73" s="506" t="s">
        <v>890</v>
      </c>
      <c r="D73" s="506" t="s">
        <v>1122</v>
      </c>
      <c r="E73" s="506" t="s">
        <v>1123</v>
      </c>
      <c r="F73" s="521">
        <v>2</v>
      </c>
      <c r="G73" s="521">
        <v>224</v>
      </c>
      <c r="H73" s="521">
        <v>1</v>
      </c>
      <c r="I73" s="521">
        <v>112</v>
      </c>
      <c r="J73" s="521"/>
      <c r="K73" s="521"/>
      <c r="L73" s="521"/>
      <c r="M73" s="521"/>
      <c r="N73" s="521"/>
      <c r="O73" s="521"/>
      <c r="P73" s="511"/>
      <c r="Q73" s="522"/>
    </row>
    <row r="74" spans="1:17" ht="14.4" customHeight="1" x14ac:dyDescent="0.3">
      <c r="A74" s="505" t="s">
        <v>1116</v>
      </c>
      <c r="B74" s="506" t="s">
        <v>1117</v>
      </c>
      <c r="C74" s="506" t="s">
        <v>890</v>
      </c>
      <c r="D74" s="506" t="s">
        <v>1124</v>
      </c>
      <c r="E74" s="506" t="s">
        <v>1125</v>
      </c>
      <c r="F74" s="521">
        <v>11</v>
      </c>
      <c r="G74" s="521">
        <v>5346</v>
      </c>
      <c r="H74" s="521">
        <v>1</v>
      </c>
      <c r="I74" s="521">
        <v>486</v>
      </c>
      <c r="J74" s="521"/>
      <c r="K74" s="521"/>
      <c r="L74" s="521"/>
      <c r="M74" s="521"/>
      <c r="N74" s="521"/>
      <c r="O74" s="521"/>
      <c r="P74" s="511"/>
      <c r="Q74" s="522"/>
    </row>
    <row r="75" spans="1:17" ht="14.4" customHeight="1" x14ac:dyDescent="0.3">
      <c r="A75" s="505" t="s">
        <v>1116</v>
      </c>
      <c r="B75" s="506" t="s">
        <v>1117</v>
      </c>
      <c r="C75" s="506" t="s">
        <v>890</v>
      </c>
      <c r="D75" s="506" t="s">
        <v>1126</v>
      </c>
      <c r="E75" s="506" t="s">
        <v>1127</v>
      </c>
      <c r="F75" s="521">
        <v>1</v>
      </c>
      <c r="G75" s="521">
        <v>2013</v>
      </c>
      <c r="H75" s="521">
        <v>1</v>
      </c>
      <c r="I75" s="521">
        <v>2013</v>
      </c>
      <c r="J75" s="521"/>
      <c r="K75" s="521"/>
      <c r="L75" s="521"/>
      <c r="M75" s="521"/>
      <c r="N75" s="521"/>
      <c r="O75" s="521"/>
      <c r="P75" s="511"/>
      <c r="Q75" s="522"/>
    </row>
    <row r="76" spans="1:17" ht="14.4" customHeight="1" x14ac:dyDescent="0.3">
      <c r="A76" s="505" t="s">
        <v>1128</v>
      </c>
      <c r="B76" s="506" t="s">
        <v>1129</v>
      </c>
      <c r="C76" s="506" t="s">
        <v>890</v>
      </c>
      <c r="D76" s="506" t="s">
        <v>1130</v>
      </c>
      <c r="E76" s="506" t="s">
        <v>1131</v>
      </c>
      <c r="F76" s="521">
        <v>2</v>
      </c>
      <c r="G76" s="521">
        <v>1016</v>
      </c>
      <c r="H76" s="521">
        <v>1</v>
      </c>
      <c r="I76" s="521">
        <v>508</v>
      </c>
      <c r="J76" s="521"/>
      <c r="K76" s="521"/>
      <c r="L76" s="521"/>
      <c r="M76" s="521"/>
      <c r="N76" s="521"/>
      <c r="O76" s="521"/>
      <c r="P76" s="511"/>
      <c r="Q76" s="522"/>
    </row>
    <row r="77" spans="1:17" ht="14.4" customHeight="1" x14ac:dyDescent="0.3">
      <c r="A77" s="505" t="s">
        <v>1128</v>
      </c>
      <c r="B77" s="506" t="s">
        <v>1129</v>
      </c>
      <c r="C77" s="506" t="s">
        <v>890</v>
      </c>
      <c r="D77" s="506" t="s">
        <v>1132</v>
      </c>
      <c r="E77" s="506" t="s">
        <v>1133</v>
      </c>
      <c r="F77" s="521">
        <v>2</v>
      </c>
      <c r="G77" s="521">
        <v>836</v>
      </c>
      <c r="H77" s="521">
        <v>1</v>
      </c>
      <c r="I77" s="521">
        <v>418</v>
      </c>
      <c r="J77" s="521"/>
      <c r="K77" s="521"/>
      <c r="L77" s="521"/>
      <c r="M77" s="521"/>
      <c r="N77" s="521"/>
      <c r="O77" s="521"/>
      <c r="P77" s="511"/>
      <c r="Q77" s="522"/>
    </row>
    <row r="78" spans="1:17" ht="14.4" customHeight="1" x14ac:dyDescent="0.3">
      <c r="A78" s="505" t="s">
        <v>1128</v>
      </c>
      <c r="B78" s="506" t="s">
        <v>1129</v>
      </c>
      <c r="C78" s="506" t="s">
        <v>890</v>
      </c>
      <c r="D78" s="506" t="s">
        <v>1134</v>
      </c>
      <c r="E78" s="506" t="s">
        <v>1135</v>
      </c>
      <c r="F78" s="521">
        <v>3</v>
      </c>
      <c r="G78" s="521">
        <v>1029</v>
      </c>
      <c r="H78" s="521">
        <v>1</v>
      </c>
      <c r="I78" s="521">
        <v>343</v>
      </c>
      <c r="J78" s="521"/>
      <c r="K78" s="521"/>
      <c r="L78" s="521"/>
      <c r="M78" s="521"/>
      <c r="N78" s="521"/>
      <c r="O78" s="521"/>
      <c r="P78" s="511"/>
      <c r="Q78" s="522"/>
    </row>
    <row r="79" spans="1:17" ht="14.4" customHeight="1" x14ac:dyDescent="0.3">
      <c r="A79" s="505" t="s">
        <v>1128</v>
      </c>
      <c r="B79" s="506" t="s">
        <v>1129</v>
      </c>
      <c r="C79" s="506" t="s">
        <v>890</v>
      </c>
      <c r="D79" s="506" t="s">
        <v>1136</v>
      </c>
      <c r="E79" s="506" t="s">
        <v>1137</v>
      </c>
      <c r="F79" s="521">
        <v>1</v>
      </c>
      <c r="G79" s="521">
        <v>110</v>
      </c>
      <c r="H79" s="521">
        <v>1</v>
      </c>
      <c r="I79" s="521">
        <v>110</v>
      </c>
      <c r="J79" s="521"/>
      <c r="K79" s="521"/>
      <c r="L79" s="521"/>
      <c r="M79" s="521"/>
      <c r="N79" s="521"/>
      <c r="O79" s="521"/>
      <c r="P79" s="511"/>
      <c r="Q79" s="522"/>
    </row>
    <row r="80" spans="1:17" ht="14.4" customHeight="1" x14ac:dyDescent="0.3">
      <c r="A80" s="505" t="s">
        <v>1128</v>
      </c>
      <c r="B80" s="506" t="s">
        <v>1129</v>
      </c>
      <c r="C80" s="506" t="s">
        <v>890</v>
      </c>
      <c r="D80" s="506" t="s">
        <v>1038</v>
      </c>
      <c r="E80" s="506" t="s">
        <v>1039</v>
      </c>
      <c r="F80" s="521">
        <v>1</v>
      </c>
      <c r="G80" s="521">
        <v>147</v>
      </c>
      <c r="H80" s="521">
        <v>1</v>
      </c>
      <c r="I80" s="521">
        <v>147</v>
      </c>
      <c r="J80" s="521"/>
      <c r="K80" s="521"/>
      <c r="L80" s="521"/>
      <c r="M80" s="521"/>
      <c r="N80" s="521"/>
      <c r="O80" s="521"/>
      <c r="P80" s="511"/>
      <c r="Q80" s="522"/>
    </row>
    <row r="81" spans="1:17" ht="14.4" customHeight="1" x14ac:dyDescent="0.3">
      <c r="A81" s="505" t="s">
        <v>1128</v>
      </c>
      <c r="B81" s="506" t="s">
        <v>1129</v>
      </c>
      <c r="C81" s="506" t="s">
        <v>890</v>
      </c>
      <c r="D81" s="506" t="s">
        <v>1138</v>
      </c>
      <c r="E81" s="506" t="s">
        <v>1139</v>
      </c>
      <c r="F81" s="521">
        <v>2</v>
      </c>
      <c r="G81" s="521">
        <v>76</v>
      </c>
      <c r="H81" s="521">
        <v>1</v>
      </c>
      <c r="I81" s="521">
        <v>38</v>
      </c>
      <c r="J81" s="521"/>
      <c r="K81" s="521"/>
      <c r="L81" s="521"/>
      <c r="M81" s="521"/>
      <c r="N81" s="521"/>
      <c r="O81" s="521"/>
      <c r="P81" s="511"/>
      <c r="Q81" s="522"/>
    </row>
    <row r="82" spans="1:17" ht="14.4" customHeight="1" thickBot="1" x14ac:dyDescent="0.35">
      <c r="A82" s="513" t="s">
        <v>1128</v>
      </c>
      <c r="B82" s="514" t="s">
        <v>1129</v>
      </c>
      <c r="C82" s="514" t="s">
        <v>890</v>
      </c>
      <c r="D82" s="514" t="s">
        <v>1140</v>
      </c>
      <c r="E82" s="514" t="s">
        <v>1141</v>
      </c>
      <c r="F82" s="523">
        <v>2</v>
      </c>
      <c r="G82" s="523">
        <v>572</v>
      </c>
      <c r="H82" s="523">
        <v>1</v>
      </c>
      <c r="I82" s="523">
        <v>286</v>
      </c>
      <c r="J82" s="523"/>
      <c r="K82" s="523"/>
      <c r="L82" s="523"/>
      <c r="M82" s="523"/>
      <c r="N82" s="523"/>
      <c r="O82" s="523"/>
      <c r="P82" s="519"/>
      <c r="Q82" s="524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0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3" bestFit="1" customWidth="1"/>
    <col min="2" max="3" width="9.5546875" style="133" customWidth="1"/>
    <col min="4" max="4" width="2.21875" style="133" customWidth="1"/>
    <col min="5" max="8" width="9.5546875" style="133" customWidth="1"/>
    <col min="9" max="16384" width="8.88671875" style="133"/>
  </cols>
  <sheetData>
    <row r="1" spans="1:8" ht="18.600000000000001" customHeight="1" thickBot="1" x14ac:dyDescent="0.4">
      <c r="A1" s="310" t="s">
        <v>142</v>
      </c>
      <c r="B1" s="310"/>
      <c r="C1" s="310"/>
      <c r="D1" s="310"/>
      <c r="E1" s="310"/>
      <c r="F1" s="310"/>
      <c r="G1" s="311"/>
      <c r="H1" s="311"/>
    </row>
    <row r="2" spans="1:8" ht="14.4" customHeight="1" thickBot="1" x14ac:dyDescent="0.35">
      <c r="A2" s="240" t="s">
        <v>272</v>
      </c>
      <c r="B2" s="114"/>
      <c r="C2" s="114"/>
      <c r="D2" s="114"/>
      <c r="E2" s="114"/>
      <c r="F2" s="114"/>
    </row>
    <row r="3" spans="1:8" ht="14.4" customHeight="1" x14ac:dyDescent="0.3">
      <c r="A3" s="312"/>
      <c r="B3" s="110">
        <v>2012</v>
      </c>
      <c r="C3" s="40">
        <v>2013</v>
      </c>
      <c r="D3" s="7"/>
      <c r="E3" s="316">
        <v>2014</v>
      </c>
      <c r="F3" s="317"/>
      <c r="G3" s="317"/>
      <c r="H3" s="318"/>
    </row>
    <row r="4" spans="1:8" ht="14.4" customHeight="1" thickBot="1" x14ac:dyDescent="0.35">
      <c r="A4" s="313"/>
      <c r="B4" s="314" t="s">
        <v>73</v>
      </c>
      <c r="C4" s="315"/>
      <c r="D4" s="7"/>
      <c r="E4" s="131" t="s">
        <v>73</v>
      </c>
      <c r="F4" s="112" t="s">
        <v>74</v>
      </c>
      <c r="G4" s="112" t="s">
        <v>68</v>
      </c>
      <c r="H4" s="113" t="s">
        <v>75</v>
      </c>
    </row>
    <row r="5" spans="1:8" ht="14.4" customHeight="1" x14ac:dyDescent="0.3">
      <c r="A5" s="115" t="str">
        <f>HYPERLINK("#'Léky Žádanky'!A1","Léky (Kč)")</f>
        <v>Léky (Kč)</v>
      </c>
      <c r="B5" s="27">
        <v>93.23096000000001</v>
      </c>
      <c r="C5" s="29">
        <v>233.01486999999798</v>
      </c>
      <c r="D5" s="8"/>
      <c r="E5" s="120">
        <v>208.64609000000002</v>
      </c>
      <c r="F5" s="28">
        <v>266.33333333333331</v>
      </c>
      <c r="G5" s="119">
        <f>E5-F5</f>
        <v>-57.687243333333299</v>
      </c>
      <c r="H5" s="125">
        <f>IF(F5&lt;0.00000001,"",E5/F5)</f>
        <v>0.78340209011264095</v>
      </c>
    </row>
    <row r="6" spans="1:8" ht="14.4" customHeight="1" x14ac:dyDescent="0.3">
      <c r="A6" s="115" t="str">
        <f>HYPERLINK("#'Materiál Žádanky'!A1","Materiál - SZM (Kč)")</f>
        <v>Materiál - SZM (Kč)</v>
      </c>
      <c r="B6" s="10">
        <v>30.848230000000004</v>
      </c>
      <c r="C6" s="31">
        <v>20.386469999997999</v>
      </c>
      <c r="D6" s="8"/>
      <c r="E6" s="121">
        <v>16.461350000000003</v>
      </c>
      <c r="F6" s="30">
        <v>27</v>
      </c>
      <c r="G6" s="122">
        <f>E6-F6</f>
        <v>-10.538649999999997</v>
      </c>
      <c r="H6" s="126">
        <f>IF(F6&lt;0.00000001,"",E6/F6)</f>
        <v>0.60967962962962974</v>
      </c>
    </row>
    <row r="7" spans="1:8" ht="14.4" customHeight="1" x14ac:dyDescent="0.3">
      <c r="A7" s="115" t="str">
        <f>HYPERLINK("#'Osobní náklady'!A1","Osobní náklady (Kč) *")</f>
        <v>Osobní náklady (Kč) *</v>
      </c>
      <c r="B7" s="10">
        <v>2031.0242800000001</v>
      </c>
      <c r="C7" s="31">
        <v>2035.5569099999998</v>
      </c>
      <c r="D7" s="8"/>
      <c r="E7" s="121">
        <v>2101.3778000000029</v>
      </c>
      <c r="F7" s="30">
        <v>2256.666666666667</v>
      </c>
      <c r="G7" s="122">
        <f>E7-F7</f>
        <v>-155.28886666666403</v>
      </c>
      <c r="H7" s="126">
        <f>IF(F7&lt;0.00000001,"",E7/F7)</f>
        <v>0.93118661742983866</v>
      </c>
    </row>
    <row r="8" spans="1:8" ht="14.4" customHeight="1" thickBot="1" x14ac:dyDescent="0.35">
      <c r="A8" s="1" t="s">
        <v>76</v>
      </c>
      <c r="B8" s="11">
        <v>794.8256199999995</v>
      </c>
      <c r="C8" s="33">
        <v>697.6847100000017</v>
      </c>
      <c r="D8" s="8"/>
      <c r="E8" s="123">
        <v>674.03307000000018</v>
      </c>
      <c r="F8" s="32">
        <v>619.3333333333328</v>
      </c>
      <c r="G8" s="124">
        <f>E8-F8</f>
        <v>54.699736666667377</v>
      </c>
      <c r="H8" s="127">
        <f>IF(F8&lt;0.00000001,"",E8/F8)</f>
        <v>1.0883203498385372</v>
      </c>
    </row>
    <row r="9" spans="1:8" ht="14.4" customHeight="1" thickBot="1" x14ac:dyDescent="0.35">
      <c r="A9" s="2" t="s">
        <v>77</v>
      </c>
      <c r="B9" s="3">
        <v>2949.9290899999996</v>
      </c>
      <c r="C9" s="35">
        <v>2986.6429599999974</v>
      </c>
      <c r="D9" s="8"/>
      <c r="E9" s="3">
        <v>3000.5183100000031</v>
      </c>
      <c r="F9" s="34">
        <v>3169.333333333333</v>
      </c>
      <c r="G9" s="34">
        <f>E9-F9</f>
        <v>-168.81502333332992</v>
      </c>
      <c r="H9" s="128">
        <f>IF(F9&lt;0.00000001,"",E9/F9)</f>
        <v>0.94673484749684589</v>
      </c>
    </row>
    <row r="10" spans="1:8" ht="14.4" customHeight="1" thickBot="1" x14ac:dyDescent="0.35">
      <c r="A10" s="12"/>
      <c r="B10" s="12"/>
      <c r="C10" s="111"/>
      <c r="D10" s="8"/>
      <c r="E10" s="12"/>
      <c r="F10" s="13"/>
    </row>
    <row r="11" spans="1:8" ht="14.4" customHeight="1" x14ac:dyDescent="0.3">
      <c r="A11" s="136" t="str">
        <f>HYPERLINK("#'ZV Vykáz.-A'!A1","Ambulance *")</f>
        <v>Ambulance *</v>
      </c>
      <c r="B11" s="9">
        <f>IF(ISERROR(VLOOKUP("Celkem:",'ZV Vykáz.-A'!A:F,2,0)),0,VLOOKUP("Celkem:",'ZV Vykáz.-A'!A:F,2,0)/1000)</f>
        <v>889.79399999999998</v>
      </c>
      <c r="C11" s="29">
        <f>IF(ISERROR(VLOOKUP("Celkem:",'ZV Vykáz.-A'!A:F,4,0)),0,VLOOKUP("Celkem:",'ZV Vykáz.-A'!A:F,4,0)/1000)</f>
        <v>702.35299999999995</v>
      </c>
      <c r="D11" s="8"/>
      <c r="E11" s="120">
        <f>IF(ISERROR(VLOOKUP("Celkem:",'ZV Vykáz.-A'!A:F,6,0)),0,VLOOKUP("Celkem:",'ZV Vykáz.-A'!A:F,6,0)/1000)</f>
        <v>738.43700000000001</v>
      </c>
      <c r="F11" s="28">
        <f>B11</f>
        <v>889.79399999999998</v>
      </c>
      <c r="G11" s="119">
        <f>E11-F11</f>
        <v>-151.35699999999997</v>
      </c>
      <c r="H11" s="125">
        <f>IF(F11&lt;0.00000001,"",E11/F11)</f>
        <v>0.82989658280455925</v>
      </c>
    </row>
    <row r="12" spans="1:8" ht="14.4" customHeight="1" thickBot="1" x14ac:dyDescent="0.35">
      <c r="A12" s="137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3">
        <f>IF(ISERROR(VLOOKUP("Celkem",#REF!,4,0)),0,VLOOKUP("Celkem",#REF!,4,0)*30)</f>
        <v>0</v>
      </c>
      <c r="F12" s="32">
        <f>B12</f>
        <v>0</v>
      </c>
      <c r="G12" s="124">
        <f>E12-F12</f>
        <v>0</v>
      </c>
      <c r="H12" s="127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889.79399999999998</v>
      </c>
      <c r="C13" s="37">
        <f>SUM(C11:C12)</f>
        <v>702.35299999999995</v>
      </c>
      <c r="D13" s="8"/>
      <c r="E13" s="5">
        <f>SUM(E11:E12)</f>
        <v>738.43700000000001</v>
      </c>
      <c r="F13" s="36">
        <f>SUM(F11:F12)</f>
        <v>889.79399999999998</v>
      </c>
      <c r="G13" s="36">
        <f>E13-F13</f>
        <v>-151.35699999999997</v>
      </c>
      <c r="H13" s="129">
        <f>IF(F13&lt;0.00000001,"",E13/F13)</f>
        <v>0.82989658280455925</v>
      </c>
    </row>
    <row r="14" spans="1:8" ht="14.4" customHeight="1" thickBot="1" x14ac:dyDescent="0.35">
      <c r="A14" s="12"/>
      <c r="B14" s="12"/>
      <c r="C14" s="111"/>
      <c r="D14" s="8"/>
      <c r="E14" s="12"/>
      <c r="F14" s="13"/>
    </row>
    <row r="15" spans="1:8" ht="14.4" customHeight="1" thickBot="1" x14ac:dyDescent="0.35">
      <c r="A15" s="138" t="str">
        <f>HYPERLINK("#'HI Graf'!A1","Hospodářský index (Výnosy / Náklady) *")</f>
        <v>Hospodářský index (Výnosy / Náklady) *</v>
      </c>
      <c r="B15" s="6">
        <f>IF(B9=0,"",B13/B9)</f>
        <v>0.3016323351691142</v>
      </c>
      <c r="C15" s="39">
        <f>IF(C9=0,"",C13/C9)</f>
        <v>0.23516470144124646</v>
      </c>
      <c r="D15" s="8"/>
      <c r="E15" s="6">
        <f>IF(E9=0,"",E13/E9)</f>
        <v>0.24610314742588565</v>
      </c>
      <c r="F15" s="38">
        <f>IF(F9=0,"",F13/F9)</f>
        <v>0.28075115692048802</v>
      </c>
      <c r="G15" s="38">
        <f>IF(ISERROR(F15-E15),"",E15-F15)</f>
        <v>-3.4648009494602366E-2</v>
      </c>
      <c r="H15" s="130">
        <f>IF(ISERROR(F15-E15),"",IF(F15&lt;0.00000001,"",E15/F15))</f>
        <v>0.87658818622637025</v>
      </c>
    </row>
    <row r="17" spans="1:8" ht="14.4" customHeight="1" x14ac:dyDescent="0.3">
      <c r="A17" s="116" t="s">
        <v>166</v>
      </c>
    </row>
    <row r="18" spans="1:8" ht="14.4" customHeight="1" x14ac:dyDescent="0.3">
      <c r="A18" s="293" t="s">
        <v>229</v>
      </c>
      <c r="B18" s="294"/>
      <c r="C18" s="294"/>
      <c r="D18" s="294"/>
      <c r="E18" s="294"/>
      <c r="F18" s="294"/>
      <c r="G18" s="294"/>
      <c r="H18" s="294"/>
    </row>
    <row r="19" spans="1:8" x14ac:dyDescent="0.3">
      <c r="A19" s="292" t="s">
        <v>228</v>
      </c>
      <c r="B19" s="294"/>
      <c r="C19" s="294"/>
      <c r="D19" s="294"/>
      <c r="E19" s="294"/>
      <c r="F19" s="294"/>
      <c r="G19" s="294"/>
      <c r="H19" s="294"/>
    </row>
    <row r="20" spans="1:8" ht="14.4" customHeight="1" x14ac:dyDescent="0.3">
      <c r="A20" s="117" t="s">
        <v>167</v>
      </c>
    </row>
    <row r="21" spans="1:8" ht="14.4" customHeight="1" x14ac:dyDescent="0.3">
      <c r="A21" s="117" t="s">
        <v>168</v>
      </c>
    </row>
    <row r="22" spans="1:8" ht="14.4" customHeight="1" x14ac:dyDescent="0.3">
      <c r="A22" s="118" t="s">
        <v>169</v>
      </c>
    </row>
    <row r="23" spans="1:8" ht="14.4" customHeight="1" x14ac:dyDescent="0.3">
      <c r="A23" s="118" t="s">
        <v>170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6" priority="4" operator="greaterThan">
      <formula>0</formula>
    </cfRule>
  </conditionalFormatting>
  <conditionalFormatting sqref="G11:G13 G15">
    <cfRule type="cellIs" dxfId="55" priority="3" operator="lessThan">
      <formula>0</formula>
    </cfRule>
  </conditionalFormatting>
  <conditionalFormatting sqref="H5:H9">
    <cfRule type="cellIs" dxfId="54" priority="2" operator="greaterThan">
      <formula>1</formula>
    </cfRule>
  </conditionalFormatting>
  <conditionalFormatting sqref="H11:H13 H15">
    <cfRule type="cellIs" dxfId="53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3"/>
    <col min="2" max="13" width="8.88671875" style="133" customWidth="1"/>
    <col min="14" max="16384" width="8.88671875" style="133"/>
  </cols>
  <sheetData>
    <row r="1" spans="1:13" ht="18.600000000000001" customHeight="1" thickBot="1" x14ac:dyDescent="0.4">
      <c r="A1" s="310" t="s">
        <v>106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</row>
    <row r="2" spans="1:13" ht="14.4" customHeight="1" x14ac:dyDescent="0.3">
      <c r="A2" s="240" t="s">
        <v>272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3" ht="14.4" customHeight="1" x14ac:dyDescent="0.3">
      <c r="A3" s="203"/>
      <c r="B3" s="204" t="s">
        <v>82</v>
      </c>
      <c r="C3" s="205" t="s">
        <v>83</v>
      </c>
      <c r="D3" s="205" t="s">
        <v>84</v>
      </c>
      <c r="E3" s="204" t="s">
        <v>85</v>
      </c>
      <c r="F3" s="205" t="s">
        <v>86</v>
      </c>
      <c r="G3" s="205" t="s">
        <v>87</v>
      </c>
      <c r="H3" s="205" t="s">
        <v>88</v>
      </c>
      <c r="I3" s="205" t="s">
        <v>89</v>
      </c>
      <c r="J3" s="205" t="s">
        <v>90</v>
      </c>
      <c r="K3" s="205" t="s">
        <v>91</v>
      </c>
      <c r="L3" s="205" t="s">
        <v>92</v>
      </c>
      <c r="M3" s="205" t="s">
        <v>93</v>
      </c>
    </row>
    <row r="4" spans="1:13" ht="14.4" customHeight="1" x14ac:dyDescent="0.3">
      <c r="A4" s="203" t="s">
        <v>81</v>
      </c>
      <c r="B4" s="206">
        <f>(B10+B8)/B6</f>
        <v>0.42859785525120742</v>
      </c>
      <c r="C4" s="206">
        <f t="shared" ref="C4:M4" si="0">(C10+C8)/C6</f>
        <v>0.40458906621719326</v>
      </c>
      <c r="D4" s="206">
        <f t="shared" si="0"/>
        <v>0.40793998517456009</v>
      </c>
      <c r="E4" s="206">
        <f t="shared" si="0"/>
        <v>0.39226689471526621</v>
      </c>
      <c r="F4" s="206">
        <f t="shared" si="0"/>
        <v>0.39226689471526621</v>
      </c>
      <c r="G4" s="206">
        <f t="shared" si="0"/>
        <v>0.39226689471526621</v>
      </c>
      <c r="H4" s="206">
        <f t="shared" si="0"/>
        <v>0.39226689471526621</v>
      </c>
      <c r="I4" s="206">
        <f t="shared" si="0"/>
        <v>0.39226689471526621</v>
      </c>
      <c r="J4" s="206">
        <f t="shared" si="0"/>
        <v>0.39226689471526621</v>
      </c>
      <c r="K4" s="206">
        <f t="shared" si="0"/>
        <v>0.39226689471526621</v>
      </c>
      <c r="L4" s="206">
        <f t="shared" si="0"/>
        <v>0.39226689471526621</v>
      </c>
      <c r="M4" s="206">
        <f t="shared" si="0"/>
        <v>0.39226689471526621</v>
      </c>
    </row>
    <row r="5" spans="1:13" ht="14.4" customHeight="1" x14ac:dyDescent="0.3">
      <c r="A5" s="207" t="s">
        <v>53</v>
      </c>
      <c r="B5" s="206">
        <f>IF(ISERROR(VLOOKUP($A5,'Man Tab'!$A:$Q,COLUMN()+2,0)),0,VLOOKUP($A5,'Man Tab'!$A:$Q,COLUMN()+2,0))</f>
        <v>778.05569000000401</v>
      </c>
      <c r="C5" s="206">
        <f>IF(ISERROR(VLOOKUP($A5,'Man Tab'!$A:$Q,COLUMN()+2,0)),0,VLOOKUP($A5,'Man Tab'!$A:$Q,COLUMN()+2,0))</f>
        <v>720.72677999999996</v>
      </c>
      <c r="D5" s="206">
        <f>IF(ISERROR(VLOOKUP($A5,'Man Tab'!$A:$Q,COLUMN()+2,0)),0,VLOOKUP($A5,'Man Tab'!$A:$Q,COLUMN()+2,0))</f>
        <v>716.20755999999994</v>
      </c>
      <c r="E5" s="206">
        <f>IF(ISERROR(VLOOKUP($A5,'Man Tab'!$A:$Q,COLUMN()+2,0)),0,VLOOKUP($A5,'Man Tab'!$A:$Q,COLUMN()+2,0))</f>
        <v>785.52828</v>
      </c>
      <c r="F5" s="206">
        <f>IF(ISERROR(VLOOKUP($A5,'Man Tab'!$A:$Q,COLUMN()+2,0)),0,VLOOKUP($A5,'Man Tab'!$A:$Q,COLUMN()+2,0))</f>
        <v>4.9406564584124654E-324</v>
      </c>
      <c r="G5" s="206">
        <f>IF(ISERROR(VLOOKUP($A5,'Man Tab'!$A:$Q,COLUMN()+2,0)),0,VLOOKUP($A5,'Man Tab'!$A:$Q,COLUMN()+2,0))</f>
        <v>4.9406564584124654E-324</v>
      </c>
      <c r="H5" s="206">
        <f>IF(ISERROR(VLOOKUP($A5,'Man Tab'!$A:$Q,COLUMN()+2,0)),0,VLOOKUP($A5,'Man Tab'!$A:$Q,COLUMN()+2,0))</f>
        <v>4.9406564584124654E-324</v>
      </c>
      <c r="I5" s="206">
        <f>IF(ISERROR(VLOOKUP($A5,'Man Tab'!$A:$Q,COLUMN()+2,0)),0,VLOOKUP($A5,'Man Tab'!$A:$Q,COLUMN()+2,0))</f>
        <v>4.9406564584124654E-324</v>
      </c>
      <c r="J5" s="206">
        <f>IF(ISERROR(VLOOKUP($A5,'Man Tab'!$A:$Q,COLUMN()+2,0)),0,VLOOKUP($A5,'Man Tab'!$A:$Q,COLUMN()+2,0))</f>
        <v>4.9406564584124654E-324</v>
      </c>
      <c r="K5" s="206">
        <f>IF(ISERROR(VLOOKUP($A5,'Man Tab'!$A:$Q,COLUMN()+2,0)),0,VLOOKUP($A5,'Man Tab'!$A:$Q,COLUMN()+2,0))</f>
        <v>4.9406564584124654E-324</v>
      </c>
      <c r="L5" s="206">
        <f>IF(ISERROR(VLOOKUP($A5,'Man Tab'!$A:$Q,COLUMN()+2,0)),0,VLOOKUP($A5,'Man Tab'!$A:$Q,COLUMN()+2,0))</f>
        <v>4.9406564584124654E-324</v>
      </c>
      <c r="M5" s="206">
        <f>IF(ISERROR(VLOOKUP($A5,'Man Tab'!$A:$Q,COLUMN()+2,0)),0,VLOOKUP($A5,'Man Tab'!$A:$Q,COLUMN()+2,0))</f>
        <v>4.9406564584124654E-324</v>
      </c>
    </row>
    <row r="6" spans="1:13" ht="14.4" customHeight="1" x14ac:dyDescent="0.3">
      <c r="A6" s="207" t="s">
        <v>77</v>
      </c>
      <c r="B6" s="208">
        <f>B5</f>
        <v>778.05569000000401</v>
      </c>
      <c r="C6" s="208">
        <f t="shared" ref="C6:M6" si="1">C5+B6</f>
        <v>1498.782470000004</v>
      </c>
      <c r="D6" s="208">
        <f t="shared" si="1"/>
        <v>2214.990030000004</v>
      </c>
      <c r="E6" s="208">
        <f t="shared" si="1"/>
        <v>3000.518310000004</v>
      </c>
      <c r="F6" s="208">
        <f t="shared" si="1"/>
        <v>3000.518310000004</v>
      </c>
      <c r="G6" s="208">
        <f t="shared" si="1"/>
        <v>3000.518310000004</v>
      </c>
      <c r="H6" s="208">
        <f t="shared" si="1"/>
        <v>3000.518310000004</v>
      </c>
      <c r="I6" s="208">
        <f t="shared" si="1"/>
        <v>3000.518310000004</v>
      </c>
      <c r="J6" s="208">
        <f t="shared" si="1"/>
        <v>3000.518310000004</v>
      </c>
      <c r="K6" s="208">
        <f t="shared" si="1"/>
        <v>3000.518310000004</v>
      </c>
      <c r="L6" s="208">
        <f t="shared" si="1"/>
        <v>3000.518310000004</v>
      </c>
      <c r="M6" s="208">
        <f t="shared" si="1"/>
        <v>3000.518310000004</v>
      </c>
    </row>
    <row r="7" spans="1:13" ht="14.4" customHeight="1" x14ac:dyDescent="0.3">
      <c r="A7" s="207" t="s">
        <v>104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13" ht="14.4" customHeight="1" x14ac:dyDescent="0.3">
      <c r="A8" s="207" t="s">
        <v>78</v>
      </c>
      <c r="B8" s="208">
        <f>B7*30</f>
        <v>0</v>
      </c>
      <c r="C8" s="208">
        <f t="shared" ref="C8:M8" si="2">C7*30</f>
        <v>0</v>
      </c>
      <c r="D8" s="208">
        <f t="shared" si="2"/>
        <v>0</v>
      </c>
      <c r="E8" s="208">
        <f t="shared" si="2"/>
        <v>0</v>
      </c>
      <c r="F8" s="208">
        <f t="shared" si="2"/>
        <v>0</v>
      </c>
      <c r="G8" s="208">
        <f t="shared" si="2"/>
        <v>0</v>
      </c>
      <c r="H8" s="208">
        <f t="shared" si="2"/>
        <v>0</v>
      </c>
      <c r="I8" s="208">
        <f t="shared" si="2"/>
        <v>0</v>
      </c>
      <c r="J8" s="208">
        <f t="shared" si="2"/>
        <v>0</v>
      </c>
      <c r="K8" s="208">
        <f t="shared" si="2"/>
        <v>0</v>
      </c>
      <c r="L8" s="208">
        <f t="shared" si="2"/>
        <v>0</v>
      </c>
      <c r="M8" s="208">
        <f t="shared" si="2"/>
        <v>0</v>
      </c>
    </row>
    <row r="9" spans="1:13" ht="14.4" customHeight="1" x14ac:dyDescent="0.3">
      <c r="A9" s="207" t="s">
        <v>105</v>
      </c>
      <c r="B9" s="207">
        <v>333473</v>
      </c>
      <c r="C9" s="207">
        <v>272918</v>
      </c>
      <c r="D9" s="207">
        <v>297192</v>
      </c>
      <c r="E9" s="207">
        <v>273421</v>
      </c>
      <c r="F9" s="207">
        <v>0</v>
      </c>
      <c r="G9" s="207">
        <v>0</v>
      </c>
      <c r="H9" s="207">
        <v>0</v>
      </c>
      <c r="I9" s="207">
        <v>0</v>
      </c>
      <c r="J9" s="207">
        <v>0</v>
      </c>
      <c r="K9" s="207">
        <v>0</v>
      </c>
      <c r="L9" s="207">
        <v>0</v>
      </c>
      <c r="M9" s="207">
        <v>0</v>
      </c>
    </row>
    <row r="10" spans="1:13" ht="14.4" customHeight="1" x14ac:dyDescent="0.3">
      <c r="A10" s="207" t="s">
        <v>79</v>
      </c>
      <c r="B10" s="208">
        <f>B9/1000</f>
        <v>333.47300000000001</v>
      </c>
      <c r="C10" s="208">
        <f t="shared" ref="C10:M10" si="3">C9/1000+B10</f>
        <v>606.39100000000008</v>
      </c>
      <c r="D10" s="208">
        <f t="shared" si="3"/>
        <v>903.58300000000008</v>
      </c>
      <c r="E10" s="208">
        <f t="shared" si="3"/>
        <v>1177.0040000000001</v>
      </c>
      <c r="F10" s="208">
        <f t="shared" si="3"/>
        <v>1177.0040000000001</v>
      </c>
      <c r="G10" s="208">
        <f t="shared" si="3"/>
        <v>1177.0040000000001</v>
      </c>
      <c r="H10" s="208">
        <f t="shared" si="3"/>
        <v>1177.0040000000001</v>
      </c>
      <c r="I10" s="208">
        <f t="shared" si="3"/>
        <v>1177.0040000000001</v>
      </c>
      <c r="J10" s="208">
        <f t="shared" si="3"/>
        <v>1177.0040000000001</v>
      </c>
      <c r="K10" s="208">
        <f t="shared" si="3"/>
        <v>1177.0040000000001</v>
      </c>
      <c r="L10" s="208">
        <f t="shared" si="3"/>
        <v>1177.0040000000001</v>
      </c>
      <c r="M10" s="208">
        <f t="shared" si="3"/>
        <v>1177.0040000000001</v>
      </c>
    </row>
    <row r="11" spans="1:13" ht="14.4" customHeight="1" x14ac:dyDescent="0.3">
      <c r="A11" s="203"/>
      <c r="B11" s="203" t="s">
        <v>94</v>
      </c>
      <c r="C11" s="203">
        <f ca="1">IF(MONTH(TODAY())=1,12,MONTH(TODAY())-1)</f>
        <v>4</v>
      </c>
      <c r="D11" s="203"/>
      <c r="E11" s="203"/>
      <c r="F11" s="203"/>
      <c r="G11" s="203"/>
      <c r="H11" s="203"/>
      <c r="I11" s="203"/>
      <c r="J11" s="203"/>
      <c r="K11" s="203"/>
      <c r="L11" s="203"/>
      <c r="M11" s="203"/>
    </row>
    <row r="12" spans="1:13" ht="14.4" customHeight="1" x14ac:dyDescent="0.3">
      <c r="A12" s="203">
        <v>0</v>
      </c>
      <c r="B12" s="206">
        <f>IF(ISERROR(HI!F15),#REF!,HI!F15)</f>
        <v>0.28075115692048802</v>
      </c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</row>
    <row r="13" spans="1:13" ht="14.4" customHeight="1" x14ac:dyDescent="0.3">
      <c r="A13" s="203">
        <v>1</v>
      </c>
      <c r="B13" s="206">
        <f>IF(ISERROR(HI!F15),#REF!,HI!F15)</f>
        <v>0.28075115692048802</v>
      </c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3" bestFit="1" customWidth="1"/>
    <col min="2" max="2" width="12.77734375" style="133" bestFit="1" customWidth="1"/>
    <col min="3" max="3" width="13.6640625" style="133" bestFit="1" customWidth="1"/>
    <col min="4" max="15" width="7.77734375" style="133" bestFit="1" customWidth="1"/>
    <col min="16" max="16" width="8.88671875" style="133" customWidth="1"/>
    <col min="17" max="17" width="6.6640625" style="133" bestFit="1" customWidth="1"/>
    <col min="18" max="16384" width="8.88671875" style="133"/>
  </cols>
  <sheetData>
    <row r="1" spans="1:17" s="209" customFormat="1" ht="18.600000000000001" customHeight="1" thickBot="1" x14ac:dyDescent="0.4">
      <c r="A1" s="319" t="s">
        <v>274</v>
      </c>
      <c r="B1" s="319"/>
      <c r="C1" s="319"/>
      <c r="D1" s="319"/>
      <c r="E1" s="319"/>
      <c r="F1" s="319"/>
      <c r="G1" s="319"/>
      <c r="H1" s="310"/>
      <c r="I1" s="310"/>
      <c r="J1" s="310"/>
      <c r="K1" s="310"/>
      <c r="L1" s="310"/>
      <c r="M1" s="310"/>
      <c r="N1" s="310"/>
      <c r="O1" s="310"/>
      <c r="P1" s="310"/>
      <c r="Q1" s="310"/>
    </row>
    <row r="2" spans="1:17" s="209" customFormat="1" ht="14.4" customHeight="1" thickBot="1" x14ac:dyDescent="0.3">
      <c r="A2" s="240" t="s">
        <v>272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</row>
    <row r="3" spans="1:17" ht="14.4" customHeight="1" x14ac:dyDescent="0.3">
      <c r="A3" s="76"/>
      <c r="B3" s="320" t="s">
        <v>29</v>
      </c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141"/>
      <c r="Q3" s="143"/>
    </row>
    <row r="4" spans="1:17" ht="14.4" customHeight="1" x14ac:dyDescent="0.3">
      <c r="A4" s="77"/>
      <c r="B4" s="20">
        <v>2014</v>
      </c>
      <c r="C4" s="142" t="s">
        <v>30</v>
      </c>
      <c r="D4" s="132" t="s">
        <v>173</v>
      </c>
      <c r="E4" s="132" t="s">
        <v>174</v>
      </c>
      <c r="F4" s="132" t="s">
        <v>175</v>
      </c>
      <c r="G4" s="132" t="s">
        <v>176</v>
      </c>
      <c r="H4" s="132" t="s">
        <v>177</v>
      </c>
      <c r="I4" s="132" t="s">
        <v>178</v>
      </c>
      <c r="J4" s="132" t="s">
        <v>179</v>
      </c>
      <c r="K4" s="132" t="s">
        <v>180</v>
      </c>
      <c r="L4" s="132" t="s">
        <v>181</v>
      </c>
      <c r="M4" s="132" t="s">
        <v>182</v>
      </c>
      <c r="N4" s="132" t="s">
        <v>183</v>
      </c>
      <c r="O4" s="132" t="s">
        <v>184</v>
      </c>
      <c r="P4" s="322" t="s">
        <v>3</v>
      </c>
      <c r="Q4" s="323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4.9406564584124654E-324</v>
      </c>
      <c r="C6" s="49">
        <v>0</v>
      </c>
      <c r="D6" s="49">
        <v>4.9406564584124654E-324</v>
      </c>
      <c r="E6" s="49">
        <v>4.9406564584124654E-324</v>
      </c>
      <c r="F6" s="49">
        <v>4.9406564584124654E-324</v>
      </c>
      <c r="G6" s="49">
        <v>4.9406564584124654E-324</v>
      </c>
      <c r="H6" s="49">
        <v>4.9406564584124654E-324</v>
      </c>
      <c r="I6" s="49">
        <v>4.9406564584124654E-324</v>
      </c>
      <c r="J6" s="49">
        <v>4.9406564584124654E-324</v>
      </c>
      <c r="K6" s="49">
        <v>4.9406564584124654E-324</v>
      </c>
      <c r="L6" s="49">
        <v>4.9406564584124654E-324</v>
      </c>
      <c r="M6" s="49">
        <v>4.9406564584124654E-324</v>
      </c>
      <c r="N6" s="49">
        <v>4.9406564584124654E-324</v>
      </c>
      <c r="O6" s="49">
        <v>4.9406564584124654E-324</v>
      </c>
      <c r="P6" s="50">
        <v>1.9762625833649862E-323</v>
      </c>
      <c r="Q6" s="95" t="s">
        <v>273</v>
      </c>
    </row>
    <row r="7" spans="1:17" ht="14.4" customHeight="1" x14ac:dyDescent="0.3">
      <c r="A7" s="15" t="s">
        <v>35</v>
      </c>
      <c r="B7" s="51">
        <v>799.04018947148097</v>
      </c>
      <c r="C7" s="52">
        <v>66.586682455955994</v>
      </c>
      <c r="D7" s="52">
        <v>53.224670000000003</v>
      </c>
      <c r="E7" s="52">
        <v>37.199019999999997</v>
      </c>
      <c r="F7" s="52">
        <v>41.342579999999998</v>
      </c>
      <c r="G7" s="52">
        <v>76.879819999999995</v>
      </c>
      <c r="H7" s="52">
        <v>4.9406564584124654E-324</v>
      </c>
      <c r="I7" s="52">
        <v>4.9406564584124654E-324</v>
      </c>
      <c r="J7" s="52">
        <v>4.9406564584124654E-324</v>
      </c>
      <c r="K7" s="52">
        <v>4.9406564584124654E-324</v>
      </c>
      <c r="L7" s="52">
        <v>4.9406564584124654E-324</v>
      </c>
      <c r="M7" s="52">
        <v>4.9406564584124654E-324</v>
      </c>
      <c r="N7" s="52">
        <v>4.9406564584124654E-324</v>
      </c>
      <c r="O7" s="52">
        <v>4.9406564584124654E-324</v>
      </c>
      <c r="P7" s="53">
        <v>208.64608999999999</v>
      </c>
      <c r="Q7" s="96">
        <v>0.78336268719299995</v>
      </c>
    </row>
    <row r="8" spans="1:17" ht="14.4" customHeight="1" x14ac:dyDescent="0.3">
      <c r="A8" s="15" t="s">
        <v>36</v>
      </c>
      <c r="B8" s="51">
        <v>4.9406564584124654E-324</v>
      </c>
      <c r="C8" s="52">
        <v>0</v>
      </c>
      <c r="D8" s="52">
        <v>4.9406564584124654E-324</v>
      </c>
      <c r="E8" s="52">
        <v>4.9406564584124654E-324</v>
      </c>
      <c r="F8" s="52">
        <v>4.9406564584124654E-324</v>
      </c>
      <c r="G8" s="52">
        <v>4.9406564584124654E-324</v>
      </c>
      <c r="H8" s="52">
        <v>4.9406564584124654E-324</v>
      </c>
      <c r="I8" s="52">
        <v>4.9406564584124654E-324</v>
      </c>
      <c r="J8" s="52">
        <v>4.9406564584124654E-324</v>
      </c>
      <c r="K8" s="52">
        <v>4.9406564584124654E-324</v>
      </c>
      <c r="L8" s="52">
        <v>4.9406564584124654E-324</v>
      </c>
      <c r="M8" s="52">
        <v>4.9406564584124654E-324</v>
      </c>
      <c r="N8" s="52">
        <v>4.9406564584124654E-324</v>
      </c>
      <c r="O8" s="52">
        <v>4.9406564584124654E-324</v>
      </c>
      <c r="P8" s="53">
        <v>1.9762625833649862E-323</v>
      </c>
      <c r="Q8" s="96" t="s">
        <v>273</v>
      </c>
    </row>
    <row r="9" spans="1:17" ht="14.4" customHeight="1" x14ac:dyDescent="0.3">
      <c r="A9" s="15" t="s">
        <v>37</v>
      </c>
      <c r="B9" s="51">
        <v>81.939126417829996</v>
      </c>
      <c r="C9" s="52">
        <v>6.828260534819</v>
      </c>
      <c r="D9" s="52">
        <v>1.5437000000000001</v>
      </c>
      <c r="E9" s="52">
        <v>4.7906199999999997</v>
      </c>
      <c r="F9" s="52">
        <v>4.6877700000000004</v>
      </c>
      <c r="G9" s="52">
        <v>5.43926</v>
      </c>
      <c r="H9" s="52">
        <v>4.9406564584124654E-324</v>
      </c>
      <c r="I9" s="52">
        <v>4.9406564584124654E-324</v>
      </c>
      <c r="J9" s="52">
        <v>4.9406564584124654E-324</v>
      </c>
      <c r="K9" s="52">
        <v>4.9406564584124654E-324</v>
      </c>
      <c r="L9" s="52">
        <v>4.9406564584124654E-324</v>
      </c>
      <c r="M9" s="52">
        <v>4.9406564584124654E-324</v>
      </c>
      <c r="N9" s="52">
        <v>4.9406564584124654E-324</v>
      </c>
      <c r="O9" s="52">
        <v>4.9406564584124654E-324</v>
      </c>
      <c r="P9" s="53">
        <v>16.461349999999999</v>
      </c>
      <c r="Q9" s="96">
        <v>0.60269192703100005</v>
      </c>
    </row>
    <row r="10" spans="1:17" ht="14.4" customHeight="1" x14ac:dyDescent="0.3">
      <c r="A10" s="15" t="s">
        <v>38</v>
      </c>
      <c r="B10" s="51">
        <v>4.9406564584124654E-324</v>
      </c>
      <c r="C10" s="52">
        <v>0</v>
      </c>
      <c r="D10" s="52">
        <v>4.9406564584124654E-324</v>
      </c>
      <c r="E10" s="52">
        <v>4.9406564584124654E-324</v>
      </c>
      <c r="F10" s="52">
        <v>4.9406564584124654E-324</v>
      </c>
      <c r="G10" s="52">
        <v>4.9406564584124654E-324</v>
      </c>
      <c r="H10" s="52">
        <v>4.9406564584124654E-324</v>
      </c>
      <c r="I10" s="52">
        <v>4.9406564584124654E-324</v>
      </c>
      <c r="J10" s="52">
        <v>4.9406564584124654E-324</v>
      </c>
      <c r="K10" s="52">
        <v>4.9406564584124654E-324</v>
      </c>
      <c r="L10" s="52">
        <v>4.9406564584124654E-324</v>
      </c>
      <c r="M10" s="52">
        <v>4.9406564584124654E-324</v>
      </c>
      <c r="N10" s="52">
        <v>4.9406564584124654E-324</v>
      </c>
      <c r="O10" s="52">
        <v>4.9406564584124654E-324</v>
      </c>
      <c r="P10" s="53">
        <v>1.9762625833649862E-323</v>
      </c>
      <c r="Q10" s="96" t="s">
        <v>273</v>
      </c>
    </row>
    <row r="11" spans="1:17" ht="14.4" customHeight="1" x14ac:dyDescent="0.3">
      <c r="A11" s="15" t="s">
        <v>39</v>
      </c>
      <c r="B11" s="51">
        <v>100.800141184086</v>
      </c>
      <c r="C11" s="52">
        <v>8.4000117653400004</v>
      </c>
      <c r="D11" s="52">
        <v>5.33216</v>
      </c>
      <c r="E11" s="52">
        <v>3.0661499999999999</v>
      </c>
      <c r="F11" s="52">
        <v>11.2155</v>
      </c>
      <c r="G11" s="52">
        <v>11.90929</v>
      </c>
      <c r="H11" s="52">
        <v>4.9406564584124654E-324</v>
      </c>
      <c r="I11" s="52">
        <v>4.9406564584124654E-324</v>
      </c>
      <c r="J11" s="52">
        <v>4.9406564584124654E-324</v>
      </c>
      <c r="K11" s="52">
        <v>4.9406564584124654E-324</v>
      </c>
      <c r="L11" s="52">
        <v>4.9406564584124654E-324</v>
      </c>
      <c r="M11" s="52">
        <v>4.9406564584124654E-324</v>
      </c>
      <c r="N11" s="52">
        <v>4.9406564584124654E-324</v>
      </c>
      <c r="O11" s="52">
        <v>4.9406564584124654E-324</v>
      </c>
      <c r="P11" s="53">
        <v>31.523099999999999</v>
      </c>
      <c r="Q11" s="96">
        <v>0.93818618594199998</v>
      </c>
    </row>
    <row r="12" spans="1:17" ht="14.4" customHeight="1" x14ac:dyDescent="0.3">
      <c r="A12" s="15" t="s">
        <v>40</v>
      </c>
      <c r="B12" s="51">
        <v>4.8941998601070003</v>
      </c>
      <c r="C12" s="52">
        <v>0.40784998834199998</v>
      </c>
      <c r="D12" s="52">
        <v>0.28560000000000002</v>
      </c>
      <c r="E12" s="52">
        <v>4.9406564584124654E-324</v>
      </c>
      <c r="F12" s="52">
        <v>0.23627000000000001</v>
      </c>
      <c r="G12" s="52">
        <v>4.9406564584124654E-324</v>
      </c>
      <c r="H12" s="52">
        <v>4.9406564584124654E-324</v>
      </c>
      <c r="I12" s="52">
        <v>4.9406564584124654E-324</v>
      </c>
      <c r="J12" s="52">
        <v>4.9406564584124654E-324</v>
      </c>
      <c r="K12" s="52">
        <v>4.9406564584124654E-324</v>
      </c>
      <c r="L12" s="52">
        <v>4.9406564584124654E-324</v>
      </c>
      <c r="M12" s="52">
        <v>4.9406564584124654E-324</v>
      </c>
      <c r="N12" s="52">
        <v>4.9406564584124654E-324</v>
      </c>
      <c r="O12" s="52">
        <v>4.9406564584124654E-324</v>
      </c>
      <c r="P12" s="53">
        <v>0.52186999999999995</v>
      </c>
      <c r="Q12" s="96">
        <v>0.31989090040200002</v>
      </c>
    </row>
    <row r="13" spans="1:17" ht="14.4" customHeight="1" x14ac:dyDescent="0.3">
      <c r="A13" s="15" t="s">
        <v>41</v>
      </c>
      <c r="B13" s="51">
        <v>5.4714928329830004</v>
      </c>
      <c r="C13" s="52">
        <v>0.45595773608099999</v>
      </c>
      <c r="D13" s="52">
        <v>0.90093000000000001</v>
      </c>
      <c r="E13" s="52">
        <v>0.23135</v>
      </c>
      <c r="F13" s="52">
        <v>0.89319999999999999</v>
      </c>
      <c r="G13" s="52">
        <v>0.23135</v>
      </c>
      <c r="H13" s="52">
        <v>4.9406564584124654E-324</v>
      </c>
      <c r="I13" s="52">
        <v>4.9406564584124654E-324</v>
      </c>
      <c r="J13" s="52">
        <v>4.9406564584124654E-324</v>
      </c>
      <c r="K13" s="52">
        <v>4.9406564584124654E-324</v>
      </c>
      <c r="L13" s="52">
        <v>4.9406564584124654E-324</v>
      </c>
      <c r="M13" s="52">
        <v>4.9406564584124654E-324</v>
      </c>
      <c r="N13" s="52">
        <v>4.9406564584124654E-324</v>
      </c>
      <c r="O13" s="52">
        <v>4.9406564584124654E-324</v>
      </c>
      <c r="P13" s="53">
        <v>2.2568299999999999</v>
      </c>
      <c r="Q13" s="96">
        <v>1.237411837439</v>
      </c>
    </row>
    <row r="14" spans="1:17" ht="14.4" customHeight="1" x14ac:dyDescent="0.3">
      <c r="A14" s="15" t="s">
        <v>42</v>
      </c>
      <c r="B14" s="51">
        <v>1186.5711549196601</v>
      </c>
      <c r="C14" s="52">
        <v>98.880929576637996</v>
      </c>
      <c r="D14" s="52">
        <v>139.99800000000101</v>
      </c>
      <c r="E14" s="52">
        <v>117.651</v>
      </c>
      <c r="F14" s="52">
        <v>105.108</v>
      </c>
      <c r="G14" s="52">
        <v>87.174000000000007</v>
      </c>
      <c r="H14" s="52">
        <v>4.9406564584124654E-324</v>
      </c>
      <c r="I14" s="52">
        <v>4.9406564584124654E-324</v>
      </c>
      <c r="J14" s="52">
        <v>4.9406564584124654E-324</v>
      </c>
      <c r="K14" s="52">
        <v>4.9406564584124654E-324</v>
      </c>
      <c r="L14" s="52">
        <v>4.9406564584124654E-324</v>
      </c>
      <c r="M14" s="52">
        <v>4.9406564584124654E-324</v>
      </c>
      <c r="N14" s="52">
        <v>4.9406564584124654E-324</v>
      </c>
      <c r="O14" s="52">
        <v>4.9406564584124654E-324</v>
      </c>
      <c r="P14" s="53">
        <v>449.93100000000101</v>
      </c>
      <c r="Q14" s="96">
        <v>1.1375575703180001</v>
      </c>
    </row>
    <row r="15" spans="1:17" ht="14.4" customHeight="1" x14ac:dyDescent="0.3">
      <c r="A15" s="15" t="s">
        <v>43</v>
      </c>
      <c r="B15" s="51">
        <v>4.9406564584124654E-324</v>
      </c>
      <c r="C15" s="52">
        <v>0</v>
      </c>
      <c r="D15" s="52">
        <v>4.9406564584124654E-324</v>
      </c>
      <c r="E15" s="52">
        <v>4.9406564584124654E-324</v>
      </c>
      <c r="F15" s="52">
        <v>4.9406564584124654E-324</v>
      </c>
      <c r="G15" s="52">
        <v>4.9406564584124654E-324</v>
      </c>
      <c r="H15" s="52">
        <v>4.9406564584124654E-324</v>
      </c>
      <c r="I15" s="52">
        <v>4.9406564584124654E-324</v>
      </c>
      <c r="J15" s="52">
        <v>4.9406564584124654E-324</v>
      </c>
      <c r="K15" s="52">
        <v>4.9406564584124654E-324</v>
      </c>
      <c r="L15" s="52">
        <v>4.9406564584124654E-324</v>
      </c>
      <c r="M15" s="52">
        <v>4.9406564584124654E-324</v>
      </c>
      <c r="N15" s="52">
        <v>4.9406564584124654E-324</v>
      </c>
      <c r="O15" s="52">
        <v>4.9406564584124654E-324</v>
      </c>
      <c r="P15" s="53">
        <v>1.9762625833649862E-323</v>
      </c>
      <c r="Q15" s="96" t="s">
        <v>273</v>
      </c>
    </row>
    <row r="16" spans="1:17" ht="14.4" customHeight="1" x14ac:dyDescent="0.3">
      <c r="A16" s="15" t="s">
        <v>44</v>
      </c>
      <c r="B16" s="51">
        <v>4.9406564584124654E-324</v>
      </c>
      <c r="C16" s="52">
        <v>0</v>
      </c>
      <c r="D16" s="52">
        <v>4.9406564584124654E-324</v>
      </c>
      <c r="E16" s="52">
        <v>4.9406564584124654E-324</v>
      </c>
      <c r="F16" s="52">
        <v>4.9406564584124654E-324</v>
      </c>
      <c r="G16" s="52">
        <v>4.9406564584124654E-324</v>
      </c>
      <c r="H16" s="52">
        <v>4.9406564584124654E-324</v>
      </c>
      <c r="I16" s="52">
        <v>4.9406564584124654E-324</v>
      </c>
      <c r="J16" s="52">
        <v>4.9406564584124654E-324</v>
      </c>
      <c r="K16" s="52">
        <v>4.9406564584124654E-324</v>
      </c>
      <c r="L16" s="52">
        <v>4.9406564584124654E-324</v>
      </c>
      <c r="M16" s="52">
        <v>4.9406564584124654E-324</v>
      </c>
      <c r="N16" s="52">
        <v>4.9406564584124654E-324</v>
      </c>
      <c r="O16" s="52">
        <v>4.9406564584124654E-324</v>
      </c>
      <c r="P16" s="53">
        <v>1.9762625833649862E-323</v>
      </c>
      <c r="Q16" s="96" t="s">
        <v>273</v>
      </c>
    </row>
    <row r="17" spans="1:17" ht="14.4" customHeight="1" x14ac:dyDescent="0.3">
      <c r="A17" s="15" t="s">
        <v>45</v>
      </c>
      <c r="B17" s="51">
        <v>55.262643467825001</v>
      </c>
      <c r="C17" s="52">
        <v>4.6052202889849996</v>
      </c>
      <c r="D17" s="52">
        <v>0.58684999999999998</v>
      </c>
      <c r="E17" s="52">
        <v>4.1372400000000003</v>
      </c>
      <c r="F17" s="52">
        <v>3.31168</v>
      </c>
      <c r="G17" s="52">
        <v>31.98368</v>
      </c>
      <c r="H17" s="52">
        <v>4.9406564584124654E-324</v>
      </c>
      <c r="I17" s="52">
        <v>4.9406564584124654E-324</v>
      </c>
      <c r="J17" s="52">
        <v>4.9406564584124654E-324</v>
      </c>
      <c r="K17" s="52">
        <v>4.9406564584124654E-324</v>
      </c>
      <c r="L17" s="52">
        <v>4.9406564584124654E-324</v>
      </c>
      <c r="M17" s="52">
        <v>4.9406564584124654E-324</v>
      </c>
      <c r="N17" s="52">
        <v>4.9406564584124654E-324</v>
      </c>
      <c r="O17" s="52">
        <v>4.9406564584124654E-324</v>
      </c>
      <c r="P17" s="53">
        <v>40.019449999999999</v>
      </c>
      <c r="Q17" s="96">
        <v>2.1725046517159998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4.9406564584124654E-324</v>
      </c>
      <c r="E18" s="52">
        <v>1.091</v>
      </c>
      <c r="F18" s="52">
        <v>4.9406564584124654E-324</v>
      </c>
      <c r="G18" s="52">
        <v>4.9406564584124654E-324</v>
      </c>
      <c r="H18" s="52">
        <v>4.9406564584124654E-324</v>
      </c>
      <c r="I18" s="52">
        <v>4.9406564584124654E-324</v>
      </c>
      <c r="J18" s="52">
        <v>4.9406564584124654E-324</v>
      </c>
      <c r="K18" s="52">
        <v>4.9406564584124654E-324</v>
      </c>
      <c r="L18" s="52">
        <v>4.9406564584124654E-324</v>
      </c>
      <c r="M18" s="52">
        <v>4.9406564584124654E-324</v>
      </c>
      <c r="N18" s="52">
        <v>4.9406564584124654E-324</v>
      </c>
      <c r="O18" s="52">
        <v>4.9406564584124654E-324</v>
      </c>
      <c r="P18" s="53">
        <v>1.091</v>
      </c>
      <c r="Q18" s="96" t="s">
        <v>273</v>
      </c>
    </row>
    <row r="19" spans="1:17" ht="14.4" customHeight="1" x14ac:dyDescent="0.3">
      <c r="A19" s="15" t="s">
        <v>47</v>
      </c>
      <c r="B19" s="51">
        <v>217.001093616248</v>
      </c>
      <c r="C19" s="52">
        <v>18.083424468019999</v>
      </c>
      <c r="D19" s="52">
        <v>18.67754</v>
      </c>
      <c r="E19" s="52">
        <v>9.9350400000000008</v>
      </c>
      <c r="F19" s="52">
        <v>15.028449999999999</v>
      </c>
      <c r="G19" s="52">
        <v>8.6847899999999996</v>
      </c>
      <c r="H19" s="52">
        <v>4.9406564584124654E-324</v>
      </c>
      <c r="I19" s="52">
        <v>4.9406564584124654E-324</v>
      </c>
      <c r="J19" s="52">
        <v>4.9406564584124654E-324</v>
      </c>
      <c r="K19" s="52">
        <v>4.9406564584124654E-324</v>
      </c>
      <c r="L19" s="52">
        <v>4.9406564584124654E-324</v>
      </c>
      <c r="M19" s="52">
        <v>4.9406564584124654E-324</v>
      </c>
      <c r="N19" s="52">
        <v>4.9406564584124654E-324</v>
      </c>
      <c r="O19" s="52">
        <v>4.9406564584124654E-324</v>
      </c>
      <c r="P19" s="53">
        <v>52.32582</v>
      </c>
      <c r="Q19" s="96">
        <v>0.72339478748200003</v>
      </c>
    </row>
    <row r="20" spans="1:17" ht="14.4" customHeight="1" x14ac:dyDescent="0.3">
      <c r="A20" s="15" t="s">
        <v>48</v>
      </c>
      <c r="B20" s="51">
        <v>6771.0335440683002</v>
      </c>
      <c r="C20" s="52">
        <v>564.25279533902506</v>
      </c>
      <c r="D20" s="52">
        <v>533.415240000003</v>
      </c>
      <c r="E20" s="52">
        <v>518.53435999999999</v>
      </c>
      <c r="F20" s="52">
        <v>510.29311000000001</v>
      </c>
      <c r="G20" s="52">
        <v>539.13508999999999</v>
      </c>
      <c r="H20" s="52">
        <v>4.9406564584124654E-324</v>
      </c>
      <c r="I20" s="52">
        <v>4.9406564584124654E-324</v>
      </c>
      <c r="J20" s="52">
        <v>4.9406564584124654E-324</v>
      </c>
      <c r="K20" s="52">
        <v>4.9406564584124654E-324</v>
      </c>
      <c r="L20" s="52">
        <v>4.9406564584124654E-324</v>
      </c>
      <c r="M20" s="52">
        <v>4.9406564584124654E-324</v>
      </c>
      <c r="N20" s="52">
        <v>4.9406564584124654E-324</v>
      </c>
      <c r="O20" s="52">
        <v>4.9406564584124654E-324</v>
      </c>
      <c r="P20" s="53">
        <v>2101.3778000000002</v>
      </c>
      <c r="Q20" s="96">
        <v>0.93104447924599998</v>
      </c>
    </row>
    <row r="21" spans="1:17" ht="14.4" customHeight="1" x14ac:dyDescent="0.3">
      <c r="A21" s="16" t="s">
        <v>49</v>
      </c>
      <c r="B21" s="51">
        <v>288.99459154803202</v>
      </c>
      <c r="C21" s="52">
        <v>24.082882629002</v>
      </c>
      <c r="D21" s="52">
        <v>24.091000000000001</v>
      </c>
      <c r="E21" s="52">
        <v>24.091000000000001</v>
      </c>
      <c r="F21" s="52">
        <v>24.091000000000001</v>
      </c>
      <c r="G21" s="52">
        <v>24.091000000000001</v>
      </c>
      <c r="H21" s="52">
        <v>1.4821969375237396E-323</v>
      </c>
      <c r="I21" s="52">
        <v>1.4821969375237396E-323</v>
      </c>
      <c r="J21" s="52">
        <v>1.4821969375237396E-323</v>
      </c>
      <c r="K21" s="52">
        <v>1.4821969375237396E-323</v>
      </c>
      <c r="L21" s="52">
        <v>1.4821969375237396E-323</v>
      </c>
      <c r="M21" s="52">
        <v>1.4821969375237396E-323</v>
      </c>
      <c r="N21" s="52">
        <v>1.4821969375237396E-323</v>
      </c>
      <c r="O21" s="52">
        <v>1.4821969375237396E-323</v>
      </c>
      <c r="P21" s="53">
        <v>96.364000000000004</v>
      </c>
      <c r="Q21" s="96">
        <v>1.000337059774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4.9406564584124654E-324</v>
      </c>
      <c r="E22" s="52">
        <v>4.9406564584124654E-324</v>
      </c>
      <c r="F22" s="52">
        <v>4.9406564584124654E-324</v>
      </c>
      <c r="G22" s="52">
        <v>4.9406564584124654E-324</v>
      </c>
      <c r="H22" s="52">
        <v>4.9406564584124654E-324</v>
      </c>
      <c r="I22" s="52">
        <v>4.9406564584124654E-324</v>
      </c>
      <c r="J22" s="52">
        <v>4.9406564584124654E-324</v>
      </c>
      <c r="K22" s="52">
        <v>4.9406564584124654E-324</v>
      </c>
      <c r="L22" s="52">
        <v>4.9406564584124654E-324</v>
      </c>
      <c r="M22" s="52">
        <v>4.9406564584124654E-324</v>
      </c>
      <c r="N22" s="52">
        <v>4.9406564584124654E-324</v>
      </c>
      <c r="O22" s="52">
        <v>4.9406564584124654E-324</v>
      </c>
      <c r="P22" s="53">
        <v>1.9762625833649862E-323</v>
      </c>
      <c r="Q22" s="96" t="s">
        <v>273</v>
      </c>
    </row>
    <row r="23" spans="1:17" ht="14.4" customHeight="1" x14ac:dyDescent="0.3">
      <c r="A23" s="16" t="s">
        <v>51</v>
      </c>
      <c r="B23" s="51">
        <v>1.9762625833649862E-323</v>
      </c>
      <c r="C23" s="52">
        <v>0</v>
      </c>
      <c r="D23" s="52">
        <v>1.9762625833649862E-323</v>
      </c>
      <c r="E23" s="52">
        <v>1.9762625833649862E-323</v>
      </c>
      <c r="F23" s="52">
        <v>1.9762625833649862E-323</v>
      </c>
      <c r="G23" s="52">
        <v>1.9762625833649862E-323</v>
      </c>
      <c r="H23" s="52">
        <v>1.9762625833649862E-323</v>
      </c>
      <c r="I23" s="52">
        <v>1.9762625833649862E-323</v>
      </c>
      <c r="J23" s="52">
        <v>1.9762625833649862E-323</v>
      </c>
      <c r="K23" s="52">
        <v>1.9762625833649862E-323</v>
      </c>
      <c r="L23" s="52">
        <v>1.9762625833649862E-323</v>
      </c>
      <c r="M23" s="52">
        <v>1.9762625833649862E-323</v>
      </c>
      <c r="N23" s="52">
        <v>1.9762625833649862E-323</v>
      </c>
      <c r="O23" s="52">
        <v>1.9762625833649862E-323</v>
      </c>
      <c r="P23" s="53">
        <v>7.9050503334599447E-323</v>
      </c>
      <c r="Q23" s="96" t="s">
        <v>273</v>
      </c>
    </row>
    <row r="24" spans="1:17" ht="14.4" customHeight="1" x14ac:dyDescent="0.3">
      <c r="A24" s="16" t="s">
        <v>52</v>
      </c>
      <c r="B24" s="51">
        <v>1.8189894035458601E-12</v>
      </c>
      <c r="C24" s="52">
        <v>0</v>
      </c>
      <c r="D24" s="52">
        <v>0</v>
      </c>
      <c r="E24" s="52">
        <v>0</v>
      </c>
      <c r="F24" s="52">
        <v>1.13686837721616E-13</v>
      </c>
      <c r="G24" s="52">
        <v>0</v>
      </c>
      <c r="H24" s="52">
        <v>-1.0869444208507424E-322</v>
      </c>
      <c r="I24" s="52">
        <v>-1.0869444208507424E-322</v>
      </c>
      <c r="J24" s="52">
        <v>-1.0869444208507424E-322</v>
      </c>
      <c r="K24" s="52">
        <v>-1.0869444208507424E-322</v>
      </c>
      <c r="L24" s="52">
        <v>-1.0869444208507424E-322</v>
      </c>
      <c r="M24" s="52">
        <v>-1.0869444208507424E-322</v>
      </c>
      <c r="N24" s="52">
        <v>-1.0869444208507424E-322</v>
      </c>
      <c r="O24" s="52">
        <v>-1.0869444208507424E-322</v>
      </c>
      <c r="P24" s="53">
        <v>1.13686837721616E-13</v>
      </c>
      <c r="Q24" s="96"/>
    </row>
    <row r="25" spans="1:17" ht="14.4" customHeight="1" x14ac:dyDescent="0.3">
      <c r="A25" s="17" t="s">
        <v>53</v>
      </c>
      <c r="B25" s="54">
        <v>9511.0081773865604</v>
      </c>
      <c r="C25" s="55">
        <v>792.58401478221299</v>
      </c>
      <c r="D25" s="55">
        <v>778.05569000000401</v>
      </c>
      <c r="E25" s="55">
        <v>720.72677999999996</v>
      </c>
      <c r="F25" s="55">
        <v>716.20755999999994</v>
      </c>
      <c r="G25" s="55">
        <v>785.52828</v>
      </c>
      <c r="H25" s="55">
        <v>4.9406564584124654E-324</v>
      </c>
      <c r="I25" s="55">
        <v>4.9406564584124654E-324</v>
      </c>
      <c r="J25" s="55">
        <v>4.9406564584124654E-324</v>
      </c>
      <c r="K25" s="55">
        <v>4.9406564584124654E-324</v>
      </c>
      <c r="L25" s="55">
        <v>4.9406564584124654E-324</v>
      </c>
      <c r="M25" s="55">
        <v>4.9406564584124654E-324</v>
      </c>
      <c r="N25" s="55">
        <v>4.9406564584124654E-324</v>
      </c>
      <c r="O25" s="55">
        <v>4.9406564584124654E-324</v>
      </c>
      <c r="P25" s="56">
        <v>3000.5183099999999</v>
      </c>
      <c r="Q25" s="97">
        <v>0.94643541064299996</v>
      </c>
    </row>
    <row r="26" spans="1:17" ht="14.4" customHeight="1" x14ac:dyDescent="0.3">
      <c r="A26" s="15" t="s">
        <v>54</v>
      </c>
      <c r="B26" s="51">
        <v>1321.0015593989201</v>
      </c>
      <c r="C26" s="52">
        <v>110.083463283244</v>
      </c>
      <c r="D26" s="52">
        <v>98.418880000000001</v>
      </c>
      <c r="E26" s="52">
        <v>87.53931</v>
      </c>
      <c r="F26" s="52">
        <v>94.741699999999994</v>
      </c>
      <c r="G26" s="52">
        <v>97.930310000000006</v>
      </c>
      <c r="H26" s="52">
        <v>4.9406564584124654E-324</v>
      </c>
      <c r="I26" s="52">
        <v>4.9406564584124654E-324</v>
      </c>
      <c r="J26" s="52">
        <v>4.9406564584124654E-324</v>
      </c>
      <c r="K26" s="52">
        <v>4.9406564584124654E-324</v>
      </c>
      <c r="L26" s="52">
        <v>4.9406564584124654E-324</v>
      </c>
      <c r="M26" s="52">
        <v>4.9406564584124654E-324</v>
      </c>
      <c r="N26" s="52">
        <v>4.9406564584124654E-324</v>
      </c>
      <c r="O26" s="52">
        <v>4.9406564584124654E-324</v>
      </c>
      <c r="P26" s="53">
        <v>378.6302</v>
      </c>
      <c r="Q26" s="96">
        <v>0.85987074876400005</v>
      </c>
    </row>
    <row r="27" spans="1:17" ht="14.4" customHeight="1" x14ac:dyDescent="0.3">
      <c r="A27" s="18" t="s">
        <v>55</v>
      </c>
      <c r="B27" s="54">
        <v>10832.0097367855</v>
      </c>
      <c r="C27" s="55">
        <v>902.66747806545595</v>
      </c>
      <c r="D27" s="55">
        <v>876.47457000000395</v>
      </c>
      <c r="E27" s="55">
        <v>808.26608999999996</v>
      </c>
      <c r="F27" s="55">
        <v>810.94925999999998</v>
      </c>
      <c r="G27" s="55">
        <v>883.45858999999996</v>
      </c>
      <c r="H27" s="55">
        <v>9.8813129168249309E-324</v>
      </c>
      <c r="I27" s="55">
        <v>9.8813129168249309E-324</v>
      </c>
      <c r="J27" s="55">
        <v>9.8813129168249309E-324</v>
      </c>
      <c r="K27" s="55">
        <v>9.8813129168249309E-324</v>
      </c>
      <c r="L27" s="55">
        <v>9.8813129168249309E-324</v>
      </c>
      <c r="M27" s="55">
        <v>9.8813129168249309E-324</v>
      </c>
      <c r="N27" s="55">
        <v>9.8813129168249309E-324</v>
      </c>
      <c r="O27" s="55">
        <v>9.8813129168249309E-324</v>
      </c>
      <c r="P27" s="56">
        <v>3379.14851</v>
      </c>
      <c r="Q27" s="97">
        <v>0.93587854667199999</v>
      </c>
    </row>
    <row r="28" spans="1:17" ht="14.4" customHeight="1" x14ac:dyDescent="0.3">
      <c r="A28" s="16" t="s">
        <v>56</v>
      </c>
      <c r="B28" s="51">
        <v>3641.8615312176298</v>
      </c>
      <c r="C28" s="52">
        <v>303.48846093480199</v>
      </c>
      <c r="D28" s="52">
        <v>309.96321</v>
      </c>
      <c r="E28" s="52">
        <v>300.09784999999999</v>
      </c>
      <c r="F28" s="52">
        <v>326.46519999999998</v>
      </c>
      <c r="G28" s="52">
        <v>396.73505999999998</v>
      </c>
      <c r="H28" s="52">
        <v>1.2351641146031164E-322</v>
      </c>
      <c r="I28" s="52">
        <v>1.2351641146031164E-322</v>
      </c>
      <c r="J28" s="52">
        <v>1.2351641146031164E-322</v>
      </c>
      <c r="K28" s="52">
        <v>1.2351641146031164E-322</v>
      </c>
      <c r="L28" s="52">
        <v>1.2351641146031164E-322</v>
      </c>
      <c r="M28" s="52">
        <v>1.2351641146031164E-322</v>
      </c>
      <c r="N28" s="52">
        <v>1.2351641146031164E-322</v>
      </c>
      <c r="O28" s="52">
        <v>1.2351641146031164E-322</v>
      </c>
      <c r="P28" s="53">
        <v>1333.2613200000001</v>
      </c>
      <c r="Q28" s="96">
        <v>1.098280076195</v>
      </c>
    </row>
    <row r="29" spans="1:17" ht="14.4" customHeight="1" x14ac:dyDescent="0.3">
      <c r="A29" s="16" t="s">
        <v>57</v>
      </c>
      <c r="B29" s="51">
        <v>9.8813129168249309E-324</v>
      </c>
      <c r="C29" s="52">
        <v>0</v>
      </c>
      <c r="D29" s="52">
        <v>9.8813129168249309E-324</v>
      </c>
      <c r="E29" s="52">
        <v>9.8813129168249309E-324</v>
      </c>
      <c r="F29" s="52">
        <v>9.8813129168249309E-324</v>
      </c>
      <c r="G29" s="52">
        <v>9.8813129168249309E-324</v>
      </c>
      <c r="H29" s="52">
        <v>9.8813129168249309E-324</v>
      </c>
      <c r="I29" s="52">
        <v>9.8813129168249309E-324</v>
      </c>
      <c r="J29" s="52">
        <v>9.8813129168249309E-324</v>
      </c>
      <c r="K29" s="52">
        <v>9.8813129168249309E-324</v>
      </c>
      <c r="L29" s="52">
        <v>9.8813129168249309E-324</v>
      </c>
      <c r="M29" s="52">
        <v>9.8813129168249309E-324</v>
      </c>
      <c r="N29" s="52">
        <v>9.8813129168249309E-324</v>
      </c>
      <c r="O29" s="52">
        <v>9.8813129168249309E-324</v>
      </c>
      <c r="P29" s="53">
        <v>3.9525251667299724E-323</v>
      </c>
      <c r="Q29" s="96" t="s">
        <v>273</v>
      </c>
    </row>
    <row r="30" spans="1:17" ht="14.4" customHeight="1" x14ac:dyDescent="0.3">
      <c r="A30" s="16" t="s">
        <v>58</v>
      </c>
      <c r="B30" s="51">
        <v>4.9406564584124654E-323</v>
      </c>
      <c r="C30" s="52">
        <v>0</v>
      </c>
      <c r="D30" s="52">
        <v>4.9406564584124654E-323</v>
      </c>
      <c r="E30" s="52">
        <v>4.9406564584124654E-323</v>
      </c>
      <c r="F30" s="52">
        <v>4.9406564584124654E-323</v>
      </c>
      <c r="G30" s="52">
        <v>4.9406564584124654E-323</v>
      </c>
      <c r="H30" s="52">
        <v>4.9406564584124654E-323</v>
      </c>
      <c r="I30" s="52">
        <v>4.9406564584124654E-323</v>
      </c>
      <c r="J30" s="52">
        <v>4.9406564584124654E-323</v>
      </c>
      <c r="K30" s="52">
        <v>4.9406564584124654E-323</v>
      </c>
      <c r="L30" s="52">
        <v>4.9406564584124654E-323</v>
      </c>
      <c r="M30" s="52">
        <v>4.9406564584124654E-323</v>
      </c>
      <c r="N30" s="52">
        <v>4.9406564584124654E-323</v>
      </c>
      <c r="O30" s="52">
        <v>4.9406564584124654E-323</v>
      </c>
      <c r="P30" s="53">
        <v>1.9762625833649862E-322</v>
      </c>
      <c r="Q30" s="96">
        <v>0</v>
      </c>
    </row>
    <row r="31" spans="1:17" ht="14.4" customHeight="1" thickBot="1" x14ac:dyDescent="0.35">
      <c r="A31" s="19" t="s">
        <v>59</v>
      </c>
      <c r="B31" s="57">
        <v>2.4703282292062327E-323</v>
      </c>
      <c r="C31" s="58">
        <v>0</v>
      </c>
      <c r="D31" s="58">
        <v>2.4703282292062327E-323</v>
      </c>
      <c r="E31" s="58">
        <v>2.4703282292062327E-323</v>
      </c>
      <c r="F31" s="58">
        <v>2.4703282292062327E-323</v>
      </c>
      <c r="G31" s="58">
        <v>2.4703282292062327E-323</v>
      </c>
      <c r="H31" s="58">
        <v>2.4703282292062327E-323</v>
      </c>
      <c r="I31" s="58">
        <v>2.4703282292062327E-323</v>
      </c>
      <c r="J31" s="58">
        <v>2.4703282292062327E-323</v>
      </c>
      <c r="K31" s="58">
        <v>2.4703282292062327E-323</v>
      </c>
      <c r="L31" s="58">
        <v>2.4703282292062327E-323</v>
      </c>
      <c r="M31" s="58">
        <v>2.4703282292062327E-323</v>
      </c>
      <c r="N31" s="58">
        <v>2.4703282292062327E-323</v>
      </c>
      <c r="O31" s="58">
        <v>2.4703282292062327E-323</v>
      </c>
      <c r="P31" s="59">
        <v>9.8813129168249309E-323</v>
      </c>
      <c r="Q31" s="98" t="s">
        <v>273</v>
      </c>
    </row>
    <row r="32" spans="1:17" ht="14.4" customHeight="1" x14ac:dyDescent="0.3"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</row>
    <row r="33" spans="1:17" ht="14.4" customHeight="1" x14ac:dyDescent="0.3">
      <c r="A33" s="116" t="s">
        <v>166</v>
      </c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</row>
    <row r="34" spans="1:17" ht="14.4" customHeight="1" x14ac:dyDescent="0.3">
      <c r="A34" s="139" t="s">
        <v>193</v>
      </c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</row>
    <row r="35" spans="1:17" ht="14.4" customHeight="1" x14ac:dyDescent="0.3">
      <c r="A35" s="140" t="s">
        <v>60</v>
      </c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6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3" customWidth="1"/>
    <col min="2" max="11" width="10" style="133" customWidth="1"/>
    <col min="12" max="16384" width="8.88671875" style="133"/>
  </cols>
  <sheetData>
    <row r="1" spans="1:11" s="60" customFormat="1" ht="18.600000000000001" customHeight="1" thickBot="1" x14ac:dyDescent="0.4">
      <c r="A1" s="319" t="s">
        <v>61</v>
      </c>
      <c r="B1" s="319"/>
      <c r="C1" s="319"/>
      <c r="D1" s="319"/>
      <c r="E1" s="319"/>
      <c r="F1" s="319"/>
      <c r="G1" s="319"/>
      <c r="H1" s="324"/>
      <c r="I1" s="324"/>
      <c r="J1" s="324"/>
      <c r="K1" s="324"/>
    </row>
    <row r="2" spans="1:11" s="60" customFormat="1" ht="14.4" customHeight="1" thickBot="1" x14ac:dyDescent="0.35">
      <c r="A2" s="240" t="s">
        <v>272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20" t="s">
        <v>62</v>
      </c>
      <c r="C3" s="321"/>
      <c r="D3" s="321"/>
      <c r="E3" s="321"/>
      <c r="F3" s="327" t="s">
        <v>63</v>
      </c>
      <c r="G3" s="321"/>
      <c r="H3" s="321"/>
      <c r="I3" s="321"/>
      <c r="J3" s="321"/>
      <c r="K3" s="328"/>
    </row>
    <row r="4" spans="1:11" ht="14.4" customHeight="1" x14ac:dyDescent="0.3">
      <c r="A4" s="77"/>
      <c r="B4" s="325"/>
      <c r="C4" s="326"/>
      <c r="D4" s="326"/>
      <c r="E4" s="326"/>
      <c r="F4" s="329" t="s">
        <v>189</v>
      </c>
      <c r="G4" s="331" t="s">
        <v>64</v>
      </c>
      <c r="H4" s="144" t="s">
        <v>147</v>
      </c>
      <c r="I4" s="329" t="s">
        <v>65</v>
      </c>
      <c r="J4" s="331" t="s">
        <v>191</v>
      </c>
      <c r="K4" s="332" t="s">
        <v>192</v>
      </c>
    </row>
    <row r="5" spans="1:11" ht="42" thickBot="1" x14ac:dyDescent="0.35">
      <c r="A5" s="78"/>
      <c r="B5" s="24" t="s">
        <v>185</v>
      </c>
      <c r="C5" s="25" t="s">
        <v>186</v>
      </c>
      <c r="D5" s="26" t="s">
        <v>187</v>
      </c>
      <c r="E5" s="26" t="s">
        <v>188</v>
      </c>
      <c r="F5" s="330"/>
      <c r="G5" s="330"/>
      <c r="H5" s="25" t="s">
        <v>190</v>
      </c>
      <c r="I5" s="330"/>
      <c r="J5" s="330"/>
      <c r="K5" s="333"/>
    </row>
    <row r="6" spans="1:11" ht="14.4" customHeight="1" thickBot="1" x14ac:dyDescent="0.35">
      <c r="A6" s="411" t="s">
        <v>275</v>
      </c>
      <c r="B6" s="393">
        <v>9055.7816558676805</v>
      </c>
      <c r="C6" s="393">
        <v>9257.4608100000005</v>
      </c>
      <c r="D6" s="394">
        <v>201.67915413232899</v>
      </c>
      <c r="E6" s="395">
        <v>1.0222707615740001</v>
      </c>
      <c r="F6" s="393">
        <v>9511.0081773865604</v>
      </c>
      <c r="G6" s="394">
        <v>3170.3360591288501</v>
      </c>
      <c r="H6" s="396">
        <v>785.52828</v>
      </c>
      <c r="I6" s="393">
        <v>3000.5183099999999</v>
      </c>
      <c r="J6" s="394">
        <v>-169.81774912884799</v>
      </c>
      <c r="K6" s="397">
        <v>0.315478470214</v>
      </c>
    </row>
    <row r="7" spans="1:11" ht="14.4" customHeight="1" thickBot="1" x14ac:dyDescent="0.35">
      <c r="A7" s="412" t="s">
        <v>276</v>
      </c>
      <c r="B7" s="393">
        <v>2451.11857005409</v>
      </c>
      <c r="C7" s="393">
        <v>1994.7084400000001</v>
      </c>
      <c r="D7" s="394">
        <v>-456.410130054089</v>
      </c>
      <c r="E7" s="395">
        <v>0.81379516453</v>
      </c>
      <c r="F7" s="393">
        <v>2178.7163046861501</v>
      </c>
      <c r="G7" s="394">
        <v>726.238768228715</v>
      </c>
      <c r="H7" s="396">
        <v>181.63372000000001</v>
      </c>
      <c r="I7" s="393">
        <v>709.34024000000102</v>
      </c>
      <c r="J7" s="394">
        <v>-16.898528228714</v>
      </c>
      <c r="K7" s="397">
        <v>0.32557714764099999</v>
      </c>
    </row>
    <row r="8" spans="1:11" ht="14.4" customHeight="1" thickBot="1" x14ac:dyDescent="0.35">
      <c r="A8" s="413" t="s">
        <v>277</v>
      </c>
      <c r="B8" s="393">
        <v>1167.7569883005101</v>
      </c>
      <c r="C8" s="393">
        <v>767.04643999999996</v>
      </c>
      <c r="D8" s="394">
        <v>-400.710548300509</v>
      </c>
      <c r="E8" s="395">
        <v>0.65685450627499997</v>
      </c>
      <c r="F8" s="393">
        <v>992.14514976648695</v>
      </c>
      <c r="G8" s="394">
        <v>330.715049922162</v>
      </c>
      <c r="H8" s="396">
        <v>94.459720000000004</v>
      </c>
      <c r="I8" s="393">
        <v>259.40924000000001</v>
      </c>
      <c r="J8" s="394">
        <v>-71.305809922161998</v>
      </c>
      <c r="K8" s="397">
        <v>0.26146299264799999</v>
      </c>
    </row>
    <row r="9" spans="1:11" ht="14.4" customHeight="1" thickBot="1" x14ac:dyDescent="0.35">
      <c r="A9" s="414" t="s">
        <v>278</v>
      </c>
      <c r="B9" s="398">
        <v>1004.85308138937</v>
      </c>
      <c r="C9" s="398">
        <v>582.44007999999997</v>
      </c>
      <c r="D9" s="399">
        <v>-422.41300138937402</v>
      </c>
      <c r="E9" s="400">
        <v>0.57962710249600002</v>
      </c>
      <c r="F9" s="398">
        <v>799.04018947148097</v>
      </c>
      <c r="G9" s="399">
        <v>266.34672982382699</v>
      </c>
      <c r="H9" s="401">
        <v>76.879819999999995</v>
      </c>
      <c r="I9" s="398">
        <v>208.64608999999999</v>
      </c>
      <c r="J9" s="399">
        <v>-57.700639823826002</v>
      </c>
      <c r="K9" s="402">
        <v>0.261120895731</v>
      </c>
    </row>
    <row r="10" spans="1:11" ht="14.4" customHeight="1" thickBot="1" x14ac:dyDescent="0.35">
      <c r="A10" s="415" t="s">
        <v>279</v>
      </c>
      <c r="B10" s="393">
        <v>1002.86531696445</v>
      </c>
      <c r="C10" s="393">
        <v>582.40260999999998</v>
      </c>
      <c r="D10" s="394">
        <v>-420.46270696445202</v>
      </c>
      <c r="E10" s="395">
        <v>0.58073860980900005</v>
      </c>
      <c r="F10" s="393">
        <v>799.00226389420004</v>
      </c>
      <c r="G10" s="394">
        <v>266.33408796473299</v>
      </c>
      <c r="H10" s="396">
        <v>76.879819999999995</v>
      </c>
      <c r="I10" s="393">
        <v>208.64608999999999</v>
      </c>
      <c r="J10" s="394">
        <v>-57.687997964733</v>
      </c>
      <c r="K10" s="397">
        <v>0.261133290139</v>
      </c>
    </row>
    <row r="11" spans="1:11" ht="14.4" customHeight="1" thickBot="1" x14ac:dyDescent="0.35">
      <c r="A11" s="415" t="s">
        <v>280</v>
      </c>
      <c r="B11" s="393">
        <v>1.000010671733</v>
      </c>
      <c r="C11" s="393">
        <v>3.7470000000000003E-2</v>
      </c>
      <c r="D11" s="394">
        <v>-0.96254067173299995</v>
      </c>
      <c r="E11" s="395">
        <v>3.7469600133999997E-2</v>
      </c>
      <c r="F11" s="393">
        <v>3.7925577279999997E-2</v>
      </c>
      <c r="G11" s="394">
        <v>1.2641859093E-2</v>
      </c>
      <c r="H11" s="396">
        <v>4.9406564584124654E-324</v>
      </c>
      <c r="I11" s="393">
        <v>1.9762625833649862E-323</v>
      </c>
      <c r="J11" s="394">
        <v>-1.2641859093E-2</v>
      </c>
      <c r="K11" s="397">
        <v>5.1876892813330887E-322</v>
      </c>
    </row>
    <row r="12" spans="1:11" ht="14.4" customHeight="1" thickBot="1" x14ac:dyDescent="0.35">
      <c r="A12" s="414" t="s">
        <v>281</v>
      </c>
      <c r="B12" s="398">
        <v>86.581388003870998</v>
      </c>
      <c r="C12" s="398">
        <v>81.502390000000005</v>
      </c>
      <c r="D12" s="399">
        <v>-5.0789980038709999</v>
      </c>
      <c r="E12" s="400">
        <v>0.94133845482300005</v>
      </c>
      <c r="F12" s="398">
        <v>81.939126417829996</v>
      </c>
      <c r="G12" s="399">
        <v>27.313042139276</v>
      </c>
      <c r="H12" s="401">
        <v>5.43926</v>
      </c>
      <c r="I12" s="398">
        <v>16.461349999999999</v>
      </c>
      <c r="J12" s="399">
        <v>-10.851692139276</v>
      </c>
      <c r="K12" s="402">
        <v>0.20089730901</v>
      </c>
    </row>
    <row r="13" spans="1:11" ht="14.4" customHeight="1" thickBot="1" x14ac:dyDescent="0.35">
      <c r="A13" s="415" t="s">
        <v>282</v>
      </c>
      <c r="B13" s="393">
        <v>7</v>
      </c>
      <c r="C13" s="393">
        <v>11.908609999999999</v>
      </c>
      <c r="D13" s="394">
        <v>4.9086100000000004</v>
      </c>
      <c r="E13" s="395">
        <v>1.70123</v>
      </c>
      <c r="F13" s="393">
        <v>12.908599045861999</v>
      </c>
      <c r="G13" s="394">
        <v>4.3028663486200003</v>
      </c>
      <c r="H13" s="396">
        <v>1.34673</v>
      </c>
      <c r="I13" s="393">
        <v>4.9694700000000003</v>
      </c>
      <c r="J13" s="394">
        <v>0.66660365137900002</v>
      </c>
      <c r="K13" s="397">
        <v>0.38497361195699997</v>
      </c>
    </row>
    <row r="14" spans="1:11" ht="14.4" customHeight="1" thickBot="1" x14ac:dyDescent="0.35">
      <c r="A14" s="415" t="s">
        <v>283</v>
      </c>
      <c r="B14" s="393">
        <v>3.0494912279399999</v>
      </c>
      <c r="C14" s="393">
        <v>2.3810899999999999</v>
      </c>
      <c r="D14" s="394">
        <v>-0.66840122794000001</v>
      </c>
      <c r="E14" s="395">
        <v>0.780815494133</v>
      </c>
      <c r="F14" s="393">
        <v>2.3865047211979999</v>
      </c>
      <c r="G14" s="394">
        <v>0.79550157373200003</v>
      </c>
      <c r="H14" s="396">
        <v>0.12428</v>
      </c>
      <c r="I14" s="393">
        <v>0.49342999999999998</v>
      </c>
      <c r="J14" s="394">
        <v>-0.302071573732</v>
      </c>
      <c r="K14" s="397">
        <v>0.20675844284600001</v>
      </c>
    </row>
    <row r="15" spans="1:11" ht="14.4" customHeight="1" thickBot="1" x14ac:dyDescent="0.35">
      <c r="A15" s="415" t="s">
        <v>284</v>
      </c>
      <c r="B15" s="393">
        <v>32.914959169917999</v>
      </c>
      <c r="C15" s="393">
        <v>31.546330000000001</v>
      </c>
      <c r="D15" s="394">
        <v>-1.368629169918</v>
      </c>
      <c r="E15" s="395">
        <v>0.95841923537399998</v>
      </c>
      <c r="F15" s="393">
        <v>31.546092350763999</v>
      </c>
      <c r="G15" s="394">
        <v>10.515364116921001</v>
      </c>
      <c r="H15" s="396">
        <v>1.71225</v>
      </c>
      <c r="I15" s="393">
        <v>4.9854500000000002</v>
      </c>
      <c r="J15" s="394">
        <v>-5.5299141169209998</v>
      </c>
      <c r="K15" s="397">
        <v>0.15803700643999999</v>
      </c>
    </row>
    <row r="16" spans="1:11" ht="14.4" customHeight="1" thickBot="1" x14ac:dyDescent="0.35">
      <c r="A16" s="415" t="s">
        <v>285</v>
      </c>
      <c r="B16" s="393">
        <v>38.666712446882002</v>
      </c>
      <c r="C16" s="393">
        <v>31.576000000000001</v>
      </c>
      <c r="D16" s="394">
        <v>-7.0907124468819998</v>
      </c>
      <c r="E16" s="395">
        <v>0.81661972280100004</v>
      </c>
      <c r="F16" s="393">
        <v>30.932619226945999</v>
      </c>
      <c r="G16" s="394">
        <v>10.310873075648001</v>
      </c>
      <c r="H16" s="396">
        <v>1.6319999999999999</v>
      </c>
      <c r="I16" s="393">
        <v>4.9000000000000004</v>
      </c>
      <c r="J16" s="394">
        <v>-5.4108730756480004</v>
      </c>
      <c r="K16" s="397">
        <v>0.158408829334</v>
      </c>
    </row>
    <row r="17" spans="1:11" ht="14.4" customHeight="1" thickBot="1" x14ac:dyDescent="0.35">
      <c r="A17" s="415" t="s">
        <v>286</v>
      </c>
      <c r="B17" s="393">
        <v>3</v>
      </c>
      <c r="C17" s="393">
        <v>1.46336</v>
      </c>
      <c r="D17" s="394">
        <v>-1.53664</v>
      </c>
      <c r="E17" s="395">
        <v>0.48778666666600001</v>
      </c>
      <c r="F17" s="393">
        <v>1.501137758447</v>
      </c>
      <c r="G17" s="394">
        <v>0.50037925281499995</v>
      </c>
      <c r="H17" s="396">
        <v>0.47</v>
      </c>
      <c r="I17" s="393">
        <v>0.65</v>
      </c>
      <c r="J17" s="394">
        <v>0.14962074718400001</v>
      </c>
      <c r="K17" s="397">
        <v>0.43300489667999997</v>
      </c>
    </row>
    <row r="18" spans="1:11" ht="14.4" customHeight="1" thickBot="1" x14ac:dyDescent="0.35">
      <c r="A18" s="415" t="s">
        <v>287</v>
      </c>
      <c r="B18" s="393">
        <v>1.9502251591299999</v>
      </c>
      <c r="C18" s="393">
        <v>2.6269999999999998</v>
      </c>
      <c r="D18" s="394">
        <v>0.67677484086899997</v>
      </c>
      <c r="E18" s="395">
        <v>1.3470239514140001</v>
      </c>
      <c r="F18" s="393">
        <v>2.6641733146109998</v>
      </c>
      <c r="G18" s="394">
        <v>0.88805777153700005</v>
      </c>
      <c r="H18" s="396">
        <v>0.154</v>
      </c>
      <c r="I18" s="393">
        <v>0.46300000000000002</v>
      </c>
      <c r="J18" s="394">
        <v>-0.42505777153699997</v>
      </c>
      <c r="K18" s="397">
        <v>0.173787492525</v>
      </c>
    </row>
    <row r="19" spans="1:11" ht="14.4" customHeight="1" thickBot="1" x14ac:dyDescent="0.35">
      <c r="A19" s="414" t="s">
        <v>288</v>
      </c>
      <c r="B19" s="398">
        <v>69.682502571588003</v>
      </c>
      <c r="C19" s="398">
        <v>93.896010000000004</v>
      </c>
      <c r="D19" s="399">
        <v>24.213507428412001</v>
      </c>
      <c r="E19" s="400">
        <v>1.347483321276</v>
      </c>
      <c r="F19" s="398">
        <v>100.800141184086</v>
      </c>
      <c r="G19" s="399">
        <v>33.600047061361998</v>
      </c>
      <c r="H19" s="401">
        <v>11.90929</v>
      </c>
      <c r="I19" s="398">
        <v>31.523099999999999</v>
      </c>
      <c r="J19" s="399">
        <v>-2.0769470613609999</v>
      </c>
      <c r="K19" s="402">
        <v>0.31272872864700002</v>
      </c>
    </row>
    <row r="20" spans="1:11" ht="14.4" customHeight="1" thickBot="1" x14ac:dyDescent="0.35">
      <c r="A20" s="415" t="s">
        <v>289</v>
      </c>
      <c r="B20" s="393">
        <v>4.5875915536500003</v>
      </c>
      <c r="C20" s="393">
        <v>20.984760000000001</v>
      </c>
      <c r="D20" s="394">
        <v>16.397168446348999</v>
      </c>
      <c r="E20" s="395">
        <v>4.5742433158200004</v>
      </c>
      <c r="F20" s="393">
        <v>24.218620319271</v>
      </c>
      <c r="G20" s="394">
        <v>8.0728734397570001</v>
      </c>
      <c r="H20" s="396">
        <v>4.9406564584124654E-324</v>
      </c>
      <c r="I20" s="393">
        <v>1.9762625833649862E-323</v>
      </c>
      <c r="J20" s="394">
        <v>-8.0728734397570001</v>
      </c>
      <c r="K20" s="397">
        <v>0</v>
      </c>
    </row>
    <row r="21" spans="1:11" ht="14.4" customHeight="1" thickBot="1" x14ac:dyDescent="0.35">
      <c r="A21" s="415" t="s">
        <v>290</v>
      </c>
      <c r="B21" s="393">
        <v>0</v>
      </c>
      <c r="C21" s="393">
        <v>0.22943</v>
      </c>
      <c r="D21" s="394">
        <v>0.22943</v>
      </c>
      <c r="E21" s="403" t="s">
        <v>273</v>
      </c>
      <c r="F21" s="393">
        <v>0.23093460057000001</v>
      </c>
      <c r="G21" s="394">
        <v>7.6978200189999998E-2</v>
      </c>
      <c r="H21" s="396">
        <v>3.218E-2</v>
      </c>
      <c r="I21" s="393">
        <v>6.5100000000000005E-2</v>
      </c>
      <c r="J21" s="394">
        <v>-1.187820019E-2</v>
      </c>
      <c r="K21" s="397">
        <v>0.28189799120199999</v>
      </c>
    </row>
    <row r="22" spans="1:11" ht="14.4" customHeight="1" thickBot="1" x14ac:dyDescent="0.35">
      <c r="A22" s="415" t="s">
        <v>291</v>
      </c>
      <c r="B22" s="393">
        <v>8.9995435723420005</v>
      </c>
      <c r="C22" s="393">
        <v>12.348269999999999</v>
      </c>
      <c r="D22" s="394">
        <v>3.3487264276570001</v>
      </c>
      <c r="E22" s="395">
        <v>1.372099584911</v>
      </c>
      <c r="F22" s="393">
        <v>12.702025100788999</v>
      </c>
      <c r="G22" s="394">
        <v>4.2340083669290003</v>
      </c>
      <c r="H22" s="396">
        <v>0.94447000000000003</v>
      </c>
      <c r="I22" s="393">
        <v>3.1501100000000002</v>
      </c>
      <c r="J22" s="394">
        <v>-1.0838983669290001</v>
      </c>
      <c r="K22" s="397">
        <v>0.248000612107</v>
      </c>
    </row>
    <row r="23" spans="1:11" ht="14.4" customHeight="1" thickBot="1" x14ac:dyDescent="0.35">
      <c r="A23" s="415" t="s">
        <v>292</v>
      </c>
      <c r="B23" s="393">
        <v>28.85466852291</v>
      </c>
      <c r="C23" s="393">
        <v>27.780080000000002</v>
      </c>
      <c r="D23" s="394">
        <v>-1.0745885229100001</v>
      </c>
      <c r="E23" s="395">
        <v>0.96275859062199998</v>
      </c>
      <c r="F23" s="393">
        <v>26.031246613278999</v>
      </c>
      <c r="G23" s="394">
        <v>8.6770822044260001</v>
      </c>
      <c r="H23" s="396">
        <v>2.1216699999999999</v>
      </c>
      <c r="I23" s="393">
        <v>7.8052599999999996</v>
      </c>
      <c r="J23" s="394">
        <v>-0.871822204426</v>
      </c>
      <c r="K23" s="397">
        <v>0.29984195977799999</v>
      </c>
    </row>
    <row r="24" spans="1:11" ht="14.4" customHeight="1" thickBot="1" x14ac:dyDescent="0.35">
      <c r="A24" s="415" t="s">
        <v>293</v>
      </c>
      <c r="B24" s="393">
        <v>1.7337157986730001</v>
      </c>
      <c r="C24" s="393">
        <v>2.3786200000000002</v>
      </c>
      <c r="D24" s="394">
        <v>0.64490420132600002</v>
      </c>
      <c r="E24" s="395">
        <v>1.3719780380490001</v>
      </c>
      <c r="F24" s="393">
        <v>4.9995948694530004</v>
      </c>
      <c r="G24" s="394">
        <v>1.6665316231509999</v>
      </c>
      <c r="H24" s="396">
        <v>5.7410000000000003E-2</v>
      </c>
      <c r="I24" s="393">
        <v>5.0588600000000001</v>
      </c>
      <c r="J24" s="394">
        <v>3.3923283768479999</v>
      </c>
      <c r="K24" s="397">
        <v>1.0118539865909999</v>
      </c>
    </row>
    <row r="25" spans="1:11" ht="14.4" customHeight="1" thickBot="1" x14ac:dyDescent="0.35">
      <c r="A25" s="415" t="s">
        <v>294</v>
      </c>
      <c r="B25" s="393">
        <v>25.506983124009999</v>
      </c>
      <c r="C25" s="393">
        <v>26.090890000000002</v>
      </c>
      <c r="D25" s="394">
        <v>0.58390687598900004</v>
      </c>
      <c r="E25" s="395">
        <v>1.0228920399220001</v>
      </c>
      <c r="F25" s="393">
        <v>29.171985844207999</v>
      </c>
      <c r="G25" s="394">
        <v>9.7239952814020008</v>
      </c>
      <c r="H25" s="396">
        <v>8.3936600000000006</v>
      </c>
      <c r="I25" s="393">
        <v>14.47068</v>
      </c>
      <c r="J25" s="394">
        <v>4.7466847185969998</v>
      </c>
      <c r="K25" s="397">
        <v>0.49604713499000003</v>
      </c>
    </row>
    <row r="26" spans="1:11" ht="14.4" customHeight="1" thickBot="1" x14ac:dyDescent="0.35">
      <c r="A26" s="415" t="s">
        <v>295</v>
      </c>
      <c r="B26" s="393">
        <v>4.9406564584124654E-324</v>
      </c>
      <c r="C26" s="393">
        <v>4.0839600000000003</v>
      </c>
      <c r="D26" s="394">
        <v>4.0839600000000003</v>
      </c>
      <c r="E26" s="403" t="s">
        <v>296</v>
      </c>
      <c r="F26" s="393">
        <v>3.4457338365119998</v>
      </c>
      <c r="G26" s="394">
        <v>1.1485779455039999</v>
      </c>
      <c r="H26" s="396">
        <v>0.3599</v>
      </c>
      <c r="I26" s="393">
        <v>0.97309000000000001</v>
      </c>
      <c r="J26" s="394">
        <v>-0.17548794550399999</v>
      </c>
      <c r="K26" s="397">
        <v>0.28240428488300001</v>
      </c>
    </row>
    <row r="27" spans="1:11" ht="14.4" customHeight="1" thickBot="1" x14ac:dyDescent="0.35">
      <c r="A27" s="414" t="s">
        <v>297</v>
      </c>
      <c r="B27" s="398">
        <v>1.283560915734</v>
      </c>
      <c r="C27" s="398">
        <v>5.0661300000000002</v>
      </c>
      <c r="D27" s="399">
        <v>3.7825690842649999</v>
      </c>
      <c r="E27" s="400">
        <v>3.9469338290809999</v>
      </c>
      <c r="F27" s="398">
        <v>4.8941998601070003</v>
      </c>
      <c r="G27" s="399">
        <v>1.631399953369</v>
      </c>
      <c r="H27" s="401">
        <v>4.9406564584124654E-324</v>
      </c>
      <c r="I27" s="398">
        <v>0.52186999999999995</v>
      </c>
      <c r="J27" s="399">
        <v>-1.109529953369</v>
      </c>
      <c r="K27" s="402">
        <v>0.106630300134</v>
      </c>
    </row>
    <row r="28" spans="1:11" ht="14.4" customHeight="1" thickBot="1" x14ac:dyDescent="0.35">
      <c r="A28" s="415" t="s">
        <v>298</v>
      </c>
      <c r="B28" s="393">
        <v>4.9406564584124654E-324</v>
      </c>
      <c r="C28" s="393">
        <v>2.0884</v>
      </c>
      <c r="D28" s="394">
        <v>2.0884</v>
      </c>
      <c r="E28" s="403" t="s">
        <v>296</v>
      </c>
      <c r="F28" s="393">
        <v>1.6917125969519999</v>
      </c>
      <c r="G28" s="394">
        <v>0.56390419898400002</v>
      </c>
      <c r="H28" s="396">
        <v>4.9406564584124654E-324</v>
      </c>
      <c r="I28" s="393">
        <v>1.9762625833649862E-323</v>
      </c>
      <c r="J28" s="394">
        <v>-0.56390419898400002</v>
      </c>
      <c r="K28" s="397">
        <v>9.8813129168249309E-324</v>
      </c>
    </row>
    <row r="29" spans="1:11" ht="14.4" customHeight="1" thickBot="1" x14ac:dyDescent="0.35">
      <c r="A29" s="415" t="s">
        <v>299</v>
      </c>
      <c r="B29" s="393">
        <v>0.220995897468</v>
      </c>
      <c r="C29" s="393">
        <v>2.9777300000000002</v>
      </c>
      <c r="D29" s="394">
        <v>2.7567341025309999</v>
      </c>
      <c r="E29" s="395">
        <v>13.474141529821001</v>
      </c>
      <c r="F29" s="393">
        <v>3.202487263154</v>
      </c>
      <c r="G29" s="394">
        <v>1.067495754384</v>
      </c>
      <c r="H29" s="396">
        <v>4.9406564584124654E-324</v>
      </c>
      <c r="I29" s="393">
        <v>0.52186999999999995</v>
      </c>
      <c r="J29" s="394">
        <v>-0.54562575438399996</v>
      </c>
      <c r="K29" s="397">
        <v>0.162957712901</v>
      </c>
    </row>
    <row r="30" spans="1:11" ht="14.4" customHeight="1" thickBot="1" x14ac:dyDescent="0.35">
      <c r="A30" s="414" t="s">
        <v>300</v>
      </c>
      <c r="B30" s="398">
        <v>5.3564554199399996</v>
      </c>
      <c r="C30" s="398">
        <v>4.1418299999999997</v>
      </c>
      <c r="D30" s="399">
        <v>-1.21462541994</v>
      </c>
      <c r="E30" s="400">
        <v>0.77324082350800005</v>
      </c>
      <c r="F30" s="398">
        <v>5.4714928329830004</v>
      </c>
      <c r="G30" s="399">
        <v>1.823830944327</v>
      </c>
      <c r="H30" s="401">
        <v>0.23135</v>
      </c>
      <c r="I30" s="398">
        <v>2.2568299999999999</v>
      </c>
      <c r="J30" s="399">
        <v>0.43299905567199998</v>
      </c>
      <c r="K30" s="402">
        <v>0.41247061247900002</v>
      </c>
    </row>
    <row r="31" spans="1:11" ht="14.4" customHeight="1" thickBot="1" x14ac:dyDescent="0.35">
      <c r="A31" s="415" t="s">
        <v>301</v>
      </c>
      <c r="B31" s="393">
        <v>2.8052947837329998</v>
      </c>
      <c r="C31" s="393">
        <v>1.6533500000000001</v>
      </c>
      <c r="D31" s="394">
        <v>-1.1519447837329999</v>
      </c>
      <c r="E31" s="395">
        <v>0.58936765204999997</v>
      </c>
      <c r="F31" s="393">
        <v>2.4719005640009999</v>
      </c>
      <c r="G31" s="394">
        <v>0.82396685466700004</v>
      </c>
      <c r="H31" s="396">
        <v>4.9406564584124654E-324</v>
      </c>
      <c r="I31" s="393">
        <v>1.38927</v>
      </c>
      <c r="J31" s="394">
        <v>0.56530314533199999</v>
      </c>
      <c r="K31" s="397">
        <v>0.56202503459499997</v>
      </c>
    </row>
    <row r="32" spans="1:11" ht="14.4" customHeight="1" thickBot="1" x14ac:dyDescent="0.35">
      <c r="A32" s="415" t="s">
        <v>302</v>
      </c>
      <c r="B32" s="393">
        <v>2.5511606362060002</v>
      </c>
      <c r="C32" s="393">
        <v>2.48848</v>
      </c>
      <c r="D32" s="394">
        <v>-6.2680636206000007E-2</v>
      </c>
      <c r="E32" s="395">
        <v>0.97543054117500005</v>
      </c>
      <c r="F32" s="393">
        <v>0</v>
      </c>
      <c r="G32" s="394">
        <v>0</v>
      </c>
      <c r="H32" s="396">
        <v>4.9406564584124654E-324</v>
      </c>
      <c r="I32" s="393">
        <v>1.9762625833649862E-323</v>
      </c>
      <c r="J32" s="394">
        <v>1.9762625833649862E-323</v>
      </c>
      <c r="K32" s="404" t="s">
        <v>273</v>
      </c>
    </row>
    <row r="33" spans="1:11" ht="14.4" customHeight="1" thickBot="1" x14ac:dyDescent="0.35">
      <c r="A33" s="415" t="s">
        <v>303</v>
      </c>
      <c r="B33" s="393">
        <v>4.9406564584124654E-324</v>
      </c>
      <c r="C33" s="393">
        <v>4.9406564584124654E-324</v>
      </c>
      <c r="D33" s="394">
        <v>0</v>
      </c>
      <c r="E33" s="395">
        <v>1</v>
      </c>
      <c r="F33" s="393">
        <v>2.999592268981</v>
      </c>
      <c r="G33" s="394">
        <v>0.99986408965999996</v>
      </c>
      <c r="H33" s="396">
        <v>0.23135</v>
      </c>
      <c r="I33" s="393">
        <v>0.86756</v>
      </c>
      <c r="J33" s="394">
        <v>-0.13230408966000001</v>
      </c>
      <c r="K33" s="397">
        <v>0.28922597546700002</v>
      </c>
    </row>
    <row r="34" spans="1:11" ht="14.4" customHeight="1" thickBot="1" x14ac:dyDescent="0.35">
      <c r="A34" s="413" t="s">
        <v>42</v>
      </c>
      <c r="B34" s="393">
        <v>1283.3615817535799</v>
      </c>
      <c r="C34" s="393">
        <v>1227.662</v>
      </c>
      <c r="D34" s="394">
        <v>-55.699581753578997</v>
      </c>
      <c r="E34" s="395">
        <v>0.95659868384199997</v>
      </c>
      <c r="F34" s="393">
        <v>1186.5711549196601</v>
      </c>
      <c r="G34" s="394">
        <v>395.52371830655301</v>
      </c>
      <c r="H34" s="396">
        <v>87.174000000000007</v>
      </c>
      <c r="I34" s="393">
        <v>449.93100000000101</v>
      </c>
      <c r="J34" s="394">
        <v>54.407281693446997</v>
      </c>
      <c r="K34" s="397">
        <v>0.37918585677200001</v>
      </c>
    </row>
    <row r="35" spans="1:11" ht="14.4" customHeight="1" thickBot="1" x14ac:dyDescent="0.35">
      <c r="A35" s="414" t="s">
        <v>304</v>
      </c>
      <c r="B35" s="398">
        <v>1283.3615817535799</v>
      </c>
      <c r="C35" s="398">
        <v>1227.662</v>
      </c>
      <c r="D35" s="399">
        <v>-55.699581753578997</v>
      </c>
      <c r="E35" s="400">
        <v>0.95659868384199997</v>
      </c>
      <c r="F35" s="398">
        <v>1186.5711549196601</v>
      </c>
      <c r="G35" s="399">
        <v>395.52371830655301</v>
      </c>
      <c r="H35" s="401">
        <v>87.174000000000007</v>
      </c>
      <c r="I35" s="398">
        <v>449.93100000000101</v>
      </c>
      <c r="J35" s="399">
        <v>54.407281693446997</v>
      </c>
      <c r="K35" s="402">
        <v>0.37918585677200001</v>
      </c>
    </row>
    <row r="36" spans="1:11" ht="14.4" customHeight="1" thickBot="1" x14ac:dyDescent="0.35">
      <c r="A36" s="415" t="s">
        <v>305</v>
      </c>
      <c r="B36" s="393">
        <v>407.91152092024498</v>
      </c>
      <c r="C36" s="393">
        <v>420.291</v>
      </c>
      <c r="D36" s="394">
        <v>12.379479079755001</v>
      </c>
      <c r="E36" s="395">
        <v>1.0303484418669999</v>
      </c>
      <c r="F36" s="393">
        <v>417.14983394043298</v>
      </c>
      <c r="G36" s="394">
        <v>139.04994464681101</v>
      </c>
      <c r="H36" s="396">
        <v>27.526</v>
      </c>
      <c r="I36" s="393">
        <v>113.501</v>
      </c>
      <c r="J36" s="394">
        <v>-25.54894464681</v>
      </c>
      <c r="K36" s="397">
        <v>0.27208688764799999</v>
      </c>
    </row>
    <row r="37" spans="1:11" ht="14.4" customHeight="1" thickBot="1" x14ac:dyDescent="0.35">
      <c r="A37" s="415" t="s">
        <v>306</v>
      </c>
      <c r="B37" s="393">
        <v>107.39108339259001</v>
      </c>
      <c r="C37" s="393">
        <v>102.801</v>
      </c>
      <c r="D37" s="394">
        <v>-4.5900833925890003</v>
      </c>
      <c r="E37" s="395">
        <v>0.95725824484099997</v>
      </c>
      <c r="F37" s="393">
        <v>55.000372564808998</v>
      </c>
      <c r="G37" s="394">
        <v>18.333457521602998</v>
      </c>
      <c r="H37" s="396">
        <v>9.4420000000000002</v>
      </c>
      <c r="I37" s="393">
        <v>34.381</v>
      </c>
      <c r="J37" s="394">
        <v>16.047542478396</v>
      </c>
      <c r="K37" s="397">
        <v>0.62510485650699998</v>
      </c>
    </row>
    <row r="38" spans="1:11" ht="14.4" customHeight="1" thickBot="1" x14ac:dyDescent="0.35">
      <c r="A38" s="415" t="s">
        <v>307</v>
      </c>
      <c r="B38" s="393">
        <v>768.05897744074502</v>
      </c>
      <c r="C38" s="393">
        <v>704.57</v>
      </c>
      <c r="D38" s="394">
        <v>-63.488977440744002</v>
      </c>
      <c r="E38" s="395">
        <v>0.91733840850000004</v>
      </c>
      <c r="F38" s="393">
        <v>714.42094841441599</v>
      </c>
      <c r="G38" s="394">
        <v>238.14031613813901</v>
      </c>
      <c r="H38" s="396">
        <v>50.206000000000003</v>
      </c>
      <c r="I38" s="393">
        <v>302.04899999999998</v>
      </c>
      <c r="J38" s="394">
        <v>63.908683861861</v>
      </c>
      <c r="K38" s="397">
        <v>0.42278855438099999</v>
      </c>
    </row>
    <row r="39" spans="1:11" ht="14.4" customHeight="1" thickBot="1" x14ac:dyDescent="0.35">
      <c r="A39" s="416" t="s">
        <v>308</v>
      </c>
      <c r="B39" s="398">
        <v>288.662826965622</v>
      </c>
      <c r="C39" s="398">
        <v>259.08382</v>
      </c>
      <c r="D39" s="399">
        <v>-29.579006965621002</v>
      </c>
      <c r="E39" s="400">
        <v>0.89753094544000001</v>
      </c>
      <c r="F39" s="398">
        <v>272.263737084073</v>
      </c>
      <c r="G39" s="399">
        <v>90.754579028023997</v>
      </c>
      <c r="H39" s="401">
        <v>40.668469999999999</v>
      </c>
      <c r="I39" s="398">
        <v>93.436269999999993</v>
      </c>
      <c r="J39" s="399">
        <v>2.6816909719750002</v>
      </c>
      <c r="K39" s="402">
        <v>0.34318294092500001</v>
      </c>
    </row>
    <row r="40" spans="1:11" ht="14.4" customHeight="1" thickBot="1" x14ac:dyDescent="0.35">
      <c r="A40" s="413" t="s">
        <v>45</v>
      </c>
      <c r="B40" s="393">
        <v>69.995210412437999</v>
      </c>
      <c r="C40" s="393">
        <v>39.302120000000002</v>
      </c>
      <c r="D40" s="394">
        <v>-30.693090412438</v>
      </c>
      <c r="E40" s="395">
        <v>0.56149727629099999</v>
      </c>
      <c r="F40" s="393">
        <v>55.262643467825001</v>
      </c>
      <c r="G40" s="394">
        <v>18.420881155941</v>
      </c>
      <c r="H40" s="396">
        <v>31.98368</v>
      </c>
      <c r="I40" s="393">
        <v>40.019449999999999</v>
      </c>
      <c r="J40" s="394">
        <v>21.598568844058001</v>
      </c>
      <c r="K40" s="397">
        <v>0.72416821723799996</v>
      </c>
    </row>
    <row r="41" spans="1:11" ht="14.4" customHeight="1" thickBot="1" x14ac:dyDescent="0.35">
      <c r="A41" s="417" t="s">
        <v>309</v>
      </c>
      <c r="B41" s="393">
        <v>69.995210412437999</v>
      </c>
      <c r="C41" s="393">
        <v>39.302120000000002</v>
      </c>
      <c r="D41" s="394">
        <v>-30.693090412438</v>
      </c>
      <c r="E41" s="395">
        <v>0.56149727629099999</v>
      </c>
      <c r="F41" s="393">
        <v>55.262643467825001</v>
      </c>
      <c r="G41" s="394">
        <v>18.420881155941</v>
      </c>
      <c r="H41" s="396">
        <v>31.98368</v>
      </c>
      <c r="I41" s="393">
        <v>40.019449999999999</v>
      </c>
      <c r="J41" s="394">
        <v>21.598568844058001</v>
      </c>
      <c r="K41" s="397">
        <v>0.72416821723799996</v>
      </c>
    </row>
    <row r="42" spans="1:11" ht="14.4" customHeight="1" thickBot="1" x14ac:dyDescent="0.35">
      <c r="A42" s="415" t="s">
        <v>310</v>
      </c>
      <c r="B42" s="393">
        <v>4.0002024093240003</v>
      </c>
      <c r="C42" s="393">
        <v>1.27776</v>
      </c>
      <c r="D42" s="394">
        <v>-2.7224424093240001</v>
      </c>
      <c r="E42" s="395">
        <v>0.31942383640900002</v>
      </c>
      <c r="F42" s="393">
        <v>1.178273429766</v>
      </c>
      <c r="G42" s="394">
        <v>0.39275780992199999</v>
      </c>
      <c r="H42" s="396">
        <v>4.9406564584124654E-324</v>
      </c>
      <c r="I42" s="393">
        <v>1.9762625833649862E-323</v>
      </c>
      <c r="J42" s="394">
        <v>-0.39275780992199999</v>
      </c>
      <c r="K42" s="397">
        <v>1.4821969375237396E-323</v>
      </c>
    </row>
    <row r="43" spans="1:11" ht="14.4" customHeight="1" thickBot="1" x14ac:dyDescent="0.35">
      <c r="A43" s="415" t="s">
        <v>311</v>
      </c>
      <c r="B43" s="393">
        <v>4.9406564584124654E-324</v>
      </c>
      <c r="C43" s="393">
        <v>4.9406564584124654E-324</v>
      </c>
      <c r="D43" s="394">
        <v>0</v>
      </c>
      <c r="E43" s="395">
        <v>1</v>
      </c>
      <c r="F43" s="393">
        <v>4.9406564584124654E-324</v>
      </c>
      <c r="G43" s="394">
        <v>0</v>
      </c>
      <c r="H43" s="396">
        <v>0.121</v>
      </c>
      <c r="I43" s="393">
        <v>0.121</v>
      </c>
      <c r="J43" s="394">
        <v>0.121</v>
      </c>
      <c r="K43" s="404" t="s">
        <v>296</v>
      </c>
    </row>
    <row r="44" spans="1:11" ht="14.4" customHeight="1" thickBot="1" x14ac:dyDescent="0.35">
      <c r="A44" s="415" t="s">
        <v>312</v>
      </c>
      <c r="B44" s="393">
        <v>0</v>
      </c>
      <c r="C44" s="393">
        <v>2.399</v>
      </c>
      <c r="D44" s="394">
        <v>2.399</v>
      </c>
      <c r="E44" s="403" t="s">
        <v>273</v>
      </c>
      <c r="F44" s="393">
        <v>3.1194073684950001</v>
      </c>
      <c r="G44" s="394">
        <v>1.0398024561650001</v>
      </c>
      <c r="H44" s="396">
        <v>4.9406564584124654E-324</v>
      </c>
      <c r="I44" s="393">
        <v>1.9762625833649862E-323</v>
      </c>
      <c r="J44" s="394">
        <v>-1.0398024561650001</v>
      </c>
      <c r="K44" s="397">
        <v>4.9406564584124654E-324</v>
      </c>
    </row>
    <row r="45" spans="1:11" ht="14.4" customHeight="1" thickBot="1" x14ac:dyDescent="0.35">
      <c r="A45" s="415" t="s">
        <v>313</v>
      </c>
      <c r="B45" s="393">
        <v>17.998548463239999</v>
      </c>
      <c r="C45" s="393">
        <v>23.3169</v>
      </c>
      <c r="D45" s="394">
        <v>5.3183515367589997</v>
      </c>
      <c r="E45" s="395">
        <v>1.2954878026750001</v>
      </c>
      <c r="F45" s="393">
        <v>38.999934156165999</v>
      </c>
      <c r="G45" s="394">
        <v>12.999978052055001</v>
      </c>
      <c r="H45" s="396">
        <v>31.862680000000001</v>
      </c>
      <c r="I45" s="393">
        <v>32.449530000000003</v>
      </c>
      <c r="J45" s="394">
        <v>19.449551947943998</v>
      </c>
      <c r="K45" s="397">
        <v>0.83204063550600005</v>
      </c>
    </row>
    <row r="46" spans="1:11" ht="14.4" customHeight="1" thickBot="1" x14ac:dyDescent="0.35">
      <c r="A46" s="415" t="s">
        <v>314</v>
      </c>
      <c r="B46" s="393">
        <v>47.996459539873001</v>
      </c>
      <c r="C46" s="393">
        <v>12.30846</v>
      </c>
      <c r="D46" s="394">
        <v>-35.687999539872997</v>
      </c>
      <c r="E46" s="395">
        <v>0.25644516528900002</v>
      </c>
      <c r="F46" s="393">
        <v>11.965028513396</v>
      </c>
      <c r="G46" s="394">
        <v>3.9883428377980001</v>
      </c>
      <c r="H46" s="396">
        <v>4.9406564584124654E-324</v>
      </c>
      <c r="I46" s="393">
        <v>7.4489200000000002</v>
      </c>
      <c r="J46" s="394">
        <v>3.460577162201</v>
      </c>
      <c r="K46" s="397">
        <v>0.62255764720100004</v>
      </c>
    </row>
    <row r="47" spans="1:11" ht="14.4" customHeight="1" thickBot="1" x14ac:dyDescent="0.35">
      <c r="A47" s="418" t="s">
        <v>46</v>
      </c>
      <c r="B47" s="398">
        <v>0</v>
      </c>
      <c r="C47" s="398">
        <v>4.282</v>
      </c>
      <c r="D47" s="399">
        <v>4.282</v>
      </c>
      <c r="E47" s="405" t="s">
        <v>273</v>
      </c>
      <c r="F47" s="398">
        <v>0</v>
      </c>
      <c r="G47" s="399">
        <v>0</v>
      </c>
      <c r="H47" s="401">
        <v>4.9406564584124654E-324</v>
      </c>
      <c r="I47" s="398">
        <v>1.091</v>
      </c>
      <c r="J47" s="399">
        <v>1.091</v>
      </c>
      <c r="K47" s="406" t="s">
        <v>273</v>
      </c>
    </row>
    <row r="48" spans="1:11" ht="14.4" customHeight="1" thickBot="1" x14ac:dyDescent="0.35">
      <c r="A48" s="414" t="s">
        <v>315</v>
      </c>
      <c r="B48" s="398">
        <v>0</v>
      </c>
      <c r="C48" s="398">
        <v>4.282</v>
      </c>
      <c r="D48" s="399">
        <v>4.282</v>
      </c>
      <c r="E48" s="405" t="s">
        <v>273</v>
      </c>
      <c r="F48" s="398">
        <v>0</v>
      </c>
      <c r="G48" s="399">
        <v>0</v>
      </c>
      <c r="H48" s="401">
        <v>4.9406564584124654E-324</v>
      </c>
      <c r="I48" s="398">
        <v>1.091</v>
      </c>
      <c r="J48" s="399">
        <v>1.091</v>
      </c>
      <c r="K48" s="406" t="s">
        <v>273</v>
      </c>
    </row>
    <row r="49" spans="1:11" ht="14.4" customHeight="1" thickBot="1" x14ac:dyDescent="0.35">
      <c r="A49" s="415" t="s">
        <v>316</v>
      </c>
      <c r="B49" s="393">
        <v>0</v>
      </c>
      <c r="C49" s="393">
        <v>4.282</v>
      </c>
      <c r="D49" s="394">
        <v>4.282</v>
      </c>
      <c r="E49" s="403" t="s">
        <v>273</v>
      </c>
      <c r="F49" s="393">
        <v>0</v>
      </c>
      <c r="G49" s="394">
        <v>0</v>
      </c>
      <c r="H49" s="396">
        <v>4.9406564584124654E-324</v>
      </c>
      <c r="I49" s="393">
        <v>1.091</v>
      </c>
      <c r="J49" s="394">
        <v>1.091</v>
      </c>
      <c r="K49" s="404" t="s">
        <v>273</v>
      </c>
    </row>
    <row r="50" spans="1:11" ht="14.4" customHeight="1" thickBot="1" x14ac:dyDescent="0.35">
      <c r="A50" s="413" t="s">
        <v>47</v>
      </c>
      <c r="B50" s="393">
        <v>218.667616553183</v>
      </c>
      <c r="C50" s="393">
        <v>215.49969999999999</v>
      </c>
      <c r="D50" s="394">
        <v>-3.1679165531829998</v>
      </c>
      <c r="E50" s="395">
        <v>0.985512639671</v>
      </c>
      <c r="F50" s="393">
        <v>217.001093616248</v>
      </c>
      <c r="G50" s="394">
        <v>72.333697872081999</v>
      </c>
      <c r="H50" s="396">
        <v>8.6847899999999996</v>
      </c>
      <c r="I50" s="393">
        <v>52.32582</v>
      </c>
      <c r="J50" s="394">
        <v>-20.007877872081998</v>
      </c>
      <c r="K50" s="397">
        <v>0.241131595827</v>
      </c>
    </row>
    <row r="51" spans="1:11" ht="14.4" customHeight="1" thickBot="1" x14ac:dyDescent="0.35">
      <c r="A51" s="414" t="s">
        <v>317</v>
      </c>
      <c r="B51" s="398">
        <v>4.5208658522859997</v>
      </c>
      <c r="C51" s="398">
        <v>0.10299999999999999</v>
      </c>
      <c r="D51" s="399">
        <v>-4.4178658522859999</v>
      </c>
      <c r="E51" s="400">
        <v>2.2783246255E-2</v>
      </c>
      <c r="F51" s="398">
        <v>4.1168974895000002E-2</v>
      </c>
      <c r="G51" s="399">
        <v>1.3722991630999999E-2</v>
      </c>
      <c r="H51" s="401">
        <v>4.9406564584124654E-324</v>
      </c>
      <c r="I51" s="398">
        <v>1.9762625833649862E-323</v>
      </c>
      <c r="J51" s="399">
        <v>-1.3722991630999999E-2</v>
      </c>
      <c r="K51" s="402">
        <v>4.7924367646600915E-322</v>
      </c>
    </row>
    <row r="52" spans="1:11" ht="14.4" customHeight="1" thickBot="1" x14ac:dyDescent="0.35">
      <c r="A52" s="415" t="s">
        <v>318</v>
      </c>
      <c r="B52" s="393">
        <v>4.5208658522859997</v>
      </c>
      <c r="C52" s="393">
        <v>0.10299999999999999</v>
      </c>
      <c r="D52" s="394">
        <v>-4.4178658522859999</v>
      </c>
      <c r="E52" s="395">
        <v>2.2783246255E-2</v>
      </c>
      <c r="F52" s="393">
        <v>4.1168974895000002E-2</v>
      </c>
      <c r="G52" s="394">
        <v>1.3722991630999999E-2</v>
      </c>
      <c r="H52" s="396">
        <v>4.9406564584124654E-324</v>
      </c>
      <c r="I52" s="393">
        <v>1.9762625833649862E-323</v>
      </c>
      <c r="J52" s="394">
        <v>-1.3722991630999999E-2</v>
      </c>
      <c r="K52" s="397">
        <v>4.7924367646600915E-322</v>
      </c>
    </row>
    <row r="53" spans="1:11" ht="14.4" customHeight="1" thickBot="1" x14ac:dyDescent="0.35">
      <c r="A53" s="414" t="s">
        <v>319</v>
      </c>
      <c r="B53" s="398">
        <v>65.325583165267005</v>
      </c>
      <c r="C53" s="398">
        <v>68.804469999999995</v>
      </c>
      <c r="D53" s="399">
        <v>3.4788868347320001</v>
      </c>
      <c r="E53" s="400">
        <v>1.0532545852040001</v>
      </c>
      <c r="F53" s="398">
        <v>69.733645747104006</v>
      </c>
      <c r="G53" s="399">
        <v>23.244548582368001</v>
      </c>
      <c r="H53" s="401">
        <v>5.8278400000000001</v>
      </c>
      <c r="I53" s="398">
        <v>24.236080000000001</v>
      </c>
      <c r="J53" s="399">
        <v>0.99153141763099994</v>
      </c>
      <c r="K53" s="402">
        <v>0.34755217141299999</v>
      </c>
    </row>
    <row r="54" spans="1:11" ht="14.4" customHeight="1" thickBot="1" x14ac:dyDescent="0.35">
      <c r="A54" s="415" t="s">
        <v>320</v>
      </c>
      <c r="B54" s="393">
        <v>58.245680862937</v>
      </c>
      <c r="C54" s="393">
        <v>61.018999999999998</v>
      </c>
      <c r="D54" s="394">
        <v>2.7733191370629999</v>
      </c>
      <c r="E54" s="395">
        <v>1.0476141594699999</v>
      </c>
      <c r="F54" s="393">
        <v>62.421596630528001</v>
      </c>
      <c r="G54" s="394">
        <v>20.807198876842001</v>
      </c>
      <c r="H54" s="396">
        <v>5.6764999999999999</v>
      </c>
      <c r="I54" s="393">
        <v>21.821999999999999</v>
      </c>
      <c r="J54" s="394">
        <v>1.014801123157</v>
      </c>
      <c r="K54" s="397">
        <v>0.34959054522600003</v>
      </c>
    </row>
    <row r="55" spans="1:11" ht="14.4" customHeight="1" thickBot="1" x14ac:dyDescent="0.35">
      <c r="A55" s="415" t="s">
        <v>321</v>
      </c>
      <c r="B55" s="393">
        <v>7.0799023023299998</v>
      </c>
      <c r="C55" s="393">
        <v>7.7854700000000001</v>
      </c>
      <c r="D55" s="394">
        <v>0.70556769766899996</v>
      </c>
      <c r="E55" s="395">
        <v>1.0996578296620001</v>
      </c>
      <c r="F55" s="393">
        <v>7.3120491165750003</v>
      </c>
      <c r="G55" s="394">
        <v>2.437349705525</v>
      </c>
      <c r="H55" s="396">
        <v>0.15134</v>
      </c>
      <c r="I55" s="393">
        <v>2.4140799999999998</v>
      </c>
      <c r="J55" s="394">
        <v>-2.3269705525E-2</v>
      </c>
      <c r="K55" s="397">
        <v>0.33015095515800003</v>
      </c>
    </row>
    <row r="56" spans="1:11" ht="14.4" customHeight="1" thickBot="1" x14ac:dyDescent="0.35">
      <c r="A56" s="414" t="s">
        <v>322</v>
      </c>
      <c r="B56" s="398">
        <v>5.4220475850909997</v>
      </c>
      <c r="C56" s="398">
        <v>5.1539200000000003</v>
      </c>
      <c r="D56" s="399">
        <v>-0.26812758509099999</v>
      </c>
      <c r="E56" s="400">
        <v>0.95054864774100001</v>
      </c>
      <c r="F56" s="398">
        <v>4.9129653563779998</v>
      </c>
      <c r="G56" s="399">
        <v>1.6376551187920001</v>
      </c>
      <c r="H56" s="401">
        <v>0.69540000000000002</v>
      </c>
      <c r="I56" s="398">
        <v>1.9716</v>
      </c>
      <c r="J56" s="399">
        <v>0.333944881207</v>
      </c>
      <c r="K56" s="402">
        <v>0.40130549616799999</v>
      </c>
    </row>
    <row r="57" spans="1:11" ht="14.4" customHeight="1" thickBot="1" x14ac:dyDescent="0.35">
      <c r="A57" s="415" t="s">
        <v>323</v>
      </c>
      <c r="B57" s="393">
        <v>1.9993583020329999</v>
      </c>
      <c r="C57" s="393">
        <v>1.62</v>
      </c>
      <c r="D57" s="394">
        <v>-0.37935830203300003</v>
      </c>
      <c r="E57" s="395">
        <v>0.81025997108699999</v>
      </c>
      <c r="F57" s="393">
        <v>1.6780130766300001</v>
      </c>
      <c r="G57" s="394">
        <v>0.55933769220999996</v>
      </c>
      <c r="H57" s="396">
        <v>0.40500000000000003</v>
      </c>
      <c r="I57" s="393">
        <v>0.81</v>
      </c>
      <c r="J57" s="394">
        <v>0.25066230778900001</v>
      </c>
      <c r="K57" s="397">
        <v>0.482713759076</v>
      </c>
    </row>
    <row r="58" spans="1:11" ht="14.4" customHeight="1" thickBot="1" x14ac:dyDescent="0.35">
      <c r="A58" s="415" t="s">
        <v>324</v>
      </c>
      <c r="B58" s="393">
        <v>3.4226892830579998</v>
      </c>
      <c r="C58" s="393">
        <v>3.5339200000000002</v>
      </c>
      <c r="D58" s="394">
        <v>0.11123071694099999</v>
      </c>
      <c r="E58" s="395">
        <v>1.0324980469280001</v>
      </c>
      <c r="F58" s="393">
        <v>3.2349522797470001</v>
      </c>
      <c r="G58" s="394">
        <v>1.0783174265819999</v>
      </c>
      <c r="H58" s="396">
        <v>0.29039999999999999</v>
      </c>
      <c r="I58" s="393">
        <v>1.1616</v>
      </c>
      <c r="J58" s="394">
        <v>8.3282573417000003E-2</v>
      </c>
      <c r="K58" s="397">
        <v>0.359077939811</v>
      </c>
    </row>
    <row r="59" spans="1:11" ht="14.4" customHeight="1" thickBot="1" x14ac:dyDescent="0.35">
      <c r="A59" s="414" t="s">
        <v>325</v>
      </c>
      <c r="B59" s="398">
        <v>130.00122597221699</v>
      </c>
      <c r="C59" s="398">
        <v>118.49056</v>
      </c>
      <c r="D59" s="399">
        <v>-11.510665972216</v>
      </c>
      <c r="E59" s="400">
        <v>0.91145725060500005</v>
      </c>
      <c r="F59" s="398">
        <v>118.238523080756</v>
      </c>
      <c r="G59" s="399">
        <v>39.412841026918002</v>
      </c>
      <c r="H59" s="401">
        <v>1.2355499999999999</v>
      </c>
      <c r="I59" s="398">
        <v>20.974440000000001</v>
      </c>
      <c r="J59" s="399">
        <v>-18.438401026918001</v>
      </c>
      <c r="K59" s="402">
        <v>0.177390916712</v>
      </c>
    </row>
    <row r="60" spans="1:11" ht="14.4" customHeight="1" thickBot="1" x14ac:dyDescent="0.35">
      <c r="A60" s="415" t="s">
        <v>326</v>
      </c>
      <c r="B60" s="393">
        <v>110.000111696177</v>
      </c>
      <c r="C60" s="393">
        <v>102.00841</v>
      </c>
      <c r="D60" s="394">
        <v>-7.9917016961770004</v>
      </c>
      <c r="E60" s="395">
        <v>0.92734824016999995</v>
      </c>
      <c r="F60" s="393">
        <v>102.58485358582899</v>
      </c>
      <c r="G60" s="394">
        <v>34.194951195275998</v>
      </c>
      <c r="H60" s="396">
        <v>4.9406564584124654E-324</v>
      </c>
      <c r="I60" s="393">
        <v>15.358739999999999</v>
      </c>
      <c r="J60" s="394">
        <v>-18.836211195276</v>
      </c>
      <c r="K60" s="397">
        <v>0.14971742380200001</v>
      </c>
    </row>
    <row r="61" spans="1:11" ht="14.4" customHeight="1" thickBot="1" x14ac:dyDescent="0.35">
      <c r="A61" s="415" t="s">
        <v>327</v>
      </c>
      <c r="B61" s="393">
        <v>20.001114276039001</v>
      </c>
      <c r="C61" s="393">
        <v>16.482150000000001</v>
      </c>
      <c r="D61" s="394">
        <v>-3.5189642760390001</v>
      </c>
      <c r="E61" s="395">
        <v>0.82406158839499999</v>
      </c>
      <c r="F61" s="393">
        <v>15.653669494927</v>
      </c>
      <c r="G61" s="394">
        <v>5.2178898316420002</v>
      </c>
      <c r="H61" s="396">
        <v>1.2355499999999999</v>
      </c>
      <c r="I61" s="393">
        <v>5.6157000000000004</v>
      </c>
      <c r="J61" s="394">
        <v>0.397810168357</v>
      </c>
      <c r="K61" s="397">
        <v>0.35874655471799999</v>
      </c>
    </row>
    <row r="62" spans="1:11" ht="14.4" customHeight="1" thickBot="1" x14ac:dyDescent="0.35">
      <c r="A62" s="414" t="s">
        <v>328</v>
      </c>
      <c r="B62" s="398">
        <v>13.305152539610001</v>
      </c>
      <c r="C62" s="398">
        <v>22.947749999999999</v>
      </c>
      <c r="D62" s="399">
        <v>9.6425974603890001</v>
      </c>
      <c r="E62" s="400">
        <v>1.7247265622600001</v>
      </c>
      <c r="F62" s="398">
        <v>24.074790457113</v>
      </c>
      <c r="G62" s="399">
        <v>8.0249301523710006</v>
      </c>
      <c r="H62" s="401">
        <v>0.92600000000000005</v>
      </c>
      <c r="I62" s="398">
        <v>4.9507000000000003</v>
      </c>
      <c r="J62" s="399">
        <v>-3.0742301523709998</v>
      </c>
      <c r="K62" s="402">
        <v>0.205638342265</v>
      </c>
    </row>
    <row r="63" spans="1:11" ht="14.4" customHeight="1" thickBot="1" x14ac:dyDescent="0.35">
      <c r="A63" s="415" t="s">
        <v>329</v>
      </c>
      <c r="B63" s="393">
        <v>12.154568198553999</v>
      </c>
      <c r="C63" s="393">
        <v>15.940149999999999</v>
      </c>
      <c r="D63" s="394">
        <v>3.7855818014459999</v>
      </c>
      <c r="E63" s="395">
        <v>1.311453417316</v>
      </c>
      <c r="F63" s="393">
        <v>15.759445382161999</v>
      </c>
      <c r="G63" s="394">
        <v>5.2531484607200003</v>
      </c>
      <c r="H63" s="396">
        <v>4.9406564584124654E-324</v>
      </c>
      <c r="I63" s="393">
        <v>4.0247000000000002</v>
      </c>
      <c r="J63" s="394">
        <v>-1.2284484607199999</v>
      </c>
      <c r="K63" s="397">
        <v>0.25538335280199997</v>
      </c>
    </row>
    <row r="64" spans="1:11" ht="14.4" customHeight="1" thickBot="1" x14ac:dyDescent="0.35">
      <c r="A64" s="415" t="s">
        <v>330</v>
      </c>
      <c r="B64" s="393">
        <v>0</v>
      </c>
      <c r="C64" s="393">
        <v>0.45100000000000001</v>
      </c>
      <c r="D64" s="394">
        <v>0.45100000000000001</v>
      </c>
      <c r="E64" s="403" t="s">
        <v>273</v>
      </c>
      <c r="F64" s="393">
        <v>1.0003644167400001</v>
      </c>
      <c r="G64" s="394">
        <v>0.33345480558000001</v>
      </c>
      <c r="H64" s="396">
        <v>0.92600000000000005</v>
      </c>
      <c r="I64" s="393">
        <v>0.92600000000000005</v>
      </c>
      <c r="J64" s="394">
        <v>0.592545194419</v>
      </c>
      <c r="K64" s="397">
        <v>0.92566267302500005</v>
      </c>
    </row>
    <row r="65" spans="1:11" ht="14.4" customHeight="1" thickBot="1" x14ac:dyDescent="0.35">
      <c r="A65" s="415" t="s">
        <v>331</v>
      </c>
      <c r="B65" s="393">
        <v>4.9406564584124654E-324</v>
      </c>
      <c r="C65" s="393">
        <v>1.7826</v>
      </c>
      <c r="D65" s="394">
        <v>1.7826</v>
      </c>
      <c r="E65" s="403" t="s">
        <v>296</v>
      </c>
      <c r="F65" s="393">
        <v>1.684148307494</v>
      </c>
      <c r="G65" s="394">
        <v>0.56138276916399998</v>
      </c>
      <c r="H65" s="396">
        <v>4.9406564584124654E-324</v>
      </c>
      <c r="I65" s="393">
        <v>1.9762625833649862E-323</v>
      </c>
      <c r="J65" s="394">
        <v>-0.56138276916399998</v>
      </c>
      <c r="K65" s="397">
        <v>9.8813129168249309E-324</v>
      </c>
    </row>
    <row r="66" spans="1:11" ht="14.4" customHeight="1" thickBot="1" x14ac:dyDescent="0.35">
      <c r="A66" s="415" t="s">
        <v>332</v>
      </c>
      <c r="B66" s="393">
        <v>1.1505843410559999</v>
      </c>
      <c r="C66" s="393">
        <v>4.774</v>
      </c>
      <c r="D66" s="394">
        <v>3.6234156589430002</v>
      </c>
      <c r="E66" s="395">
        <v>4.1491960473029996</v>
      </c>
      <c r="F66" s="393">
        <v>5.6308323507160001</v>
      </c>
      <c r="G66" s="394">
        <v>1.8769441169050001</v>
      </c>
      <c r="H66" s="396">
        <v>4.9406564584124654E-324</v>
      </c>
      <c r="I66" s="393">
        <v>1.9762625833649862E-323</v>
      </c>
      <c r="J66" s="394">
        <v>-1.8769441169050001</v>
      </c>
      <c r="K66" s="397">
        <v>4.9406564584124654E-324</v>
      </c>
    </row>
    <row r="67" spans="1:11" ht="14.4" customHeight="1" thickBot="1" x14ac:dyDescent="0.35">
      <c r="A67" s="414" t="s">
        <v>333</v>
      </c>
      <c r="B67" s="398">
        <v>9.2741438711000004E-2</v>
      </c>
      <c r="C67" s="398">
        <v>4.9406564584124654E-324</v>
      </c>
      <c r="D67" s="399">
        <v>-9.2741438711000004E-2</v>
      </c>
      <c r="E67" s="400">
        <v>5.434722104253712E-323</v>
      </c>
      <c r="F67" s="398">
        <v>0</v>
      </c>
      <c r="G67" s="399">
        <v>0</v>
      </c>
      <c r="H67" s="401">
        <v>4.9406564584124654E-324</v>
      </c>
      <c r="I67" s="398">
        <v>0.193</v>
      </c>
      <c r="J67" s="399">
        <v>0.193</v>
      </c>
      <c r="K67" s="406" t="s">
        <v>273</v>
      </c>
    </row>
    <row r="68" spans="1:11" ht="14.4" customHeight="1" thickBot="1" x14ac:dyDescent="0.35">
      <c r="A68" s="415" t="s">
        <v>334</v>
      </c>
      <c r="B68" s="393">
        <v>9.2741438711000004E-2</v>
      </c>
      <c r="C68" s="393">
        <v>4.9406564584124654E-324</v>
      </c>
      <c r="D68" s="394">
        <v>-9.2741438711000004E-2</v>
      </c>
      <c r="E68" s="395">
        <v>5.434722104253712E-323</v>
      </c>
      <c r="F68" s="393">
        <v>0</v>
      </c>
      <c r="G68" s="394">
        <v>0</v>
      </c>
      <c r="H68" s="396">
        <v>4.9406564584124654E-324</v>
      </c>
      <c r="I68" s="393">
        <v>0.193</v>
      </c>
      <c r="J68" s="394">
        <v>0.193</v>
      </c>
      <c r="K68" s="404" t="s">
        <v>273</v>
      </c>
    </row>
    <row r="69" spans="1:11" ht="14.4" customHeight="1" thickBot="1" x14ac:dyDescent="0.35">
      <c r="A69" s="412" t="s">
        <v>48</v>
      </c>
      <c r="B69" s="393">
        <v>6065.0002588479701</v>
      </c>
      <c r="C69" s="393">
        <v>6703.6416200000003</v>
      </c>
      <c r="D69" s="394">
        <v>638.64136115202905</v>
      </c>
      <c r="E69" s="395">
        <v>1.1052994779709999</v>
      </c>
      <c r="F69" s="393">
        <v>6771.0335440683002</v>
      </c>
      <c r="G69" s="394">
        <v>2257.0111813561002</v>
      </c>
      <c r="H69" s="396">
        <v>539.13508999999999</v>
      </c>
      <c r="I69" s="393">
        <v>2101.3778000000002</v>
      </c>
      <c r="J69" s="394">
        <v>-155.633381356098</v>
      </c>
      <c r="K69" s="397">
        <v>0.31034815974800001</v>
      </c>
    </row>
    <row r="70" spans="1:11" ht="14.4" customHeight="1" thickBot="1" x14ac:dyDescent="0.35">
      <c r="A70" s="418" t="s">
        <v>335</v>
      </c>
      <c r="B70" s="398">
        <v>4491.9999999997499</v>
      </c>
      <c r="C70" s="398">
        <v>4978.2849999999999</v>
      </c>
      <c r="D70" s="399">
        <v>486.28500000024701</v>
      </c>
      <c r="E70" s="400">
        <v>1.1082557880670001</v>
      </c>
      <c r="F70" s="398">
        <v>5017.99999999991</v>
      </c>
      <c r="G70" s="399">
        <v>1672.6666666666399</v>
      </c>
      <c r="H70" s="401">
        <v>399.36</v>
      </c>
      <c r="I70" s="398">
        <v>1557.5429999999999</v>
      </c>
      <c r="J70" s="399">
        <v>-115.123666666635</v>
      </c>
      <c r="K70" s="402">
        <v>0.31039119170899998</v>
      </c>
    </row>
    <row r="71" spans="1:11" ht="14.4" customHeight="1" thickBot="1" x14ac:dyDescent="0.35">
      <c r="A71" s="414" t="s">
        <v>336</v>
      </c>
      <c r="B71" s="398">
        <v>4491.9999999997499</v>
      </c>
      <c r="C71" s="398">
        <v>4917.4840000000004</v>
      </c>
      <c r="D71" s="399">
        <v>425.48400000024901</v>
      </c>
      <c r="E71" s="400">
        <v>1.0947203918070001</v>
      </c>
      <c r="F71" s="398">
        <v>5001.99999999991</v>
      </c>
      <c r="G71" s="399">
        <v>1667.3333333333001</v>
      </c>
      <c r="H71" s="401">
        <v>399.36</v>
      </c>
      <c r="I71" s="398">
        <v>1553.7159999999999</v>
      </c>
      <c r="J71" s="399">
        <v>-113.617333333301</v>
      </c>
      <c r="K71" s="402">
        <v>0.31061895241900001</v>
      </c>
    </row>
    <row r="72" spans="1:11" ht="14.4" customHeight="1" thickBot="1" x14ac:dyDescent="0.35">
      <c r="A72" s="415" t="s">
        <v>337</v>
      </c>
      <c r="B72" s="393">
        <v>4491.9999999997499</v>
      </c>
      <c r="C72" s="393">
        <v>4917.4840000000004</v>
      </c>
      <c r="D72" s="394">
        <v>425.48400000024901</v>
      </c>
      <c r="E72" s="395">
        <v>1.0947203918070001</v>
      </c>
      <c r="F72" s="393">
        <v>5001.99999999991</v>
      </c>
      <c r="G72" s="394">
        <v>1667.3333333333001</v>
      </c>
      <c r="H72" s="396">
        <v>399.36</v>
      </c>
      <c r="I72" s="393">
        <v>1553.7159999999999</v>
      </c>
      <c r="J72" s="394">
        <v>-113.617333333301</v>
      </c>
      <c r="K72" s="397">
        <v>0.31061895241900001</v>
      </c>
    </row>
    <row r="73" spans="1:11" ht="14.4" customHeight="1" thickBot="1" x14ac:dyDescent="0.35">
      <c r="A73" s="414" t="s">
        <v>338</v>
      </c>
      <c r="B73" s="398">
        <v>4.9406564584124654E-324</v>
      </c>
      <c r="C73" s="398">
        <v>12.124000000000001</v>
      </c>
      <c r="D73" s="399">
        <v>12.124000000000001</v>
      </c>
      <c r="E73" s="405" t="s">
        <v>296</v>
      </c>
      <c r="F73" s="398">
        <v>0</v>
      </c>
      <c r="G73" s="399">
        <v>0</v>
      </c>
      <c r="H73" s="401">
        <v>4.9406564584124654E-324</v>
      </c>
      <c r="I73" s="398">
        <v>1.9762625833649862E-323</v>
      </c>
      <c r="J73" s="399">
        <v>1.9762625833649862E-323</v>
      </c>
      <c r="K73" s="406" t="s">
        <v>273</v>
      </c>
    </row>
    <row r="74" spans="1:11" ht="14.4" customHeight="1" thickBot="1" x14ac:dyDescent="0.35">
      <c r="A74" s="415" t="s">
        <v>339</v>
      </c>
      <c r="B74" s="393">
        <v>4.9406564584124654E-324</v>
      </c>
      <c r="C74" s="393">
        <v>12.124000000000001</v>
      </c>
      <c r="D74" s="394">
        <v>12.124000000000001</v>
      </c>
      <c r="E74" s="403" t="s">
        <v>296</v>
      </c>
      <c r="F74" s="393">
        <v>0</v>
      </c>
      <c r="G74" s="394">
        <v>0</v>
      </c>
      <c r="H74" s="396">
        <v>4.9406564584124654E-324</v>
      </c>
      <c r="I74" s="393">
        <v>1.9762625833649862E-323</v>
      </c>
      <c r="J74" s="394">
        <v>1.9762625833649862E-323</v>
      </c>
      <c r="K74" s="404" t="s">
        <v>273</v>
      </c>
    </row>
    <row r="75" spans="1:11" ht="14.4" customHeight="1" thickBot="1" x14ac:dyDescent="0.35">
      <c r="A75" s="414" t="s">
        <v>340</v>
      </c>
      <c r="B75" s="398">
        <v>4.9406564584124654E-324</v>
      </c>
      <c r="C75" s="398">
        <v>37.235999999999997</v>
      </c>
      <c r="D75" s="399">
        <v>37.235999999999997</v>
      </c>
      <c r="E75" s="405" t="s">
        <v>296</v>
      </c>
      <c r="F75" s="398">
        <v>0</v>
      </c>
      <c r="G75" s="399">
        <v>0</v>
      </c>
      <c r="H75" s="401">
        <v>4.9406564584124654E-324</v>
      </c>
      <c r="I75" s="398">
        <v>1.9762625833649862E-323</v>
      </c>
      <c r="J75" s="399">
        <v>1.9762625833649862E-323</v>
      </c>
      <c r="K75" s="406" t="s">
        <v>273</v>
      </c>
    </row>
    <row r="76" spans="1:11" ht="14.4" customHeight="1" thickBot="1" x14ac:dyDescent="0.35">
      <c r="A76" s="415" t="s">
        <v>341</v>
      </c>
      <c r="B76" s="393">
        <v>4.9406564584124654E-324</v>
      </c>
      <c r="C76" s="393">
        <v>37.235999999999997</v>
      </c>
      <c r="D76" s="394">
        <v>37.235999999999997</v>
      </c>
      <c r="E76" s="403" t="s">
        <v>296</v>
      </c>
      <c r="F76" s="393">
        <v>0</v>
      </c>
      <c r="G76" s="394">
        <v>0</v>
      </c>
      <c r="H76" s="396">
        <v>4.9406564584124654E-324</v>
      </c>
      <c r="I76" s="393">
        <v>1.9762625833649862E-323</v>
      </c>
      <c r="J76" s="394">
        <v>1.9762625833649862E-323</v>
      </c>
      <c r="K76" s="404" t="s">
        <v>273</v>
      </c>
    </row>
    <row r="77" spans="1:11" ht="14.4" customHeight="1" thickBot="1" x14ac:dyDescent="0.35">
      <c r="A77" s="414" t="s">
        <v>342</v>
      </c>
      <c r="B77" s="398">
        <v>0</v>
      </c>
      <c r="C77" s="398">
        <v>11.441000000000001</v>
      </c>
      <c r="D77" s="399">
        <v>11.441000000000001</v>
      </c>
      <c r="E77" s="405" t="s">
        <v>273</v>
      </c>
      <c r="F77" s="398">
        <v>15.999999999999</v>
      </c>
      <c r="G77" s="399">
        <v>5.333333333333</v>
      </c>
      <c r="H77" s="401">
        <v>4.9406564584124654E-324</v>
      </c>
      <c r="I77" s="398">
        <v>3.827</v>
      </c>
      <c r="J77" s="399">
        <v>-1.506333333333</v>
      </c>
      <c r="K77" s="402">
        <v>0.2391875</v>
      </c>
    </row>
    <row r="78" spans="1:11" ht="14.4" customHeight="1" thickBot="1" x14ac:dyDescent="0.35">
      <c r="A78" s="415" t="s">
        <v>343</v>
      </c>
      <c r="B78" s="393">
        <v>0</v>
      </c>
      <c r="C78" s="393">
        <v>11.441000000000001</v>
      </c>
      <c r="D78" s="394">
        <v>11.441000000000001</v>
      </c>
      <c r="E78" s="403" t="s">
        <v>273</v>
      </c>
      <c r="F78" s="393">
        <v>15.999999999999</v>
      </c>
      <c r="G78" s="394">
        <v>5.333333333333</v>
      </c>
      <c r="H78" s="396">
        <v>4.9406564584124654E-324</v>
      </c>
      <c r="I78" s="393">
        <v>3.827</v>
      </c>
      <c r="J78" s="394">
        <v>-1.506333333333</v>
      </c>
      <c r="K78" s="397">
        <v>0.2391875</v>
      </c>
    </row>
    <row r="79" spans="1:11" ht="14.4" customHeight="1" thickBot="1" x14ac:dyDescent="0.35">
      <c r="A79" s="413" t="s">
        <v>344</v>
      </c>
      <c r="B79" s="393">
        <v>1528.00025884822</v>
      </c>
      <c r="C79" s="393">
        <v>1676.06267</v>
      </c>
      <c r="D79" s="394">
        <v>148.062411151779</v>
      </c>
      <c r="E79" s="395">
        <v>1.0968994673220001</v>
      </c>
      <c r="F79" s="393">
        <v>1702.03354406839</v>
      </c>
      <c r="G79" s="394">
        <v>567.34451468946497</v>
      </c>
      <c r="H79" s="396">
        <v>135.78100000000001</v>
      </c>
      <c r="I79" s="393">
        <v>528.25900000000104</v>
      </c>
      <c r="J79" s="394">
        <v>-39.085514689463999</v>
      </c>
      <c r="K79" s="397">
        <v>0.31036932370699999</v>
      </c>
    </row>
    <row r="80" spans="1:11" ht="14.4" customHeight="1" thickBot="1" x14ac:dyDescent="0.35">
      <c r="A80" s="414" t="s">
        <v>345</v>
      </c>
      <c r="B80" s="398">
        <v>405.00094796440499</v>
      </c>
      <c r="C80" s="398">
        <v>443.66066000000001</v>
      </c>
      <c r="D80" s="399">
        <v>38.659712035595</v>
      </c>
      <c r="E80" s="400">
        <v>1.0954558556709999</v>
      </c>
      <c r="F80" s="398">
        <v>451.03354406841999</v>
      </c>
      <c r="G80" s="399">
        <v>150.34451468947299</v>
      </c>
      <c r="H80" s="401">
        <v>35.941000000000003</v>
      </c>
      <c r="I80" s="398">
        <v>139.83000000000001</v>
      </c>
      <c r="J80" s="399">
        <v>-10.514514689473</v>
      </c>
      <c r="K80" s="402">
        <v>0.31002128741599999</v>
      </c>
    </row>
    <row r="81" spans="1:11" ht="14.4" customHeight="1" thickBot="1" x14ac:dyDescent="0.35">
      <c r="A81" s="415" t="s">
        <v>346</v>
      </c>
      <c r="B81" s="393">
        <v>405.00094796440499</v>
      </c>
      <c r="C81" s="393">
        <v>443.66066000000001</v>
      </c>
      <c r="D81" s="394">
        <v>38.659712035595</v>
      </c>
      <c r="E81" s="395">
        <v>1.0954558556709999</v>
      </c>
      <c r="F81" s="393">
        <v>451.03354406841999</v>
      </c>
      <c r="G81" s="394">
        <v>150.34451468947299</v>
      </c>
      <c r="H81" s="396">
        <v>35.941000000000003</v>
      </c>
      <c r="I81" s="393">
        <v>139.83000000000001</v>
      </c>
      <c r="J81" s="394">
        <v>-10.514514689473</v>
      </c>
      <c r="K81" s="397">
        <v>0.31002128741599999</v>
      </c>
    </row>
    <row r="82" spans="1:11" ht="14.4" customHeight="1" thickBot="1" x14ac:dyDescent="0.35">
      <c r="A82" s="414" t="s">
        <v>347</v>
      </c>
      <c r="B82" s="398">
        <v>1122.99931088382</v>
      </c>
      <c r="C82" s="398">
        <v>1232.40201</v>
      </c>
      <c r="D82" s="399">
        <v>109.402699116184</v>
      </c>
      <c r="E82" s="400">
        <v>1.0974200946120001</v>
      </c>
      <c r="F82" s="398">
        <v>1250.99999999997</v>
      </c>
      <c r="G82" s="399">
        <v>416.99999999999199</v>
      </c>
      <c r="H82" s="401">
        <v>99.84</v>
      </c>
      <c r="I82" s="398">
        <v>388.429000000001</v>
      </c>
      <c r="J82" s="399">
        <v>-28.570999999990999</v>
      </c>
      <c r="K82" s="402">
        <v>0.310494804156</v>
      </c>
    </row>
    <row r="83" spans="1:11" ht="14.4" customHeight="1" thickBot="1" x14ac:dyDescent="0.35">
      <c r="A83" s="415" t="s">
        <v>348</v>
      </c>
      <c r="B83" s="393">
        <v>1122.99931088382</v>
      </c>
      <c r="C83" s="393">
        <v>1232.40201</v>
      </c>
      <c r="D83" s="394">
        <v>109.402699116184</v>
      </c>
      <c r="E83" s="395">
        <v>1.0974200946120001</v>
      </c>
      <c r="F83" s="393">
        <v>1250.99999999997</v>
      </c>
      <c r="G83" s="394">
        <v>416.99999999999199</v>
      </c>
      <c r="H83" s="396">
        <v>99.84</v>
      </c>
      <c r="I83" s="393">
        <v>388.429000000001</v>
      </c>
      <c r="J83" s="394">
        <v>-28.570999999990999</v>
      </c>
      <c r="K83" s="397">
        <v>0.310494804156</v>
      </c>
    </row>
    <row r="84" spans="1:11" ht="14.4" customHeight="1" thickBot="1" x14ac:dyDescent="0.35">
      <c r="A84" s="413" t="s">
        <v>349</v>
      </c>
      <c r="B84" s="393">
        <v>44.999999999997002</v>
      </c>
      <c r="C84" s="393">
        <v>49.293950000000002</v>
      </c>
      <c r="D84" s="394">
        <v>4.2939500000019999</v>
      </c>
      <c r="E84" s="395">
        <v>1.0954211111109999</v>
      </c>
      <c r="F84" s="393">
        <v>50.999999999998998</v>
      </c>
      <c r="G84" s="394">
        <v>16.999999999999002</v>
      </c>
      <c r="H84" s="396">
        <v>3.9940899999999999</v>
      </c>
      <c r="I84" s="393">
        <v>15.575799999999999</v>
      </c>
      <c r="J84" s="394">
        <v>-1.424199999999</v>
      </c>
      <c r="K84" s="397">
        <v>0.30540784313699998</v>
      </c>
    </row>
    <row r="85" spans="1:11" ht="14.4" customHeight="1" thickBot="1" x14ac:dyDescent="0.35">
      <c r="A85" s="414" t="s">
        <v>350</v>
      </c>
      <c r="B85" s="398">
        <v>44.999999999997002</v>
      </c>
      <c r="C85" s="398">
        <v>49.293950000000002</v>
      </c>
      <c r="D85" s="399">
        <v>4.2939500000019999</v>
      </c>
      <c r="E85" s="400">
        <v>1.0954211111109999</v>
      </c>
      <c r="F85" s="398">
        <v>50.999999999998998</v>
      </c>
      <c r="G85" s="399">
        <v>16.999999999999002</v>
      </c>
      <c r="H85" s="401">
        <v>3.9940899999999999</v>
      </c>
      <c r="I85" s="398">
        <v>15.575799999999999</v>
      </c>
      <c r="J85" s="399">
        <v>-1.424199999999</v>
      </c>
      <c r="K85" s="402">
        <v>0.30540784313699998</v>
      </c>
    </row>
    <row r="86" spans="1:11" ht="14.4" customHeight="1" thickBot="1" x14ac:dyDescent="0.35">
      <c r="A86" s="415" t="s">
        <v>351</v>
      </c>
      <c r="B86" s="393">
        <v>44.999999999997002</v>
      </c>
      <c r="C86" s="393">
        <v>49.293950000000002</v>
      </c>
      <c r="D86" s="394">
        <v>4.2939500000019999</v>
      </c>
      <c r="E86" s="395">
        <v>1.0954211111109999</v>
      </c>
      <c r="F86" s="393">
        <v>50.999999999998998</v>
      </c>
      <c r="G86" s="394">
        <v>16.999999999999002</v>
      </c>
      <c r="H86" s="396">
        <v>3.9940899999999999</v>
      </c>
      <c r="I86" s="393">
        <v>15.575799999999999</v>
      </c>
      <c r="J86" s="394">
        <v>-1.424199999999</v>
      </c>
      <c r="K86" s="397">
        <v>0.30540784313699998</v>
      </c>
    </row>
    <row r="87" spans="1:11" ht="14.4" customHeight="1" thickBot="1" x14ac:dyDescent="0.35">
      <c r="A87" s="412" t="s">
        <v>352</v>
      </c>
      <c r="B87" s="393">
        <v>0</v>
      </c>
      <c r="C87" s="393">
        <v>4.5142499999989996</v>
      </c>
      <c r="D87" s="394">
        <v>4.5142499999989996</v>
      </c>
      <c r="E87" s="403" t="s">
        <v>273</v>
      </c>
      <c r="F87" s="393">
        <v>0</v>
      </c>
      <c r="G87" s="394">
        <v>0</v>
      </c>
      <c r="H87" s="396">
        <v>4.9406564584124654E-324</v>
      </c>
      <c r="I87" s="393">
        <v>1.9762625833649862E-323</v>
      </c>
      <c r="J87" s="394">
        <v>1.9762625833649862E-323</v>
      </c>
      <c r="K87" s="404" t="s">
        <v>273</v>
      </c>
    </row>
    <row r="88" spans="1:11" ht="14.4" customHeight="1" thickBot="1" x14ac:dyDescent="0.35">
      <c r="A88" s="413" t="s">
        <v>353</v>
      </c>
      <c r="B88" s="393">
        <v>0</v>
      </c>
      <c r="C88" s="393">
        <v>2.4069999999989999</v>
      </c>
      <c r="D88" s="394">
        <v>2.4069999999989999</v>
      </c>
      <c r="E88" s="403" t="s">
        <v>273</v>
      </c>
      <c r="F88" s="393">
        <v>0</v>
      </c>
      <c r="G88" s="394">
        <v>0</v>
      </c>
      <c r="H88" s="396">
        <v>4.9406564584124654E-324</v>
      </c>
      <c r="I88" s="393">
        <v>1.9762625833649862E-323</v>
      </c>
      <c r="J88" s="394">
        <v>1.9762625833649862E-323</v>
      </c>
      <c r="K88" s="404" t="s">
        <v>273</v>
      </c>
    </row>
    <row r="89" spans="1:11" ht="14.4" customHeight="1" thickBot="1" x14ac:dyDescent="0.35">
      <c r="A89" s="414" t="s">
        <v>354</v>
      </c>
      <c r="B89" s="398">
        <v>0</v>
      </c>
      <c r="C89" s="398">
        <v>2.4069999999989999</v>
      </c>
      <c r="D89" s="399">
        <v>2.4069999999989999</v>
      </c>
      <c r="E89" s="405" t="s">
        <v>273</v>
      </c>
      <c r="F89" s="398">
        <v>0</v>
      </c>
      <c r="G89" s="399">
        <v>0</v>
      </c>
      <c r="H89" s="401">
        <v>4.9406564584124654E-324</v>
      </c>
      <c r="I89" s="398">
        <v>1.9762625833649862E-323</v>
      </c>
      <c r="J89" s="399">
        <v>1.9762625833649862E-323</v>
      </c>
      <c r="K89" s="406" t="s">
        <v>273</v>
      </c>
    </row>
    <row r="90" spans="1:11" ht="14.4" customHeight="1" thickBot="1" x14ac:dyDescent="0.35">
      <c r="A90" s="415" t="s">
        <v>355</v>
      </c>
      <c r="B90" s="393">
        <v>0</v>
      </c>
      <c r="C90" s="393">
        <v>2.4069999999989999</v>
      </c>
      <c r="D90" s="394">
        <v>2.4069999999989999</v>
      </c>
      <c r="E90" s="403" t="s">
        <v>273</v>
      </c>
      <c r="F90" s="393">
        <v>0</v>
      </c>
      <c r="G90" s="394">
        <v>0</v>
      </c>
      <c r="H90" s="396">
        <v>4.9406564584124654E-324</v>
      </c>
      <c r="I90" s="393">
        <v>1.9762625833649862E-323</v>
      </c>
      <c r="J90" s="394">
        <v>1.9762625833649862E-323</v>
      </c>
      <c r="K90" s="404" t="s">
        <v>273</v>
      </c>
    </row>
    <row r="91" spans="1:11" ht="14.4" customHeight="1" thickBot="1" x14ac:dyDescent="0.35">
      <c r="A91" s="413" t="s">
        <v>356</v>
      </c>
      <c r="B91" s="393">
        <v>0</v>
      </c>
      <c r="C91" s="393">
        <v>2.1072500000000001</v>
      </c>
      <c r="D91" s="394">
        <v>2.1072500000000001</v>
      </c>
      <c r="E91" s="403" t="s">
        <v>273</v>
      </c>
      <c r="F91" s="393">
        <v>0</v>
      </c>
      <c r="G91" s="394">
        <v>0</v>
      </c>
      <c r="H91" s="396">
        <v>4.9406564584124654E-324</v>
      </c>
      <c r="I91" s="393">
        <v>1.9762625833649862E-323</v>
      </c>
      <c r="J91" s="394">
        <v>1.9762625833649862E-323</v>
      </c>
      <c r="K91" s="404" t="s">
        <v>273</v>
      </c>
    </row>
    <row r="92" spans="1:11" ht="14.4" customHeight="1" thickBot="1" x14ac:dyDescent="0.35">
      <c r="A92" s="414" t="s">
        <v>357</v>
      </c>
      <c r="B92" s="398">
        <v>0</v>
      </c>
      <c r="C92" s="398">
        <v>2.1072500000000001</v>
      </c>
      <c r="D92" s="399">
        <v>2.1072500000000001</v>
      </c>
      <c r="E92" s="405" t="s">
        <v>273</v>
      </c>
      <c r="F92" s="398">
        <v>0</v>
      </c>
      <c r="G92" s="399">
        <v>0</v>
      </c>
      <c r="H92" s="401">
        <v>4.9406564584124654E-324</v>
      </c>
      <c r="I92" s="398">
        <v>1.9762625833649862E-323</v>
      </c>
      <c r="J92" s="399">
        <v>1.9762625833649862E-323</v>
      </c>
      <c r="K92" s="406" t="s">
        <v>273</v>
      </c>
    </row>
    <row r="93" spans="1:11" ht="14.4" customHeight="1" thickBot="1" x14ac:dyDescent="0.35">
      <c r="A93" s="415" t="s">
        <v>358</v>
      </c>
      <c r="B93" s="393">
        <v>0</v>
      </c>
      <c r="C93" s="393">
        <v>2.1072500000000001</v>
      </c>
      <c r="D93" s="394">
        <v>2.1072500000000001</v>
      </c>
      <c r="E93" s="403" t="s">
        <v>273</v>
      </c>
      <c r="F93" s="393">
        <v>0</v>
      </c>
      <c r="G93" s="394">
        <v>0</v>
      </c>
      <c r="H93" s="396">
        <v>4.9406564584124654E-324</v>
      </c>
      <c r="I93" s="393">
        <v>1.9762625833649862E-323</v>
      </c>
      <c r="J93" s="394">
        <v>1.9762625833649862E-323</v>
      </c>
      <c r="K93" s="404" t="s">
        <v>273</v>
      </c>
    </row>
    <row r="94" spans="1:11" ht="14.4" customHeight="1" thickBot="1" x14ac:dyDescent="0.35">
      <c r="A94" s="412" t="s">
        <v>359</v>
      </c>
      <c r="B94" s="393">
        <v>250.99999999998599</v>
      </c>
      <c r="C94" s="393">
        <v>295.51267999999999</v>
      </c>
      <c r="D94" s="394">
        <v>44.512680000012999</v>
      </c>
      <c r="E94" s="395">
        <v>1.1773413545810001</v>
      </c>
      <c r="F94" s="393">
        <v>288.99459154803202</v>
      </c>
      <c r="G94" s="394">
        <v>96.331530516010005</v>
      </c>
      <c r="H94" s="396">
        <v>24.091000000000001</v>
      </c>
      <c r="I94" s="393">
        <v>96.364000000000004</v>
      </c>
      <c r="J94" s="394">
        <v>3.2469483989E-2</v>
      </c>
      <c r="K94" s="397">
        <v>0.33344568659099999</v>
      </c>
    </row>
    <row r="95" spans="1:11" ht="14.4" customHeight="1" thickBot="1" x14ac:dyDescent="0.35">
      <c r="A95" s="413" t="s">
        <v>360</v>
      </c>
      <c r="B95" s="393">
        <v>250.99999999998599</v>
      </c>
      <c r="C95" s="393">
        <v>268.42599999999999</v>
      </c>
      <c r="D95" s="394">
        <v>17.426000000013001</v>
      </c>
      <c r="E95" s="395">
        <v>1.06942629482</v>
      </c>
      <c r="F95" s="393">
        <v>288.99459154803202</v>
      </c>
      <c r="G95" s="394">
        <v>96.331530516010005</v>
      </c>
      <c r="H95" s="396">
        <v>24.091000000000001</v>
      </c>
      <c r="I95" s="393">
        <v>96.364000000000004</v>
      </c>
      <c r="J95" s="394">
        <v>3.2469483989E-2</v>
      </c>
      <c r="K95" s="397">
        <v>0.33344568659099999</v>
      </c>
    </row>
    <row r="96" spans="1:11" ht="14.4" customHeight="1" thickBot="1" x14ac:dyDescent="0.35">
      <c r="A96" s="414" t="s">
        <v>361</v>
      </c>
      <c r="B96" s="398">
        <v>250.99999999998599</v>
      </c>
      <c r="C96" s="398">
        <v>268.42599999999999</v>
      </c>
      <c r="D96" s="399">
        <v>17.426000000013001</v>
      </c>
      <c r="E96" s="400">
        <v>1.06942629482</v>
      </c>
      <c r="F96" s="398">
        <v>288.99459154803202</v>
      </c>
      <c r="G96" s="399">
        <v>96.331530516010005</v>
      </c>
      <c r="H96" s="401">
        <v>24.091000000000001</v>
      </c>
      <c r="I96" s="398">
        <v>96.364000000000004</v>
      </c>
      <c r="J96" s="399">
        <v>3.2469483989E-2</v>
      </c>
      <c r="K96" s="402">
        <v>0.33344568659099999</v>
      </c>
    </row>
    <row r="97" spans="1:11" ht="14.4" customHeight="1" thickBot="1" x14ac:dyDescent="0.35">
      <c r="A97" s="415" t="s">
        <v>362</v>
      </c>
      <c r="B97" s="393">
        <v>106.999999999994</v>
      </c>
      <c r="C97" s="393">
        <v>118.72499999999999</v>
      </c>
      <c r="D97" s="394">
        <v>11.725000000005</v>
      </c>
      <c r="E97" s="395">
        <v>1.109579439252</v>
      </c>
      <c r="F97" s="393">
        <v>128.99487485858299</v>
      </c>
      <c r="G97" s="394">
        <v>42.998291619527002</v>
      </c>
      <c r="H97" s="396">
        <v>10.757</v>
      </c>
      <c r="I97" s="393">
        <v>43.027999999999999</v>
      </c>
      <c r="J97" s="394">
        <v>2.9708380472000001E-2</v>
      </c>
      <c r="K97" s="397">
        <v>0.33356364000599997</v>
      </c>
    </row>
    <row r="98" spans="1:11" ht="14.4" customHeight="1" thickBot="1" x14ac:dyDescent="0.35">
      <c r="A98" s="415" t="s">
        <v>363</v>
      </c>
      <c r="B98" s="393">
        <v>122.99999999999299</v>
      </c>
      <c r="C98" s="393">
        <v>127.33499999999999</v>
      </c>
      <c r="D98" s="394">
        <v>4.3350000000059996</v>
      </c>
      <c r="E98" s="395">
        <v>1.0352439024390001</v>
      </c>
      <c r="F98" s="393">
        <v>136.99999999999801</v>
      </c>
      <c r="G98" s="394">
        <v>45.666666666665002</v>
      </c>
      <c r="H98" s="396">
        <v>11.401</v>
      </c>
      <c r="I98" s="393">
        <v>45.603999999999999</v>
      </c>
      <c r="J98" s="394">
        <v>-6.2666666664999995E-2</v>
      </c>
      <c r="K98" s="397">
        <v>0.33287591240800002</v>
      </c>
    </row>
    <row r="99" spans="1:11" ht="14.4" customHeight="1" thickBot="1" x14ac:dyDescent="0.35">
      <c r="A99" s="415" t="s">
        <v>364</v>
      </c>
      <c r="B99" s="393">
        <v>20.999999999998</v>
      </c>
      <c r="C99" s="393">
        <v>22.366</v>
      </c>
      <c r="D99" s="394">
        <v>1.366000000001</v>
      </c>
      <c r="E99" s="395">
        <v>1.065047619047</v>
      </c>
      <c r="F99" s="393">
        <v>22.999716689450999</v>
      </c>
      <c r="G99" s="394">
        <v>7.6665722298169996</v>
      </c>
      <c r="H99" s="396">
        <v>1.9330000000000001</v>
      </c>
      <c r="I99" s="393">
        <v>7.7320000000000002</v>
      </c>
      <c r="J99" s="394">
        <v>6.5427770181999995E-2</v>
      </c>
      <c r="K99" s="397">
        <v>0.33617805403399997</v>
      </c>
    </row>
    <row r="100" spans="1:11" ht="14.4" customHeight="1" thickBot="1" x14ac:dyDescent="0.35">
      <c r="A100" s="413" t="s">
        <v>365</v>
      </c>
      <c r="B100" s="393">
        <v>0</v>
      </c>
      <c r="C100" s="393">
        <v>27.086680000000001</v>
      </c>
      <c r="D100" s="394">
        <v>27.086680000000001</v>
      </c>
      <c r="E100" s="403" t="s">
        <v>273</v>
      </c>
      <c r="F100" s="393">
        <v>0</v>
      </c>
      <c r="G100" s="394">
        <v>0</v>
      </c>
      <c r="H100" s="396">
        <v>4.9406564584124654E-324</v>
      </c>
      <c r="I100" s="393">
        <v>1.9762625833649862E-323</v>
      </c>
      <c r="J100" s="394">
        <v>1.9762625833649862E-323</v>
      </c>
      <c r="K100" s="404" t="s">
        <v>273</v>
      </c>
    </row>
    <row r="101" spans="1:11" ht="14.4" customHeight="1" thickBot="1" x14ac:dyDescent="0.35">
      <c r="A101" s="414" t="s">
        <v>366</v>
      </c>
      <c r="B101" s="398">
        <v>4.9406564584124654E-324</v>
      </c>
      <c r="C101" s="398">
        <v>7.2889999999999997</v>
      </c>
      <c r="D101" s="399">
        <v>7.2889999999999997</v>
      </c>
      <c r="E101" s="405" t="s">
        <v>296</v>
      </c>
      <c r="F101" s="398">
        <v>0</v>
      </c>
      <c r="G101" s="399">
        <v>0</v>
      </c>
      <c r="H101" s="401">
        <v>4.9406564584124654E-324</v>
      </c>
      <c r="I101" s="398">
        <v>1.9762625833649862E-323</v>
      </c>
      <c r="J101" s="399">
        <v>1.9762625833649862E-323</v>
      </c>
      <c r="K101" s="406" t="s">
        <v>273</v>
      </c>
    </row>
    <row r="102" spans="1:11" ht="14.4" customHeight="1" thickBot="1" x14ac:dyDescent="0.35">
      <c r="A102" s="415" t="s">
        <v>367</v>
      </c>
      <c r="B102" s="393">
        <v>4.9406564584124654E-324</v>
      </c>
      <c r="C102" s="393">
        <v>7.2889999999999997</v>
      </c>
      <c r="D102" s="394">
        <v>7.2889999999999997</v>
      </c>
      <c r="E102" s="403" t="s">
        <v>296</v>
      </c>
      <c r="F102" s="393">
        <v>0</v>
      </c>
      <c r="G102" s="394">
        <v>0</v>
      </c>
      <c r="H102" s="396">
        <v>4.9406564584124654E-324</v>
      </c>
      <c r="I102" s="393">
        <v>1.9762625833649862E-323</v>
      </c>
      <c r="J102" s="394">
        <v>1.9762625833649862E-323</v>
      </c>
      <c r="K102" s="404" t="s">
        <v>273</v>
      </c>
    </row>
    <row r="103" spans="1:11" ht="14.4" customHeight="1" thickBot="1" x14ac:dyDescent="0.35">
      <c r="A103" s="414" t="s">
        <v>368</v>
      </c>
      <c r="B103" s="398">
        <v>4.9406564584124654E-324</v>
      </c>
      <c r="C103" s="398">
        <v>19.79768</v>
      </c>
      <c r="D103" s="399">
        <v>19.79768</v>
      </c>
      <c r="E103" s="405" t="s">
        <v>296</v>
      </c>
      <c r="F103" s="398">
        <v>0</v>
      </c>
      <c r="G103" s="399">
        <v>0</v>
      </c>
      <c r="H103" s="401">
        <v>4.9406564584124654E-324</v>
      </c>
      <c r="I103" s="398">
        <v>1.9762625833649862E-323</v>
      </c>
      <c r="J103" s="399">
        <v>1.9762625833649862E-323</v>
      </c>
      <c r="K103" s="406" t="s">
        <v>273</v>
      </c>
    </row>
    <row r="104" spans="1:11" ht="14.4" customHeight="1" thickBot="1" x14ac:dyDescent="0.35">
      <c r="A104" s="415" t="s">
        <v>369</v>
      </c>
      <c r="B104" s="393">
        <v>4.9406564584124654E-324</v>
      </c>
      <c r="C104" s="393">
        <v>19.79768</v>
      </c>
      <c r="D104" s="394">
        <v>19.79768</v>
      </c>
      <c r="E104" s="403" t="s">
        <v>296</v>
      </c>
      <c r="F104" s="393">
        <v>0</v>
      </c>
      <c r="G104" s="394">
        <v>0</v>
      </c>
      <c r="H104" s="396">
        <v>4.9406564584124654E-324</v>
      </c>
      <c r="I104" s="393">
        <v>1.9762625833649862E-323</v>
      </c>
      <c r="J104" s="394">
        <v>1.9762625833649862E-323</v>
      </c>
      <c r="K104" s="404" t="s">
        <v>273</v>
      </c>
    </row>
    <row r="105" spans="1:11" ht="14.4" customHeight="1" thickBot="1" x14ac:dyDescent="0.35">
      <c r="A105" s="411" t="s">
        <v>370</v>
      </c>
      <c r="B105" s="393">
        <v>7356.8417250791799</v>
      </c>
      <c r="C105" s="393">
        <v>5558.2487600000004</v>
      </c>
      <c r="D105" s="394">
        <v>-1798.59296507918</v>
      </c>
      <c r="E105" s="395">
        <v>0.75552104662599995</v>
      </c>
      <c r="F105" s="393">
        <v>5654.87228960634</v>
      </c>
      <c r="G105" s="394">
        <v>1884.9574298687801</v>
      </c>
      <c r="H105" s="396">
        <v>555.17048</v>
      </c>
      <c r="I105" s="393">
        <v>2068.6779299999998</v>
      </c>
      <c r="J105" s="394">
        <v>183.72050013122001</v>
      </c>
      <c r="K105" s="397">
        <v>0.36582221915099999</v>
      </c>
    </row>
    <row r="106" spans="1:11" ht="14.4" customHeight="1" thickBot="1" x14ac:dyDescent="0.35">
      <c r="A106" s="412" t="s">
        <v>371</v>
      </c>
      <c r="B106" s="393">
        <v>7245.9679655951804</v>
      </c>
      <c r="C106" s="393">
        <v>5433.2995600000004</v>
      </c>
      <c r="D106" s="394">
        <v>-1812.66840559518</v>
      </c>
      <c r="E106" s="395">
        <v>0.74983764568</v>
      </c>
      <c r="F106" s="393">
        <v>5604.8615312176298</v>
      </c>
      <c r="G106" s="394">
        <v>1868.2871770725401</v>
      </c>
      <c r="H106" s="396">
        <v>555.17276000000004</v>
      </c>
      <c r="I106" s="393">
        <v>2056.0138299999999</v>
      </c>
      <c r="J106" s="394">
        <v>187.726652927457</v>
      </c>
      <c r="K106" s="397">
        <v>0.36682687316099999</v>
      </c>
    </row>
    <row r="107" spans="1:11" ht="14.4" customHeight="1" thickBot="1" x14ac:dyDescent="0.35">
      <c r="A107" s="413" t="s">
        <v>372</v>
      </c>
      <c r="B107" s="393">
        <v>7245.9679655951804</v>
      </c>
      <c r="C107" s="393">
        <v>5433.2995600000004</v>
      </c>
      <c r="D107" s="394">
        <v>-1812.66840559518</v>
      </c>
      <c r="E107" s="395">
        <v>0.74983764568</v>
      </c>
      <c r="F107" s="393">
        <v>5604.8615312176298</v>
      </c>
      <c r="G107" s="394">
        <v>1868.2871770725401</v>
      </c>
      <c r="H107" s="396">
        <v>555.17276000000004</v>
      </c>
      <c r="I107" s="393">
        <v>2056.0138299999999</v>
      </c>
      <c r="J107" s="394">
        <v>187.726652927457</v>
      </c>
      <c r="K107" s="397">
        <v>0.36682687316099999</v>
      </c>
    </row>
    <row r="108" spans="1:11" ht="14.4" customHeight="1" thickBot="1" x14ac:dyDescent="0.35">
      <c r="A108" s="414" t="s">
        <v>373</v>
      </c>
      <c r="B108" s="398">
        <v>3687.9670473985202</v>
      </c>
      <c r="C108" s="398">
        <v>3544.61213</v>
      </c>
      <c r="D108" s="399">
        <v>-143.35491739852301</v>
      </c>
      <c r="E108" s="400">
        <v>0.96112901347599999</v>
      </c>
      <c r="F108" s="398">
        <v>3641.8615312176298</v>
      </c>
      <c r="G108" s="399">
        <v>1213.95384373921</v>
      </c>
      <c r="H108" s="401">
        <v>396.73505999999998</v>
      </c>
      <c r="I108" s="398">
        <v>1333.2613200000001</v>
      </c>
      <c r="J108" s="399">
        <v>119.30747626079101</v>
      </c>
      <c r="K108" s="402">
        <v>0.36609335873100002</v>
      </c>
    </row>
    <row r="109" spans="1:11" ht="14.4" customHeight="1" thickBot="1" x14ac:dyDescent="0.35">
      <c r="A109" s="415" t="s">
        <v>374</v>
      </c>
      <c r="B109" s="393">
        <v>1755.30697353904</v>
      </c>
      <c r="C109" s="393">
        <v>2452.4914899999999</v>
      </c>
      <c r="D109" s="394">
        <v>697.18451646096298</v>
      </c>
      <c r="E109" s="395">
        <v>1.397186661348</v>
      </c>
      <c r="F109" s="393">
        <v>2534.8075453193401</v>
      </c>
      <c r="G109" s="394">
        <v>844.93584843978101</v>
      </c>
      <c r="H109" s="396">
        <v>281.41185999999999</v>
      </c>
      <c r="I109" s="393">
        <v>1017.26572</v>
      </c>
      <c r="J109" s="394">
        <v>172.329871560219</v>
      </c>
      <c r="K109" s="397">
        <v>0.40131872018300002</v>
      </c>
    </row>
    <row r="110" spans="1:11" ht="14.4" customHeight="1" thickBot="1" x14ac:dyDescent="0.35">
      <c r="A110" s="415" t="s">
        <v>375</v>
      </c>
      <c r="B110" s="393">
        <v>19.204886330409</v>
      </c>
      <c r="C110" s="393">
        <v>58.596699999999998</v>
      </c>
      <c r="D110" s="394">
        <v>39.39181366959</v>
      </c>
      <c r="E110" s="395">
        <v>3.0511349555449998</v>
      </c>
      <c r="F110" s="393">
        <v>60.619384169268002</v>
      </c>
      <c r="G110" s="394">
        <v>20.206461389756001</v>
      </c>
      <c r="H110" s="396">
        <v>6.1668000000000003</v>
      </c>
      <c r="I110" s="393">
        <v>15.238</v>
      </c>
      <c r="J110" s="394">
        <v>-4.9684613897560004</v>
      </c>
      <c r="K110" s="397">
        <v>0.25137173874000002</v>
      </c>
    </row>
    <row r="111" spans="1:11" ht="14.4" customHeight="1" thickBot="1" x14ac:dyDescent="0.35">
      <c r="A111" s="415" t="s">
        <v>376</v>
      </c>
      <c r="B111" s="393">
        <v>4.9406564584124654E-324</v>
      </c>
      <c r="C111" s="393">
        <v>2.976</v>
      </c>
      <c r="D111" s="394">
        <v>2.976</v>
      </c>
      <c r="E111" s="403" t="s">
        <v>296</v>
      </c>
      <c r="F111" s="393">
        <v>4.9406564584124654E-324</v>
      </c>
      <c r="G111" s="394">
        <v>0</v>
      </c>
      <c r="H111" s="396">
        <v>4.9406564584124654E-324</v>
      </c>
      <c r="I111" s="393">
        <v>1.9762625833649862E-323</v>
      </c>
      <c r="J111" s="394">
        <v>1.9762625833649862E-323</v>
      </c>
      <c r="K111" s="397">
        <v>4</v>
      </c>
    </row>
    <row r="112" spans="1:11" ht="14.4" customHeight="1" thickBot="1" x14ac:dyDescent="0.35">
      <c r="A112" s="415" t="s">
        <v>377</v>
      </c>
      <c r="B112" s="393">
        <v>72.302862832398006</v>
      </c>
      <c r="C112" s="393">
        <v>119.6964</v>
      </c>
      <c r="D112" s="394">
        <v>47.393537167601004</v>
      </c>
      <c r="E112" s="395">
        <v>1.655486315631</v>
      </c>
      <c r="F112" s="393">
        <v>131.09853262869299</v>
      </c>
      <c r="G112" s="394">
        <v>43.699510876231002</v>
      </c>
      <c r="H112" s="396">
        <v>0.25679999999999997</v>
      </c>
      <c r="I112" s="393">
        <v>6.4896000000000003</v>
      </c>
      <c r="J112" s="394">
        <v>-37.209910876231</v>
      </c>
      <c r="K112" s="397">
        <v>4.9501698225000001E-2</v>
      </c>
    </row>
    <row r="113" spans="1:11" ht="14.4" customHeight="1" thickBot="1" x14ac:dyDescent="0.35">
      <c r="A113" s="415" t="s">
        <v>378</v>
      </c>
      <c r="B113" s="393">
        <v>1839.20236491234</v>
      </c>
      <c r="C113" s="393">
        <v>910.85154</v>
      </c>
      <c r="D113" s="394">
        <v>-928.350824912343</v>
      </c>
      <c r="E113" s="395">
        <v>0.49524269725600001</v>
      </c>
      <c r="F113" s="393">
        <v>915.33606910032199</v>
      </c>
      <c r="G113" s="394">
        <v>305.11202303344101</v>
      </c>
      <c r="H113" s="396">
        <v>108.89960000000001</v>
      </c>
      <c r="I113" s="393">
        <v>294.26799999999997</v>
      </c>
      <c r="J113" s="394">
        <v>-10.844023033439999</v>
      </c>
      <c r="K113" s="397">
        <v>0.32148629332299999</v>
      </c>
    </row>
    <row r="114" spans="1:11" ht="14.4" customHeight="1" thickBot="1" x14ac:dyDescent="0.35">
      <c r="A114" s="414" t="s">
        <v>379</v>
      </c>
      <c r="B114" s="398">
        <v>4.9406564584124654E-324</v>
      </c>
      <c r="C114" s="398">
        <v>4.9406564584124654E-324</v>
      </c>
      <c r="D114" s="399">
        <v>0</v>
      </c>
      <c r="E114" s="400">
        <v>1</v>
      </c>
      <c r="F114" s="398">
        <v>4.9406564584124654E-324</v>
      </c>
      <c r="G114" s="399">
        <v>0</v>
      </c>
      <c r="H114" s="401">
        <v>0.84060000000000001</v>
      </c>
      <c r="I114" s="398">
        <v>0.84060000000000001</v>
      </c>
      <c r="J114" s="399">
        <v>0.84060000000000001</v>
      </c>
      <c r="K114" s="406" t="s">
        <v>296</v>
      </c>
    </row>
    <row r="115" spans="1:11" ht="14.4" customHeight="1" thickBot="1" x14ac:dyDescent="0.35">
      <c r="A115" s="415" t="s">
        <v>380</v>
      </c>
      <c r="B115" s="393">
        <v>4.9406564584124654E-324</v>
      </c>
      <c r="C115" s="393">
        <v>4.9406564584124654E-324</v>
      </c>
      <c r="D115" s="394">
        <v>0</v>
      </c>
      <c r="E115" s="395">
        <v>1</v>
      </c>
      <c r="F115" s="393">
        <v>4.9406564584124654E-324</v>
      </c>
      <c r="G115" s="394">
        <v>0</v>
      </c>
      <c r="H115" s="396">
        <v>0.84060000000000001</v>
      </c>
      <c r="I115" s="393">
        <v>0.84060000000000001</v>
      </c>
      <c r="J115" s="394">
        <v>0.84060000000000001</v>
      </c>
      <c r="K115" s="404" t="s">
        <v>296</v>
      </c>
    </row>
    <row r="116" spans="1:11" ht="14.4" customHeight="1" thickBot="1" x14ac:dyDescent="0.35">
      <c r="A116" s="414" t="s">
        <v>381</v>
      </c>
      <c r="B116" s="398">
        <v>4.9406564584124654E-324</v>
      </c>
      <c r="C116" s="398">
        <v>-0.11545999999999999</v>
      </c>
      <c r="D116" s="399">
        <v>-0.11545999999999999</v>
      </c>
      <c r="E116" s="405" t="s">
        <v>296</v>
      </c>
      <c r="F116" s="398">
        <v>0</v>
      </c>
      <c r="G116" s="399">
        <v>0</v>
      </c>
      <c r="H116" s="401">
        <v>4.9406564584124654E-324</v>
      </c>
      <c r="I116" s="398">
        <v>1.9762625833649862E-323</v>
      </c>
      <c r="J116" s="399">
        <v>1.9762625833649862E-323</v>
      </c>
      <c r="K116" s="406" t="s">
        <v>273</v>
      </c>
    </row>
    <row r="117" spans="1:11" ht="14.4" customHeight="1" thickBot="1" x14ac:dyDescent="0.35">
      <c r="A117" s="415" t="s">
        <v>382</v>
      </c>
      <c r="B117" s="393">
        <v>4.9406564584124654E-324</v>
      </c>
      <c r="C117" s="393">
        <v>-0.11545999999999999</v>
      </c>
      <c r="D117" s="394">
        <v>-0.11545999999999999</v>
      </c>
      <c r="E117" s="403" t="s">
        <v>296</v>
      </c>
      <c r="F117" s="393">
        <v>0</v>
      </c>
      <c r="G117" s="394">
        <v>0</v>
      </c>
      <c r="H117" s="396">
        <v>4.9406564584124654E-324</v>
      </c>
      <c r="I117" s="393">
        <v>1.9762625833649862E-323</v>
      </c>
      <c r="J117" s="394">
        <v>1.9762625833649862E-323</v>
      </c>
      <c r="K117" s="404" t="s">
        <v>273</v>
      </c>
    </row>
    <row r="118" spans="1:11" ht="14.4" customHeight="1" thickBot="1" x14ac:dyDescent="0.35">
      <c r="A118" s="414" t="s">
        <v>383</v>
      </c>
      <c r="B118" s="398">
        <v>3558.0009181966602</v>
      </c>
      <c r="C118" s="398">
        <v>1609.6329900000001</v>
      </c>
      <c r="D118" s="399">
        <v>-1948.3679281966599</v>
      </c>
      <c r="E118" s="400">
        <v>0.45239813788900002</v>
      </c>
      <c r="F118" s="398">
        <v>1963</v>
      </c>
      <c r="G118" s="399">
        <v>654.33333333333405</v>
      </c>
      <c r="H118" s="401">
        <v>157.72130000000001</v>
      </c>
      <c r="I118" s="398">
        <v>690.76077999999995</v>
      </c>
      <c r="J118" s="399">
        <v>36.427446666666</v>
      </c>
      <c r="K118" s="402">
        <v>0.35189036169100002</v>
      </c>
    </row>
    <row r="119" spans="1:11" ht="14.4" customHeight="1" thickBot="1" x14ac:dyDescent="0.35">
      <c r="A119" s="415" t="s">
        <v>384</v>
      </c>
      <c r="B119" s="393">
        <v>1104.00029721393</v>
      </c>
      <c r="C119" s="393">
        <v>550.78216999999995</v>
      </c>
      <c r="D119" s="394">
        <v>-553.21812721393405</v>
      </c>
      <c r="E119" s="395">
        <v>0.49889675880500001</v>
      </c>
      <c r="F119" s="393">
        <v>718</v>
      </c>
      <c r="G119" s="394">
        <v>239.333333333333</v>
      </c>
      <c r="H119" s="396">
        <v>62.60727</v>
      </c>
      <c r="I119" s="393">
        <v>278.30059999999997</v>
      </c>
      <c r="J119" s="394">
        <v>38.967266666665999</v>
      </c>
      <c r="K119" s="397">
        <v>0.387605292479</v>
      </c>
    </row>
    <row r="120" spans="1:11" ht="14.4" customHeight="1" thickBot="1" x14ac:dyDescent="0.35">
      <c r="A120" s="415" t="s">
        <v>385</v>
      </c>
      <c r="B120" s="393">
        <v>2454.0006209827302</v>
      </c>
      <c r="C120" s="393">
        <v>1058.8508200000001</v>
      </c>
      <c r="D120" s="394">
        <v>-1395.1498009827301</v>
      </c>
      <c r="E120" s="395">
        <v>0.43147944256600002</v>
      </c>
      <c r="F120" s="393">
        <v>1245</v>
      </c>
      <c r="G120" s="394">
        <v>415</v>
      </c>
      <c r="H120" s="396">
        <v>95.11403</v>
      </c>
      <c r="I120" s="393">
        <v>412.46017999999998</v>
      </c>
      <c r="J120" s="394">
        <v>-2.5398200000000002</v>
      </c>
      <c r="K120" s="397">
        <v>0.33129331726900002</v>
      </c>
    </row>
    <row r="121" spans="1:11" ht="14.4" customHeight="1" thickBot="1" x14ac:dyDescent="0.35">
      <c r="A121" s="414" t="s">
        <v>386</v>
      </c>
      <c r="B121" s="398">
        <v>0</v>
      </c>
      <c r="C121" s="398">
        <v>279.16989999999998</v>
      </c>
      <c r="D121" s="399">
        <v>279.16989999999998</v>
      </c>
      <c r="E121" s="405" t="s">
        <v>273</v>
      </c>
      <c r="F121" s="398">
        <v>0</v>
      </c>
      <c r="G121" s="399">
        <v>0</v>
      </c>
      <c r="H121" s="401">
        <v>4.9406564584124654E-324</v>
      </c>
      <c r="I121" s="398">
        <v>31.151129999999998</v>
      </c>
      <c r="J121" s="399">
        <v>31.151129999999998</v>
      </c>
      <c r="K121" s="406" t="s">
        <v>273</v>
      </c>
    </row>
    <row r="122" spans="1:11" ht="14.4" customHeight="1" thickBot="1" x14ac:dyDescent="0.35">
      <c r="A122" s="415" t="s">
        <v>387</v>
      </c>
      <c r="B122" s="393">
        <v>4.9406564584124654E-324</v>
      </c>
      <c r="C122" s="393">
        <v>162.93956</v>
      </c>
      <c r="D122" s="394">
        <v>162.93956</v>
      </c>
      <c r="E122" s="403" t="s">
        <v>296</v>
      </c>
      <c r="F122" s="393">
        <v>0</v>
      </c>
      <c r="G122" s="394">
        <v>0</v>
      </c>
      <c r="H122" s="396">
        <v>4.9406564584124654E-324</v>
      </c>
      <c r="I122" s="393">
        <v>13.21515</v>
      </c>
      <c r="J122" s="394">
        <v>13.21515</v>
      </c>
      <c r="K122" s="404" t="s">
        <v>273</v>
      </c>
    </row>
    <row r="123" spans="1:11" ht="14.4" customHeight="1" thickBot="1" x14ac:dyDescent="0.35">
      <c r="A123" s="415" t="s">
        <v>388</v>
      </c>
      <c r="B123" s="393">
        <v>0</v>
      </c>
      <c r="C123" s="393">
        <v>116.23034</v>
      </c>
      <c r="D123" s="394">
        <v>116.23034</v>
      </c>
      <c r="E123" s="403" t="s">
        <v>273</v>
      </c>
      <c r="F123" s="393">
        <v>0</v>
      </c>
      <c r="G123" s="394">
        <v>0</v>
      </c>
      <c r="H123" s="396">
        <v>4.9406564584124654E-324</v>
      </c>
      <c r="I123" s="393">
        <v>17.935980000000001</v>
      </c>
      <c r="J123" s="394">
        <v>17.935980000000001</v>
      </c>
      <c r="K123" s="404" t="s">
        <v>273</v>
      </c>
    </row>
    <row r="124" spans="1:11" ht="14.4" customHeight="1" thickBot="1" x14ac:dyDescent="0.35">
      <c r="A124" s="412" t="s">
        <v>389</v>
      </c>
      <c r="B124" s="393">
        <v>110.873759483993</v>
      </c>
      <c r="C124" s="393">
        <v>124.9492</v>
      </c>
      <c r="D124" s="394">
        <v>14.075440516006999</v>
      </c>
      <c r="E124" s="395">
        <v>1.126950151068</v>
      </c>
      <c r="F124" s="393">
        <v>50.010758388710002</v>
      </c>
      <c r="G124" s="394">
        <v>16.670252796235999</v>
      </c>
      <c r="H124" s="396">
        <v>-2.2799999999999999E-3</v>
      </c>
      <c r="I124" s="393">
        <v>12.664099999999999</v>
      </c>
      <c r="J124" s="394">
        <v>-4.006152796236</v>
      </c>
      <c r="K124" s="397">
        <v>0.25322751359899998</v>
      </c>
    </row>
    <row r="125" spans="1:11" ht="14.4" customHeight="1" thickBot="1" x14ac:dyDescent="0.35">
      <c r="A125" s="413" t="s">
        <v>390</v>
      </c>
      <c r="B125" s="393">
        <v>68.999590497309001</v>
      </c>
      <c r="C125" s="393">
        <v>34.09892</v>
      </c>
      <c r="D125" s="394">
        <v>-34.900670497309001</v>
      </c>
      <c r="E125" s="395">
        <v>0.49419017930699999</v>
      </c>
      <c r="F125" s="393">
        <v>0</v>
      </c>
      <c r="G125" s="394">
        <v>0</v>
      </c>
      <c r="H125" s="396">
        <v>4.9406564584124654E-324</v>
      </c>
      <c r="I125" s="393">
        <v>1.9762625833649862E-323</v>
      </c>
      <c r="J125" s="394">
        <v>1.9762625833649862E-323</v>
      </c>
      <c r="K125" s="404" t="s">
        <v>273</v>
      </c>
    </row>
    <row r="126" spans="1:11" ht="14.4" customHeight="1" thickBot="1" x14ac:dyDescent="0.35">
      <c r="A126" s="414" t="s">
        <v>391</v>
      </c>
      <c r="B126" s="398">
        <v>68.999590497309001</v>
      </c>
      <c r="C126" s="398">
        <v>34.09892</v>
      </c>
      <c r="D126" s="399">
        <v>-34.900670497309001</v>
      </c>
      <c r="E126" s="400">
        <v>0.49419017930699999</v>
      </c>
      <c r="F126" s="398">
        <v>0</v>
      </c>
      <c r="G126" s="399">
        <v>0</v>
      </c>
      <c r="H126" s="401">
        <v>4.9406564584124654E-324</v>
      </c>
      <c r="I126" s="398">
        <v>1.9762625833649862E-323</v>
      </c>
      <c r="J126" s="399">
        <v>1.9762625833649862E-323</v>
      </c>
      <c r="K126" s="406" t="s">
        <v>273</v>
      </c>
    </row>
    <row r="127" spans="1:11" ht="14.4" customHeight="1" thickBot="1" x14ac:dyDescent="0.35">
      <c r="A127" s="415" t="s">
        <v>392</v>
      </c>
      <c r="B127" s="393">
        <v>0</v>
      </c>
      <c r="C127" s="393">
        <v>1.27776</v>
      </c>
      <c r="D127" s="394">
        <v>1.27776</v>
      </c>
      <c r="E127" s="403" t="s">
        <v>273</v>
      </c>
      <c r="F127" s="393">
        <v>0</v>
      </c>
      <c r="G127" s="394">
        <v>0</v>
      </c>
      <c r="H127" s="396">
        <v>4.9406564584124654E-324</v>
      </c>
      <c r="I127" s="393">
        <v>1.9762625833649862E-323</v>
      </c>
      <c r="J127" s="394">
        <v>1.9762625833649862E-323</v>
      </c>
      <c r="K127" s="404" t="s">
        <v>273</v>
      </c>
    </row>
    <row r="128" spans="1:11" ht="14.4" customHeight="1" thickBot="1" x14ac:dyDescent="0.35">
      <c r="A128" s="415" t="s">
        <v>393</v>
      </c>
      <c r="B128" s="393">
        <v>0</v>
      </c>
      <c r="C128" s="393">
        <v>2.399</v>
      </c>
      <c r="D128" s="394">
        <v>2.399</v>
      </c>
      <c r="E128" s="403" t="s">
        <v>273</v>
      </c>
      <c r="F128" s="393">
        <v>0</v>
      </c>
      <c r="G128" s="394">
        <v>0</v>
      </c>
      <c r="H128" s="396">
        <v>4.9406564584124654E-324</v>
      </c>
      <c r="I128" s="393">
        <v>1.9762625833649862E-323</v>
      </c>
      <c r="J128" s="394">
        <v>1.9762625833649862E-323</v>
      </c>
      <c r="K128" s="404" t="s">
        <v>273</v>
      </c>
    </row>
    <row r="129" spans="1:11" ht="14.4" customHeight="1" thickBot="1" x14ac:dyDescent="0.35">
      <c r="A129" s="415" t="s">
        <v>394</v>
      </c>
      <c r="B129" s="393">
        <v>0</v>
      </c>
      <c r="C129" s="393">
        <v>19.46593</v>
      </c>
      <c r="D129" s="394">
        <v>19.46593</v>
      </c>
      <c r="E129" s="403" t="s">
        <v>273</v>
      </c>
      <c r="F129" s="393">
        <v>0</v>
      </c>
      <c r="G129" s="394">
        <v>0</v>
      </c>
      <c r="H129" s="396">
        <v>4.9406564584124654E-324</v>
      </c>
      <c r="I129" s="393">
        <v>1.9762625833649862E-323</v>
      </c>
      <c r="J129" s="394">
        <v>1.9762625833649862E-323</v>
      </c>
      <c r="K129" s="404" t="s">
        <v>273</v>
      </c>
    </row>
    <row r="130" spans="1:11" ht="14.4" customHeight="1" thickBot="1" x14ac:dyDescent="0.35">
      <c r="A130" s="415" t="s">
        <v>395</v>
      </c>
      <c r="B130" s="393">
        <v>0</v>
      </c>
      <c r="C130" s="393">
        <v>10.95623</v>
      </c>
      <c r="D130" s="394">
        <v>10.95623</v>
      </c>
      <c r="E130" s="403" t="s">
        <v>273</v>
      </c>
      <c r="F130" s="393">
        <v>0</v>
      </c>
      <c r="G130" s="394">
        <v>0</v>
      </c>
      <c r="H130" s="396">
        <v>4.9406564584124654E-324</v>
      </c>
      <c r="I130" s="393">
        <v>1.9762625833649862E-323</v>
      </c>
      <c r="J130" s="394">
        <v>1.9762625833649862E-323</v>
      </c>
      <c r="K130" s="404" t="s">
        <v>273</v>
      </c>
    </row>
    <row r="131" spans="1:11" ht="14.4" customHeight="1" thickBot="1" x14ac:dyDescent="0.35">
      <c r="A131" s="418" t="s">
        <v>396</v>
      </c>
      <c r="B131" s="398">
        <v>41.874168986683003</v>
      </c>
      <c r="C131" s="398">
        <v>90.850279999999998</v>
      </c>
      <c r="D131" s="399">
        <v>48.976111013316</v>
      </c>
      <c r="E131" s="400">
        <v>2.1696019813279999</v>
      </c>
      <c r="F131" s="398">
        <v>50.010758388710002</v>
      </c>
      <c r="G131" s="399">
        <v>16.670252796235999</v>
      </c>
      <c r="H131" s="401">
        <v>-2.2799999999999999E-3</v>
      </c>
      <c r="I131" s="398">
        <v>12.664099999999999</v>
      </c>
      <c r="J131" s="399">
        <v>-4.006152796236</v>
      </c>
      <c r="K131" s="402">
        <v>0.25322751359899998</v>
      </c>
    </row>
    <row r="132" spans="1:11" ht="14.4" customHeight="1" thickBot="1" x14ac:dyDescent="0.35">
      <c r="A132" s="414" t="s">
        <v>397</v>
      </c>
      <c r="B132" s="398">
        <v>0</v>
      </c>
      <c r="C132" s="398">
        <v>-3.3020000000000001E-2</v>
      </c>
      <c r="D132" s="399">
        <v>-3.3020000000000001E-2</v>
      </c>
      <c r="E132" s="405" t="s">
        <v>273</v>
      </c>
      <c r="F132" s="398">
        <v>0</v>
      </c>
      <c r="G132" s="399">
        <v>0</v>
      </c>
      <c r="H132" s="401">
        <v>-6.28E-3</v>
      </c>
      <c r="I132" s="398">
        <v>-1.29E-2</v>
      </c>
      <c r="J132" s="399">
        <v>-1.29E-2</v>
      </c>
      <c r="K132" s="406" t="s">
        <v>273</v>
      </c>
    </row>
    <row r="133" spans="1:11" ht="14.4" customHeight="1" thickBot="1" x14ac:dyDescent="0.35">
      <c r="A133" s="415" t="s">
        <v>398</v>
      </c>
      <c r="B133" s="393">
        <v>0</v>
      </c>
      <c r="C133" s="393">
        <v>-3.3020000000000001E-2</v>
      </c>
      <c r="D133" s="394">
        <v>-3.3020000000000001E-2</v>
      </c>
      <c r="E133" s="403" t="s">
        <v>273</v>
      </c>
      <c r="F133" s="393">
        <v>0</v>
      </c>
      <c r="G133" s="394">
        <v>0</v>
      </c>
      <c r="H133" s="396">
        <v>-6.28E-3</v>
      </c>
      <c r="I133" s="393">
        <v>-1.29E-2</v>
      </c>
      <c r="J133" s="394">
        <v>-1.29E-2</v>
      </c>
      <c r="K133" s="404" t="s">
        <v>273</v>
      </c>
    </row>
    <row r="134" spans="1:11" ht="14.4" customHeight="1" thickBot="1" x14ac:dyDescent="0.35">
      <c r="A134" s="414" t="s">
        <v>399</v>
      </c>
      <c r="B134" s="398">
        <v>41.874168986683003</v>
      </c>
      <c r="C134" s="398">
        <v>90.883300000000006</v>
      </c>
      <c r="D134" s="399">
        <v>49.009131013316001</v>
      </c>
      <c r="E134" s="400">
        <v>2.1703905342910002</v>
      </c>
      <c r="F134" s="398">
        <v>50.010758388710002</v>
      </c>
      <c r="G134" s="399">
        <v>16.670252796235999</v>
      </c>
      <c r="H134" s="401">
        <v>4.0000000000000001E-3</v>
      </c>
      <c r="I134" s="398">
        <v>12.677</v>
      </c>
      <c r="J134" s="399">
        <v>-3.9932527962359998</v>
      </c>
      <c r="K134" s="402">
        <v>0.25348545809799999</v>
      </c>
    </row>
    <row r="135" spans="1:11" ht="14.4" customHeight="1" thickBot="1" x14ac:dyDescent="0.35">
      <c r="A135" s="415" t="s">
        <v>400</v>
      </c>
      <c r="B135" s="393">
        <v>0</v>
      </c>
      <c r="C135" s="393">
        <v>0.13700000000000001</v>
      </c>
      <c r="D135" s="394">
        <v>0.13700000000000001</v>
      </c>
      <c r="E135" s="403" t="s">
        <v>273</v>
      </c>
      <c r="F135" s="393">
        <v>0</v>
      </c>
      <c r="G135" s="394">
        <v>0</v>
      </c>
      <c r="H135" s="396">
        <v>4.0000000000000001E-3</v>
      </c>
      <c r="I135" s="393">
        <v>2.7E-2</v>
      </c>
      <c r="J135" s="394">
        <v>2.7E-2</v>
      </c>
      <c r="K135" s="404" t="s">
        <v>273</v>
      </c>
    </row>
    <row r="136" spans="1:11" ht="14.4" customHeight="1" thickBot="1" x14ac:dyDescent="0.35">
      <c r="A136" s="415" t="s">
        <v>401</v>
      </c>
      <c r="B136" s="393">
        <v>40.682947010132999</v>
      </c>
      <c r="C136" s="393">
        <v>89.3</v>
      </c>
      <c r="D136" s="394">
        <v>48.617052989866004</v>
      </c>
      <c r="E136" s="395">
        <v>2.1950228919680002</v>
      </c>
      <c r="F136" s="393">
        <v>48.819536412159998</v>
      </c>
      <c r="G136" s="394">
        <v>16.273178804053</v>
      </c>
      <c r="H136" s="396">
        <v>4.9406564584124654E-324</v>
      </c>
      <c r="I136" s="393">
        <v>12.65</v>
      </c>
      <c r="J136" s="394">
        <v>-3.623178804053</v>
      </c>
      <c r="K136" s="397">
        <v>0.25911757729899998</v>
      </c>
    </row>
    <row r="137" spans="1:11" ht="14.4" customHeight="1" thickBot="1" x14ac:dyDescent="0.35">
      <c r="A137" s="415" t="s">
        <v>402</v>
      </c>
      <c r="B137" s="393">
        <v>1.1912219765500001</v>
      </c>
      <c r="C137" s="393">
        <v>1.4462999999999999</v>
      </c>
      <c r="D137" s="394">
        <v>0.25507802344899999</v>
      </c>
      <c r="E137" s="395">
        <v>1.214131394879</v>
      </c>
      <c r="F137" s="393">
        <v>1.1912219765500001</v>
      </c>
      <c r="G137" s="394">
        <v>0.39707399218299999</v>
      </c>
      <c r="H137" s="396">
        <v>4.9406564584124654E-324</v>
      </c>
      <c r="I137" s="393">
        <v>1.9762625833649862E-323</v>
      </c>
      <c r="J137" s="394">
        <v>-0.39707399218299999</v>
      </c>
      <c r="K137" s="397">
        <v>1.4821969375237396E-323</v>
      </c>
    </row>
    <row r="138" spans="1:11" ht="14.4" customHeight="1" thickBot="1" x14ac:dyDescent="0.35">
      <c r="A138" s="411" t="s">
        <v>403</v>
      </c>
      <c r="B138" s="393">
        <v>1252.2140167810501</v>
      </c>
      <c r="C138" s="393">
        <v>1128.3203599999999</v>
      </c>
      <c r="D138" s="394">
        <v>-123.89365678105401</v>
      </c>
      <c r="E138" s="395">
        <v>0.901060317868</v>
      </c>
      <c r="F138" s="393">
        <v>1321.0015593989201</v>
      </c>
      <c r="G138" s="394">
        <v>440.33385313297401</v>
      </c>
      <c r="H138" s="396">
        <v>97.930310000000006</v>
      </c>
      <c r="I138" s="393">
        <v>378.6302</v>
      </c>
      <c r="J138" s="394">
        <v>-61.703653132973997</v>
      </c>
      <c r="K138" s="397">
        <v>0.28662358292099999</v>
      </c>
    </row>
    <row r="139" spans="1:11" ht="14.4" customHeight="1" thickBot="1" x14ac:dyDescent="0.35">
      <c r="A139" s="416" t="s">
        <v>404</v>
      </c>
      <c r="B139" s="398">
        <v>1252.2140167810501</v>
      </c>
      <c r="C139" s="398">
        <v>1128.3203599999999</v>
      </c>
      <c r="D139" s="399">
        <v>-123.89365678105401</v>
      </c>
      <c r="E139" s="400">
        <v>0.901060317868</v>
      </c>
      <c r="F139" s="398">
        <v>1321.0015593989201</v>
      </c>
      <c r="G139" s="399">
        <v>440.33385313297401</v>
      </c>
      <c r="H139" s="401">
        <v>97.930310000000006</v>
      </c>
      <c r="I139" s="398">
        <v>378.6302</v>
      </c>
      <c r="J139" s="399">
        <v>-61.703653132973997</v>
      </c>
      <c r="K139" s="402">
        <v>0.28662358292099999</v>
      </c>
    </row>
    <row r="140" spans="1:11" ht="14.4" customHeight="1" thickBot="1" x14ac:dyDescent="0.35">
      <c r="A140" s="418" t="s">
        <v>54</v>
      </c>
      <c r="B140" s="398">
        <v>1252.2140167810501</v>
      </c>
      <c r="C140" s="398">
        <v>1128.3203599999999</v>
      </c>
      <c r="D140" s="399">
        <v>-123.89365678105401</v>
      </c>
      <c r="E140" s="400">
        <v>0.901060317868</v>
      </c>
      <c r="F140" s="398">
        <v>1321.0015593989201</v>
      </c>
      <c r="G140" s="399">
        <v>440.33385313297401</v>
      </c>
      <c r="H140" s="401">
        <v>97.930310000000006</v>
      </c>
      <c r="I140" s="398">
        <v>378.6302</v>
      </c>
      <c r="J140" s="399">
        <v>-61.703653132973997</v>
      </c>
      <c r="K140" s="402">
        <v>0.28662358292099999</v>
      </c>
    </row>
    <row r="141" spans="1:11" ht="14.4" customHeight="1" thickBot="1" x14ac:dyDescent="0.35">
      <c r="A141" s="414" t="s">
        <v>405</v>
      </c>
      <c r="B141" s="398">
        <v>17.999999999999002</v>
      </c>
      <c r="C141" s="398">
        <v>26.977499999999999</v>
      </c>
      <c r="D141" s="399">
        <v>8.9774999999999991</v>
      </c>
      <c r="E141" s="400">
        <v>1.49875</v>
      </c>
      <c r="F141" s="398">
        <v>17</v>
      </c>
      <c r="G141" s="399">
        <v>5.6666666666659999</v>
      </c>
      <c r="H141" s="401">
        <v>2.145</v>
      </c>
      <c r="I141" s="398">
        <v>8.58</v>
      </c>
      <c r="J141" s="399">
        <v>2.913333333333</v>
      </c>
      <c r="K141" s="402">
        <v>0.50470588235199998</v>
      </c>
    </row>
    <row r="142" spans="1:11" ht="14.4" customHeight="1" thickBot="1" x14ac:dyDescent="0.35">
      <c r="A142" s="415" t="s">
        <v>406</v>
      </c>
      <c r="B142" s="393">
        <v>17.999999999999002</v>
      </c>
      <c r="C142" s="393">
        <v>26.977499999999999</v>
      </c>
      <c r="D142" s="394">
        <v>8.9774999999999991</v>
      </c>
      <c r="E142" s="395">
        <v>1.49875</v>
      </c>
      <c r="F142" s="393">
        <v>17</v>
      </c>
      <c r="G142" s="394">
        <v>5.6666666666659999</v>
      </c>
      <c r="H142" s="396">
        <v>2.145</v>
      </c>
      <c r="I142" s="393">
        <v>8.58</v>
      </c>
      <c r="J142" s="394">
        <v>2.913333333333</v>
      </c>
      <c r="K142" s="397">
        <v>0.50470588235199998</v>
      </c>
    </row>
    <row r="143" spans="1:11" ht="14.4" customHeight="1" thickBot="1" x14ac:dyDescent="0.35">
      <c r="A143" s="414" t="s">
        <v>407</v>
      </c>
      <c r="B143" s="398">
        <v>7.6872032858579997</v>
      </c>
      <c r="C143" s="398">
        <v>9.15</v>
      </c>
      <c r="D143" s="399">
        <v>1.4627967141410001</v>
      </c>
      <c r="E143" s="400">
        <v>1.19028984401</v>
      </c>
      <c r="F143" s="398">
        <v>11.001559398922</v>
      </c>
      <c r="G143" s="399">
        <v>3.6671864663070002</v>
      </c>
      <c r="H143" s="401">
        <v>0.54</v>
      </c>
      <c r="I143" s="398">
        <v>3.2450000000000001</v>
      </c>
      <c r="J143" s="399">
        <v>-0.42218646630700002</v>
      </c>
      <c r="K143" s="402">
        <v>0.29495818568299997</v>
      </c>
    </row>
    <row r="144" spans="1:11" ht="14.4" customHeight="1" thickBot="1" x14ac:dyDescent="0.35">
      <c r="A144" s="415" t="s">
        <v>408</v>
      </c>
      <c r="B144" s="393">
        <v>7.6872032858579997</v>
      </c>
      <c r="C144" s="393">
        <v>9.15</v>
      </c>
      <c r="D144" s="394">
        <v>1.4627967141410001</v>
      </c>
      <c r="E144" s="395">
        <v>1.19028984401</v>
      </c>
      <c r="F144" s="393">
        <v>11.001559398922</v>
      </c>
      <c r="G144" s="394">
        <v>3.6671864663070002</v>
      </c>
      <c r="H144" s="396">
        <v>0.54</v>
      </c>
      <c r="I144" s="393">
        <v>3.2450000000000001</v>
      </c>
      <c r="J144" s="394">
        <v>-0.42218646630700002</v>
      </c>
      <c r="K144" s="397">
        <v>0.29495818568299997</v>
      </c>
    </row>
    <row r="145" spans="1:11" ht="14.4" customHeight="1" thickBot="1" x14ac:dyDescent="0.35">
      <c r="A145" s="414" t="s">
        <v>409</v>
      </c>
      <c r="B145" s="398">
        <v>34.52681349521</v>
      </c>
      <c r="C145" s="398">
        <v>35.698300000000003</v>
      </c>
      <c r="D145" s="399">
        <v>1.171486504789</v>
      </c>
      <c r="E145" s="400">
        <v>1.0339297602699999</v>
      </c>
      <c r="F145" s="398">
        <v>39</v>
      </c>
      <c r="G145" s="399">
        <v>13</v>
      </c>
      <c r="H145" s="401">
        <v>3.1978</v>
      </c>
      <c r="I145" s="398">
        <v>10.3912</v>
      </c>
      <c r="J145" s="399">
        <v>-2.6088</v>
      </c>
      <c r="K145" s="402">
        <v>0.26644102564099997</v>
      </c>
    </row>
    <row r="146" spans="1:11" ht="14.4" customHeight="1" thickBot="1" x14ac:dyDescent="0.35">
      <c r="A146" s="415" t="s">
        <v>410</v>
      </c>
      <c r="B146" s="393">
        <v>34.52681349521</v>
      </c>
      <c r="C146" s="393">
        <v>35.698300000000003</v>
      </c>
      <c r="D146" s="394">
        <v>1.171486504789</v>
      </c>
      <c r="E146" s="395">
        <v>1.0339297602699999</v>
      </c>
      <c r="F146" s="393">
        <v>39</v>
      </c>
      <c r="G146" s="394">
        <v>13</v>
      </c>
      <c r="H146" s="396">
        <v>3.1978</v>
      </c>
      <c r="I146" s="393">
        <v>10.3912</v>
      </c>
      <c r="J146" s="394">
        <v>-2.6088</v>
      </c>
      <c r="K146" s="397">
        <v>0.26644102564099997</v>
      </c>
    </row>
    <row r="147" spans="1:11" ht="14.4" customHeight="1" thickBot="1" x14ac:dyDescent="0.35">
      <c r="A147" s="414" t="s">
        <v>411</v>
      </c>
      <c r="B147" s="398">
        <v>0</v>
      </c>
      <c r="C147" s="398">
        <v>2.4780000000000002</v>
      </c>
      <c r="D147" s="399">
        <v>2.4780000000000002</v>
      </c>
      <c r="E147" s="405" t="s">
        <v>273</v>
      </c>
      <c r="F147" s="398">
        <v>4.9406564584124654E-324</v>
      </c>
      <c r="G147" s="399">
        <v>0</v>
      </c>
      <c r="H147" s="401">
        <v>0.25600000000000001</v>
      </c>
      <c r="I147" s="398">
        <v>0.48199999999999998</v>
      </c>
      <c r="J147" s="399">
        <v>0.48199999999999998</v>
      </c>
      <c r="K147" s="406" t="s">
        <v>296</v>
      </c>
    </row>
    <row r="148" spans="1:11" ht="14.4" customHeight="1" thickBot="1" x14ac:dyDescent="0.35">
      <c r="A148" s="415" t="s">
        <v>412</v>
      </c>
      <c r="B148" s="393">
        <v>0</v>
      </c>
      <c r="C148" s="393">
        <v>2.4780000000000002</v>
      </c>
      <c r="D148" s="394">
        <v>2.4780000000000002</v>
      </c>
      <c r="E148" s="403" t="s">
        <v>273</v>
      </c>
      <c r="F148" s="393">
        <v>4.9406564584124654E-324</v>
      </c>
      <c r="G148" s="394">
        <v>0</v>
      </c>
      <c r="H148" s="396">
        <v>0.25600000000000001</v>
      </c>
      <c r="I148" s="393">
        <v>0.48199999999999998</v>
      </c>
      <c r="J148" s="394">
        <v>0.48199999999999998</v>
      </c>
      <c r="K148" s="404" t="s">
        <v>296</v>
      </c>
    </row>
    <row r="149" spans="1:11" ht="14.4" customHeight="1" thickBot="1" x14ac:dyDescent="0.35">
      <c r="A149" s="414" t="s">
        <v>413</v>
      </c>
      <c r="B149" s="398">
        <v>366.999999999995</v>
      </c>
      <c r="C149" s="398">
        <v>348.14350999999999</v>
      </c>
      <c r="D149" s="399">
        <v>-18.856489999994999</v>
      </c>
      <c r="E149" s="400">
        <v>0.94861991825600001</v>
      </c>
      <c r="F149" s="398">
        <v>489</v>
      </c>
      <c r="G149" s="399">
        <v>163</v>
      </c>
      <c r="H149" s="401">
        <v>34.806199999999997</v>
      </c>
      <c r="I149" s="398">
        <v>112.79393</v>
      </c>
      <c r="J149" s="399">
        <v>-50.206069999999997</v>
      </c>
      <c r="K149" s="402">
        <v>0.230662433537</v>
      </c>
    </row>
    <row r="150" spans="1:11" ht="14.4" customHeight="1" thickBot="1" x14ac:dyDescent="0.35">
      <c r="A150" s="415" t="s">
        <v>414</v>
      </c>
      <c r="B150" s="393">
        <v>366.999999999995</v>
      </c>
      <c r="C150" s="393">
        <v>348.03755000000001</v>
      </c>
      <c r="D150" s="394">
        <v>-18.962449999994998</v>
      </c>
      <c r="E150" s="395">
        <v>0.94833119890999995</v>
      </c>
      <c r="F150" s="393">
        <v>483</v>
      </c>
      <c r="G150" s="394">
        <v>161</v>
      </c>
      <c r="H150" s="396">
        <v>34.322920000000003</v>
      </c>
      <c r="I150" s="393">
        <v>110.86078000000001</v>
      </c>
      <c r="J150" s="394">
        <v>-50.139220000000002</v>
      </c>
      <c r="K150" s="397">
        <v>0.22952542443000001</v>
      </c>
    </row>
    <row r="151" spans="1:11" ht="14.4" customHeight="1" thickBot="1" x14ac:dyDescent="0.35">
      <c r="A151" s="415" t="s">
        <v>415</v>
      </c>
      <c r="B151" s="393">
        <v>0</v>
      </c>
      <c r="C151" s="393">
        <v>0.10596</v>
      </c>
      <c r="D151" s="394">
        <v>0.10596</v>
      </c>
      <c r="E151" s="403" t="s">
        <v>273</v>
      </c>
      <c r="F151" s="393">
        <v>6</v>
      </c>
      <c r="G151" s="394">
        <v>2</v>
      </c>
      <c r="H151" s="396">
        <v>0.48327999999999999</v>
      </c>
      <c r="I151" s="393">
        <v>1.9331499999999999</v>
      </c>
      <c r="J151" s="394">
        <v>-6.6850000000000007E-2</v>
      </c>
      <c r="K151" s="397">
        <v>0.32219166666600002</v>
      </c>
    </row>
    <row r="152" spans="1:11" ht="14.4" customHeight="1" thickBot="1" x14ac:dyDescent="0.35">
      <c r="A152" s="414" t="s">
        <v>416</v>
      </c>
      <c r="B152" s="398">
        <v>824.99999999998897</v>
      </c>
      <c r="C152" s="398">
        <v>705.87305000000003</v>
      </c>
      <c r="D152" s="399">
        <v>-119.12694999998899</v>
      </c>
      <c r="E152" s="400">
        <v>0.85560369696899996</v>
      </c>
      <c r="F152" s="398">
        <v>765</v>
      </c>
      <c r="G152" s="399">
        <v>255</v>
      </c>
      <c r="H152" s="401">
        <v>56.985309999999998</v>
      </c>
      <c r="I152" s="398">
        <v>243.13807</v>
      </c>
      <c r="J152" s="399">
        <v>-11.861929999999001</v>
      </c>
      <c r="K152" s="402">
        <v>0.31782754248299999</v>
      </c>
    </row>
    <row r="153" spans="1:11" ht="14.4" customHeight="1" thickBot="1" x14ac:dyDescent="0.35">
      <c r="A153" s="415" t="s">
        <v>417</v>
      </c>
      <c r="B153" s="393">
        <v>824.99999999998897</v>
      </c>
      <c r="C153" s="393">
        <v>705.87305000000003</v>
      </c>
      <c r="D153" s="394">
        <v>-119.12694999998899</v>
      </c>
      <c r="E153" s="395">
        <v>0.85560369696899996</v>
      </c>
      <c r="F153" s="393">
        <v>765</v>
      </c>
      <c r="G153" s="394">
        <v>255</v>
      </c>
      <c r="H153" s="396">
        <v>56.985309999999998</v>
      </c>
      <c r="I153" s="393">
        <v>243.13807</v>
      </c>
      <c r="J153" s="394">
        <v>-11.861929999999001</v>
      </c>
      <c r="K153" s="397">
        <v>0.31782754248299999</v>
      </c>
    </row>
    <row r="154" spans="1:11" ht="14.4" customHeight="1" thickBot="1" x14ac:dyDescent="0.35">
      <c r="A154" s="419" t="s">
        <v>418</v>
      </c>
      <c r="B154" s="398">
        <v>0</v>
      </c>
      <c r="C154" s="398">
        <v>6.1399999999999996E-3</v>
      </c>
      <c r="D154" s="399">
        <v>6.1399999999999996E-3</v>
      </c>
      <c r="E154" s="405" t="s">
        <v>273</v>
      </c>
      <c r="F154" s="398">
        <v>4.9406564584124654E-324</v>
      </c>
      <c r="G154" s="399">
        <v>0</v>
      </c>
      <c r="H154" s="401">
        <v>0.40200000000000002</v>
      </c>
      <c r="I154" s="398">
        <v>0.46333000000000002</v>
      </c>
      <c r="J154" s="399">
        <v>0.46333000000000002</v>
      </c>
      <c r="K154" s="406" t="s">
        <v>296</v>
      </c>
    </row>
    <row r="155" spans="1:11" ht="14.4" customHeight="1" thickBot="1" x14ac:dyDescent="0.35">
      <c r="A155" s="416" t="s">
        <v>419</v>
      </c>
      <c r="B155" s="398">
        <v>0</v>
      </c>
      <c r="C155" s="398">
        <v>6.1399999999999996E-3</v>
      </c>
      <c r="D155" s="399">
        <v>6.1399999999999996E-3</v>
      </c>
      <c r="E155" s="405" t="s">
        <v>273</v>
      </c>
      <c r="F155" s="398">
        <v>4.9406564584124654E-324</v>
      </c>
      <c r="G155" s="399">
        <v>0</v>
      </c>
      <c r="H155" s="401">
        <v>0.40200000000000002</v>
      </c>
      <c r="I155" s="398">
        <v>0.46333000000000002</v>
      </c>
      <c r="J155" s="399">
        <v>0.46333000000000002</v>
      </c>
      <c r="K155" s="406" t="s">
        <v>296</v>
      </c>
    </row>
    <row r="156" spans="1:11" ht="14.4" customHeight="1" thickBot="1" x14ac:dyDescent="0.35">
      <c r="A156" s="418" t="s">
        <v>420</v>
      </c>
      <c r="B156" s="398">
        <v>0</v>
      </c>
      <c r="C156" s="398">
        <v>6.1399999999999996E-3</v>
      </c>
      <c r="D156" s="399">
        <v>6.1399999999999996E-3</v>
      </c>
      <c r="E156" s="405" t="s">
        <v>273</v>
      </c>
      <c r="F156" s="398">
        <v>4.9406564584124654E-324</v>
      </c>
      <c r="G156" s="399">
        <v>0</v>
      </c>
      <c r="H156" s="401">
        <v>0.40200000000000002</v>
      </c>
      <c r="I156" s="398">
        <v>0.46333000000000002</v>
      </c>
      <c r="J156" s="399">
        <v>0.46333000000000002</v>
      </c>
      <c r="K156" s="406" t="s">
        <v>296</v>
      </c>
    </row>
    <row r="157" spans="1:11" ht="14.4" customHeight="1" thickBot="1" x14ac:dyDescent="0.35">
      <c r="A157" s="414" t="s">
        <v>421</v>
      </c>
      <c r="B157" s="398">
        <v>4.9406564584124654E-324</v>
      </c>
      <c r="C157" s="398">
        <v>6.1399999999999996E-3</v>
      </c>
      <c r="D157" s="399">
        <v>6.1399999999999996E-3</v>
      </c>
      <c r="E157" s="405" t="s">
        <v>296</v>
      </c>
      <c r="F157" s="398">
        <v>4.9406564584124654E-324</v>
      </c>
      <c r="G157" s="399">
        <v>0</v>
      </c>
      <c r="H157" s="401">
        <v>0.40200000000000002</v>
      </c>
      <c r="I157" s="398">
        <v>0.46333000000000002</v>
      </c>
      <c r="J157" s="399">
        <v>0.46333000000000002</v>
      </c>
      <c r="K157" s="406" t="s">
        <v>296</v>
      </c>
    </row>
    <row r="158" spans="1:11" ht="14.4" customHeight="1" thickBot="1" x14ac:dyDescent="0.35">
      <c r="A158" s="415" t="s">
        <v>422</v>
      </c>
      <c r="B158" s="393">
        <v>4.9406564584124654E-324</v>
      </c>
      <c r="C158" s="393">
        <v>4.9406564584124654E-324</v>
      </c>
      <c r="D158" s="394">
        <v>0</v>
      </c>
      <c r="E158" s="395">
        <v>1</v>
      </c>
      <c r="F158" s="393">
        <v>4.9406564584124654E-324</v>
      </c>
      <c r="G158" s="394">
        <v>0</v>
      </c>
      <c r="H158" s="396">
        <v>0.40200000000000002</v>
      </c>
      <c r="I158" s="393">
        <v>0.40200000000000002</v>
      </c>
      <c r="J158" s="394">
        <v>0.40200000000000002</v>
      </c>
      <c r="K158" s="404" t="s">
        <v>296</v>
      </c>
    </row>
    <row r="159" spans="1:11" ht="14.4" customHeight="1" thickBot="1" x14ac:dyDescent="0.35">
      <c r="A159" s="415" t="s">
        <v>423</v>
      </c>
      <c r="B159" s="393">
        <v>4.9406564584124654E-324</v>
      </c>
      <c r="C159" s="393">
        <v>6.1399999999999996E-3</v>
      </c>
      <c r="D159" s="394">
        <v>6.1399999999999996E-3</v>
      </c>
      <c r="E159" s="403" t="s">
        <v>296</v>
      </c>
      <c r="F159" s="393">
        <v>4.9406564584124654E-324</v>
      </c>
      <c r="G159" s="394">
        <v>0</v>
      </c>
      <c r="H159" s="396">
        <v>4.9406564584124654E-324</v>
      </c>
      <c r="I159" s="393">
        <v>6.1330000000000003E-2</v>
      </c>
      <c r="J159" s="394">
        <v>6.1330000000000003E-2</v>
      </c>
      <c r="K159" s="404" t="s">
        <v>296</v>
      </c>
    </row>
    <row r="160" spans="1:11" ht="14.4" customHeight="1" thickBot="1" x14ac:dyDescent="0.35">
      <c r="A160" s="420"/>
      <c r="B160" s="393">
        <v>-2951.1539475695499</v>
      </c>
      <c r="C160" s="393">
        <v>-4827.5262700000003</v>
      </c>
      <c r="D160" s="394">
        <v>-1876.3723224304499</v>
      </c>
      <c r="E160" s="395">
        <v>1.635809705547</v>
      </c>
      <c r="F160" s="393">
        <v>-5177.1374471791396</v>
      </c>
      <c r="G160" s="394">
        <v>-1725.7124823930501</v>
      </c>
      <c r="H160" s="396">
        <v>-327.88610999999997</v>
      </c>
      <c r="I160" s="393">
        <v>-1310.0072500000001</v>
      </c>
      <c r="J160" s="394">
        <v>415.70523239304202</v>
      </c>
      <c r="K160" s="397">
        <v>0.25303698488999998</v>
      </c>
    </row>
    <row r="161" spans="1:11" ht="14.4" customHeight="1" thickBot="1" x14ac:dyDescent="0.35">
      <c r="A161" s="421" t="s">
        <v>66</v>
      </c>
      <c r="B161" s="407">
        <v>-2951.1539475695499</v>
      </c>
      <c r="C161" s="407">
        <v>-4827.5262700000003</v>
      </c>
      <c r="D161" s="408">
        <v>-1876.3723224304499</v>
      </c>
      <c r="E161" s="409" t="s">
        <v>273</v>
      </c>
      <c r="F161" s="407">
        <v>-5177.1374471791396</v>
      </c>
      <c r="G161" s="408">
        <v>-1725.7124823930501</v>
      </c>
      <c r="H161" s="407">
        <v>-327.88610999999997</v>
      </c>
      <c r="I161" s="407">
        <v>-1310.0072500000001</v>
      </c>
      <c r="J161" s="408">
        <v>415.70523239304202</v>
      </c>
      <c r="K161" s="410">
        <v>0.25303698488999998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13" customWidth="1"/>
    <col min="2" max="2" width="61.109375" style="213" customWidth="1"/>
    <col min="3" max="3" width="9.5546875" style="133" customWidth="1"/>
    <col min="4" max="4" width="9.5546875" style="214" customWidth="1"/>
    <col min="5" max="5" width="2.21875" style="214" customWidth="1"/>
    <col min="6" max="6" width="9.5546875" style="215" customWidth="1"/>
    <col min="7" max="7" width="9.5546875" style="212" customWidth="1"/>
    <col min="8" max="9" width="9.5546875" style="133" customWidth="1"/>
    <col min="10" max="10" width="0" style="133" hidden="1" customWidth="1"/>
    <col min="11" max="16384" width="8.88671875" style="133"/>
  </cols>
  <sheetData>
    <row r="1" spans="1:10" ht="18.600000000000001" customHeight="1" thickBot="1" x14ac:dyDescent="0.4">
      <c r="A1" s="339" t="s">
        <v>143</v>
      </c>
      <c r="B1" s="340"/>
      <c r="C1" s="340"/>
      <c r="D1" s="340"/>
      <c r="E1" s="340"/>
      <c r="F1" s="340"/>
      <c r="G1" s="311"/>
      <c r="H1" s="341"/>
      <c r="I1" s="341"/>
    </row>
    <row r="2" spans="1:10" ht="14.4" customHeight="1" thickBot="1" x14ac:dyDescent="0.35">
      <c r="A2" s="240" t="s">
        <v>272</v>
      </c>
      <c r="B2" s="211"/>
      <c r="C2" s="211"/>
      <c r="D2" s="211"/>
      <c r="E2" s="211"/>
      <c r="F2" s="211"/>
    </row>
    <row r="3" spans="1:10" ht="14.4" customHeight="1" thickBot="1" x14ac:dyDescent="0.35">
      <c r="A3" s="240"/>
      <c r="B3" s="211"/>
      <c r="C3" s="298">
        <v>2012</v>
      </c>
      <c r="D3" s="299">
        <v>2013</v>
      </c>
      <c r="E3" s="7"/>
      <c r="F3" s="334">
        <v>2014</v>
      </c>
      <c r="G3" s="335"/>
      <c r="H3" s="335"/>
      <c r="I3" s="336"/>
    </row>
    <row r="4" spans="1:10" ht="14.4" customHeight="1" thickBot="1" x14ac:dyDescent="0.35">
      <c r="A4" s="303" t="s">
        <v>0</v>
      </c>
      <c r="B4" s="304" t="s">
        <v>271</v>
      </c>
      <c r="C4" s="337" t="s">
        <v>73</v>
      </c>
      <c r="D4" s="338"/>
      <c r="E4" s="305"/>
      <c r="F4" s="300" t="s">
        <v>73</v>
      </c>
      <c r="G4" s="301" t="s">
        <v>74</v>
      </c>
      <c r="H4" s="301" t="s">
        <v>68</v>
      </c>
      <c r="I4" s="302" t="s">
        <v>75</v>
      </c>
    </row>
    <row r="5" spans="1:10" ht="14.4" customHeight="1" x14ac:dyDescent="0.3">
      <c r="A5" s="422" t="s">
        <v>424</v>
      </c>
      <c r="B5" s="423" t="s">
        <v>425</v>
      </c>
      <c r="C5" s="424" t="s">
        <v>426</v>
      </c>
      <c r="D5" s="424" t="s">
        <v>426</v>
      </c>
      <c r="E5" s="424"/>
      <c r="F5" s="424" t="s">
        <v>426</v>
      </c>
      <c r="G5" s="424" t="s">
        <v>426</v>
      </c>
      <c r="H5" s="424" t="s">
        <v>426</v>
      </c>
      <c r="I5" s="425" t="s">
        <v>426</v>
      </c>
      <c r="J5" s="426" t="s">
        <v>69</v>
      </c>
    </row>
    <row r="6" spans="1:10" ht="14.4" customHeight="1" x14ac:dyDescent="0.3">
      <c r="A6" s="422" t="s">
        <v>424</v>
      </c>
      <c r="B6" s="423" t="s">
        <v>279</v>
      </c>
      <c r="C6" s="424">
        <v>92.633099999999999</v>
      </c>
      <c r="D6" s="424">
        <v>232.977399999998</v>
      </c>
      <c r="E6" s="424"/>
      <c r="F6" s="424">
        <v>208.64609000000002</v>
      </c>
      <c r="G6" s="424">
        <v>266.33333333333331</v>
      </c>
      <c r="H6" s="424">
        <v>-57.687243333333299</v>
      </c>
      <c r="I6" s="425">
        <v>0.78340209011264095</v>
      </c>
      <c r="J6" s="426" t="s">
        <v>1</v>
      </c>
    </row>
    <row r="7" spans="1:10" ht="14.4" customHeight="1" x14ac:dyDescent="0.3">
      <c r="A7" s="422" t="s">
        <v>424</v>
      </c>
      <c r="B7" s="423" t="s">
        <v>280</v>
      </c>
      <c r="C7" s="424">
        <v>0.59785999999999995</v>
      </c>
      <c r="D7" s="424">
        <v>3.7470000000000003E-2</v>
      </c>
      <c r="E7" s="424"/>
      <c r="F7" s="424" t="s">
        <v>426</v>
      </c>
      <c r="G7" s="424" t="s">
        <v>426</v>
      </c>
      <c r="H7" s="424" t="s">
        <v>426</v>
      </c>
      <c r="I7" s="425" t="s">
        <v>426</v>
      </c>
      <c r="J7" s="426" t="s">
        <v>1</v>
      </c>
    </row>
    <row r="8" spans="1:10" ht="14.4" customHeight="1" x14ac:dyDescent="0.3">
      <c r="A8" s="422" t="s">
        <v>424</v>
      </c>
      <c r="B8" s="423" t="s">
        <v>427</v>
      </c>
      <c r="C8" s="424">
        <v>0</v>
      </c>
      <c r="D8" s="424" t="s">
        <v>426</v>
      </c>
      <c r="E8" s="424"/>
      <c r="F8" s="424" t="s">
        <v>426</v>
      </c>
      <c r="G8" s="424" t="s">
        <v>426</v>
      </c>
      <c r="H8" s="424" t="s">
        <v>426</v>
      </c>
      <c r="I8" s="425" t="s">
        <v>426</v>
      </c>
      <c r="J8" s="426" t="s">
        <v>1</v>
      </c>
    </row>
    <row r="9" spans="1:10" ht="14.4" customHeight="1" x14ac:dyDescent="0.3">
      <c r="A9" s="422" t="s">
        <v>424</v>
      </c>
      <c r="B9" s="423" t="s">
        <v>428</v>
      </c>
      <c r="C9" s="424">
        <v>93.230959999999996</v>
      </c>
      <c r="D9" s="424">
        <v>233.01486999999801</v>
      </c>
      <c r="E9" s="424"/>
      <c r="F9" s="424">
        <v>208.64609000000002</v>
      </c>
      <c r="G9" s="424">
        <v>266.33333333333331</v>
      </c>
      <c r="H9" s="424">
        <v>-57.687243333333299</v>
      </c>
      <c r="I9" s="425">
        <v>0.78340209011264095</v>
      </c>
      <c r="J9" s="426" t="s">
        <v>429</v>
      </c>
    </row>
    <row r="11" spans="1:10" ht="14.4" customHeight="1" x14ac:dyDescent="0.3">
      <c r="A11" s="422" t="s">
        <v>424</v>
      </c>
      <c r="B11" s="423" t="s">
        <v>425</v>
      </c>
      <c r="C11" s="424" t="s">
        <v>426</v>
      </c>
      <c r="D11" s="424" t="s">
        <v>426</v>
      </c>
      <c r="E11" s="424"/>
      <c r="F11" s="424" t="s">
        <v>426</v>
      </c>
      <c r="G11" s="424" t="s">
        <v>426</v>
      </c>
      <c r="H11" s="424" t="s">
        <v>426</v>
      </c>
      <c r="I11" s="425" t="s">
        <v>426</v>
      </c>
      <c r="J11" s="426" t="s">
        <v>69</v>
      </c>
    </row>
    <row r="12" spans="1:10" ht="14.4" customHeight="1" x14ac:dyDescent="0.3">
      <c r="A12" s="422" t="s">
        <v>430</v>
      </c>
      <c r="B12" s="423" t="s">
        <v>431</v>
      </c>
      <c r="C12" s="424" t="s">
        <v>426</v>
      </c>
      <c r="D12" s="424" t="s">
        <v>426</v>
      </c>
      <c r="E12" s="424"/>
      <c r="F12" s="424" t="s">
        <v>426</v>
      </c>
      <c r="G12" s="424" t="s">
        <v>426</v>
      </c>
      <c r="H12" s="424" t="s">
        <v>426</v>
      </c>
      <c r="I12" s="425" t="s">
        <v>426</v>
      </c>
      <c r="J12" s="426" t="s">
        <v>0</v>
      </c>
    </row>
    <row r="13" spans="1:10" ht="14.4" customHeight="1" x14ac:dyDescent="0.3">
      <c r="A13" s="422" t="s">
        <v>430</v>
      </c>
      <c r="B13" s="423" t="s">
        <v>279</v>
      </c>
      <c r="C13" s="424">
        <v>61.426819999999999</v>
      </c>
      <c r="D13" s="424" t="s">
        <v>426</v>
      </c>
      <c r="E13" s="424"/>
      <c r="F13" s="424" t="s">
        <v>426</v>
      </c>
      <c r="G13" s="424" t="s">
        <v>426</v>
      </c>
      <c r="H13" s="424" t="s">
        <v>426</v>
      </c>
      <c r="I13" s="425" t="s">
        <v>426</v>
      </c>
      <c r="J13" s="426" t="s">
        <v>1</v>
      </c>
    </row>
    <row r="14" spans="1:10" ht="14.4" customHeight="1" x14ac:dyDescent="0.3">
      <c r="A14" s="422" t="s">
        <v>430</v>
      </c>
      <c r="B14" s="423" t="s">
        <v>280</v>
      </c>
      <c r="C14" s="424">
        <v>0.57099</v>
      </c>
      <c r="D14" s="424" t="s">
        <v>426</v>
      </c>
      <c r="E14" s="424"/>
      <c r="F14" s="424" t="s">
        <v>426</v>
      </c>
      <c r="G14" s="424" t="s">
        <v>426</v>
      </c>
      <c r="H14" s="424" t="s">
        <v>426</v>
      </c>
      <c r="I14" s="425" t="s">
        <v>426</v>
      </c>
      <c r="J14" s="426" t="s">
        <v>1</v>
      </c>
    </row>
    <row r="15" spans="1:10" ht="14.4" customHeight="1" x14ac:dyDescent="0.3">
      <c r="A15" s="422" t="s">
        <v>430</v>
      </c>
      <c r="B15" s="423" t="s">
        <v>427</v>
      </c>
      <c r="C15" s="424">
        <v>0</v>
      </c>
      <c r="D15" s="424" t="s">
        <v>426</v>
      </c>
      <c r="E15" s="424"/>
      <c r="F15" s="424" t="s">
        <v>426</v>
      </c>
      <c r="G15" s="424" t="s">
        <v>426</v>
      </c>
      <c r="H15" s="424" t="s">
        <v>426</v>
      </c>
      <c r="I15" s="425" t="s">
        <v>426</v>
      </c>
      <c r="J15" s="426" t="s">
        <v>1</v>
      </c>
    </row>
    <row r="16" spans="1:10" ht="14.4" customHeight="1" x14ac:dyDescent="0.3">
      <c r="A16" s="422" t="s">
        <v>430</v>
      </c>
      <c r="B16" s="423" t="s">
        <v>432</v>
      </c>
      <c r="C16" s="424">
        <v>61.997810000000001</v>
      </c>
      <c r="D16" s="424" t="s">
        <v>426</v>
      </c>
      <c r="E16" s="424"/>
      <c r="F16" s="424" t="s">
        <v>426</v>
      </c>
      <c r="G16" s="424" t="s">
        <v>426</v>
      </c>
      <c r="H16" s="424" t="s">
        <v>426</v>
      </c>
      <c r="I16" s="425" t="s">
        <v>426</v>
      </c>
      <c r="J16" s="426" t="s">
        <v>433</v>
      </c>
    </row>
    <row r="17" spans="1:10" ht="14.4" customHeight="1" x14ac:dyDescent="0.3">
      <c r="A17" s="422" t="s">
        <v>426</v>
      </c>
      <c r="B17" s="423" t="s">
        <v>426</v>
      </c>
      <c r="C17" s="424" t="s">
        <v>426</v>
      </c>
      <c r="D17" s="424" t="s">
        <v>426</v>
      </c>
      <c r="E17" s="424"/>
      <c r="F17" s="424" t="s">
        <v>426</v>
      </c>
      <c r="G17" s="424" t="s">
        <v>426</v>
      </c>
      <c r="H17" s="424" t="s">
        <v>426</v>
      </c>
      <c r="I17" s="425" t="s">
        <v>426</v>
      </c>
      <c r="J17" s="426" t="s">
        <v>434</v>
      </c>
    </row>
    <row r="18" spans="1:10" ht="14.4" customHeight="1" x14ac:dyDescent="0.3">
      <c r="A18" s="422" t="s">
        <v>435</v>
      </c>
      <c r="B18" s="423" t="s">
        <v>436</v>
      </c>
      <c r="C18" s="424" t="s">
        <v>426</v>
      </c>
      <c r="D18" s="424" t="s">
        <v>426</v>
      </c>
      <c r="E18" s="424"/>
      <c r="F18" s="424" t="s">
        <v>426</v>
      </c>
      <c r="G18" s="424" t="s">
        <v>426</v>
      </c>
      <c r="H18" s="424" t="s">
        <v>426</v>
      </c>
      <c r="I18" s="425" t="s">
        <v>426</v>
      </c>
      <c r="J18" s="426" t="s">
        <v>0</v>
      </c>
    </row>
    <row r="19" spans="1:10" ht="14.4" customHeight="1" x14ac:dyDescent="0.3">
      <c r="A19" s="422" t="s">
        <v>435</v>
      </c>
      <c r="B19" s="423" t="s">
        <v>279</v>
      </c>
      <c r="C19" s="424">
        <v>31.20628</v>
      </c>
      <c r="D19" s="424">
        <v>50.764089999999001</v>
      </c>
      <c r="E19" s="424"/>
      <c r="F19" s="424">
        <v>37.750659999999996</v>
      </c>
      <c r="G19" s="424">
        <v>49.666666666666664</v>
      </c>
      <c r="H19" s="424">
        <v>-11.916006666666668</v>
      </c>
      <c r="I19" s="425">
        <v>0.76008040268456367</v>
      </c>
      <c r="J19" s="426" t="s">
        <v>1</v>
      </c>
    </row>
    <row r="20" spans="1:10" ht="14.4" customHeight="1" x14ac:dyDescent="0.3">
      <c r="A20" s="422" t="s">
        <v>435</v>
      </c>
      <c r="B20" s="423" t="s">
        <v>280</v>
      </c>
      <c r="C20" s="424">
        <v>2.6870000000000002E-2</v>
      </c>
      <c r="D20" s="424">
        <v>3.7470000000000003E-2</v>
      </c>
      <c r="E20" s="424"/>
      <c r="F20" s="424" t="s">
        <v>426</v>
      </c>
      <c r="G20" s="424" t="s">
        <v>426</v>
      </c>
      <c r="H20" s="424" t="s">
        <v>426</v>
      </c>
      <c r="I20" s="425" t="s">
        <v>426</v>
      </c>
      <c r="J20" s="426" t="s">
        <v>1</v>
      </c>
    </row>
    <row r="21" spans="1:10" ht="14.4" customHeight="1" x14ac:dyDescent="0.3">
      <c r="A21" s="422" t="s">
        <v>435</v>
      </c>
      <c r="B21" s="423" t="s">
        <v>427</v>
      </c>
      <c r="C21" s="424">
        <v>0</v>
      </c>
      <c r="D21" s="424" t="s">
        <v>426</v>
      </c>
      <c r="E21" s="424"/>
      <c r="F21" s="424" t="s">
        <v>426</v>
      </c>
      <c r="G21" s="424" t="s">
        <v>426</v>
      </c>
      <c r="H21" s="424" t="s">
        <v>426</v>
      </c>
      <c r="I21" s="425" t="s">
        <v>426</v>
      </c>
      <c r="J21" s="426" t="s">
        <v>1</v>
      </c>
    </row>
    <row r="22" spans="1:10" ht="14.4" customHeight="1" x14ac:dyDescent="0.3">
      <c r="A22" s="422" t="s">
        <v>435</v>
      </c>
      <c r="B22" s="423" t="s">
        <v>437</v>
      </c>
      <c r="C22" s="424">
        <v>31.233149999999998</v>
      </c>
      <c r="D22" s="424">
        <v>50.801559999999</v>
      </c>
      <c r="E22" s="424"/>
      <c r="F22" s="424">
        <v>37.750659999999996</v>
      </c>
      <c r="G22" s="424">
        <v>49.666666666666664</v>
      </c>
      <c r="H22" s="424">
        <v>-11.916006666666668</v>
      </c>
      <c r="I22" s="425">
        <v>0.76008040268456367</v>
      </c>
      <c r="J22" s="426" t="s">
        <v>433</v>
      </c>
    </row>
    <row r="23" spans="1:10" ht="14.4" customHeight="1" x14ac:dyDescent="0.3">
      <c r="A23" s="422" t="s">
        <v>426</v>
      </c>
      <c r="B23" s="423" t="s">
        <v>426</v>
      </c>
      <c r="C23" s="424" t="s">
        <v>426</v>
      </c>
      <c r="D23" s="424" t="s">
        <v>426</v>
      </c>
      <c r="E23" s="424"/>
      <c r="F23" s="424" t="s">
        <v>426</v>
      </c>
      <c r="G23" s="424" t="s">
        <v>426</v>
      </c>
      <c r="H23" s="424" t="s">
        <v>426</v>
      </c>
      <c r="I23" s="425" t="s">
        <v>426</v>
      </c>
      <c r="J23" s="426" t="s">
        <v>434</v>
      </c>
    </row>
    <row r="24" spans="1:10" ht="14.4" customHeight="1" x14ac:dyDescent="0.3">
      <c r="A24" s="422" t="s">
        <v>438</v>
      </c>
      <c r="B24" s="423" t="s">
        <v>439</v>
      </c>
      <c r="C24" s="424" t="s">
        <v>426</v>
      </c>
      <c r="D24" s="424" t="s">
        <v>426</v>
      </c>
      <c r="E24" s="424"/>
      <c r="F24" s="424" t="s">
        <v>426</v>
      </c>
      <c r="G24" s="424" t="s">
        <v>426</v>
      </c>
      <c r="H24" s="424" t="s">
        <v>426</v>
      </c>
      <c r="I24" s="425" t="s">
        <v>426</v>
      </c>
      <c r="J24" s="426" t="s">
        <v>0</v>
      </c>
    </row>
    <row r="25" spans="1:10" ht="14.4" customHeight="1" x14ac:dyDescent="0.3">
      <c r="A25" s="422" t="s">
        <v>438</v>
      </c>
      <c r="B25" s="423" t="s">
        <v>279</v>
      </c>
      <c r="C25" s="424">
        <v>0</v>
      </c>
      <c r="D25" s="424">
        <v>182.21330999999898</v>
      </c>
      <c r="E25" s="424"/>
      <c r="F25" s="424">
        <v>170.89543</v>
      </c>
      <c r="G25" s="424">
        <v>216.66666666666666</v>
      </c>
      <c r="H25" s="424">
        <v>-45.771236666666653</v>
      </c>
      <c r="I25" s="425">
        <v>0.78874813846153857</v>
      </c>
      <c r="J25" s="426" t="s">
        <v>1</v>
      </c>
    </row>
    <row r="26" spans="1:10" ht="14.4" customHeight="1" x14ac:dyDescent="0.3">
      <c r="A26" s="422" t="s">
        <v>438</v>
      </c>
      <c r="B26" s="423" t="s">
        <v>440</v>
      </c>
      <c r="C26" s="424">
        <v>0</v>
      </c>
      <c r="D26" s="424">
        <v>182.21330999999898</v>
      </c>
      <c r="E26" s="424"/>
      <c r="F26" s="424">
        <v>170.89543</v>
      </c>
      <c r="G26" s="424">
        <v>216.66666666666666</v>
      </c>
      <c r="H26" s="424">
        <v>-45.771236666666653</v>
      </c>
      <c r="I26" s="425">
        <v>0.78874813846153857</v>
      </c>
      <c r="J26" s="426" t="s">
        <v>433</v>
      </c>
    </row>
    <row r="27" spans="1:10" ht="14.4" customHeight="1" x14ac:dyDescent="0.3">
      <c r="A27" s="422" t="s">
        <v>426</v>
      </c>
      <c r="B27" s="423" t="s">
        <v>426</v>
      </c>
      <c r="C27" s="424" t="s">
        <v>426</v>
      </c>
      <c r="D27" s="424" t="s">
        <v>426</v>
      </c>
      <c r="E27" s="424"/>
      <c r="F27" s="424" t="s">
        <v>426</v>
      </c>
      <c r="G27" s="424" t="s">
        <v>426</v>
      </c>
      <c r="H27" s="424" t="s">
        <v>426</v>
      </c>
      <c r="I27" s="425" t="s">
        <v>426</v>
      </c>
      <c r="J27" s="426" t="s">
        <v>434</v>
      </c>
    </row>
    <row r="28" spans="1:10" ht="14.4" customHeight="1" x14ac:dyDescent="0.3">
      <c r="A28" s="422" t="s">
        <v>424</v>
      </c>
      <c r="B28" s="423" t="s">
        <v>428</v>
      </c>
      <c r="C28" s="424">
        <v>93.23096000000001</v>
      </c>
      <c r="D28" s="424">
        <v>233.01486999999798</v>
      </c>
      <c r="E28" s="424"/>
      <c r="F28" s="424">
        <v>208.64609000000002</v>
      </c>
      <c r="G28" s="424">
        <v>266.33333333333331</v>
      </c>
      <c r="H28" s="424">
        <v>-57.687243333333299</v>
      </c>
      <c r="I28" s="425">
        <v>0.78340209011264095</v>
      </c>
      <c r="J28" s="426" t="s">
        <v>429</v>
      </c>
    </row>
  </sheetData>
  <mergeCells count="3">
    <mergeCell ref="F3:I3"/>
    <mergeCell ref="C4:D4"/>
    <mergeCell ref="A1:I1"/>
  </mergeCells>
  <conditionalFormatting sqref="F10 F29:F65537">
    <cfRule type="cellIs" dxfId="52" priority="18" stopIfTrue="1" operator="greaterThan">
      <formula>1</formula>
    </cfRule>
  </conditionalFormatting>
  <conditionalFormatting sqref="H5:H9">
    <cfRule type="expression" dxfId="51" priority="14">
      <formula>$H5&gt;0</formula>
    </cfRule>
  </conditionalFormatting>
  <conditionalFormatting sqref="I5:I9">
    <cfRule type="expression" dxfId="50" priority="15">
      <formula>$I5&gt;1</formula>
    </cfRule>
  </conditionalFormatting>
  <conditionalFormatting sqref="B5:B9">
    <cfRule type="expression" dxfId="49" priority="11">
      <formula>OR($J5="NS",$J5="SumaNS",$J5="Účet")</formula>
    </cfRule>
  </conditionalFormatting>
  <conditionalFormatting sqref="B5:D9 F5:I9">
    <cfRule type="expression" dxfId="48" priority="17">
      <formula>AND($J5&lt;&gt;"",$J5&lt;&gt;"mezeraKL")</formula>
    </cfRule>
  </conditionalFormatting>
  <conditionalFormatting sqref="B5:D9 F5:I9">
    <cfRule type="expression" dxfId="47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6" priority="13">
      <formula>OR($J5="SumaNS",$J5="NS")</formula>
    </cfRule>
  </conditionalFormatting>
  <conditionalFormatting sqref="A5:A9">
    <cfRule type="expression" dxfId="45" priority="9">
      <formula>AND($J5&lt;&gt;"mezeraKL",$J5&lt;&gt;"")</formula>
    </cfRule>
  </conditionalFormatting>
  <conditionalFormatting sqref="A5:A9">
    <cfRule type="expression" dxfId="44" priority="10">
      <formula>AND($J5&lt;&gt;"",$J5&lt;&gt;"mezeraKL")</formula>
    </cfRule>
  </conditionalFormatting>
  <conditionalFormatting sqref="H11:H28">
    <cfRule type="expression" dxfId="43" priority="5">
      <formula>$H11&gt;0</formula>
    </cfRule>
  </conditionalFormatting>
  <conditionalFormatting sqref="A11:A28">
    <cfRule type="expression" dxfId="42" priority="2">
      <formula>AND($J11&lt;&gt;"mezeraKL",$J11&lt;&gt;"")</formula>
    </cfRule>
  </conditionalFormatting>
  <conditionalFormatting sqref="I11:I28">
    <cfRule type="expression" dxfId="41" priority="6">
      <formula>$I11&gt;1</formula>
    </cfRule>
  </conditionalFormatting>
  <conditionalFormatting sqref="B11:B28">
    <cfRule type="expression" dxfId="40" priority="1">
      <formula>OR($J11="NS",$J11="SumaNS",$J11="Účet")</formula>
    </cfRule>
  </conditionalFormatting>
  <conditionalFormatting sqref="A11:D28 F11:I28">
    <cfRule type="expression" dxfId="39" priority="8">
      <formula>AND($J11&lt;&gt;"",$J11&lt;&gt;"mezeraKL")</formula>
    </cfRule>
  </conditionalFormatting>
  <conditionalFormatting sqref="B11:D28 F11:I28">
    <cfRule type="expression" dxfId="38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28 F11:I28">
    <cfRule type="expression" dxfId="37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3" hidden="1" customWidth="1" outlineLevel="1"/>
    <col min="2" max="2" width="28.33203125" style="133" hidden="1" customWidth="1" outlineLevel="1"/>
    <col min="3" max="3" width="5.33203125" style="214" bestFit="1" customWidth="1" collapsed="1"/>
    <col min="4" max="4" width="18.77734375" style="218" customWidth="1"/>
    <col min="5" max="5" width="9" style="214" bestFit="1" customWidth="1"/>
    <col min="6" max="6" width="18.77734375" style="218" customWidth="1"/>
    <col min="7" max="7" width="5" style="214" customWidth="1"/>
    <col min="8" max="8" width="12.44140625" style="214" hidden="1" customWidth="1" outlineLevel="1"/>
    <col min="9" max="9" width="8.5546875" style="214" hidden="1" customWidth="1" outlineLevel="1"/>
    <col min="10" max="10" width="25.77734375" style="214" customWidth="1" collapsed="1"/>
    <col min="11" max="11" width="8.77734375" style="214" customWidth="1"/>
    <col min="12" max="13" width="7.77734375" style="212" customWidth="1"/>
    <col min="14" max="14" width="11.109375" style="212" customWidth="1"/>
    <col min="15" max="16384" width="8.88671875" style="133"/>
  </cols>
  <sheetData>
    <row r="1" spans="1:14" ht="18.600000000000001" customHeight="1" thickBot="1" x14ac:dyDescent="0.4">
      <c r="A1" s="346" t="s">
        <v>171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</row>
    <row r="2" spans="1:14" ht="14.4" customHeight="1" thickBot="1" x14ac:dyDescent="0.35">
      <c r="A2" s="240" t="s">
        <v>272</v>
      </c>
      <c r="B2" s="62"/>
      <c r="C2" s="216"/>
      <c r="D2" s="216"/>
      <c r="E2" s="216"/>
      <c r="F2" s="216"/>
      <c r="G2" s="216"/>
      <c r="H2" s="216"/>
      <c r="I2" s="216"/>
      <c r="J2" s="216"/>
      <c r="K2" s="216"/>
      <c r="L2" s="217"/>
      <c r="M2" s="217"/>
      <c r="N2" s="217"/>
    </row>
    <row r="3" spans="1:14" ht="14.4" customHeight="1" thickBot="1" x14ac:dyDescent="0.35">
      <c r="A3" s="62"/>
      <c r="B3" s="62"/>
      <c r="C3" s="342"/>
      <c r="D3" s="343"/>
      <c r="E3" s="343"/>
      <c r="F3" s="343"/>
      <c r="G3" s="343"/>
      <c r="H3" s="343"/>
      <c r="I3" s="343"/>
      <c r="J3" s="344" t="s">
        <v>133</v>
      </c>
      <c r="K3" s="345"/>
      <c r="L3" s="99">
        <f>IF(M3&lt;&gt;0,N3/M3,0)</f>
        <v>320.99397279267259</v>
      </c>
      <c r="M3" s="99">
        <f>SUBTOTAL(9,M5:M1048576)</f>
        <v>650</v>
      </c>
      <c r="N3" s="100">
        <f>SUBTOTAL(9,N5:N1048576)</f>
        <v>208646.0823152372</v>
      </c>
    </row>
    <row r="4" spans="1:14" s="213" customFormat="1" ht="14.4" customHeight="1" thickBot="1" x14ac:dyDescent="0.35">
      <c r="A4" s="427" t="s">
        <v>4</v>
      </c>
      <c r="B4" s="428" t="s">
        <v>5</v>
      </c>
      <c r="C4" s="428" t="s">
        <v>0</v>
      </c>
      <c r="D4" s="428" t="s">
        <v>6</v>
      </c>
      <c r="E4" s="428" t="s">
        <v>7</v>
      </c>
      <c r="F4" s="428" t="s">
        <v>1</v>
      </c>
      <c r="G4" s="428" t="s">
        <v>8</v>
      </c>
      <c r="H4" s="428" t="s">
        <v>9</v>
      </c>
      <c r="I4" s="428" t="s">
        <v>10</v>
      </c>
      <c r="J4" s="429" t="s">
        <v>11</v>
      </c>
      <c r="K4" s="429" t="s">
        <v>12</v>
      </c>
      <c r="L4" s="430" t="s">
        <v>148</v>
      </c>
      <c r="M4" s="430" t="s">
        <v>13</v>
      </c>
      <c r="N4" s="431" t="s">
        <v>165</v>
      </c>
    </row>
    <row r="5" spans="1:14" ht="14.4" customHeight="1" x14ac:dyDescent="0.3">
      <c r="A5" s="434" t="s">
        <v>424</v>
      </c>
      <c r="B5" s="435" t="s">
        <v>425</v>
      </c>
      <c r="C5" s="436" t="s">
        <v>435</v>
      </c>
      <c r="D5" s="437" t="s">
        <v>530</v>
      </c>
      <c r="E5" s="436" t="s">
        <v>441</v>
      </c>
      <c r="F5" s="437" t="s">
        <v>532</v>
      </c>
      <c r="G5" s="436" t="s">
        <v>442</v>
      </c>
      <c r="H5" s="436" t="s">
        <v>443</v>
      </c>
      <c r="I5" s="436" t="s">
        <v>443</v>
      </c>
      <c r="J5" s="436" t="s">
        <v>444</v>
      </c>
      <c r="K5" s="436" t="s">
        <v>445</v>
      </c>
      <c r="L5" s="438">
        <v>179.4</v>
      </c>
      <c r="M5" s="438">
        <v>46</v>
      </c>
      <c r="N5" s="439">
        <v>8252.4</v>
      </c>
    </row>
    <row r="6" spans="1:14" ht="14.4" customHeight="1" x14ac:dyDescent="0.3">
      <c r="A6" s="440" t="s">
        <v>424</v>
      </c>
      <c r="B6" s="441" t="s">
        <v>425</v>
      </c>
      <c r="C6" s="442" t="s">
        <v>435</v>
      </c>
      <c r="D6" s="443" t="s">
        <v>530</v>
      </c>
      <c r="E6" s="442" t="s">
        <v>441</v>
      </c>
      <c r="F6" s="443" t="s">
        <v>532</v>
      </c>
      <c r="G6" s="442" t="s">
        <v>442</v>
      </c>
      <c r="H6" s="442" t="s">
        <v>446</v>
      </c>
      <c r="I6" s="442" t="s">
        <v>447</v>
      </c>
      <c r="J6" s="442" t="s">
        <v>448</v>
      </c>
      <c r="K6" s="442" t="s">
        <v>449</v>
      </c>
      <c r="L6" s="444">
        <v>84.57</v>
      </c>
      <c r="M6" s="444">
        <v>1</v>
      </c>
      <c r="N6" s="445">
        <v>84.57</v>
      </c>
    </row>
    <row r="7" spans="1:14" ht="14.4" customHeight="1" x14ac:dyDescent="0.3">
      <c r="A7" s="440" t="s">
        <v>424</v>
      </c>
      <c r="B7" s="441" t="s">
        <v>425</v>
      </c>
      <c r="C7" s="442" t="s">
        <v>435</v>
      </c>
      <c r="D7" s="443" t="s">
        <v>530</v>
      </c>
      <c r="E7" s="442" t="s">
        <v>441</v>
      </c>
      <c r="F7" s="443" t="s">
        <v>532</v>
      </c>
      <c r="G7" s="442" t="s">
        <v>442</v>
      </c>
      <c r="H7" s="442" t="s">
        <v>450</v>
      </c>
      <c r="I7" s="442" t="s">
        <v>451</v>
      </c>
      <c r="J7" s="442" t="s">
        <v>452</v>
      </c>
      <c r="K7" s="442" t="s">
        <v>453</v>
      </c>
      <c r="L7" s="444">
        <v>98.695127464359047</v>
      </c>
      <c r="M7" s="444">
        <v>190</v>
      </c>
      <c r="N7" s="445">
        <v>18752.074218228219</v>
      </c>
    </row>
    <row r="8" spans="1:14" ht="14.4" customHeight="1" x14ac:dyDescent="0.3">
      <c r="A8" s="440" t="s">
        <v>424</v>
      </c>
      <c r="B8" s="441" t="s">
        <v>425</v>
      </c>
      <c r="C8" s="442" t="s">
        <v>435</v>
      </c>
      <c r="D8" s="443" t="s">
        <v>530</v>
      </c>
      <c r="E8" s="442" t="s">
        <v>441</v>
      </c>
      <c r="F8" s="443" t="s">
        <v>532</v>
      </c>
      <c r="G8" s="442" t="s">
        <v>442</v>
      </c>
      <c r="H8" s="442" t="s">
        <v>454</v>
      </c>
      <c r="I8" s="442" t="s">
        <v>455</v>
      </c>
      <c r="J8" s="442" t="s">
        <v>456</v>
      </c>
      <c r="K8" s="442" t="s">
        <v>457</v>
      </c>
      <c r="L8" s="444">
        <v>60.350155123772673</v>
      </c>
      <c r="M8" s="444">
        <v>15</v>
      </c>
      <c r="N8" s="445">
        <v>905.25232685659012</v>
      </c>
    </row>
    <row r="9" spans="1:14" ht="14.4" customHeight="1" x14ac:dyDescent="0.3">
      <c r="A9" s="440" t="s">
        <v>424</v>
      </c>
      <c r="B9" s="441" t="s">
        <v>425</v>
      </c>
      <c r="C9" s="442" t="s">
        <v>435</v>
      </c>
      <c r="D9" s="443" t="s">
        <v>530</v>
      </c>
      <c r="E9" s="442" t="s">
        <v>441</v>
      </c>
      <c r="F9" s="443" t="s">
        <v>532</v>
      </c>
      <c r="G9" s="442" t="s">
        <v>442</v>
      </c>
      <c r="H9" s="442" t="s">
        <v>458</v>
      </c>
      <c r="I9" s="442" t="s">
        <v>459</v>
      </c>
      <c r="J9" s="442" t="s">
        <v>460</v>
      </c>
      <c r="K9" s="442"/>
      <c r="L9" s="444">
        <v>103.49818826309574</v>
      </c>
      <c r="M9" s="444">
        <v>1</v>
      </c>
      <c r="N9" s="445">
        <v>103.49818826309574</v>
      </c>
    </row>
    <row r="10" spans="1:14" ht="14.4" customHeight="1" x14ac:dyDescent="0.3">
      <c r="A10" s="440" t="s">
        <v>424</v>
      </c>
      <c r="B10" s="441" t="s">
        <v>425</v>
      </c>
      <c r="C10" s="442" t="s">
        <v>435</v>
      </c>
      <c r="D10" s="443" t="s">
        <v>530</v>
      </c>
      <c r="E10" s="442" t="s">
        <v>441</v>
      </c>
      <c r="F10" s="443" t="s">
        <v>532</v>
      </c>
      <c r="G10" s="442" t="s">
        <v>442</v>
      </c>
      <c r="H10" s="442" t="s">
        <v>461</v>
      </c>
      <c r="I10" s="442" t="s">
        <v>462</v>
      </c>
      <c r="J10" s="442" t="s">
        <v>463</v>
      </c>
      <c r="K10" s="442"/>
      <c r="L10" s="444">
        <v>198.9993065207083</v>
      </c>
      <c r="M10" s="444">
        <v>7</v>
      </c>
      <c r="N10" s="445">
        <v>1392.995145644958</v>
      </c>
    </row>
    <row r="11" spans="1:14" ht="14.4" customHeight="1" x14ac:dyDescent="0.3">
      <c r="A11" s="440" t="s">
        <v>424</v>
      </c>
      <c r="B11" s="441" t="s">
        <v>425</v>
      </c>
      <c r="C11" s="442" t="s">
        <v>435</v>
      </c>
      <c r="D11" s="443" t="s">
        <v>530</v>
      </c>
      <c r="E11" s="442" t="s">
        <v>441</v>
      </c>
      <c r="F11" s="443" t="s">
        <v>532</v>
      </c>
      <c r="G11" s="442" t="s">
        <v>442</v>
      </c>
      <c r="H11" s="442" t="s">
        <v>464</v>
      </c>
      <c r="I11" s="442" t="s">
        <v>465</v>
      </c>
      <c r="J11" s="442" t="s">
        <v>466</v>
      </c>
      <c r="K11" s="442" t="s">
        <v>467</v>
      </c>
      <c r="L11" s="444">
        <v>44.630923688958212</v>
      </c>
      <c r="M11" s="444">
        <v>140</v>
      </c>
      <c r="N11" s="445">
        <v>6248.3293164541501</v>
      </c>
    </row>
    <row r="12" spans="1:14" ht="14.4" customHeight="1" x14ac:dyDescent="0.3">
      <c r="A12" s="440" t="s">
        <v>424</v>
      </c>
      <c r="B12" s="441" t="s">
        <v>425</v>
      </c>
      <c r="C12" s="442" t="s">
        <v>435</v>
      </c>
      <c r="D12" s="443" t="s">
        <v>530</v>
      </c>
      <c r="E12" s="442" t="s">
        <v>441</v>
      </c>
      <c r="F12" s="443" t="s">
        <v>532</v>
      </c>
      <c r="G12" s="442" t="s">
        <v>442</v>
      </c>
      <c r="H12" s="442" t="s">
        <v>468</v>
      </c>
      <c r="I12" s="442" t="s">
        <v>196</v>
      </c>
      <c r="J12" s="442" t="s">
        <v>469</v>
      </c>
      <c r="K12" s="442"/>
      <c r="L12" s="444">
        <v>97.320298536641687</v>
      </c>
      <c r="M12" s="444">
        <v>3</v>
      </c>
      <c r="N12" s="445">
        <v>291.96089560992505</v>
      </c>
    </row>
    <row r="13" spans="1:14" ht="14.4" customHeight="1" x14ac:dyDescent="0.3">
      <c r="A13" s="440" t="s">
        <v>424</v>
      </c>
      <c r="B13" s="441" t="s">
        <v>425</v>
      </c>
      <c r="C13" s="442" t="s">
        <v>435</v>
      </c>
      <c r="D13" s="443" t="s">
        <v>530</v>
      </c>
      <c r="E13" s="442" t="s">
        <v>441</v>
      </c>
      <c r="F13" s="443" t="s">
        <v>532</v>
      </c>
      <c r="G13" s="442" t="s">
        <v>442</v>
      </c>
      <c r="H13" s="442" t="s">
        <v>470</v>
      </c>
      <c r="I13" s="442" t="s">
        <v>471</v>
      </c>
      <c r="J13" s="442" t="s">
        <v>472</v>
      </c>
      <c r="K13" s="442" t="s">
        <v>473</v>
      </c>
      <c r="L13" s="444">
        <v>37.56</v>
      </c>
      <c r="M13" s="444">
        <v>1</v>
      </c>
      <c r="N13" s="445">
        <v>37.56</v>
      </c>
    </row>
    <row r="14" spans="1:14" ht="14.4" customHeight="1" x14ac:dyDescent="0.3">
      <c r="A14" s="440" t="s">
        <v>424</v>
      </c>
      <c r="B14" s="441" t="s">
        <v>425</v>
      </c>
      <c r="C14" s="442" t="s">
        <v>435</v>
      </c>
      <c r="D14" s="443" t="s">
        <v>530</v>
      </c>
      <c r="E14" s="442" t="s">
        <v>441</v>
      </c>
      <c r="F14" s="443" t="s">
        <v>532</v>
      </c>
      <c r="G14" s="442" t="s">
        <v>442</v>
      </c>
      <c r="H14" s="442" t="s">
        <v>474</v>
      </c>
      <c r="I14" s="442" t="s">
        <v>196</v>
      </c>
      <c r="J14" s="442" t="s">
        <v>475</v>
      </c>
      <c r="K14" s="442"/>
      <c r="L14" s="444">
        <v>215.42978458847614</v>
      </c>
      <c r="M14" s="444">
        <v>2</v>
      </c>
      <c r="N14" s="445">
        <v>430.85956917695228</v>
      </c>
    </row>
    <row r="15" spans="1:14" ht="14.4" customHeight="1" x14ac:dyDescent="0.3">
      <c r="A15" s="440" t="s">
        <v>424</v>
      </c>
      <c r="B15" s="441" t="s">
        <v>425</v>
      </c>
      <c r="C15" s="442" t="s">
        <v>435</v>
      </c>
      <c r="D15" s="443" t="s">
        <v>530</v>
      </c>
      <c r="E15" s="442" t="s">
        <v>441</v>
      </c>
      <c r="F15" s="443" t="s">
        <v>532</v>
      </c>
      <c r="G15" s="442" t="s">
        <v>442</v>
      </c>
      <c r="H15" s="442" t="s">
        <v>476</v>
      </c>
      <c r="I15" s="442" t="s">
        <v>196</v>
      </c>
      <c r="J15" s="442" t="s">
        <v>477</v>
      </c>
      <c r="K15" s="442"/>
      <c r="L15" s="444">
        <v>54.114946161901756</v>
      </c>
      <c r="M15" s="444">
        <v>9</v>
      </c>
      <c r="N15" s="445">
        <v>487.03451545711579</v>
      </c>
    </row>
    <row r="16" spans="1:14" ht="14.4" customHeight="1" x14ac:dyDescent="0.3">
      <c r="A16" s="440" t="s">
        <v>424</v>
      </c>
      <c r="B16" s="441" t="s">
        <v>425</v>
      </c>
      <c r="C16" s="442" t="s">
        <v>435</v>
      </c>
      <c r="D16" s="443" t="s">
        <v>530</v>
      </c>
      <c r="E16" s="442" t="s">
        <v>441</v>
      </c>
      <c r="F16" s="443" t="s">
        <v>532</v>
      </c>
      <c r="G16" s="442" t="s">
        <v>442</v>
      </c>
      <c r="H16" s="442" t="s">
        <v>478</v>
      </c>
      <c r="I16" s="442" t="s">
        <v>196</v>
      </c>
      <c r="J16" s="442" t="s">
        <v>479</v>
      </c>
      <c r="K16" s="442"/>
      <c r="L16" s="444">
        <v>47.33</v>
      </c>
      <c r="M16" s="444">
        <v>1</v>
      </c>
      <c r="N16" s="445">
        <v>47.33</v>
      </c>
    </row>
    <row r="17" spans="1:14" ht="14.4" customHeight="1" x14ac:dyDescent="0.3">
      <c r="A17" s="440" t="s">
        <v>424</v>
      </c>
      <c r="B17" s="441" t="s">
        <v>425</v>
      </c>
      <c r="C17" s="442" t="s">
        <v>435</v>
      </c>
      <c r="D17" s="443" t="s">
        <v>530</v>
      </c>
      <c r="E17" s="442" t="s">
        <v>441</v>
      </c>
      <c r="F17" s="443" t="s">
        <v>532</v>
      </c>
      <c r="G17" s="442" t="s">
        <v>442</v>
      </c>
      <c r="H17" s="442" t="s">
        <v>480</v>
      </c>
      <c r="I17" s="442" t="s">
        <v>196</v>
      </c>
      <c r="J17" s="442" t="s">
        <v>481</v>
      </c>
      <c r="K17" s="442"/>
      <c r="L17" s="444">
        <v>208.34836673153322</v>
      </c>
      <c r="M17" s="444">
        <v>3</v>
      </c>
      <c r="N17" s="445">
        <v>625.04510019459963</v>
      </c>
    </row>
    <row r="18" spans="1:14" ht="14.4" customHeight="1" x14ac:dyDescent="0.3">
      <c r="A18" s="440" t="s">
        <v>424</v>
      </c>
      <c r="B18" s="441" t="s">
        <v>425</v>
      </c>
      <c r="C18" s="442" t="s">
        <v>435</v>
      </c>
      <c r="D18" s="443" t="s">
        <v>530</v>
      </c>
      <c r="E18" s="442" t="s">
        <v>441</v>
      </c>
      <c r="F18" s="443" t="s">
        <v>532</v>
      </c>
      <c r="G18" s="442" t="s">
        <v>442</v>
      </c>
      <c r="H18" s="442" t="s">
        <v>482</v>
      </c>
      <c r="I18" s="442" t="s">
        <v>483</v>
      </c>
      <c r="J18" s="442" t="s">
        <v>484</v>
      </c>
      <c r="K18" s="442" t="s">
        <v>485</v>
      </c>
      <c r="L18" s="444">
        <v>38.94</v>
      </c>
      <c r="M18" s="444">
        <v>1</v>
      </c>
      <c r="N18" s="445">
        <v>38.94</v>
      </c>
    </row>
    <row r="19" spans="1:14" ht="14.4" customHeight="1" x14ac:dyDescent="0.3">
      <c r="A19" s="440" t="s">
        <v>424</v>
      </c>
      <c r="B19" s="441" t="s">
        <v>425</v>
      </c>
      <c r="C19" s="442" t="s">
        <v>435</v>
      </c>
      <c r="D19" s="443" t="s">
        <v>530</v>
      </c>
      <c r="E19" s="442" t="s">
        <v>441</v>
      </c>
      <c r="F19" s="443" t="s">
        <v>532</v>
      </c>
      <c r="G19" s="442" t="s">
        <v>486</v>
      </c>
      <c r="H19" s="442" t="s">
        <v>487</v>
      </c>
      <c r="I19" s="442" t="s">
        <v>488</v>
      </c>
      <c r="J19" s="442" t="s">
        <v>489</v>
      </c>
      <c r="K19" s="442" t="s">
        <v>490</v>
      </c>
      <c r="L19" s="444">
        <v>52.809999999999974</v>
      </c>
      <c r="M19" s="444">
        <v>1</v>
      </c>
      <c r="N19" s="445">
        <v>52.809999999999974</v>
      </c>
    </row>
    <row r="20" spans="1:14" ht="14.4" customHeight="1" x14ac:dyDescent="0.3">
      <c r="A20" s="440" t="s">
        <v>424</v>
      </c>
      <c r="B20" s="441" t="s">
        <v>425</v>
      </c>
      <c r="C20" s="442" t="s">
        <v>438</v>
      </c>
      <c r="D20" s="443" t="s">
        <v>531</v>
      </c>
      <c r="E20" s="442" t="s">
        <v>441</v>
      </c>
      <c r="F20" s="443" t="s">
        <v>532</v>
      </c>
      <c r="G20" s="442" t="s">
        <v>442</v>
      </c>
      <c r="H20" s="442" t="s">
        <v>491</v>
      </c>
      <c r="I20" s="442" t="s">
        <v>492</v>
      </c>
      <c r="J20" s="442" t="s">
        <v>493</v>
      </c>
      <c r="K20" s="442" t="s">
        <v>494</v>
      </c>
      <c r="L20" s="444">
        <v>1246.4858385972909</v>
      </c>
      <c r="M20" s="444">
        <v>38</v>
      </c>
      <c r="N20" s="445">
        <v>47366.461866697056</v>
      </c>
    </row>
    <row r="21" spans="1:14" ht="14.4" customHeight="1" x14ac:dyDescent="0.3">
      <c r="A21" s="440" t="s">
        <v>424</v>
      </c>
      <c r="B21" s="441" t="s">
        <v>425</v>
      </c>
      <c r="C21" s="442" t="s">
        <v>438</v>
      </c>
      <c r="D21" s="443" t="s">
        <v>531</v>
      </c>
      <c r="E21" s="442" t="s">
        <v>441</v>
      </c>
      <c r="F21" s="443" t="s">
        <v>532</v>
      </c>
      <c r="G21" s="442" t="s">
        <v>442</v>
      </c>
      <c r="H21" s="442" t="s">
        <v>495</v>
      </c>
      <c r="I21" s="442" t="s">
        <v>196</v>
      </c>
      <c r="J21" s="442" t="s">
        <v>496</v>
      </c>
      <c r="K21" s="442" t="s">
        <v>497</v>
      </c>
      <c r="L21" s="444">
        <v>718.97979797142648</v>
      </c>
      <c r="M21" s="444">
        <v>10</v>
      </c>
      <c r="N21" s="445">
        <v>7189.7979797142643</v>
      </c>
    </row>
    <row r="22" spans="1:14" ht="14.4" customHeight="1" x14ac:dyDescent="0.3">
      <c r="A22" s="440" t="s">
        <v>424</v>
      </c>
      <c r="B22" s="441" t="s">
        <v>425</v>
      </c>
      <c r="C22" s="442" t="s">
        <v>438</v>
      </c>
      <c r="D22" s="443" t="s">
        <v>531</v>
      </c>
      <c r="E22" s="442" t="s">
        <v>441</v>
      </c>
      <c r="F22" s="443" t="s">
        <v>532</v>
      </c>
      <c r="G22" s="442" t="s">
        <v>442</v>
      </c>
      <c r="H22" s="442" t="s">
        <v>498</v>
      </c>
      <c r="I22" s="442" t="s">
        <v>499</v>
      </c>
      <c r="J22" s="442" t="s">
        <v>500</v>
      </c>
      <c r="K22" s="442" t="s">
        <v>501</v>
      </c>
      <c r="L22" s="444">
        <v>651.05140372940514</v>
      </c>
      <c r="M22" s="444">
        <v>62</v>
      </c>
      <c r="N22" s="445">
        <v>40365.187031223119</v>
      </c>
    </row>
    <row r="23" spans="1:14" ht="14.4" customHeight="1" x14ac:dyDescent="0.3">
      <c r="A23" s="440" t="s">
        <v>424</v>
      </c>
      <c r="B23" s="441" t="s">
        <v>425</v>
      </c>
      <c r="C23" s="442" t="s">
        <v>438</v>
      </c>
      <c r="D23" s="443" t="s">
        <v>531</v>
      </c>
      <c r="E23" s="442" t="s">
        <v>441</v>
      </c>
      <c r="F23" s="443" t="s">
        <v>532</v>
      </c>
      <c r="G23" s="442" t="s">
        <v>442</v>
      </c>
      <c r="H23" s="442" t="s">
        <v>502</v>
      </c>
      <c r="I23" s="442" t="s">
        <v>503</v>
      </c>
      <c r="J23" s="442" t="s">
        <v>504</v>
      </c>
      <c r="K23" s="442" t="s">
        <v>505</v>
      </c>
      <c r="L23" s="444">
        <v>948.8646428968749</v>
      </c>
      <c r="M23" s="444">
        <v>34</v>
      </c>
      <c r="N23" s="445">
        <v>32261.397858493747</v>
      </c>
    </row>
    <row r="24" spans="1:14" ht="14.4" customHeight="1" x14ac:dyDescent="0.3">
      <c r="A24" s="440" t="s">
        <v>424</v>
      </c>
      <c r="B24" s="441" t="s">
        <v>425</v>
      </c>
      <c r="C24" s="442" t="s">
        <v>438</v>
      </c>
      <c r="D24" s="443" t="s">
        <v>531</v>
      </c>
      <c r="E24" s="442" t="s">
        <v>441</v>
      </c>
      <c r="F24" s="443" t="s">
        <v>532</v>
      </c>
      <c r="G24" s="442" t="s">
        <v>442</v>
      </c>
      <c r="H24" s="442" t="s">
        <v>506</v>
      </c>
      <c r="I24" s="442" t="s">
        <v>507</v>
      </c>
      <c r="J24" s="442" t="s">
        <v>508</v>
      </c>
      <c r="K24" s="442" t="s">
        <v>509</v>
      </c>
      <c r="L24" s="444">
        <v>459.9430261272505</v>
      </c>
      <c r="M24" s="444">
        <v>39</v>
      </c>
      <c r="N24" s="445">
        <v>17937.77801896277</v>
      </c>
    </row>
    <row r="25" spans="1:14" ht="14.4" customHeight="1" x14ac:dyDescent="0.3">
      <c r="A25" s="440" t="s">
        <v>424</v>
      </c>
      <c r="B25" s="441" t="s">
        <v>425</v>
      </c>
      <c r="C25" s="442" t="s">
        <v>438</v>
      </c>
      <c r="D25" s="443" t="s">
        <v>531</v>
      </c>
      <c r="E25" s="442" t="s">
        <v>441</v>
      </c>
      <c r="F25" s="443" t="s">
        <v>532</v>
      </c>
      <c r="G25" s="442" t="s">
        <v>442</v>
      </c>
      <c r="H25" s="442" t="s">
        <v>510</v>
      </c>
      <c r="I25" s="442" t="s">
        <v>511</v>
      </c>
      <c r="J25" s="442" t="s">
        <v>512</v>
      </c>
      <c r="K25" s="442" t="s">
        <v>513</v>
      </c>
      <c r="L25" s="444">
        <v>284.04915143862962</v>
      </c>
      <c r="M25" s="444">
        <v>19</v>
      </c>
      <c r="N25" s="445">
        <v>5396.9338773339623</v>
      </c>
    </row>
    <row r="26" spans="1:14" ht="14.4" customHeight="1" x14ac:dyDescent="0.3">
      <c r="A26" s="440" t="s">
        <v>424</v>
      </c>
      <c r="B26" s="441" t="s">
        <v>425</v>
      </c>
      <c r="C26" s="442" t="s">
        <v>438</v>
      </c>
      <c r="D26" s="443" t="s">
        <v>531</v>
      </c>
      <c r="E26" s="442" t="s">
        <v>441</v>
      </c>
      <c r="F26" s="443" t="s">
        <v>532</v>
      </c>
      <c r="G26" s="442" t="s">
        <v>442</v>
      </c>
      <c r="H26" s="442" t="s">
        <v>514</v>
      </c>
      <c r="I26" s="442" t="s">
        <v>515</v>
      </c>
      <c r="J26" s="442" t="s">
        <v>516</v>
      </c>
      <c r="K26" s="442" t="s">
        <v>517</v>
      </c>
      <c r="L26" s="444">
        <v>1191.1119256930583</v>
      </c>
      <c r="M26" s="444">
        <v>7</v>
      </c>
      <c r="N26" s="445">
        <v>8337.7834798514086</v>
      </c>
    </row>
    <row r="27" spans="1:14" ht="14.4" customHeight="1" x14ac:dyDescent="0.3">
      <c r="A27" s="440" t="s">
        <v>424</v>
      </c>
      <c r="B27" s="441" t="s">
        <v>425</v>
      </c>
      <c r="C27" s="442" t="s">
        <v>438</v>
      </c>
      <c r="D27" s="443" t="s">
        <v>531</v>
      </c>
      <c r="E27" s="442" t="s">
        <v>441</v>
      </c>
      <c r="F27" s="443" t="s">
        <v>532</v>
      </c>
      <c r="G27" s="442" t="s">
        <v>442</v>
      </c>
      <c r="H27" s="442" t="s">
        <v>518</v>
      </c>
      <c r="I27" s="442" t="s">
        <v>519</v>
      </c>
      <c r="J27" s="442" t="s">
        <v>520</v>
      </c>
      <c r="K27" s="442" t="s">
        <v>521</v>
      </c>
      <c r="L27" s="444">
        <v>771.71</v>
      </c>
      <c r="M27" s="444">
        <v>1</v>
      </c>
      <c r="N27" s="445">
        <v>771.71</v>
      </c>
    </row>
    <row r="28" spans="1:14" ht="14.4" customHeight="1" x14ac:dyDescent="0.3">
      <c r="A28" s="440" t="s">
        <v>424</v>
      </c>
      <c r="B28" s="441" t="s">
        <v>425</v>
      </c>
      <c r="C28" s="442" t="s">
        <v>438</v>
      </c>
      <c r="D28" s="443" t="s">
        <v>531</v>
      </c>
      <c r="E28" s="442" t="s">
        <v>441</v>
      </c>
      <c r="F28" s="443" t="s">
        <v>532</v>
      </c>
      <c r="G28" s="442" t="s">
        <v>442</v>
      </c>
      <c r="H28" s="442" t="s">
        <v>522</v>
      </c>
      <c r="I28" s="442" t="s">
        <v>523</v>
      </c>
      <c r="J28" s="442" t="s">
        <v>524</v>
      </c>
      <c r="K28" s="442" t="s">
        <v>525</v>
      </c>
      <c r="L28" s="444">
        <v>594.96596473791772</v>
      </c>
      <c r="M28" s="444">
        <v>15</v>
      </c>
      <c r="N28" s="445">
        <v>8924.4894710687659</v>
      </c>
    </row>
    <row r="29" spans="1:14" ht="14.4" customHeight="1" thickBot="1" x14ac:dyDescent="0.35">
      <c r="A29" s="446" t="s">
        <v>424</v>
      </c>
      <c r="B29" s="447" t="s">
        <v>425</v>
      </c>
      <c r="C29" s="448" t="s">
        <v>438</v>
      </c>
      <c r="D29" s="449" t="s">
        <v>531</v>
      </c>
      <c r="E29" s="448" t="s">
        <v>441</v>
      </c>
      <c r="F29" s="449" t="s">
        <v>532</v>
      </c>
      <c r="G29" s="448" t="s">
        <v>442</v>
      </c>
      <c r="H29" s="448" t="s">
        <v>526</v>
      </c>
      <c r="I29" s="448" t="s">
        <v>527</v>
      </c>
      <c r="J29" s="448" t="s">
        <v>528</v>
      </c>
      <c r="K29" s="448" t="s">
        <v>529</v>
      </c>
      <c r="L29" s="450">
        <v>585.97086400161652</v>
      </c>
      <c r="M29" s="450">
        <v>4</v>
      </c>
      <c r="N29" s="451">
        <v>2343.8834560064661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33" customWidth="1"/>
    <col min="2" max="2" width="10" style="212" customWidth="1"/>
    <col min="3" max="3" width="5.5546875" style="215" customWidth="1"/>
    <col min="4" max="4" width="10" style="212" customWidth="1"/>
    <col min="5" max="5" width="5.5546875" style="215" customWidth="1"/>
    <col min="6" max="6" width="10" style="212" customWidth="1"/>
    <col min="7" max="16384" width="8.88671875" style="133"/>
  </cols>
  <sheetData>
    <row r="1" spans="1:6" ht="37.200000000000003" customHeight="1" thickBot="1" x14ac:dyDescent="0.4">
      <c r="A1" s="347" t="s">
        <v>172</v>
      </c>
      <c r="B1" s="348"/>
      <c r="C1" s="348"/>
      <c r="D1" s="348"/>
      <c r="E1" s="348"/>
      <c r="F1" s="348"/>
    </row>
    <row r="2" spans="1:6" ht="14.4" customHeight="1" thickBot="1" x14ac:dyDescent="0.35">
      <c r="A2" s="240" t="s">
        <v>272</v>
      </c>
      <c r="B2" s="63"/>
      <c r="C2" s="64"/>
      <c r="D2" s="65"/>
      <c r="E2" s="64"/>
      <c r="F2" s="65"/>
    </row>
    <row r="3" spans="1:6" ht="14.4" customHeight="1" thickBot="1" x14ac:dyDescent="0.35">
      <c r="A3" s="101"/>
      <c r="B3" s="349" t="s">
        <v>135</v>
      </c>
      <c r="C3" s="350"/>
      <c r="D3" s="351" t="s">
        <v>134</v>
      </c>
      <c r="E3" s="350"/>
      <c r="F3" s="80" t="s">
        <v>3</v>
      </c>
    </row>
    <row r="4" spans="1:6" ht="14.4" customHeight="1" thickBot="1" x14ac:dyDescent="0.35">
      <c r="A4" s="452" t="s">
        <v>149</v>
      </c>
      <c r="B4" s="453" t="s">
        <v>14</v>
      </c>
      <c r="C4" s="454" t="s">
        <v>2</v>
      </c>
      <c r="D4" s="453" t="s">
        <v>14</v>
      </c>
      <c r="E4" s="454" t="s">
        <v>2</v>
      </c>
      <c r="F4" s="455" t="s">
        <v>14</v>
      </c>
    </row>
    <row r="5" spans="1:6" ht="14.4" customHeight="1" thickBot="1" x14ac:dyDescent="0.35">
      <c r="A5" s="467" t="s">
        <v>533</v>
      </c>
      <c r="B5" s="432"/>
      <c r="C5" s="456">
        <v>0</v>
      </c>
      <c r="D5" s="432">
        <v>52.809999999999974</v>
      </c>
      <c r="E5" s="456">
        <v>1</v>
      </c>
      <c r="F5" s="433">
        <v>52.809999999999974</v>
      </c>
    </row>
    <row r="6" spans="1:6" ht="14.4" customHeight="1" thickBot="1" x14ac:dyDescent="0.35">
      <c r="A6" s="463" t="s">
        <v>3</v>
      </c>
      <c r="B6" s="464"/>
      <c r="C6" s="465">
        <v>0</v>
      </c>
      <c r="D6" s="464">
        <v>52.809999999999974</v>
      </c>
      <c r="E6" s="465">
        <v>1</v>
      </c>
      <c r="F6" s="466">
        <v>52.809999999999974</v>
      </c>
    </row>
    <row r="7" spans="1:6" ht="14.4" customHeight="1" thickBot="1" x14ac:dyDescent="0.35"/>
    <row r="8" spans="1:6" ht="14.4" customHeight="1" thickBot="1" x14ac:dyDescent="0.35">
      <c r="A8" s="467" t="s">
        <v>534</v>
      </c>
      <c r="B8" s="432"/>
      <c r="C8" s="456">
        <v>0</v>
      </c>
      <c r="D8" s="432">
        <v>52.809999999999974</v>
      </c>
      <c r="E8" s="456">
        <v>1</v>
      </c>
      <c r="F8" s="433">
        <v>52.809999999999974</v>
      </c>
    </row>
    <row r="9" spans="1:6" ht="14.4" customHeight="1" thickBot="1" x14ac:dyDescent="0.35">
      <c r="A9" s="463" t="s">
        <v>3</v>
      </c>
      <c r="B9" s="464"/>
      <c r="C9" s="465">
        <v>0</v>
      </c>
      <c r="D9" s="464">
        <v>52.809999999999974</v>
      </c>
      <c r="E9" s="465">
        <v>1</v>
      </c>
      <c r="F9" s="466">
        <v>52.809999999999974</v>
      </c>
    </row>
  </sheetData>
  <mergeCells count="3">
    <mergeCell ref="A1:F1"/>
    <mergeCell ref="B3:C3"/>
    <mergeCell ref="D3:E3"/>
  </mergeCells>
  <conditionalFormatting sqref="C5:C1048576">
    <cfRule type="cellIs" dxfId="36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25</vt:i4>
      </vt:variant>
      <vt:variant>
        <vt:lpstr>Pojmenované oblasti</vt:lpstr>
      </vt:variant>
      <vt:variant>
        <vt:i4>1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ZV Vyžád.</vt:lpstr>
      <vt:lpstr>ZV Vyžád.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2014-04-11T12:47:33Z</cp:lastPrinted>
  <dcterms:created xsi:type="dcterms:W3CDTF">2013-04-17T20:15:29Z</dcterms:created>
  <dcterms:modified xsi:type="dcterms:W3CDTF">2014-05-22T09:56:12Z</dcterms:modified>
</cp:coreProperties>
</file>